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70.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07.xml"/>
  <Override ContentType="application/vnd.openxmlformats-officedocument.drawing+xml" PartName="/xl/drawings/drawing103.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openxmlformats-officedocument.spreadsheetml.styles+xml" PartName="/xl/styles.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51.xml"/>
  <Override ContentType="application/vnd.openxmlformats-officedocument.spreadsheetml.comments+xml" PartName="/xl/comments9.xml"/>
  <Override ContentType="application/vnd.openxmlformats-officedocument.spreadsheetml.comments+xml" PartName="/xl/comments43.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27.xml"/>
  <Override ContentType="application/vnd.openxmlformats-officedocument.spreadsheetml.comments+xml" PartName="/xl/comments52.xml"/>
  <Override ContentType="application/vnd.openxmlformats-officedocument.spreadsheetml.comments+xml" PartName="/xl/comments35.xml"/>
  <Override ContentType="application/vnd.openxmlformats-officedocument.spreadsheetml.comments+xml" PartName="/xl/comments44.xml"/>
  <Override ContentType="application/vnd.openxmlformats-officedocument.spreadsheetml.comments+xml" PartName="/xl/comments5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46.xml"/>
  <Override ContentType="application/vnd.openxmlformats-officedocument.spreadsheetml.comments+xml" PartName="/xl/comments33.xml"/>
  <Override ContentType="application/vnd.openxmlformats-officedocument.spreadsheetml.comments+xml" PartName="/xl/comments20.xml"/>
  <Override ContentType="application/vnd.openxmlformats-officedocument.spreadsheetml.comments+xml" PartName="/xl/comments50.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6.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7.xml"/>
  <Override ContentType="application/vnd.openxmlformats-officedocument.spreadsheetml.comments+xml" PartName="/xl/comments4.xml"/>
  <Override ContentType="application/vnd.openxmlformats-officedocument.spreadsheetml.comments+xml" PartName="/xl/comments14.xml"/>
  <Override ContentType="application/vnd.openxmlformats-officedocument.spreadsheetml.comments+xml" PartName="/xl/comments49.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5.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1.xml"/>
  <Override ContentType="application/vnd.openxmlformats-officedocument.spreadsheetml.comments+xml" PartName="/xl/comments4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Weight Log" sheetId="1" r:id="rId3"/>
    <sheet state="hidden" name="NVScriptsProperties" sheetId="2" r:id="rId4"/>
    <sheet state="hidden" name="WORK ANALYTICS" sheetId="3" r:id="rId5"/>
    <sheet state="visible" name="Sheet74" sheetId="4" r:id="rId6"/>
    <sheet state="visible" name="Pre Workout 1" sheetId="5" r:id="rId7"/>
    <sheet state="visible" name="Pre Workout 2" sheetId="6" r:id="rId8"/>
    <sheet state="hidden" name="90 DAY PROGRESS" sheetId="7" r:id="rId9"/>
    <sheet state="visible" name="DETERMINING MAX WEEK" sheetId="8" r:id="rId10"/>
    <sheet state="visible" name="Week 1 MASTER SHEET" sheetId="9" r:id="rId11"/>
    <sheet state="visible" name="Sheet75" sheetId="10" r:id="rId12"/>
    <sheet state="visible" name="WEEK 1 " sheetId="11" r:id="rId13"/>
    <sheet state="visible" name="WEEK 2" sheetId="12" r:id="rId14"/>
    <sheet state="visible" name="Week 2 (MASTER SHEET)" sheetId="13" r:id="rId15"/>
    <sheet state="visible" name="Week 3 Master Sheet" sheetId="14" r:id="rId16"/>
    <sheet state="visible" name="WEEK 3 " sheetId="15" r:id="rId17"/>
    <sheet state="visible" name="Copy of WEEK 3 " sheetId="16" r:id="rId18"/>
    <sheet state="visible" name="WEEK 4 Master Sheet " sheetId="17" r:id="rId19"/>
    <sheet state="visible" name="WEEK 4 " sheetId="18" r:id="rId20"/>
    <sheet state="visible" name="WEEK 5" sheetId="19" r:id="rId21"/>
    <sheet state="hidden" name="WEEK 5 MASTER SHEET" sheetId="20" r:id="rId22"/>
    <sheet state="hidden" name="WEEK 6 MASTER SHEET" sheetId="21" r:id="rId23"/>
    <sheet state="visible" name="WEEK 6" sheetId="22" r:id="rId24"/>
    <sheet state="hidden" name="WEEK 7 MASTER SHEET" sheetId="23" r:id="rId25"/>
    <sheet state="visible" name="WEEK 7" sheetId="24" r:id="rId26"/>
    <sheet state="hidden" name="MSW8" sheetId="25" r:id="rId27"/>
    <sheet state="visible" name="WEEK 8" sheetId="26" r:id="rId28"/>
    <sheet state="visible" name="MSW9" sheetId="27" r:id="rId29"/>
    <sheet state="visible" name="WEEK 9" sheetId="28" r:id="rId30"/>
    <sheet state="hidden" name="MSW10" sheetId="29" r:id="rId31"/>
    <sheet state="visible" name="WEEK 10" sheetId="30" r:id="rId32"/>
    <sheet state="hidden" name="MSW11" sheetId="31" r:id="rId33"/>
    <sheet state="visible" name="WEEK 11" sheetId="32" r:id="rId34"/>
    <sheet state="hidden" name="MSW12" sheetId="33" r:id="rId35"/>
    <sheet state="hidden" name="MSW13" sheetId="34" r:id="rId36"/>
    <sheet state="visible" name="WEEK 12" sheetId="35" r:id="rId37"/>
    <sheet state="visible" name="WEEK 13" sheetId="36" r:id="rId38"/>
    <sheet state="hidden" name="MSW14" sheetId="37" r:id="rId39"/>
    <sheet state="visible" name="WEEK 14" sheetId="38" r:id="rId40"/>
    <sheet state="hidden" name="MSW15" sheetId="39" r:id="rId41"/>
    <sheet state="visible" name="WEEK 15" sheetId="40" r:id="rId42"/>
    <sheet state="hidden" name="leg protocol" sheetId="41" r:id="rId43"/>
    <sheet state="hidden" name="MSW16" sheetId="42" r:id="rId44"/>
    <sheet state="visible" name="WEEK 16" sheetId="43" r:id="rId45"/>
    <sheet state="hidden" name="MSW17" sheetId="44" r:id="rId46"/>
    <sheet state="visible" name="WEEK 17" sheetId="45" r:id="rId47"/>
    <sheet state="hidden" name="MSW18" sheetId="46" r:id="rId48"/>
    <sheet state="visible" name="WEEK 18" sheetId="47" r:id="rId49"/>
    <sheet state="hidden" name="MSW19" sheetId="48" r:id="rId50"/>
    <sheet state="visible" name="WEEK 19" sheetId="49" r:id="rId51"/>
    <sheet state="hidden" name="MSW20" sheetId="50" r:id="rId52"/>
    <sheet state="visible" name="WEEK 20" sheetId="51" r:id="rId53"/>
    <sheet state="hidden" name="MSW21" sheetId="52" r:id="rId54"/>
    <sheet state="visible" name="WEEK 21" sheetId="53" r:id="rId55"/>
    <sheet state="hidden" name="MSW22" sheetId="54" r:id="rId56"/>
    <sheet state="visible" name="WEEK 22" sheetId="55" r:id="rId57"/>
    <sheet state="hidden" name="MSW23" sheetId="56" r:id="rId58"/>
    <sheet state="visible" name="WEEK 23" sheetId="57" r:id="rId59"/>
    <sheet state="hidden" name="MSW24" sheetId="58" r:id="rId60"/>
    <sheet state="visible" name="WEEK 24" sheetId="59" r:id="rId61"/>
    <sheet state="hidden" name="MSW25" sheetId="60" r:id="rId62"/>
    <sheet state="visible" name="WEEK 25" sheetId="61" r:id="rId63"/>
    <sheet state="hidden" name="MSW26" sheetId="62" r:id="rId64"/>
    <sheet state="visible" name="WEEK 26" sheetId="63" r:id="rId65"/>
    <sheet state="hidden" name="MSW27" sheetId="64" r:id="rId66"/>
    <sheet state="visible" name="WEEK 27" sheetId="65" r:id="rId67"/>
    <sheet state="hidden" name="MSW28" sheetId="66" r:id="rId68"/>
    <sheet state="visible" name="WEEK 28" sheetId="67" r:id="rId69"/>
    <sheet state="hidden" name="MSW29" sheetId="68" r:id="rId70"/>
    <sheet state="visible" name="WEEK 29" sheetId="69" r:id="rId71"/>
    <sheet state="hidden" name="MSW30" sheetId="70" r:id="rId72"/>
    <sheet state="visible" name="WEEK 30" sheetId="71" r:id="rId73"/>
    <sheet state="hidden" name="MSW31" sheetId="72" r:id="rId74"/>
    <sheet state="visible" name="WEEK 31" sheetId="73" r:id="rId75"/>
    <sheet state="hidden" name="MSW32" sheetId="74" r:id="rId76"/>
    <sheet state="visible" name="WEEK 32" sheetId="75" r:id="rId77"/>
    <sheet state="hidden" name="MSW33" sheetId="76" r:id="rId78"/>
    <sheet state="visible" name="WEEK 33" sheetId="77" r:id="rId79"/>
    <sheet state="hidden" name="MSW34" sheetId="78" r:id="rId80"/>
    <sheet state="visible" name="WEEK 34" sheetId="79" r:id="rId81"/>
    <sheet state="visible" name="MSW35" sheetId="80" r:id="rId82"/>
    <sheet state="visible" name="WEEK 35" sheetId="81" r:id="rId83"/>
    <sheet state="hidden" name="MSW36" sheetId="82" r:id="rId84"/>
    <sheet state="visible" name="WEEK 36" sheetId="83" r:id="rId85"/>
    <sheet state="hidden" name="MSW37" sheetId="84" r:id="rId86"/>
    <sheet state="visible" name="WEEK 37" sheetId="85" r:id="rId87"/>
    <sheet state="visible" name="WEEK 38" sheetId="86" r:id="rId88"/>
    <sheet state="hidden" name="MSW38" sheetId="87" r:id="rId89"/>
    <sheet state="hidden" name="MSW39" sheetId="88" r:id="rId90"/>
    <sheet state="visible" name="WEEK 39" sheetId="89" r:id="rId91"/>
    <sheet state="visible" name="MSW40" sheetId="90" r:id="rId92"/>
    <sheet state="visible" name="WEEK 40" sheetId="91" r:id="rId93"/>
    <sheet state="hidden" name="MSW41" sheetId="92" r:id="rId94"/>
    <sheet state="visible" name="WEEK 41" sheetId="93" r:id="rId95"/>
    <sheet state="hidden" name="MSW42" sheetId="94" r:id="rId96"/>
    <sheet state="visible" name="WEEK 42" sheetId="95" r:id="rId97"/>
    <sheet state="hidden" name="MSW43" sheetId="96" r:id="rId98"/>
    <sheet state="visible" name="WEEK 43" sheetId="97" r:id="rId99"/>
    <sheet state="hidden" name="MSW44" sheetId="98" r:id="rId100"/>
    <sheet state="visible" name="WEEK 44" sheetId="99" r:id="rId101"/>
    <sheet state="hidden" name="MSW45" sheetId="100" r:id="rId102"/>
    <sheet state="visible" name="WEEK 45" sheetId="101" r:id="rId103"/>
    <sheet state="hidden" name="MSW46" sheetId="102" r:id="rId104"/>
    <sheet state="visible" name="WEEK 46" sheetId="103" r:id="rId105"/>
    <sheet state="visible" name="WEEK 47" sheetId="104" r:id="rId106"/>
    <sheet state="hidden" name="MSW47" sheetId="105" r:id="rId107"/>
    <sheet state="hidden" name="MSW48" sheetId="106" r:id="rId108"/>
    <sheet state="visible" name="WEEK 48" sheetId="107" r:id="rId10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34">
      <text>
        <t xml:space="preserve">1 minute rest between sets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8">
      <text>
        <t xml:space="preserve">Do not max on bench without someone to spot. It can be dangerous to bench press alone. </t>
      </text>
    </comment>
    <comment authorId="0" ref="O18">
      <text>
        <t xml:space="preserve">Do not max on bench without someone to spot. It can be dangerous to bench press alone. </t>
      </text>
    </comment>
    <comment authorId="0" ref="A111">
      <text>
        <t xml:space="preserve">Breaking up the reps will not count as a max. How many reps you will be able to do consecutively determines your max. The more fatigued your legs get as you increase in weight, take more rest between sets. Max Rest should be 2 min. Min Rest 1 minute.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5">
      <text>
        <t xml:space="preserve">1 minute rest between sets</t>
      </text>
    </comment>
    <comment authorId="0" ref="A103">
      <text>
        <t xml:space="preserve">1 minute rest between sets</t>
      </text>
    </comment>
    <comment authorId="0" ref="H103">
      <text>
        <t xml:space="preserve">1 minute rest between sets</t>
      </text>
    </comment>
    <comment authorId="0" ref="H110">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 authorId="0" ref="A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 authorId="0" ref="H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3">
      <text>
        <t xml:space="preserve">1 minute rest between sets</t>
      </text>
    </comment>
    <comment authorId="0" ref="A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 authorId="0" ref="H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3">
      <text>
        <t xml:space="preserve">1 minute rest between sets</t>
      </text>
    </comment>
    <comment authorId="0" ref="H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4">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 authorId="0" ref="A117">
      <text>
        <t xml:space="preserve">1 minute rest between sets</t>
      </text>
    </comment>
    <comment authorId="0" ref="H117">
      <text>
        <t xml:space="preserve">1 minute rest between sets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4">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 authorId="0" ref="A139">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4">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 authorId="0" ref="A139">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5">
      <text>
        <t xml:space="preserve">1 minute rest between sets</t>
      </text>
    </comment>
    <comment authorId="0" ref="H95">
      <text>
        <t xml:space="preserve">1 minute rest between sets</t>
      </text>
    </comment>
    <comment authorId="0" ref="A104">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3">
      <text>
        <t xml:space="preserve">1 minute rest between sets</t>
      </text>
    </comment>
    <comment authorId="0" ref="A91">
      <text>
        <t xml:space="preserve">1 minute rest between sets</t>
      </text>
    </comment>
    <comment authorId="0" ref="H91">
      <text>
        <t xml:space="preserve">1 minute rest between sets</t>
      </text>
    </comment>
    <comment authorId="0" ref="A113">
      <text>
        <t xml:space="preserve">1 minute rest between sets</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1">
      <text>
        <t xml:space="preserve">1 minute rest between sets</t>
      </text>
    </comment>
    <comment authorId="0" ref="A100">
      <text>
        <t xml:space="preserve">1 minute rest between sets</t>
      </text>
    </comment>
    <comment authorId="0" ref="H100">
      <text>
        <t xml:space="preserve">1 minute rest between sets</t>
      </text>
    </comment>
    <comment authorId="0" ref="A114">
      <text>
        <t xml:space="preserve">1 minute rest between sets</t>
      </text>
    </comment>
    <comment authorId="0" ref="H114">
      <text>
        <t xml:space="preserve">1 minute rest between sets</t>
      </text>
    </comment>
    <comment authorId="0" ref="A136">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6">
      <text>
        <t xml:space="preserve">1 minute rest between sets</t>
      </text>
    </comment>
    <comment authorId="0" ref="A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0">
      <text>
        <t xml:space="preserve">1 minute rest between sets</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2">
      <text>
        <t xml:space="preserve">1 minute rest between sets</t>
      </text>
    </comment>
    <comment authorId="0" ref="A137">
      <text>
        <t xml:space="preserve">1 minute rest between sets</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2">
      <text>
        <t xml:space="preserve">1 minute rest between sets</t>
      </text>
    </comment>
    <comment authorId="0" ref="A152">
      <text>
        <t xml:space="preserve">1 minute rest between sets</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7">
      <text>
        <t xml:space="preserve">1 minute rest between sets</t>
      </text>
    </comment>
    <comment authorId="0" ref="A106">
      <text>
        <t xml:space="preserve">1 minute rest between sets</t>
      </text>
    </comment>
    <comment authorId="0" ref="H106">
      <text>
        <t xml:space="preserve">1 minute rest between sets</t>
      </text>
    </comment>
    <comment authorId="0" ref="A117">
      <text>
        <t xml:space="preserve">1 minute rest between sets</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2">
      <text>
        <t xml:space="preserve">1 minute rest between sets</t>
      </text>
    </comment>
    <comment authorId="0" ref="A104">
      <text>
        <t xml:space="preserve">1 minute rest between sets</t>
      </text>
    </comment>
    <comment authorId="0" ref="H104">
      <text>
        <t xml:space="preserve">1 minute rest between sets</t>
      </text>
    </comment>
    <comment authorId="0" ref="A136">
      <text>
        <t xml:space="preserve">1 minute rest between sets</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4">
      <text>
        <t xml:space="preserve">1 minute rest between sets</t>
      </text>
    </comment>
    <comment authorId="0" ref="A154">
      <text>
        <t xml:space="preserve">1 minute rest between sets</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9">
      <text>
        <t xml:space="preserve">1 minute rest between sets</t>
      </text>
    </comment>
    <comment authorId="0" ref="A118">
      <text>
        <t xml:space="preserve">1 minute rest between sets</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6">
      <text>
        <t xml:space="preserve">1 minute rest between sets</t>
      </text>
    </comment>
    <comment authorId="0" ref="H126">
      <text>
        <t xml:space="preserve">1 minute rest between sets</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4">
      <text>
        <t xml:space="preserve">1 minute rest between sets</t>
      </text>
    </comment>
    <comment authorId="0" ref="A144">
      <text>
        <t xml:space="preserve">1 minute rest between sets</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9">
      <text>
        <t xml:space="preserve">1 minute rest between sets</t>
      </text>
    </comment>
    <comment authorId="0" ref="A121">
      <text>
        <t xml:space="preserve">1 minute rest between sets</t>
      </text>
    </comment>
    <comment authorId="0" ref="H121">
      <text>
        <t xml:space="preserve">1 minute rest between sets</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1">
      <text>
        <t xml:space="preserve">1 minute rest between sets</t>
      </text>
    </comment>
    <comment authorId="0" ref="A103">
      <text>
        <t xml:space="preserve">1 minute rest between sets</t>
      </text>
    </comment>
    <comment authorId="0" ref="H103">
      <text>
        <t xml:space="preserve">1 minute rest between sets</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4">
      <text>
        <t xml:space="preserve">1 minute rest between sets</t>
      </text>
    </comment>
    <comment authorId="0" ref="A104">
      <text>
        <t xml:space="preserve">1 minute rest between sets</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0">
      <text>
        <t xml:space="preserve">1 minute rest between sets</t>
      </text>
    </comment>
    <comment authorId="0" ref="H122">
      <text>
        <t xml:space="preserve">1 minute rest between sets</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1">
      <text>
        <t xml:space="preserve">1 minute rest between sets</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8">
      <text>
        <t xml:space="preserve">1 minute rest between sets</t>
      </text>
    </comment>
    <comment authorId="0" ref="A117">
      <text>
        <t xml:space="preserve">1 minute rest between sets</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9">
      <text>
        <t xml:space="preserve">1 minute rest between sets</t>
      </text>
    </comment>
    <comment authorId="0" ref="A101">
      <text>
        <t xml:space="preserve">1 minute rest between sets</t>
      </text>
    </comment>
    <comment authorId="0" ref="H101">
      <text>
        <t xml:space="preserve">1 minute rest between sets</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5">
      <text>
        <t xml:space="preserve">1 minute rest between sets</t>
      </text>
    </comment>
    <comment authorId="0" ref="A103">
      <text>
        <t xml:space="preserve">1 minute rest between sets</t>
      </text>
    </comment>
    <comment authorId="0" ref="H103">
      <text>
        <t xml:space="preserve">1 minute rest between sets</t>
      </text>
    </comment>
    <comment authorId="0" ref="H109">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3">
      <text>
        <t xml:space="preserve">1 minute rest between sets</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3">
      <text>
        <t xml:space="preserve">1 minute rest between sets</t>
      </text>
    </comment>
    <comment authorId="0" ref="A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 authorId="0" ref="H153">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39">
      <text>
        <t xml:space="preserve">5 easy steps to finding your max. 
1.) Do the first two warm up sets recommended. 
2.) Jump to a weight you are comfident you can achieve but feel you will be challenged to complete the recommended reps. 
3. Increase the weight each set after according to what you feel you will be able to accomplish.
4. Your max is the final weight you were able to get the full rep amount with. 
5. Log your final max in the Green insert max box.  Then go to the next work out.</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5">
      <text>
        <t xml:space="preserve">1 minute rest between sets</t>
      </text>
    </comment>
    <comment authorId="0" ref="H95">
      <text>
        <t xml:space="preserve">1 minute rest between sets</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3">
      <text>
        <t xml:space="preserve">1 minute rest between sets</t>
      </text>
    </comment>
    <comment authorId="0" ref="A91">
      <text>
        <t xml:space="preserve">1 minute rest between sets</t>
      </text>
    </comment>
    <comment authorId="0" ref="H91">
      <text>
        <t xml:space="preserve">1 minute rest between sets</t>
      </text>
    </comment>
    <comment authorId="0" ref="A113">
      <text>
        <t xml:space="preserve">1 minute rest between sets</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1">
      <text>
        <t xml:space="preserve">1 minute rest between sets</t>
      </text>
    </comment>
    <comment authorId="0" ref="A100">
      <text>
        <t xml:space="preserve">1 minute rest between sets</t>
      </text>
    </comment>
    <comment authorId="0" ref="H100">
      <text>
        <t xml:space="preserve">1 minute rest between sets</t>
      </text>
    </comment>
    <comment authorId="0" ref="A114">
      <text>
        <t xml:space="preserve">1 minute rest between sets</t>
      </text>
    </comment>
    <comment authorId="0" ref="H114">
      <text>
        <t xml:space="preserve">1 minute rest between sets</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6">
      <text>
        <t xml:space="preserve">1 minute rest between sets</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0">
      <text>
        <t xml:space="preserve">1 minute rest between sets</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2">
      <text>
        <t xml:space="preserve">1 minute rest between sets</t>
      </text>
    </comment>
    <comment authorId="0" ref="A137">
      <text>
        <t xml:space="preserve">1 minute rest between sets</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2">
      <text>
        <t xml:space="preserve">1 minute rest between sets</t>
      </text>
    </comment>
    <comment authorId="0" ref="A152">
      <text>
        <t xml:space="preserve">1 minute rest between sets</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7">
      <text>
        <t xml:space="preserve">1 minute rest between sets</t>
      </text>
    </comment>
    <comment authorId="0" ref="A106">
      <text>
        <t xml:space="preserve">1 minute rest between sets</t>
      </text>
    </comment>
    <comment authorId="0" ref="H106">
      <text>
        <t xml:space="preserve">1 minute rest between sets</t>
      </text>
    </comment>
    <comment authorId="0" ref="A117">
      <text>
        <t xml:space="preserve">1 minute rest between sets</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2">
      <text>
        <t xml:space="preserve">1 minute rest between sets</t>
      </text>
    </comment>
    <comment authorId="0" ref="A104">
      <text>
        <t xml:space="preserve">1 minute rest between sets</t>
      </text>
    </comment>
    <comment authorId="0" ref="H104">
      <text>
        <t xml:space="preserve">1 minute rest between sets</t>
      </text>
    </comment>
    <comment authorId="0" ref="A136">
      <text>
        <t xml:space="preserve">1 minute rest between sets</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4">
      <text>
        <t xml:space="preserve">1 minute rest between sets</t>
      </text>
    </comment>
    <comment authorId="0" ref="A154">
      <text>
        <t xml:space="preserve">1 minute rest between sets</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9">
      <text>
        <t xml:space="preserve">1 minute rest between sets</t>
      </text>
    </comment>
    <comment authorId="0" ref="A118">
      <text>
        <t xml:space="preserve">1 minute rest between sets</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6">
      <text>
        <t xml:space="preserve">1 minute rest between sets</t>
      </text>
    </comment>
    <comment authorId="0" ref="H126">
      <text>
        <t xml:space="preserve">1 minute rest between sets</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4">
      <text>
        <t xml:space="preserve">1 minute rest between sets</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9">
      <text>
        <t xml:space="preserve">1 minute rest between sets</t>
      </text>
    </comment>
    <comment authorId="0" ref="A121">
      <text>
        <t xml:space="preserve">1 minute rest between sets</t>
      </text>
    </comment>
    <comment authorId="0" ref="H121">
      <text>
        <t xml:space="preserve">1 minute rest between sets</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1">
      <text>
        <t xml:space="preserve">1 minute rest between sets</t>
      </text>
    </comment>
    <comment authorId="0" ref="A103">
      <text>
        <t xml:space="preserve">1 minute rest between sets</t>
      </text>
    </comment>
    <comment authorId="0" ref="H103">
      <text>
        <t xml:space="preserve">1 minute rest between sets</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4">
      <text>
        <t xml:space="preserve">1 minute rest between sets</t>
      </text>
    </comment>
    <comment authorId="0" ref="A104">
      <text>
        <t xml:space="preserve">1 minute rest between sets</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0">
      <text>
        <t xml:space="preserve">1 minute rest between sets</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1">
      <text>
        <t xml:space="preserve">1 minute rest between sets</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8">
      <text>
        <t xml:space="preserve">1 minute rest between sets</t>
      </text>
    </comment>
    <comment authorId="0" ref="A117">
      <text>
        <t xml:space="preserve">1 minute rest between sets</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9">
      <text>
        <t xml:space="preserve">1 minute rest between sets</t>
      </text>
    </comment>
    <comment authorId="0" ref="A101">
      <text>
        <t xml:space="preserve">1 minute rest between sets</t>
      </text>
    </comment>
    <comment authorId="0" ref="H101">
      <text>
        <t xml:space="preserve">1 minute rest between sets</t>
      </text>
    </comment>
  </commentList>
</comments>
</file>

<file path=xl/sharedStrings.xml><?xml version="1.0" encoding="utf-8"?>
<sst xmlns="http://schemas.openxmlformats.org/spreadsheetml/2006/main" count="12761" uniqueCount="410">
  <si>
    <t>Timestamp</t>
  </si>
  <si>
    <t>TIME</t>
  </si>
  <si>
    <t>Weight</t>
  </si>
  <si>
    <t>autocratn</t>
  </si>
  <si>
    <t>autocratp</t>
  </si>
  <si>
    <t>dataSheetName</t>
  </si>
  <si>
    <t>"Sheet74"</t>
  </si>
  <si>
    <t>v</t>
  </si>
  <si>
    <t>"5.1"</t>
  </si>
  <si>
    <t>dataSheetId</t>
  </si>
  <si>
    <t>"1.93398831E8"</t>
  </si>
  <si>
    <t>updateTime</t>
  </si>
  <si>
    <t>"1.754241016814E12"</t>
  </si>
  <si>
    <t>vp</t>
  </si>
  <si>
    <t>ssId</t>
  </si>
  <si>
    <t>"1p7n7VGnhBnHBgXaegcBc4PNjDHs8ya7wb5iAtHQE3QU"</t>
  </si>
  <si>
    <t>DB INCLINE PRESS</t>
  </si>
  <si>
    <t>Machine Press</t>
  </si>
  <si>
    <t>Bench Press</t>
  </si>
  <si>
    <t>LAT PULL DOWN</t>
  </si>
  <si>
    <t>HIGH ROW</t>
  </si>
  <si>
    <t>LOW ROW</t>
  </si>
  <si>
    <t>LEG PRESS</t>
  </si>
  <si>
    <t>MACHINE SQUAT</t>
  </si>
  <si>
    <t>BAR SQUAT</t>
  </si>
  <si>
    <t>DB SHOULDER PRESS</t>
  </si>
  <si>
    <t>MACHINE SHOULDER PRESS</t>
  </si>
  <si>
    <t>ALTERNATING CURLS</t>
  </si>
  <si>
    <t>BAR CURLS</t>
  </si>
  <si>
    <t>MACHINE CURLS</t>
  </si>
  <si>
    <t>MACHINE PRESS</t>
  </si>
  <si>
    <t>OVERHEAD EXTENSION</t>
  </si>
  <si>
    <t>PRE WORKOUT 1</t>
  </si>
  <si>
    <t>Laying the Foundation</t>
  </si>
  <si>
    <t xml:space="preserve">This week we are going to get your body used to being in the gym. It is imperative that you keep the weight VERY light. No need to push yourself hard at all. Let's warm your body into the process of lifting again and pay close attention to how you recover. </t>
  </si>
  <si>
    <t xml:space="preserve">QUICK TIPS </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</si>
  <si>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</si>
  <si>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</si>
  <si>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REMEMBER TO ROUND OUR SUGGESTED WEIGHTS TO YOUR GYM'S CLOSEST AVAILABLE WEIGHTS.</t>
  </si>
  <si>
    <t>BEGIN WORKOUT</t>
  </si>
  <si>
    <t>INSERT BODY WEIGHT</t>
  </si>
  <si>
    <t xml:space="preserve"> </t>
  </si>
  <si>
    <t>Beginner</t>
  </si>
  <si>
    <t>Moderate</t>
  </si>
  <si>
    <t>(Over 1 month since I've worked out)</t>
  </si>
  <si>
    <t>Less than a month since weight training</t>
  </si>
  <si>
    <t>x</t>
  </si>
  <si>
    <t xml:space="preserve">DAY 1 </t>
  </si>
  <si>
    <t xml:space="preserve">CHEST &amp; BACK </t>
  </si>
  <si>
    <t>SUGGESTED WEIGHT</t>
  </si>
  <si>
    <t>SET</t>
  </si>
  <si>
    <t>WEIGHT</t>
  </si>
  <si>
    <t>REPS</t>
  </si>
  <si>
    <t>REST</t>
  </si>
  <si>
    <t>PREVIOUS</t>
  </si>
  <si>
    <t>REP LOG</t>
  </si>
  <si>
    <t xml:space="preserve">10 - 12 </t>
  </si>
  <si>
    <t>1 MIN</t>
  </si>
  <si>
    <t>1MIN</t>
  </si>
  <si>
    <t>DAY 2</t>
  </si>
  <si>
    <t>CHEST, BACK &amp; LEGS</t>
  </si>
  <si>
    <t>10 - 15</t>
  </si>
  <si>
    <t>DAY 3</t>
  </si>
  <si>
    <t xml:space="preserve">LEGS,CHEST &amp; BACK </t>
  </si>
  <si>
    <t>15 - 20</t>
  </si>
  <si>
    <t>REP OUT</t>
  </si>
  <si>
    <t>WEEK COMPLETE!</t>
  </si>
  <si>
    <t>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t>
  </si>
  <si>
    <t>PRE WORKOUT 2</t>
  </si>
  <si>
    <t>This Weeks Goals</t>
  </si>
  <si>
    <t xml:space="preserve">This week we are going to continue to get your body used to being back in the gym. There should be still be little to no strain since we are adding weight but we still want to keep it light. We'll be introducing a few new excersizes during this week as well. Push yourself, but not too hard. </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</si>
  <si>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</si>
  <si>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</si>
  <si>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 xml:space="preserve">10 - 15 </t>
  </si>
  <si>
    <t>SHOULDERS, ARMS &amp; LEGS</t>
  </si>
  <si>
    <t>15 - 30</t>
  </si>
  <si>
    <t>YOU'VE LOST</t>
  </si>
  <si>
    <t>LBS</t>
  </si>
  <si>
    <t>WEEK 1</t>
  </si>
  <si>
    <t>DAY 1</t>
  </si>
  <si>
    <r>
      <rPr>
        <rFont val="Arial"/>
        <color rgb="FF000000"/>
        <sz val="27.0"/>
      </rPr>
      <t xml:space="preserve">You only Log What's in </t>
    </r>
    <r>
      <rPr>
        <rFont val="Arial"/>
        <color rgb="FF00FF00"/>
        <sz val="27.0"/>
      </rPr>
      <t>GREEN</t>
    </r>
  </si>
  <si>
    <t>CHEST &amp; BACK</t>
  </si>
  <si>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</si>
  <si>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swipe right for quick tips</t>
  </si>
  <si>
    <t xml:space="preserve">Today is all about setting the proper foundation for your future workouts. All we want to do is establish maximum strenght levels for some target muscle groups. It is important to keep great form as well as  being honest in your logging. </t>
  </si>
  <si>
    <t>READ BEFORE WORKING OUT</t>
  </si>
  <si>
    <t xml:space="preserve">All of the workouts are meant to start off with a light weight to establish form and blood flow.  If your 2nd set feels very light, you should jump to one of the recommended sets with a weight you feel will be moderate for you. Then from there work the consecutive sets toward your max then log it in the bright green box. </t>
  </si>
  <si>
    <t>1. BENCH PRESS</t>
  </si>
  <si>
    <t>1. MACHINE PRESS</t>
  </si>
  <si>
    <t>2 MIN</t>
  </si>
  <si>
    <t>INSERT FINAL MAX</t>
  </si>
  <si>
    <t>Set</t>
  </si>
  <si>
    <t>Reps</t>
  </si>
  <si>
    <t>Set1</t>
  </si>
  <si>
    <t>Set 2</t>
  </si>
  <si>
    <t>Set 3</t>
  </si>
  <si>
    <t>Set 4</t>
  </si>
  <si>
    <t>Set 5</t>
  </si>
  <si>
    <t>Set 6</t>
  </si>
  <si>
    <t>Set 7</t>
  </si>
  <si>
    <t>Set 8</t>
  </si>
  <si>
    <t>Set 9</t>
  </si>
  <si>
    <t>Set 10</t>
  </si>
  <si>
    <t>Set 11</t>
  </si>
  <si>
    <t>Legs</t>
  </si>
  <si>
    <t>Set 1</t>
  </si>
  <si>
    <t>Each set should be done with 10 reps consecutively. Breaking up the reps will not count as a set to record your max. The more fatigued your legs get as you increase in weight, take more rest. Max Rest should be 2 min. Min Rest 1 minute.</t>
  </si>
  <si>
    <t>Shoulders &amp; Arms</t>
  </si>
  <si>
    <t>Set 12</t>
  </si>
  <si>
    <t>Set 13</t>
  </si>
  <si>
    <t>Set 14</t>
  </si>
  <si>
    <t>Set 15</t>
  </si>
  <si>
    <t>Set 16</t>
  </si>
  <si>
    <t>Set 17</t>
  </si>
  <si>
    <t>Week 1</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</si>
  <si>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</si>
  <si>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</si>
  <si>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 xml:space="preserve">This week we are going to jump you into a workout. As the weeks go on we will refine your workout more and it will become more targeted. Give it all you got and push to your limits everytime. </t>
  </si>
  <si>
    <t>ALTERNATE WORKOUTS</t>
  </si>
  <si>
    <t>CURRENT MAX</t>
  </si>
  <si>
    <t>30s</t>
  </si>
  <si>
    <t>1-2 MIN</t>
  </si>
  <si>
    <t>1-5 MIN</t>
  </si>
  <si>
    <t>ALTERNATE</t>
  </si>
  <si>
    <t>FINAL MAX</t>
  </si>
  <si>
    <t>DBL INC MAX</t>
  </si>
  <si>
    <t>1 - 2 MIN</t>
  </si>
  <si>
    <t>1-3 MIN</t>
  </si>
  <si>
    <t xml:space="preserve">DAY 2 </t>
  </si>
  <si>
    <t>LEGS</t>
  </si>
  <si>
    <t>BODY</t>
  </si>
  <si>
    <t>SHOULDERS &amp; ARMS</t>
  </si>
  <si>
    <t>INSERT MAX</t>
  </si>
  <si>
    <t>DOWN SETS</t>
  </si>
  <si>
    <t>SHLDR PRSS MAX</t>
  </si>
  <si>
    <t>WORKOUT COMPLETE!</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</si>
  <si>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</si>
  <si>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</si>
  <si>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SWIPE RIGHT FOR QUICK TIPS</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</si>
  <si>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</si>
  <si>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</si>
  <si>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2</t>
  </si>
  <si>
    <t>This week we are going to continue to attemp new maxes in some areas as well as go for max repititions in others. Be sure to push your hardest and keep good form.</t>
  </si>
  <si>
    <t>DB INCLINE MAX</t>
  </si>
  <si>
    <t>10 - 20</t>
  </si>
  <si>
    <t>SHLDR PRESS MAX</t>
  </si>
  <si>
    <t>1 - MIN</t>
  </si>
  <si>
    <t>HOW TO MAX PROPERLY</t>
  </si>
  <si>
    <t>Week 3</t>
  </si>
  <si>
    <t xml:space="preserve">This is what we call percentage week. For the most part we are going to work your body just under it's maximum potential and go for more repititions. There are however a few areas that are excluded from this principle but the general theme of the week is working under your max. </t>
  </si>
  <si>
    <t>30 sec</t>
  </si>
  <si>
    <t>45 sec</t>
  </si>
  <si>
    <t>Working Set</t>
  </si>
  <si>
    <t>DB INCL MAX</t>
  </si>
  <si>
    <t xml:space="preserve">LEGS </t>
  </si>
  <si>
    <t>TRI PSH DWN MAX</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</si>
  <si>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</si>
  <si>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</si>
  <si>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Chest &amp; Back</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</si>
  <si>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</si>
  <si>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</si>
  <si>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4</t>
  </si>
  <si>
    <t xml:space="preserve">Week 4 is going to be a mixture of attempting new maxes as well as high repititions during some of your workouts. Make sure to keep form and don't give up too soon. Push Push Push! </t>
  </si>
  <si>
    <t>NEW 1 REP MAX ATTEMPT</t>
  </si>
  <si>
    <t>1 - 3 MIN</t>
  </si>
  <si>
    <t>Rep Out</t>
  </si>
  <si>
    <t>1 Min</t>
  </si>
  <si>
    <t>2. MACHINE SQUAT</t>
  </si>
  <si>
    <t>5 - 15</t>
  </si>
  <si>
    <t>5 -15</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</si>
  <si>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</si>
  <si>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</si>
  <si>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</si>
  <si>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</si>
  <si>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5</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</si>
  <si>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</si>
  <si>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</si>
  <si>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 xml:space="preserve">Working hard this week establishing new maxes in a few areas. Give it everything you've got. Pay close attention to rest times and rep counts. </t>
  </si>
  <si>
    <t>4. BICEP BAR CURL</t>
  </si>
  <si>
    <t>Week 6</t>
  </si>
  <si>
    <t>Today is a continuation of the work you have already been building on. Keep up the great work and push for new hights!</t>
  </si>
  <si>
    <t>1. DUMBBELL INCLINE PRESS</t>
  </si>
  <si>
    <t>WORKING SETS</t>
  </si>
  <si>
    <t>20 REP MAX</t>
  </si>
  <si>
    <t>3.PRONE LEG CURL</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</si>
  <si>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</si>
  <si>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</si>
  <si>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7</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</si>
  <si>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</si>
  <si>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</si>
  <si>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This week you will be attempting new max weights as well as experiencing high reps on leg day. Stay focused and remember rest and recovery are key to your results. Good luck!</t>
  </si>
  <si>
    <t>Alternate</t>
  </si>
  <si>
    <t>10 REP MAX</t>
  </si>
  <si>
    <t>8 - 12</t>
  </si>
  <si>
    <t>NEW 4 REP MAX ATTEMPT</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</si>
  <si>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</si>
  <si>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</si>
  <si>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8</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</si>
  <si>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</si>
  <si>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</si>
  <si>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EXERCISE</t>
  </si>
  <si>
    <t>REST 1 MIN</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</si>
  <si>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</si>
  <si>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</si>
  <si>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9</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</si>
  <si>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</si>
  <si>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</si>
  <si>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 xml:space="preserve">Get mentally prepared to lift some heavy weights this week. Strive for bettering yourself and achieving those new max reps. Remember keep proper form during all reps or it doesn't really count. No Cheating! Happy lifting. </t>
  </si>
  <si>
    <t>1.5 - 3MIN</t>
  </si>
  <si>
    <t>8 REP MAX</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</si>
  <si>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</si>
  <si>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</si>
  <si>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10</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</si>
  <si>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</si>
  <si>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</si>
  <si>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INCL DB PRSS MAX</t>
  </si>
  <si>
    <t>4 REP MAX</t>
  </si>
  <si>
    <t>4 - 15</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</si>
  <si>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</si>
  <si>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</si>
  <si>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11</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</si>
  <si>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</si>
  <si>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</si>
  <si>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</si>
  <si>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</si>
  <si>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12</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</si>
  <si>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</si>
  <si>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</si>
  <si>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DB INCL PRSS MAX</t>
  </si>
  <si>
    <t>Week 13</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</si>
  <si>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</si>
  <si>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</si>
  <si>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6 REP MAX</t>
  </si>
  <si>
    <t>6 - 15</t>
  </si>
  <si>
    <t>6 - 12</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</si>
  <si>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</si>
  <si>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</si>
  <si>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</si>
  <si>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</si>
  <si>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</si>
  <si>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SHLDR  PRSS MAX</t>
  </si>
  <si>
    <t>Week 14</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</si>
  <si>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</si>
  <si>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</si>
  <si>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</si>
  <si>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</si>
  <si>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15</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</si>
  <si>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</si>
  <si>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</si>
  <si>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10 -15</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</si>
  <si>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</si>
  <si>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</si>
  <si>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squat</t>
  </si>
  <si>
    <t>9 sets</t>
  </si>
  <si>
    <t>Week 16</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</si>
  <si>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</si>
  <si>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</si>
  <si>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</si>
  <si>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</si>
  <si>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17</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</si>
  <si>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</si>
  <si>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</si>
  <si>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5 REP MAX</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</si>
  <si>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</si>
  <si>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</si>
  <si>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18</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</si>
  <si>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</si>
  <si>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</si>
  <si>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2 REP MAX</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</si>
  <si>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</si>
  <si>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</si>
  <si>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19</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</si>
  <si>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</si>
  <si>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</si>
  <si>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1-2MIN</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</si>
  <si>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</si>
  <si>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</si>
  <si>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20</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</si>
  <si>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</si>
  <si>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</si>
  <si>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</si>
  <si>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</si>
  <si>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21</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</si>
  <si>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</si>
  <si>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</si>
  <si>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</si>
  <si>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</si>
  <si>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22</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</si>
  <si>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</si>
  <si>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</si>
  <si>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</si>
  <si>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</si>
  <si>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23</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</si>
  <si>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</si>
  <si>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</si>
  <si>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</si>
  <si>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</si>
  <si>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24</t>
  </si>
  <si>
    <t>1 REP MAX</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</si>
  <si>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</si>
  <si>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</si>
  <si>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25</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</si>
  <si>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</si>
  <si>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</si>
  <si>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</si>
  <si>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</si>
  <si>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26</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</si>
  <si>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</si>
  <si>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</si>
  <si>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27</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</si>
  <si>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</si>
  <si>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</si>
  <si>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</si>
  <si>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</si>
  <si>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29</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</si>
  <si>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</si>
  <si>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</si>
  <si>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</si>
  <si>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</si>
  <si>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30</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</si>
  <si>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</si>
  <si>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</si>
  <si>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31</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</si>
  <si>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</si>
  <si>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</si>
  <si>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</si>
  <si>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</si>
  <si>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32</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</si>
  <si>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</si>
  <si>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</si>
  <si>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</si>
  <si>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</si>
  <si>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33</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</si>
  <si>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</si>
  <si>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</si>
  <si>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</si>
  <si>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</si>
  <si>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34</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</si>
  <si>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</si>
  <si>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</si>
  <si>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</si>
  <si>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</si>
  <si>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35</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</si>
  <si>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</si>
  <si>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</si>
  <si>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</si>
  <si>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</si>
  <si>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36</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</si>
  <si>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</si>
  <si>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</si>
  <si>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</si>
  <si>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</si>
  <si>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37</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</si>
  <si>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</si>
  <si>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</si>
  <si>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</si>
  <si>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</si>
  <si>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</si>
  <si>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</si>
  <si>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38</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</si>
  <si>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</si>
  <si>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</si>
  <si>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39</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</si>
  <si>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</si>
  <si>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</si>
  <si>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</si>
  <si>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</si>
  <si>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40</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</si>
  <si>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</si>
  <si>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</si>
  <si>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</si>
  <si>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</si>
  <si>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41</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</si>
  <si>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</si>
  <si>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</si>
  <si>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</si>
  <si>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</si>
  <si>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42</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</si>
  <si>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</si>
  <si>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</si>
  <si>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</si>
  <si>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</si>
  <si>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43</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</si>
  <si>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</si>
  <si>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</si>
  <si>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</si>
  <si>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</si>
  <si>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44</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</si>
  <si>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</si>
  <si>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</si>
  <si>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</si>
  <si>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</si>
  <si>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45</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</si>
  <si>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</si>
  <si>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</si>
  <si>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</si>
  <si>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</si>
  <si>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46</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</si>
  <si>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</si>
  <si>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</si>
  <si>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</si>
  <si>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</si>
  <si>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</si>
  <si>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</si>
  <si>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47</t>
  </si>
  <si>
    <r>
      <rPr>
        <rFont val="Arial"/>
        <color rgb="FF000000"/>
        <sz val="27.0"/>
      </rPr>
      <t xml:space="preserve">You only Log What's in </t>
    </r>
    <r>
      <rPr>
        <rFont val="Arial"/>
        <color rgb="FF00FF00"/>
        <sz val="27.0"/>
      </rPr>
      <t>GREEN</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</si>
  <si>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</si>
  <si>
    <t>Week 48</t>
  </si>
  <si>
    <r>
      <rPr>
        <rFont val="Arial"/>
        <color rgb="FF000000"/>
        <sz val="26.0"/>
      </rPr>
      <t xml:space="preserve">IF IT'S </t>
    </r>
    <r>
      <rPr>
        <rFont val="Arial"/>
        <color rgb="FF00FF00"/>
        <sz val="26.0"/>
      </rPr>
      <t>GREEN</t>
    </r>
    <r>
      <rPr>
        <rFont val="Arial"/>
        <color rgb="FF000000"/>
        <sz val="26.0"/>
      </rPr>
      <t>=NEEDS YOUR INPUT</t>
    </r>
  </si>
  <si>
    <r>
      <rPr>
        <rFont val="arial,sans,sans-serif"/>
        <sz val="17.0"/>
      </rPr>
      <t xml:space="preserve">Click The </t>
    </r>
    <r>
      <rPr>
        <rFont val="arial,sans,sans-serif"/>
        <b/>
        <color rgb="FF1155CC"/>
        <sz val="17.0"/>
      </rPr>
      <t>Title of The workout</t>
    </r>
    <r>
      <rPr>
        <rFont val="arial,sans,sans-serif"/>
        <sz val="17.0"/>
      </rPr>
      <t xml:space="preserve"> to see an Instructional Video</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</si>
</sst>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
  </numFmts>
  <fonts count="219">
    <font>
      <sz val="10.0"/>
      <color rgb="FF000000"/>
      <name val="Arial"/>
    </font>
    <font/>
    <font>
      <sz val="11.0"/>
      <color rgb="FF000000"/>
      <name val="Inconsolata"/>
    </font>
    <font>
      <name val="Arial"/>
    </font>
    <font>
      <b/>
      <sz val="36.0"/>
      <name val="Arial"/>
    </font>
    <font>
      <b/>
      <u/>
      <sz val="21.0"/>
      <color rgb="FFFFFFFF"/>
      <name val="Arial"/>
    </font>
    <font>
      <b/>
      <sz val="24.0"/>
      <color rgb="FF000000"/>
      <name val="Arial"/>
    </font>
    <font>
      <sz val="18.0"/>
      <name val="Arial"/>
    </font>
    <font>
      <sz val="35.0"/>
      <name val="Arial"/>
    </font>
    <font>
      <sz val="26.0"/>
      <color rgb="FF000000"/>
      <name val="Arial"/>
    </font>
    <font>
      <sz val="17.0"/>
      <name val="Arial"/>
    </font>
    <font>
      <sz val="20.0"/>
      <name val="Arial"/>
    </font>
    <font>
      <b/>
      <sz val="14.0"/>
      <name val="Arial"/>
    </font>
    <font>
      <b/>
      <sz val="36.0"/>
      <color rgb="FFFFFFFF"/>
      <name val="Arial"/>
    </font>
    <font>
      <b/>
      <sz val="12.0"/>
      <color rgb="FF000000"/>
      <name val="Arial"/>
    </font>
    <font>
      <b/>
      <sz val="36.0"/>
      <color rgb="FF000000"/>
      <name val="Arial"/>
    </font>
    <font>
      <b/>
      <sz val="16.0"/>
      <name val="Arial"/>
    </font>
    <font>
      <b/>
      <sz val="24.0"/>
      <name val="Arial"/>
    </font>
    <font>
      <sz val="9.0"/>
      <color rgb="FF000000"/>
      <name val="Arial"/>
    </font>
    <font>
      <sz val="9.0"/>
      <name val="Arial"/>
    </font>
    <font>
      <sz val="24.0"/>
      <color rgb="FF000000"/>
      <name val="Arial"/>
    </font>
    <font>
      <sz val="24.0"/>
      <name val="Arial"/>
    </font>
    <font>
      <b/>
      <u/>
      <sz val="36.0"/>
      <color rgb="FFFFFFFF"/>
    </font>
    <font>
      <b/>
      <sz val="11.0"/>
      <name val="Arial"/>
    </font>
    <font>
      <b/>
      <sz val="21.0"/>
      <name val="Arial"/>
    </font>
    <font>
      <sz val="21.0"/>
      <name val="Arial"/>
    </font>
    <font>
      <b/>
      <i/>
      <sz val="21.0"/>
      <color rgb="FFFF0000"/>
      <name val="Arial"/>
    </font>
    <font>
      <b/>
      <u/>
      <sz val="36.0"/>
      <color rgb="FFFFFFFF"/>
      <name val="Arial"/>
    </font>
    <font>
      <b/>
      <u/>
      <sz val="36.0"/>
      <color rgb="FFFFFFFF"/>
      <name val="Arial"/>
    </font>
    <font>
      <b/>
      <sz val="35.0"/>
      <name val="Arial"/>
    </font>
    <font>
      <b/>
      <sz val="14.0"/>
      <color rgb="FF000000"/>
      <name val="Arial"/>
    </font>
    <font>
      <sz val="21.0"/>
    </font>
    <font>
      <i/>
      <sz val="21.0"/>
      <color rgb="FFFF0000"/>
      <name val="Arial"/>
    </font>
    <font>
      <sz val="16.0"/>
      <name val="Arial"/>
    </font>
    <font>
      <sz val="36.0"/>
      <color rgb="FF000000"/>
      <name val="Arial"/>
    </font>
    <font>
      <b/>
      <u/>
      <sz val="24.0"/>
      <color rgb="FF000000"/>
    </font>
    <font>
      <b/>
      <sz val="24.0"/>
      <color rgb="FF000000"/>
    </font>
    <font>
      <sz val="12.0"/>
      <color rgb="FF393F44"/>
      <name val="Arial"/>
    </font>
    <font>
      <b/>
      <u/>
      <sz val="36.0"/>
      <color rgb="FFFFFFFF"/>
      <name val="Arial"/>
    </font>
    <font>
      <b/>
      <sz val="36.0"/>
      <color rgb="FFFF0000"/>
      <name val="Arial"/>
    </font>
    <font>
      <b/>
      <sz val="21.0"/>
      <color rgb="FFFF0000"/>
      <name val="Arial"/>
    </font>
    <font>
      <b/>
      <sz val="18.0"/>
      <color rgb="FFFFFFFF"/>
    </font>
    <font>
      <b/>
      <sz val="10.0"/>
    </font>
    <font>
      <b/>
      <sz val="18.0"/>
      <color rgb="FFB6D7A8"/>
    </font>
    <font>
      <b/>
      <sz val="14.0"/>
    </font>
    <font>
      <b/>
      <sz val="18.0"/>
      <color rgb="FF9FC5E8"/>
    </font>
    <font>
      <b/>
      <sz val="18.0"/>
      <color rgb="FFB4A7D6"/>
    </font>
    <font>
      <b/>
      <sz val="18.0"/>
      <color rgb="FF674EA7"/>
    </font>
    <font>
      <b/>
      <sz val="18.0"/>
      <color rgb="FF3C78D8"/>
    </font>
    <font>
      <b/>
      <sz val="18.0"/>
      <color rgb="FF45818E"/>
    </font>
    <font>
      <b/>
      <sz val="18.0"/>
    </font>
    <font>
      <b/>
      <sz val="18.0"/>
      <color rgb="FF000000"/>
    </font>
    <font>
      <sz val="27.0"/>
      <color rgb="FF000000"/>
      <name val="Arial"/>
    </font>
    <font>
      <b/>
      <i/>
      <sz val="18.0"/>
    </font>
    <font>
      <sz val="12.0"/>
      <name val="Arial"/>
    </font>
    <font>
      <b/>
      <sz val="18.0"/>
      <color rgb="FFFF0000"/>
      <name val="Arial"/>
    </font>
    <font>
      <b/>
      <u/>
      <sz val="18.0"/>
      <color rgb="FFFFFFFF"/>
      <name val="Arial"/>
    </font>
    <font>
      <b/>
      <sz val="18.0"/>
      <color rgb="FFFFFFFF"/>
      <name val="Arial"/>
    </font>
    <font>
      <b/>
      <u/>
      <sz val="21.0"/>
      <color rgb="FFFFFFFF"/>
      <name val="Arial"/>
    </font>
    <font>
      <sz val="36.0"/>
      <name val="Arial"/>
    </font>
    <font>
      <b/>
      <sz val="21.0"/>
      <color rgb="FF000000"/>
      <name val="Arial"/>
    </font>
    <font>
      <sz val="21.0"/>
      <color rgb="FF000000"/>
      <name val="Arial"/>
    </font>
    <font>
      <b/>
      <u/>
      <sz val="36.0"/>
      <color rgb="FFFFFFFF"/>
      <name val="Arial"/>
    </font>
    <font>
      <b/>
      <u/>
      <sz val="36.0"/>
      <color rgb="FFFFFFFF"/>
      <name val="Arial"/>
    </font>
    <font>
      <b/>
      <sz val="30.0"/>
      <color rgb="FFFFFFFF"/>
      <name val="Arial"/>
    </font>
    <font>
      <b/>
      <sz val="18.0"/>
      <name val="Arial"/>
    </font>
    <font>
      <b/>
      <color rgb="FF000000"/>
      <name val="Arial"/>
    </font>
    <font>
      <b/>
      <sz val="24.0"/>
      <color rgb="FFFF0000"/>
      <name val="Arial"/>
    </font>
    <font>
      <b/>
      <u/>
      <sz val="28.0"/>
      <color rgb="FFFFFFFF"/>
      <name val="Arial"/>
    </font>
    <font>
      <b/>
      <u/>
      <sz val="28.0"/>
      <color rgb="FFFFFFFF"/>
      <name val="Arial"/>
    </font>
    <font>
      <b/>
      <u/>
      <sz val="26.0"/>
      <color rgb="FFFFFFFF"/>
      <name val="Arial"/>
    </font>
    <font>
      <b/>
      <u/>
      <sz val="26.0"/>
      <color rgb="FFFFFFFF"/>
      <name val="Arial"/>
    </font>
    <font>
      <b/>
      <i/>
      <sz val="36.0"/>
      <color rgb="FFFF0000"/>
      <name val="Arial"/>
    </font>
    <font>
      <b/>
      <i/>
      <sz val="24.0"/>
      <color rgb="FFFF0000"/>
      <name val="Arial"/>
    </font>
    <font>
      <color rgb="FFFF0000"/>
      <name val="Arial"/>
    </font>
    <font>
      <i/>
      <color rgb="FFFF0000"/>
      <name val="Arial"/>
    </font>
    <font>
      <b/>
      <i/>
      <sz val="18.0"/>
      <color rgb="FFFF0000"/>
      <name val="Arial"/>
    </font>
    <font>
      <b/>
      <u/>
      <sz val="36.0"/>
      <color rgb="FFFFFFFF"/>
      <name val="Arial"/>
    </font>
    <font>
      <sz val="14.0"/>
      <name val="Arial"/>
    </font>
    <font>
      <b/>
      <sz val="12.0"/>
      <name val="Arial"/>
    </font>
    <font>
      <b/>
      <sz val="14.0"/>
      <color rgb="FF000000"/>
    </font>
    <font>
      <sz val="16.0"/>
      <color rgb="FF000000"/>
      <name val="Arial"/>
    </font>
    <font>
      <b/>
      <name val="Arial"/>
    </font>
    <font>
      <sz val="11.0"/>
      <name val="Arial"/>
    </font>
    <font>
      <sz val="18.0"/>
      <color rgb="FF000000"/>
      <name val="Arial"/>
    </font>
    <font>
      <b/>
      <i/>
      <color rgb="FFFF0000"/>
      <name val="Arial"/>
    </font>
    <font>
      <b/>
      <i/>
      <sz val="14.0"/>
      <color rgb="FFFF0000"/>
      <name val="Arial"/>
    </font>
    <font>
      <b/>
      <i/>
      <sz val="12.0"/>
      <color rgb="FFFF0000"/>
      <name val="Arial"/>
    </font>
    <font>
      <i/>
      <sz val="14.0"/>
      <color rgb="FFFF0000"/>
      <name val="Arial"/>
    </font>
    <font>
      <b/>
      <u/>
      <sz val="24.0"/>
      <color rgb="FFFFFFFF"/>
      <name val="Arial"/>
    </font>
    <font>
      <b/>
      <sz val="11.0"/>
      <color rgb="FF000000"/>
      <name val="Arial"/>
    </font>
    <font>
      <b/>
      <i/>
      <sz val="11.0"/>
      <color rgb="FFFF0000"/>
      <name val="Arial"/>
    </font>
    <font>
      <b/>
      <u/>
      <sz val="36.0"/>
      <color rgb="FFFFFFFF"/>
      <name val="Arial"/>
    </font>
    <font>
      <b/>
      <u/>
      <sz val="21.0"/>
      <color rgb="FFFFFFFF"/>
      <name val="Arial"/>
    </font>
    <font>
      <b/>
      <u/>
      <sz val="28.0"/>
      <color rgb="FFFFFFFF"/>
      <name val="Arial"/>
    </font>
    <font>
      <b/>
      <sz val="24.0"/>
      <color rgb="FFFFFFFF"/>
      <name val="Arial"/>
    </font>
    <font>
      <b/>
      <i/>
      <sz val="21.0"/>
      <color rgb="FFFF0000"/>
    </font>
    <font>
      <b/>
      <sz val="14.0"/>
      <color rgb="FFFFFFFF"/>
      <name val="Arial"/>
    </font>
    <font>
      <b/>
      <sz val="21.0"/>
      <color rgb="FFFFFFFF"/>
      <name val="Arial"/>
    </font>
    <font>
      <b/>
      <sz val="36.0"/>
    </font>
    <font>
      <b/>
      <u/>
      <sz val="21.0"/>
      <color rgb="FFFFFFFF"/>
    </font>
    <font>
      <b/>
      <sz val="21.0"/>
      <color rgb="FF000000"/>
    </font>
    <font>
      <sz val="14.0"/>
    </font>
    <font>
      <i/>
      <sz val="21.0"/>
    </font>
    <font>
      <b/>
      <u/>
      <sz val="36.0"/>
      <color rgb="FFFFFFFF"/>
      <name val="Arial"/>
    </font>
    <font>
      <b/>
      <sz val="12.0"/>
    </font>
    <font>
      <b/>
      <sz val="21.0"/>
    </font>
    <font>
      <b/>
      <u/>
      <sz val="36.0"/>
      <color rgb="FFFFFFFF"/>
    </font>
    <font>
      <sz val="16.0"/>
    </font>
    <font>
      <b/>
      <u/>
      <sz val="21.0"/>
      <color rgb="FFFFFFFF"/>
    </font>
    <font>
      <b/>
      <u/>
      <sz val="36.0"/>
      <color rgb="FFFFFFFF"/>
      <name val="Arial"/>
    </font>
    <font>
      <sz val="18.0"/>
    </font>
    <font>
      <b/>
      <u/>
      <sz val="21.0"/>
      <color rgb="FFFFFFFF"/>
    </font>
    <font>
      <b/>
      <sz val="24.0"/>
    </font>
    <font>
      <b/>
      <sz val="36.0"/>
      <color rgb="FFFFFFFF"/>
    </font>
    <font>
      <b/>
      <sz val="34.0"/>
      <name val="Arial"/>
    </font>
    <font>
      <b/>
      <u/>
      <sz val="21.0"/>
      <color rgb="FFFFFFFF"/>
      <name val="Arial"/>
    </font>
    <font>
      <b/>
      <sz val="36.0"/>
      <color rgb="FF000000"/>
    </font>
    <font>
      <b/>
      <u/>
      <sz val="24.0"/>
      <color rgb="FF000000"/>
    </font>
    <font>
      <b/>
    </font>
    <font>
      <sz val="11.0"/>
    </font>
    <font>
      <b/>
      <u/>
      <sz val="21.0"/>
      <color rgb="FFFFFFFF"/>
      <name val="Arial"/>
    </font>
    <font>
      <i/>
      <sz val="21.0"/>
      <color rgb="FFFF0000"/>
    </font>
    <font>
      <b/>
      <u/>
      <sz val="36.0"/>
      <color rgb="FFFFFFFF"/>
      <name val="Arial"/>
    </font>
    <font>
      <b/>
      <u/>
      <sz val="24.0"/>
      <color rgb="FFFFFFFF"/>
      <name val="Arial"/>
    </font>
    <font>
      <b/>
      <u/>
      <sz val="36.0"/>
      <color rgb="FFFFFFFF"/>
      <name val="Arial"/>
    </font>
    <font>
      <b/>
      <u/>
      <sz val="18.0"/>
      <color rgb="FFFFFFFF"/>
      <name val="Arial"/>
    </font>
    <font>
      <b/>
      <u/>
      <sz val="33.0"/>
      <color rgb="FFFFFFFF"/>
      <name val="Arial"/>
    </font>
    <font>
      <b/>
      <sz val="33.0"/>
      <color rgb="FFFFFFFF"/>
      <name val="Arial"/>
    </font>
    <font>
      <b/>
      <sz val="20.0"/>
      <color rgb="FFFFFFFF"/>
      <name val="Arial"/>
    </font>
    <font>
      <b/>
      <u/>
      <sz val="23.0"/>
      <color rgb="FFFFFFFF"/>
      <name val="Arial"/>
    </font>
    <font>
      <b/>
      <u/>
      <sz val="23.0"/>
      <color rgb="FFFFFFFF"/>
      <name val="Arial"/>
    </font>
    <font>
      <b/>
      <u/>
      <sz val="24.0"/>
      <color rgb="FF000000"/>
    </font>
    <font>
      <sz val="11.0"/>
      <color rgb="FF393F44"/>
      <name val="Arial"/>
    </font>
    <font>
      <sz val="10.0"/>
      <color rgb="FF393F44"/>
      <name val="Brandon-grot-w01-light"/>
    </font>
    <font>
      <color rgb="FF393F44"/>
      <name val="Brandon-grot-w01-light"/>
    </font>
    <font>
      <b/>
      <i/>
      <sz val="18.0"/>
      <color rgb="FFFF0000"/>
    </font>
    <font>
      <b/>
      <u/>
      <sz val="36.0"/>
      <color rgb="FFFFFFFF"/>
      <name val="Arial"/>
    </font>
    <font>
      <color rgb="FF000000"/>
    </font>
    <font>
      <sz val="36.0"/>
      <color rgb="FF000000"/>
    </font>
    <font>
      <b/>
      <i/>
      <sz val="35.0"/>
      <color rgb="FFFF0000"/>
      <name val="Arial"/>
    </font>
    <font>
      <b/>
      <i/>
      <sz val="24.0"/>
      <color rgb="FFFF0000"/>
    </font>
    <font>
      <b/>
      <u/>
      <sz val="21.0"/>
      <color rgb="FFFFFFFF"/>
      <name val="Arial"/>
    </font>
    <font>
      <b/>
      <sz val="23.0"/>
      <name val="Arial"/>
    </font>
    <font>
      <b/>
      <i/>
      <sz val="23.0"/>
      <color rgb="FFFF0000"/>
      <name val="Arial"/>
    </font>
    <font>
      <b/>
      <i/>
      <sz val="14.0"/>
      <color rgb="FFFF0000"/>
    </font>
    <font>
      <b/>
      <u/>
      <sz val="36.0"/>
      <color rgb="FFFFFFFF"/>
    </font>
    <font>
      <b/>
      <sz val="10.0"/>
      <color rgb="FF000000"/>
    </font>
    <font>
      <i/>
      <color rgb="FFFF0000"/>
    </font>
    <font>
      <sz val="21.0"/>
      <color rgb="FF000000"/>
    </font>
    <font>
      <b/>
      <u/>
      <sz val="24.0"/>
      <color rgb="FFFFFFFF"/>
    </font>
    <font>
      <b/>
      <sz val="24.0"/>
      <color rgb="FFFFFFFF"/>
    </font>
    <font>
      <b/>
      <u/>
      <sz val="36.0"/>
      <color rgb="FFFFFFFF"/>
      <name val="Arial"/>
    </font>
    <font>
      <i/>
      <sz val="11.0"/>
      <color rgb="FFFF0000"/>
      <name val="Inconsolata"/>
    </font>
    <font>
      <b/>
      <sz val="14.0"/>
      <color rgb="FF434343"/>
      <name val="Arial"/>
    </font>
    <font>
      <sz val="21.0"/>
      <color rgb="FF434343"/>
    </font>
    <font>
      <b/>
      <u/>
      <sz val="24.0"/>
      <color rgb="FFFFFFFF"/>
      <name val="Arial"/>
    </font>
    <font>
      <b/>
      <u/>
      <sz val="24.0"/>
      <color rgb="FF000000"/>
      <name val="Arial"/>
    </font>
    <font>
      <sz val="10.0"/>
      <color rgb="FF393F44"/>
      <name val="Arial"/>
    </font>
    <font>
      <color rgb="FF393F44"/>
      <name val="Arial"/>
    </font>
    <font>
      <b/>
      <sz val="20.0"/>
      <color rgb="FF000000"/>
      <name val="Arial"/>
    </font>
    <font>
      <sz val="20.0"/>
      <color rgb="FF000000"/>
      <name val="Arial"/>
    </font>
    <font>
      <b/>
      <sz val="20.0"/>
      <name val="Arial"/>
    </font>
    <font>
      <sz val="19.0"/>
      <name val="Arial"/>
    </font>
    <font>
      <b/>
      <u/>
      <sz val="36.0"/>
      <color rgb="FFFFFFFF"/>
      <name val="Arial"/>
    </font>
    <font>
      <b/>
      <u/>
      <sz val="36.0"/>
      <color rgb="FFFFFFFF"/>
      <name val="Arial"/>
    </font>
    <font>
      <sz val="11.0"/>
      <color rgb="FFF7981D"/>
      <name val="Inconsolata"/>
    </font>
    <font>
      <b/>
      <u/>
      <sz val="36.0"/>
      <color rgb="FFFFFFFF"/>
      <name val="Arial"/>
    </font>
    <font>
      <b/>
      <u/>
      <sz val="35.0"/>
      <color rgb="FFFFFFFF"/>
      <name val="Arial"/>
    </font>
    <font>
      <b/>
      <i/>
      <sz val="14.0"/>
      <color rgb="FF434343"/>
      <name val="Arial"/>
    </font>
    <font>
      <i/>
      <sz val="20.0"/>
      <color rgb="FFFF0000"/>
      <name val="Arial"/>
    </font>
    <font>
      <b/>
      <i/>
      <sz val="14.0"/>
      <color rgb="FF000000"/>
      <name val="Arial"/>
    </font>
    <font>
      <sz val="34.0"/>
      <name val="Arial"/>
    </font>
    <font>
      <sz val="23.0"/>
      <name val="Arial"/>
    </font>
    <font>
      <b/>
      <u/>
      <sz val="20.0"/>
      <color rgb="FFFFFFFF"/>
      <name val="Arial"/>
    </font>
    <font>
      <b/>
      <sz val="23.0"/>
      <color rgb="FF000000"/>
      <name val="Arial"/>
    </font>
    <font>
      <b/>
      <sz val="35.0"/>
      <color rgb="FF000000"/>
      <name val="Arial"/>
    </font>
    <font>
      <b/>
      <sz val="35.0"/>
      <color rgb="FFFFFFFF"/>
      <name val="Arial"/>
    </font>
    <font>
      <sz val="22.0"/>
      <name val="Arial"/>
    </font>
    <font>
      <b/>
      <u/>
      <sz val="35.0"/>
      <color rgb="FFFFFFFF"/>
      <name val="Arial"/>
    </font>
    <font>
      <b/>
      <u/>
      <sz val="34.0"/>
      <color rgb="FFFFFFFF"/>
      <name val="Arial"/>
    </font>
    <font>
      <b/>
      <u/>
      <sz val="32.0"/>
      <color rgb="FFFFFFFF"/>
      <name val="Arial"/>
    </font>
    <font>
      <b/>
      <sz val="32.0"/>
      <color rgb="FFFFFFFF"/>
      <name val="Arial"/>
    </font>
    <font>
      <b/>
      <sz val="33.0"/>
      <name val="Arial"/>
    </font>
    <font>
      <b/>
      <u/>
      <sz val="35.0"/>
      <color rgb="FFFFFFFF"/>
      <name val="Arial"/>
    </font>
    <font>
      <b/>
      <u/>
      <sz val="35.0"/>
      <color rgb="FFFFFFFF"/>
      <name val="Arial"/>
    </font>
    <font>
      <sz val="35.0"/>
      <color rgb="FF000000"/>
      <name val="Arial"/>
    </font>
    <font>
      <b/>
      <u/>
      <sz val="23.0"/>
      <color rgb="FF000000"/>
      <name val="Arial"/>
    </font>
    <font>
      <b/>
      <u/>
      <sz val="32.0"/>
      <color rgb="FFFFFFFF"/>
      <name val="Arial"/>
    </font>
    <font>
      <b/>
      <sz val="16.0"/>
    </font>
    <font>
      <b/>
      <sz val="34.0"/>
      <color rgb="FFFFFFFF"/>
      <name val="Arial"/>
    </font>
    <font>
      <b/>
      <u/>
      <sz val="9.0"/>
      <color rgb="FF0000FF"/>
      <name val="Arial"/>
    </font>
    <font>
      <b/>
      <u/>
      <sz val="9.0"/>
      <color rgb="FF0000FF"/>
      <name val="Arial"/>
    </font>
    <font>
      <b/>
      <u/>
      <sz val="35.0"/>
      <color rgb="FFFFFFFF"/>
      <name val="Arial"/>
    </font>
    <font>
      <b/>
      <u/>
      <sz val="9.0"/>
      <color rgb="FF0000FF"/>
      <name val="Arial"/>
    </font>
    <font>
      <sz val="15.0"/>
      <name val="Arial"/>
    </font>
    <font>
      <b/>
      <u/>
      <sz val="35.0"/>
      <color rgb="FFFFFFFF"/>
      <name val="Arial"/>
    </font>
    <font>
      <i/>
      <sz val="23.0"/>
      <color rgb="FFFF0000"/>
      <name val="Arial"/>
    </font>
    <font>
      <b/>
      <u/>
      <sz val="23.0"/>
      <color rgb="FF000000"/>
      <name val="Arial"/>
    </font>
    <font>
      <b/>
      <u/>
      <sz val="34.0"/>
      <color rgb="FFFFFFFF"/>
      <name val="Arial"/>
    </font>
    <font>
      <b/>
      <u/>
      <sz val="35.0"/>
      <color rgb="FFFFFFFF"/>
      <name val="Arial"/>
    </font>
    <font>
      <b/>
      <u/>
      <sz val="24.0"/>
      <color rgb="FFFFFFFF"/>
      <name val="Arial"/>
    </font>
    <font>
      <b/>
      <u/>
      <sz val="24.0"/>
      <color rgb="FF000000"/>
      <name val="Arial"/>
    </font>
    <font>
      <b/>
      <u/>
      <sz val="8.0"/>
      <color rgb="FF0000FF"/>
      <name val="Arial"/>
    </font>
    <font>
      <b/>
      <u/>
      <sz val="34.0"/>
      <color rgb="FFFFFFFF"/>
      <name val="Arial"/>
    </font>
    <font>
      <b/>
      <u/>
      <sz val="9.0"/>
      <color rgb="FF0000FF"/>
      <name val="Arial"/>
    </font>
    <font>
      <b/>
      <u/>
      <sz val="34.0"/>
      <color rgb="FFFFFFFF"/>
      <name val="Arial"/>
    </font>
    <font>
      <b/>
      <u/>
      <sz val="34.0"/>
      <color rgb="FFFFFFFF"/>
      <name val="Arial"/>
    </font>
    <font>
      <b/>
      <u/>
      <sz val="34.0"/>
      <color rgb="FFFFFFFF"/>
      <name val="Arial"/>
    </font>
    <font>
      <b/>
      <u/>
      <sz val="8.0"/>
      <color rgb="FF0000FF"/>
      <name val="Arial"/>
    </font>
    <font>
      <b/>
      <u/>
      <sz val="35.0"/>
      <color rgb="FFFFFFFF"/>
      <name val="Arial"/>
    </font>
    <font>
      <b/>
      <u/>
      <sz val="35.0"/>
      <color rgb="FFFFFFFF"/>
      <name val="Arial"/>
    </font>
    <font>
      <b/>
      <u/>
      <sz val="36.0"/>
      <color rgb="FFFFFFFF"/>
      <name val="Arial"/>
    </font>
    <font>
      <b/>
      <u/>
      <sz val="24.0"/>
      <color rgb="FF000000"/>
    </font>
    <font>
      <b/>
      <u/>
      <sz val="20.0"/>
      <color rgb="FFFFFFFF"/>
      <name val="Arial"/>
    </font>
    <font>
      <b/>
      <u/>
      <sz val="35.0"/>
      <color rgb="FFFFFFFF"/>
      <name val="Arial"/>
    </font>
    <font>
      <b/>
      <u/>
      <sz val="23.0"/>
      <color rgb="FF000000"/>
      <name val="Arial"/>
    </font>
    <font>
      <sz val="21.0"/>
      <color rgb="FFFF0000"/>
      <name val="Arial"/>
    </font>
    <font>
      <b/>
      <u/>
      <sz val="34.0"/>
      <color rgb="FFFFFFFF"/>
      <name val="Arial"/>
    </font>
  </fonts>
  <fills count="15">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00FF00"/>
        <bgColor rgb="FF00FF00"/>
      </patternFill>
    </fill>
    <fill>
      <patternFill patternType="solid">
        <fgColor rgb="FF9FC5E8"/>
        <bgColor rgb="FF9FC5E8"/>
      </patternFill>
    </fill>
    <fill>
      <patternFill patternType="solid">
        <fgColor rgb="FF1155CC"/>
        <bgColor rgb="FF1155CC"/>
      </patternFill>
    </fill>
    <fill>
      <patternFill patternType="solid">
        <fgColor rgb="FF00FFFF"/>
        <bgColor rgb="FF00FFFF"/>
      </patternFill>
    </fill>
    <fill>
      <patternFill patternType="solid">
        <fgColor rgb="FFB6D7A8"/>
        <bgColor rgb="FFB6D7A8"/>
      </patternFill>
    </fill>
    <fill>
      <patternFill patternType="solid">
        <fgColor rgb="FFB4A7D6"/>
        <bgColor rgb="FFB4A7D6"/>
      </patternFill>
    </fill>
    <fill>
      <patternFill patternType="solid">
        <fgColor rgb="FF674EA7"/>
        <bgColor rgb="FF674EA7"/>
      </patternFill>
    </fill>
    <fill>
      <patternFill patternType="solid">
        <fgColor rgb="FF3C78D8"/>
        <bgColor rgb="FF3C78D8"/>
      </patternFill>
    </fill>
    <fill>
      <patternFill patternType="solid">
        <fgColor rgb="FF45818E"/>
        <bgColor rgb="FF45818E"/>
      </patternFill>
    </fill>
    <fill>
      <patternFill patternType="solid">
        <fgColor rgb="FFCFE2F3"/>
        <bgColor rgb="FFCFE2F3"/>
      </patternFill>
    </fill>
    <fill>
      <patternFill patternType="solid">
        <fgColor rgb="FF30E9E0"/>
        <bgColor rgb="FF30E9E0"/>
      </patternFill>
    </fill>
  </fills>
  <borders count="68">
    <border/>
    <border>
      <bottom style="thick">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left style="thick">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right style="thin">
        <color rgb="FF000000"/>
      </right>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right style="thick">
        <color rgb="FF000000"/>
      </right>
      <bottom style="thin">
        <color rgb="FF000000"/>
      </bottom>
    </border>
    <border>
      <left style="thick">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right style="thin">
        <color rgb="FF000000"/>
      </right>
      <bottom style="thick">
        <color rgb="FF000000"/>
      </bottom>
    </border>
    <border>
      <left style="thin">
        <color rgb="FF000000"/>
      </left>
      <top style="thin">
        <color rgb="FF000000"/>
      </top>
      <bottom style="thick">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ck">
        <color rgb="FF000000"/>
      </left>
      <right style="thin">
        <color rgb="FF000000"/>
      </right>
      <top style="thin">
        <color rgb="FF000000"/>
      </top>
      <bottom style="thick">
        <color rgb="FF000000"/>
      </bottom>
    </border>
    <border>
      <right style="thick">
        <color rgb="FF000000"/>
      </right>
      <top style="thin">
        <color rgb="FF000000"/>
      </top>
      <bottom style="thin">
        <color rgb="FF000000"/>
      </bottom>
    </border>
    <border>
      <left style="thin">
        <color rgb="FF000000"/>
      </left>
    </border>
    <border>
      <left style="thick">
        <color rgb="FF000000"/>
      </left>
      <bottom style="thin">
        <color rgb="FF000000"/>
      </bottom>
    </border>
    <border>
      <left style="thick">
        <color rgb="FF000000"/>
      </left>
      <right style="thick">
        <color rgb="FF000000"/>
      </right>
      <top style="thick">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ck">
        <color rgb="FF000000"/>
      </right>
      <top style="thin">
        <color rgb="FF000000"/>
      </top>
      <bottom style="thick">
        <color rgb="FF000000"/>
      </bottom>
    </border>
    <border>
      <right style="thin">
        <color rgb="FF000000"/>
      </right>
      <top style="thin">
        <color rgb="FF000000"/>
      </top>
      <bottom style="thick">
        <color rgb="FF000000"/>
      </bottom>
    </border>
    <border>
      <left style="thick">
        <color rgb="FF000000"/>
      </left>
      <top style="thin">
        <color rgb="FF000000"/>
      </top>
      <bottom style="thin">
        <color rgb="FF000000"/>
      </bottom>
    </border>
    <border>
      <left style="thin">
        <color rgb="FF000000"/>
      </left>
      <right style="thin">
        <color rgb="FF000000"/>
      </right>
      <bottom style="thin">
        <color rgb="FF000000"/>
      </bottom>
    </border>
    <border>
      <right style="thick">
        <color rgb="FF000000"/>
      </right>
      <top style="thin">
        <color rgb="FF000000"/>
      </top>
    </border>
    <border>
      <left style="thick">
        <color rgb="FF000000"/>
      </left>
      <right style="thin">
        <color rgb="FF000000"/>
      </right>
    </border>
    <border>
      <left style="thick">
        <color rgb="FF000000"/>
      </left>
      <top style="thin">
        <color rgb="FF000000"/>
      </top>
    </border>
    <border>
      <left style="thick">
        <color rgb="FF000000"/>
      </left>
      <right style="thick">
        <color rgb="FF000000"/>
      </right>
      <bottom style="thick">
        <color rgb="FF000000"/>
      </bottom>
    </border>
    <border>
      <left style="thin">
        <color rgb="FF000000"/>
      </left>
      <bottom style="thick">
        <color rgb="FF000000"/>
      </bottom>
    </border>
    <border>
      <left style="thick">
        <color rgb="FF000000"/>
      </left>
      <right style="thick">
        <color rgb="FF000000"/>
      </right>
      <top style="thick">
        <color rgb="FF000000"/>
      </top>
    </border>
    <border>
      <left style="thin">
        <color rgb="FF000000"/>
      </left>
      <right style="thin">
        <color rgb="FF000000"/>
      </right>
      <bottom style="thick">
        <color rgb="FF000000"/>
      </bottom>
    </border>
    <border>
      <left style="thick">
        <color rgb="FF000000"/>
      </left>
      <right style="thick">
        <color rgb="FF000000"/>
      </right>
    </border>
    <border>
      <left style="thin">
        <color rgb="FF000000"/>
      </left>
      <right style="thick">
        <color rgb="FF000000"/>
      </right>
      <top style="thin">
        <color rgb="FF000000"/>
      </top>
      <bottom style="thin">
        <color rgb="FF000000"/>
      </bottom>
    </border>
    <border>
      <left style="thin">
        <color rgb="FF000000"/>
      </left>
      <right style="thin">
        <color rgb="FF000000"/>
      </right>
    </border>
    <border>
      <top style="medium">
        <color rgb="FF000000"/>
      </top>
    </border>
    <border>
      <left style="thick">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left style="thick">
        <color rgb="FF000000"/>
      </left>
      <right style="thin">
        <color rgb="FF000000"/>
      </right>
      <top style="thick">
        <color rgb="FF000000"/>
      </top>
      <bottom style="thick">
        <color rgb="FF000000"/>
      </bottom>
    </border>
    <border>
      <right style="thin">
        <color rgb="FF000000"/>
      </right>
      <top style="thick">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ck">
        <color rgb="FF000000"/>
      </right>
      <bottom style="thin">
        <color rgb="FF000000"/>
      </bottom>
    </border>
    <border>
      <left style="thin">
        <color rgb="FF000000"/>
      </left>
      <right style="thick">
        <color rgb="FF000000"/>
      </right>
      <bottom style="thick">
        <color rgb="FF000000"/>
      </bottom>
    </border>
    <border>
      <left style="thin">
        <color rgb="FF000000"/>
      </left>
      <right style="thick">
        <color rgb="FF000000"/>
      </right>
      <top style="thin">
        <color rgb="FF000000"/>
      </top>
    </border>
  </borders>
  <cellStyleXfs count="1">
    <xf borderId="0" fillId="0" fontId="0" numFmtId="0" applyAlignment="1" applyFont="1"/>
  </cellStyleXfs>
  <cellXfs count="1580">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14" xfId="0" applyAlignment="1" applyFont="1" applyNumberFormat="1">
      <alignment readingOrder="0"/>
    </xf>
    <xf borderId="0" fillId="0" fontId="1" numFmtId="0" xfId="0" applyAlignment="1" applyFont="1">
      <alignment readingOrder="0"/>
    </xf>
    <xf borderId="0" fillId="0" fontId="1" numFmtId="0" xfId="0" applyFont="1"/>
    <xf borderId="0" fillId="2" fontId="2" numFmtId="0" xfId="0" applyAlignment="1" applyFill="1" applyFont="1">
      <alignment horizontal="left"/>
    </xf>
    <xf borderId="0" fillId="0" fontId="3" numFmtId="0" xfId="0" applyAlignment="1" applyFont="1">
      <alignment vertical="bottom"/>
    </xf>
    <xf borderId="0" fillId="0" fontId="3" numFmtId="0" xfId="0" applyAlignment="1" applyFont="1">
      <alignment vertical="bottom"/>
    </xf>
    <xf borderId="0" fillId="2" fontId="0" numFmtId="0" xfId="0" applyAlignment="1" applyFont="1">
      <alignment horizontal="left"/>
    </xf>
    <xf borderId="0" fillId="3" fontId="3" numFmtId="0" xfId="0" applyAlignment="1" applyFill="1" applyFont="1">
      <alignment readingOrder="0" vertical="bottom"/>
    </xf>
    <xf borderId="0" fillId="0" fontId="1" numFmtId="0" xfId="0" applyFont="1"/>
    <xf borderId="1" fillId="0" fontId="1" numFmtId="0" xfId="0" applyBorder="1" applyFont="1"/>
    <xf borderId="2" fillId="0" fontId="4" numFmtId="0" xfId="0" applyAlignment="1" applyBorder="1" applyFont="1">
      <alignment horizontal="center" readingOrder="0" vertical="center"/>
    </xf>
    <xf borderId="3" fillId="0" fontId="1" numFmtId="0" xfId="0" applyBorder="1" applyFont="1"/>
    <xf borderId="4" fillId="0" fontId="1" numFmtId="0" xfId="0" applyBorder="1" applyFont="1"/>
    <xf borderId="5" fillId="3" fontId="5" numFmtId="0" xfId="0" applyAlignment="1" applyBorder="1" applyFont="1">
      <alignment horizontal="center" readingOrder="0" vertical="center"/>
    </xf>
    <xf borderId="6" fillId="0" fontId="1" numFmtId="0" xfId="0" applyBorder="1" applyFont="1"/>
    <xf borderId="7" fillId="0" fontId="1" numFmtId="0" xfId="0" applyBorder="1" applyFont="1"/>
    <xf borderId="2" fillId="0" fontId="1" numFmtId="0" xfId="0" applyBorder="1" applyFont="1"/>
    <xf borderId="8" fillId="0" fontId="6" numFmtId="0" xfId="0" applyAlignment="1" applyBorder="1" applyFont="1">
      <alignment horizontal="center" readingOrder="0" vertical="center"/>
    </xf>
    <xf borderId="9" fillId="0" fontId="1" numFmtId="0" xfId="0" applyBorder="1" applyFont="1"/>
    <xf borderId="10" fillId="0" fontId="1" numFmtId="0" xfId="0" applyBorder="1" applyFont="1"/>
    <xf borderId="8" fillId="0" fontId="7"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11" fillId="2" fontId="8" numFmtId="0" xfId="0" applyAlignment="1" applyBorder="1" applyFont="1">
      <alignment horizontal="center"/>
    </xf>
    <xf borderId="12" fillId="0" fontId="1" numFmtId="0" xfId="0" applyBorder="1" applyFont="1"/>
    <xf borderId="13" fillId="0" fontId="1" numFmtId="0" xfId="0" applyBorder="1" applyFont="1"/>
    <xf borderId="14" fillId="2" fontId="9" numFmtId="0" xfId="0" applyAlignment="1" applyBorder="1" applyFont="1">
      <alignment horizontal="center" readingOrder="0" vertical="bottom"/>
    </xf>
    <xf borderId="15" fillId="0" fontId="1" numFmtId="0" xfId="0" applyBorder="1" applyFont="1"/>
    <xf borderId="16" fillId="2" fontId="10" numFmtId="0" xfId="0" applyAlignment="1" applyBorder="1" applyFont="1">
      <alignment horizontal="left" readingOrder="0"/>
    </xf>
    <xf borderId="1" fillId="2" fontId="11" numFmtId="0" xfId="0" applyAlignment="1" applyBorder="1" applyFont="1">
      <alignment vertical="bottom"/>
    </xf>
    <xf borderId="17" fillId="2" fontId="11" numFmtId="0" xfId="0" applyAlignment="1" applyBorder="1" applyFont="1">
      <alignment vertical="bottom"/>
    </xf>
    <xf borderId="18" fillId="2" fontId="12" numFmtId="0" xfId="0" applyAlignment="1" applyBorder="1" applyFont="1">
      <alignment horizontal="center" readingOrder="0" shrinkToFit="0" wrapText="1"/>
    </xf>
    <xf borderId="19" fillId="0" fontId="1" numFmtId="0" xfId="0" applyBorder="1" applyFont="1"/>
    <xf borderId="20" fillId="0" fontId="1" numFmtId="0" xfId="0" applyBorder="1" applyFont="1"/>
    <xf borderId="21" fillId="3" fontId="13" numFmtId="0" xfId="0" applyAlignment="1" applyBorder="1" applyFont="1">
      <alignment horizontal="center" readingOrder="0" vertical="center"/>
    </xf>
    <xf borderId="22" fillId="0" fontId="1" numFmtId="0" xfId="0" applyBorder="1" applyFont="1"/>
    <xf borderId="23" fillId="0" fontId="1" numFmtId="0" xfId="0" applyBorder="1" applyFont="1"/>
    <xf borderId="0" fillId="2" fontId="13" numFmtId="0" xfId="0" applyAlignment="1" applyFont="1">
      <alignment horizontal="center" readingOrder="0" vertical="center"/>
    </xf>
    <xf borderId="24" fillId="0" fontId="1" numFmtId="0" xfId="0" applyBorder="1" applyFont="1"/>
    <xf borderId="11" fillId="2" fontId="14" numFmtId="0" xfId="0" applyAlignment="1" applyBorder="1" applyFont="1">
      <alignment horizontal="center" readingOrder="0" vertical="center"/>
    </xf>
    <xf borderId="21" fillId="4" fontId="15" numFmtId="0" xfId="0" applyAlignment="1" applyBorder="1" applyFill="1" applyFont="1">
      <alignment horizontal="center" readingOrder="0" vertical="center"/>
    </xf>
    <xf borderId="21" fillId="0" fontId="16" numFmtId="0" xfId="0" applyAlignment="1" applyBorder="1" applyFont="1">
      <alignment horizontal="center" readingOrder="0" vertical="center"/>
    </xf>
    <xf borderId="21" fillId="0" fontId="17" numFmtId="0" xfId="0" applyAlignment="1" applyBorder="1" applyFont="1">
      <alignment horizontal="center" readingOrder="0" shrinkToFit="0" vertical="center" wrapText="1"/>
    </xf>
    <xf borderId="21" fillId="0" fontId="17" numFmtId="0" xfId="0" applyAlignment="1" applyBorder="1" applyFont="1">
      <alignment horizontal="center" readingOrder="0" vertical="center"/>
    </xf>
    <xf borderId="16" fillId="2" fontId="18" numFmtId="0" xfId="0" applyAlignment="1" applyBorder="1" applyFont="1">
      <alignment horizontal="center" readingOrder="0"/>
    </xf>
    <xf borderId="17" fillId="0" fontId="1" numFmtId="0" xfId="0" applyBorder="1" applyFont="1"/>
    <xf borderId="16" fillId="0" fontId="19" numFmtId="0" xfId="0" applyAlignment="1" applyBorder="1" applyFont="1">
      <alignment horizontal="center" readingOrder="0" vertical="center"/>
    </xf>
    <xf borderId="16" fillId="4" fontId="20" numFmtId="0" xfId="0" applyAlignment="1" applyBorder="1" applyFont="1">
      <alignment horizontal="center" readingOrder="0"/>
    </xf>
    <xf borderId="16" fillId="4" fontId="21" numFmtId="0" xfId="0" applyAlignment="1" applyBorder="1" applyFont="1">
      <alignment horizontal="center" readingOrder="0" vertical="center"/>
    </xf>
    <xf borderId="21" fillId="5" fontId="15" numFmtId="0" xfId="0" applyAlignment="1" applyBorder="1" applyFill="1" applyFont="1">
      <alignment horizontal="center" readingOrder="0" vertical="center"/>
    </xf>
    <xf borderId="21" fillId="2" fontId="17" numFmtId="0" xfId="0" applyAlignment="1" applyBorder="1" applyFont="1">
      <alignment horizontal="center" readingOrder="0" vertical="center"/>
    </xf>
    <xf borderId="25" fillId="6" fontId="22" numFmtId="0" xfId="0" applyAlignment="1" applyBorder="1" applyFill="1" applyFont="1">
      <alignment horizontal="center" readingOrder="0" shrinkToFit="0" vertical="center" wrapText="1"/>
    </xf>
    <xf borderId="26" fillId="0" fontId="1" numFmtId="0" xfId="0" applyBorder="1" applyFont="1"/>
    <xf borderId="27" fillId="0" fontId="1" numFmtId="0" xfId="0" applyBorder="1" applyFont="1"/>
    <xf borderId="28" fillId="2" fontId="23" numFmtId="0" xfId="0" applyAlignment="1" applyBorder="1" applyFont="1">
      <alignment horizontal="center" readingOrder="0" shrinkToFit="0" vertical="center" wrapText="1"/>
    </xf>
    <xf borderId="2" fillId="7" fontId="4" numFmtId="0" xfId="0" applyAlignment="1" applyBorder="1" applyFill="1" applyFont="1">
      <alignment horizontal="center" readingOrder="0" vertical="center"/>
    </xf>
    <xf borderId="29" fillId="0" fontId="1" numFmtId="0" xfId="0" applyBorder="1" applyFont="1"/>
    <xf borderId="30" fillId="0" fontId="12" numFmtId="0" xfId="0" applyAlignment="1" applyBorder="1" applyFont="1">
      <alignment horizontal="center" readingOrder="0" vertical="center"/>
    </xf>
    <xf borderId="4" fillId="0" fontId="12" numFmtId="0" xfId="0" applyAlignment="1" applyBorder="1" applyFont="1">
      <alignment horizontal="center" readingOrder="0" vertical="center"/>
    </xf>
    <xf borderId="3" fillId="0" fontId="12" numFmtId="0" xfId="0" applyAlignment="1" applyBorder="1" applyFont="1">
      <alignment horizontal="center" readingOrder="0" vertical="center"/>
    </xf>
    <xf borderId="31" fillId="4" fontId="12" numFmtId="0" xfId="0" applyAlignment="1" applyBorder="1" applyFont="1">
      <alignment horizontal="center" readingOrder="0" vertical="center"/>
    </xf>
    <xf borderId="30" fillId="0" fontId="24" numFmtId="0" xfId="0" applyAlignment="1" applyBorder="1" applyFont="1">
      <alignment horizontal="center" vertical="center"/>
    </xf>
    <xf borderId="32" fillId="0" fontId="25" numFmtId="0" xfId="0" applyAlignment="1" applyBorder="1" applyFont="1">
      <alignment horizontal="center" readingOrder="0" vertical="center"/>
    </xf>
    <xf borderId="4" fillId="0" fontId="25" numFmtId="0" xfId="0" applyAlignment="1" applyBorder="1" applyFont="1">
      <alignment horizontal="center" readingOrder="0" vertical="center"/>
    </xf>
    <xf borderId="32" fillId="2" fontId="25" numFmtId="0" xfId="0" applyAlignment="1" applyBorder="1" applyFont="1">
      <alignment horizontal="center" readingOrder="0" vertical="center"/>
    </xf>
    <xf borderId="8" fillId="2" fontId="26" numFmtId="0" xfId="0" applyAlignment="1" applyBorder="1" applyFont="1">
      <alignment horizontal="center" readingOrder="0" vertical="center"/>
    </xf>
    <xf borderId="31" fillId="4" fontId="25" numFmtId="0" xfId="0" applyAlignment="1" applyBorder="1" applyFont="1">
      <alignment horizontal="center" readingOrder="0" vertical="center"/>
    </xf>
    <xf borderId="33" fillId="0" fontId="24" numFmtId="0" xfId="0" applyAlignment="1" applyBorder="1" applyFont="1">
      <alignment horizontal="center" vertical="center"/>
    </xf>
    <xf borderId="34" fillId="0" fontId="25" numFmtId="0" xfId="0" applyAlignment="1" applyBorder="1" applyFont="1">
      <alignment horizontal="center" readingOrder="0" vertical="center"/>
    </xf>
    <xf borderId="35" fillId="0" fontId="25" numFmtId="0" xfId="0" applyAlignment="1" applyBorder="1" applyFont="1">
      <alignment horizontal="center" readingOrder="0" vertical="center"/>
    </xf>
    <xf borderId="34" fillId="2" fontId="25" numFmtId="0" xfId="0" applyAlignment="1" applyBorder="1" applyFont="1">
      <alignment horizontal="center" readingOrder="0" vertical="center"/>
    </xf>
    <xf borderId="36" fillId="2" fontId="26" numFmtId="0" xfId="0" applyAlignment="1" applyBorder="1" applyFont="1">
      <alignment horizontal="center" readingOrder="0" vertical="center"/>
    </xf>
    <xf borderId="25" fillId="6" fontId="27" numFmtId="0" xfId="0" applyAlignment="1" applyBorder="1" applyFont="1">
      <alignment horizontal="center" readingOrder="0" vertical="center"/>
    </xf>
    <xf borderId="25" fillId="6" fontId="28" numFmtId="0" xfId="0" applyAlignment="1" applyBorder="1" applyFont="1">
      <alignment horizontal="center" readingOrder="0" shrinkToFit="0" vertical="center" wrapText="1"/>
    </xf>
    <xf borderId="25" fillId="6" fontId="13" numFmtId="0" xfId="0" applyAlignment="1" applyBorder="1" applyFont="1">
      <alignment horizontal="center" readingOrder="0" shrinkToFit="0" vertical="center" wrapText="1"/>
    </xf>
    <xf borderId="3" fillId="7" fontId="29" numFmtId="0" xfId="0" applyAlignment="1" applyBorder="1" applyFont="1">
      <alignment horizontal="center"/>
    </xf>
    <xf borderId="37" fillId="2" fontId="12" numFmtId="0" xfId="0" applyAlignment="1" applyBorder="1" applyFont="1">
      <alignment horizontal="center" readingOrder="0" vertical="center"/>
    </xf>
    <xf borderId="38" fillId="2" fontId="12" numFmtId="0" xfId="0" applyAlignment="1" applyBorder="1" applyFont="1">
      <alignment horizontal="center" readingOrder="0" vertical="center"/>
    </xf>
    <xf borderId="32" fillId="2" fontId="12" numFmtId="0" xfId="0" applyAlignment="1" applyBorder="1" applyFont="1">
      <alignment horizontal="center" readingOrder="0" vertical="center"/>
    </xf>
    <xf borderId="5" fillId="2" fontId="30" numFmtId="0" xfId="0" applyAlignment="1" applyBorder="1" applyFont="1">
      <alignment horizontal="center" readingOrder="0" vertical="center"/>
    </xf>
    <xf borderId="28" fillId="2" fontId="24" numFmtId="0" xfId="0" applyAlignment="1" applyBorder="1" applyFont="1">
      <alignment horizontal="center" vertical="center"/>
    </xf>
    <xf borderId="32" fillId="0" fontId="25" numFmtId="0" xfId="0" applyAlignment="1" applyBorder="1" applyFont="1">
      <alignment horizontal="center" vertical="center"/>
    </xf>
    <xf borderId="32" fillId="2" fontId="31" numFmtId="0" xfId="0" applyAlignment="1" applyBorder="1" applyFont="1">
      <alignment horizontal="center" readingOrder="0" vertical="center"/>
    </xf>
    <xf borderId="8" fillId="0" fontId="32" numFmtId="0" xfId="0" applyAlignment="1" applyBorder="1" applyFont="1">
      <alignment horizontal="center" readingOrder="0" vertical="center"/>
    </xf>
    <xf borderId="31" fillId="4" fontId="25" numFmtId="0" xfId="0" applyAlignment="1" applyBorder="1" applyFont="1">
      <alignment horizontal="center" readingOrder="0" vertical="center"/>
    </xf>
    <xf borderId="39" fillId="2" fontId="24" numFmtId="0" xfId="0" applyAlignment="1" applyBorder="1" applyFont="1">
      <alignment horizontal="center" vertical="center"/>
    </xf>
    <xf borderId="34" fillId="0" fontId="25" numFmtId="0" xfId="0" applyAlignment="1" applyBorder="1" applyFont="1">
      <alignment horizontal="center" vertical="center"/>
    </xf>
    <xf borderId="34" fillId="2" fontId="31" numFmtId="0" xfId="0" applyAlignment="1" applyBorder="1" applyFont="1">
      <alignment horizontal="center" readingOrder="0" vertical="center"/>
    </xf>
    <xf borderId="36" fillId="0" fontId="32" numFmtId="0" xfId="0" applyAlignment="1" applyBorder="1" applyFont="1">
      <alignment horizontal="center" readingOrder="0" vertical="center"/>
    </xf>
    <xf borderId="2" fillId="7" fontId="4" numFmtId="0" xfId="0" applyAlignment="1" applyBorder="1" applyFont="1">
      <alignment horizontal="center" readingOrder="0" vertical="center"/>
    </xf>
    <xf borderId="28" fillId="2" fontId="24" numFmtId="0" xfId="0" applyAlignment="1" applyBorder="1" applyFont="1">
      <alignment horizontal="center" readingOrder="0" vertical="center"/>
    </xf>
    <xf borderId="39" fillId="2" fontId="24" numFmtId="0" xfId="0" applyAlignment="1" applyBorder="1" applyFont="1">
      <alignment horizontal="center" readingOrder="0" vertical="center"/>
    </xf>
    <xf borderId="25" fillId="6" fontId="13" numFmtId="0" xfId="0" applyAlignment="1" applyBorder="1" applyFont="1">
      <alignment horizontal="center" readingOrder="0" vertical="center"/>
    </xf>
    <xf borderId="8" fillId="7" fontId="4" numFmtId="0" xfId="0" applyAlignment="1" applyBorder="1" applyFont="1">
      <alignment horizontal="center" readingOrder="0" vertical="center"/>
    </xf>
    <xf borderId="40" fillId="0" fontId="1" numFmtId="0" xfId="0" applyBorder="1" applyFont="1"/>
    <xf borderId="28" fillId="0" fontId="12" numFmtId="0" xfId="0" applyAlignment="1" applyBorder="1" applyFont="1">
      <alignment horizontal="center" readingOrder="0" vertical="center"/>
    </xf>
    <xf borderId="32" fillId="0" fontId="12" numFmtId="0" xfId="0" applyAlignment="1" applyBorder="1" applyFont="1">
      <alignment horizontal="center" readingOrder="0" vertical="center"/>
    </xf>
    <xf borderId="8" fillId="2" fontId="30" numFmtId="0" xfId="0" applyAlignment="1" applyBorder="1" applyFont="1">
      <alignment horizontal="center" readingOrder="0" vertical="center"/>
    </xf>
    <xf borderId="4" fillId="0" fontId="25" numFmtId="0" xfId="0" applyAlignment="1" applyBorder="1" applyFont="1">
      <alignment horizontal="center" vertical="center"/>
    </xf>
    <xf borderId="3" fillId="0" fontId="26" numFmtId="0" xfId="0" applyAlignment="1" applyBorder="1" applyFont="1">
      <alignment horizontal="center" readingOrder="0" vertical="center"/>
    </xf>
    <xf borderId="35" fillId="0" fontId="25" numFmtId="0" xfId="0" applyAlignment="1" applyBorder="1" applyFont="1">
      <alignment horizontal="center" vertical="center"/>
    </xf>
    <xf borderId="1" fillId="0" fontId="26" numFmtId="0" xfId="0" applyAlignment="1" applyBorder="1" applyFont="1">
      <alignment horizontal="center" readingOrder="0" vertical="center"/>
    </xf>
    <xf borderId="0" fillId="0" fontId="3" numFmtId="0" xfId="0" applyAlignment="1" applyFont="1">
      <alignment horizontal="center" vertical="center"/>
    </xf>
    <xf borderId="4" fillId="0" fontId="33" numFmtId="0" xfId="0" applyAlignment="1" applyBorder="1" applyFont="1">
      <alignment horizontal="center" readingOrder="0" vertical="center"/>
    </xf>
    <xf borderId="35" fillId="0" fontId="33" numFmtId="0" xfId="0" applyAlignment="1" applyBorder="1" applyFont="1">
      <alignment horizontal="center" readingOrder="0" vertical="center"/>
    </xf>
    <xf borderId="21" fillId="5" fontId="34" numFmtId="0" xfId="0" applyAlignment="1" applyBorder="1" applyFont="1">
      <alignment horizontal="center" readingOrder="0" vertical="center"/>
    </xf>
    <xf borderId="21" fillId="2" fontId="35" numFmtId="0" xfId="0" applyAlignment="1" applyBorder="1" applyFont="1">
      <alignment horizontal="center" readingOrder="0" vertical="center"/>
    </xf>
    <xf borderId="41" fillId="2" fontId="36" numFmtId="0" xfId="0" applyAlignment="1" applyBorder="1" applyFont="1">
      <alignment horizontal="center" readingOrder="0" vertical="center"/>
    </xf>
    <xf borderId="21" fillId="2" fontId="36" numFmtId="0" xfId="0" applyAlignment="1" applyBorder="1" applyFont="1">
      <alignment horizontal="center" readingOrder="0" vertical="center"/>
    </xf>
    <xf borderId="23" fillId="0" fontId="37" numFmtId="0" xfId="0" applyAlignment="1" applyBorder="1" applyFont="1">
      <alignment horizontal="left" readingOrder="0" shrinkToFit="0" vertical="center" wrapText="1"/>
    </xf>
    <xf borderId="21" fillId="0" fontId="37" numFmtId="0" xfId="0" applyAlignment="1" applyBorder="1" applyFont="1">
      <alignment horizontal="left" readingOrder="0" shrinkToFit="0" vertical="center" wrapText="1"/>
    </xf>
    <xf borderId="42" fillId="6" fontId="13" numFmtId="0" xfId="0" applyAlignment="1" applyBorder="1" applyFont="1">
      <alignment horizontal="center" readingOrder="0" vertical="center"/>
    </xf>
    <xf borderId="25" fillId="6" fontId="38" numFmtId="0" xfId="0" applyAlignment="1" applyBorder="1" applyFont="1">
      <alignment horizontal="center" readingOrder="0" shrinkToFit="0" vertical="bottom" wrapText="1"/>
    </xf>
    <xf borderId="43" fillId="4" fontId="25" numFmtId="0" xfId="0" applyAlignment="1" applyBorder="1" applyFont="1">
      <alignment horizontal="center" readingOrder="0" vertical="center"/>
    </xf>
    <xf borderId="44" fillId="4" fontId="25" numFmtId="0" xfId="0" applyAlignment="1" applyBorder="1" applyFont="1">
      <alignment horizontal="center" readingOrder="0" vertical="center"/>
    </xf>
    <xf borderId="45" fillId="4" fontId="25" numFmtId="0" xfId="0" applyAlignment="1" applyBorder="1" applyFont="1">
      <alignment horizontal="center" readingOrder="0" vertical="center"/>
    </xf>
    <xf borderId="5" fillId="0" fontId="12" numFmtId="0" xfId="0" applyAlignment="1" applyBorder="1" applyFont="1">
      <alignment horizontal="center" readingOrder="0" shrinkToFit="0" vertical="center" wrapText="1"/>
    </xf>
    <xf borderId="6" fillId="2" fontId="39" numFmtId="0" xfId="0" applyAlignment="1" applyBorder="1" applyFont="1">
      <alignment horizontal="center" vertical="center"/>
    </xf>
    <xf borderId="7" fillId="0" fontId="40" numFmtId="0" xfId="0" applyAlignment="1" applyBorder="1" applyFont="1">
      <alignment horizontal="left" readingOrder="0" vertical="bottom"/>
    </xf>
    <xf borderId="41" fillId="0" fontId="1" numFmtId="0" xfId="0" applyBorder="1" applyFont="1"/>
    <xf borderId="8" fillId="8" fontId="41" numFmtId="0" xfId="0" applyAlignment="1" applyBorder="1" applyFill="1" applyFont="1">
      <alignment horizontal="center" readingOrder="0" vertical="center"/>
    </xf>
    <xf borderId="8" fillId="5" fontId="41" numFmtId="0" xfId="0" applyAlignment="1" applyBorder="1" applyFont="1">
      <alignment horizontal="center" readingOrder="0" vertical="center"/>
    </xf>
    <xf borderId="8" fillId="9" fontId="41" numFmtId="0" xfId="0" applyAlignment="1" applyBorder="1" applyFill="1" applyFont="1">
      <alignment horizontal="center" readingOrder="0" vertical="center"/>
    </xf>
    <xf borderId="36" fillId="0" fontId="42" numFmtId="0" xfId="0" applyAlignment="1" applyBorder="1" applyFont="1">
      <alignment horizontal="center" vertical="center"/>
    </xf>
    <xf borderId="19" fillId="0" fontId="43" numFmtId="0" xfId="0" applyAlignment="1" applyBorder="1" applyFont="1">
      <alignment horizontal="center" readingOrder="0"/>
    </xf>
    <xf borderId="46" fillId="0" fontId="44" numFmtId="0" xfId="0" applyAlignment="1" applyBorder="1" applyFont="1">
      <alignment readingOrder="0"/>
    </xf>
    <xf borderId="19" fillId="0" fontId="45" numFmtId="0" xfId="0" applyAlignment="1" applyBorder="1" applyFont="1">
      <alignment horizontal="center" readingOrder="0"/>
    </xf>
    <xf borderId="19" fillId="0" fontId="46" numFmtId="0" xfId="0" applyAlignment="1" applyBorder="1" applyFont="1">
      <alignment horizontal="center" readingOrder="0"/>
    </xf>
    <xf borderId="19" fillId="0" fontId="44" numFmtId="0" xfId="0" applyAlignment="1" applyBorder="1" applyFont="1">
      <alignment readingOrder="0"/>
    </xf>
    <xf borderId="46" fillId="0" fontId="1" numFmtId="0" xfId="0" applyBorder="1" applyFont="1"/>
    <xf borderId="8" fillId="10" fontId="41" numFmtId="0" xfId="0" applyAlignment="1" applyBorder="1" applyFill="1" applyFont="1">
      <alignment horizontal="center" readingOrder="0" vertical="center"/>
    </xf>
    <xf borderId="8" fillId="11" fontId="41" numFmtId="0" xfId="0" applyAlignment="1" applyBorder="1" applyFill="1" applyFont="1">
      <alignment horizontal="center" readingOrder="0" vertical="center"/>
    </xf>
    <xf borderId="8" fillId="12" fontId="41" numFmtId="0" xfId="0" applyAlignment="1" applyBorder="1" applyFill="1" applyFont="1">
      <alignment horizontal="center" readingOrder="0" vertical="center"/>
    </xf>
    <xf borderId="19" fillId="0" fontId="47" numFmtId="0" xfId="0" applyAlignment="1" applyBorder="1" applyFont="1">
      <alignment horizontal="center" readingOrder="0"/>
    </xf>
    <xf borderId="19" fillId="0" fontId="48" numFmtId="0" xfId="0" applyAlignment="1" applyBorder="1" applyFont="1">
      <alignment horizontal="center" readingOrder="0"/>
    </xf>
    <xf borderId="19" fillId="0" fontId="49" numFmtId="0" xfId="0" applyAlignment="1" applyBorder="1" applyFont="1">
      <alignment horizontal="center" readingOrder="0"/>
    </xf>
    <xf borderId="8" fillId="8" fontId="50" numFmtId="0" xfId="0" applyAlignment="1" applyBorder="1" applyFont="1">
      <alignment horizontal="center" readingOrder="0" vertical="center"/>
    </xf>
    <xf borderId="8" fillId="5" fontId="50" numFmtId="0" xfId="0" applyAlignment="1" applyBorder="1" applyFont="1">
      <alignment horizontal="center" readingOrder="0" vertical="center"/>
    </xf>
    <xf borderId="8" fillId="9" fontId="50" numFmtId="0" xfId="0" applyAlignment="1" applyBorder="1" applyFont="1">
      <alignment horizontal="center" readingOrder="0" vertical="center"/>
    </xf>
    <xf borderId="8" fillId="8" fontId="51" numFmtId="0" xfId="0" applyAlignment="1" applyBorder="1" applyFont="1">
      <alignment horizontal="center" readingOrder="0" vertical="center"/>
    </xf>
    <xf borderId="0" fillId="0" fontId="1" numFmtId="0" xfId="0" applyAlignment="1" applyFont="1">
      <alignment horizontal="center" vertical="center"/>
    </xf>
    <xf borderId="25" fillId="0" fontId="17" numFmtId="0" xfId="0" applyAlignment="1" applyBorder="1" applyFont="1">
      <alignment horizontal="center" vertical="center"/>
    </xf>
    <xf borderId="0" fillId="0" fontId="17" numFmtId="0" xfId="0" applyAlignment="1" applyFont="1">
      <alignment horizontal="center" vertical="center"/>
    </xf>
    <xf borderId="0" fillId="0" fontId="3" numFmtId="0" xfId="0" applyAlignment="1" applyFont="1">
      <alignment horizontal="center" vertical="center"/>
    </xf>
    <xf borderId="47" fillId="5" fontId="4" numFmtId="0" xfId="0" applyAlignment="1" applyBorder="1" applyFont="1">
      <alignment horizontal="center" vertical="center"/>
    </xf>
    <xf borderId="0" fillId="5" fontId="4" numFmtId="0" xfId="0" applyAlignment="1" applyFont="1">
      <alignment horizontal="center" vertical="center"/>
    </xf>
    <xf borderId="14" fillId="2" fontId="52" numFmtId="0" xfId="0" applyAlignment="1" applyBorder="1" applyFont="1">
      <alignment horizontal="center" readingOrder="0" vertical="bottom"/>
    </xf>
    <xf borderId="47" fillId="0" fontId="17" numFmtId="0" xfId="0" applyAlignment="1" applyBorder="1" applyFont="1">
      <alignment horizontal="center" vertical="center"/>
    </xf>
    <xf borderId="18" fillId="0" fontId="7" numFmtId="0" xfId="0" applyAlignment="1" applyBorder="1" applyFont="1">
      <alignment horizontal="center" vertical="center"/>
    </xf>
    <xf borderId="0" fillId="0" fontId="7" numFmtId="0" xfId="0" applyAlignment="1" applyFont="1">
      <alignment horizontal="center" vertical="center"/>
    </xf>
    <xf borderId="0" fillId="7" fontId="53" numFmtId="0" xfId="0" applyAlignment="1" applyFont="1">
      <alignment horizontal="center" readingOrder="0" vertical="center"/>
    </xf>
    <xf borderId="21" fillId="0" fontId="54" numFmtId="0" xfId="0" applyAlignment="1" applyBorder="1" applyFont="1">
      <alignment horizontal="center" shrinkToFit="0" vertical="center" wrapText="1"/>
    </xf>
    <xf borderId="0" fillId="0" fontId="54" numFmtId="0" xfId="0" applyAlignment="1" applyFont="1">
      <alignment horizontal="center" shrinkToFit="0" vertical="center" wrapText="1"/>
    </xf>
    <xf borderId="0" fillId="0" fontId="54" numFmtId="0" xfId="0" applyAlignment="1" applyFont="1">
      <alignment horizontal="center" vertical="center"/>
    </xf>
    <xf borderId="21" fillId="0" fontId="55" numFmtId="0" xfId="0" applyAlignment="1" applyBorder="1" applyFont="1">
      <alignment horizontal="center" vertical="center"/>
    </xf>
    <xf borderId="0" fillId="0" fontId="55" numFmtId="0" xfId="0" applyAlignment="1" applyFont="1">
      <alignment horizontal="center" vertical="center"/>
    </xf>
    <xf borderId="21" fillId="3" fontId="56" numFmtId="0" xfId="0" applyAlignment="1" applyBorder="1" applyFont="1">
      <alignment horizontal="center" readingOrder="0" vertical="center"/>
    </xf>
    <xf borderId="0" fillId="3" fontId="57" numFmtId="0" xfId="0" applyAlignment="1" applyFont="1">
      <alignment horizontal="center" readingOrder="0" vertical="center"/>
    </xf>
    <xf borderId="21" fillId="6" fontId="13" numFmtId="0" xfId="0" applyAlignment="1" applyBorder="1" applyFont="1">
      <alignment horizontal="center" readingOrder="0" vertical="center"/>
    </xf>
    <xf borderId="0" fillId="6" fontId="13" numFmtId="0" xfId="0" applyAlignment="1" applyFont="1">
      <alignment horizontal="center" readingOrder="0" vertical="center"/>
    </xf>
    <xf borderId="21" fillId="6" fontId="58" numFmtId="0" xfId="0" applyAlignment="1" applyBorder="1" applyFont="1">
      <alignment horizontal="center" shrinkToFit="0" vertical="center" wrapText="0"/>
    </xf>
    <xf borderId="0" fillId="0" fontId="59" numFmtId="0" xfId="0" applyAlignment="1" applyFont="1">
      <alignment horizontal="center" vertical="center"/>
    </xf>
    <xf borderId="48" fillId="0" fontId="30" numFmtId="0" xfId="0" applyAlignment="1" applyBorder="1" applyFont="1">
      <alignment horizontal="center" vertical="center"/>
    </xf>
    <xf borderId="4" fillId="0" fontId="30" numFmtId="0" xfId="0" applyAlignment="1" applyBorder="1" applyFont="1">
      <alignment horizontal="center" vertical="center"/>
    </xf>
    <xf borderId="3" fillId="2" fontId="30" numFmtId="0" xfId="0" applyAlignment="1" applyBorder="1" applyFont="1">
      <alignment horizontal="center" vertical="center"/>
    </xf>
    <xf borderId="31" fillId="4" fontId="30" numFmtId="0" xfId="0" applyAlignment="1" applyBorder="1" applyFont="1">
      <alignment horizontal="center" readingOrder="0" vertical="center"/>
    </xf>
    <xf borderId="0" fillId="4" fontId="30" numFmtId="0" xfId="0" applyAlignment="1" applyFont="1">
      <alignment horizontal="center" readingOrder="0" vertical="center"/>
    </xf>
    <xf borderId="2" fillId="2" fontId="30" numFmtId="0" xfId="0" applyAlignment="1" applyBorder="1" applyFont="1">
      <alignment horizontal="center" vertical="center"/>
    </xf>
    <xf borderId="48" fillId="0" fontId="60" numFmtId="0" xfId="0" applyAlignment="1" applyBorder="1" applyFont="1">
      <alignment horizontal="center" readingOrder="0" vertical="center"/>
    </xf>
    <xf borderId="4" fillId="2" fontId="61" numFmtId="0" xfId="0" applyAlignment="1" applyBorder="1" applyFont="1">
      <alignment horizontal="center" vertical="center"/>
    </xf>
    <xf borderId="4" fillId="0" fontId="61" numFmtId="0" xfId="0" applyAlignment="1" applyBorder="1" applyFont="1">
      <alignment horizontal="center" readingOrder="0" vertical="center"/>
    </xf>
    <xf borderId="3" fillId="2" fontId="25" numFmtId="0" xfId="0" applyAlignment="1" applyBorder="1" applyFont="1">
      <alignment horizontal="center" readingOrder="0" vertical="center"/>
    </xf>
    <xf borderId="0" fillId="4" fontId="25" numFmtId="0" xfId="0" applyAlignment="1" applyFont="1">
      <alignment horizontal="center" readingOrder="0" vertical="center"/>
    </xf>
    <xf borderId="32" fillId="0" fontId="60" numFmtId="0" xfId="0" applyAlignment="1" applyBorder="1" applyFont="1">
      <alignment horizontal="center" readingOrder="0" vertical="center"/>
    </xf>
    <xf borderId="32" fillId="0" fontId="61" numFmtId="0" xfId="0" applyAlignment="1" applyBorder="1" applyFont="1">
      <alignment horizontal="center" vertical="center"/>
    </xf>
    <xf borderId="4" fillId="0" fontId="61" numFmtId="0" xfId="0" applyAlignment="1" applyBorder="1" applyFont="1">
      <alignment horizontal="center" vertical="center"/>
    </xf>
    <xf borderId="31" fillId="4" fontId="25" numFmtId="0" xfId="0" applyAlignment="1" applyBorder="1" applyFont="1">
      <alignment horizontal="center" vertical="center"/>
    </xf>
    <xf borderId="0" fillId="4" fontId="25" numFmtId="0" xfId="0" applyAlignment="1" applyFont="1">
      <alignment horizontal="center" vertical="center"/>
    </xf>
    <xf borderId="8" fillId="2" fontId="6" numFmtId="0" xfId="0" applyAlignment="1" applyBorder="1" applyFont="1">
      <alignment horizontal="center" readingOrder="0" shrinkToFit="0" vertical="center" wrapText="1"/>
    </xf>
    <xf borderId="31" fillId="4" fontId="4" numFmtId="0" xfId="0" applyAlignment="1" applyBorder="1" applyFont="1">
      <alignment horizontal="center" readingOrder="0" vertical="center"/>
    </xf>
    <xf borderId="0" fillId="4" fontId="4" numFmtId="0" xfId="0" applyAlignment="1" applyFont="1">
      <alignment horizontal="center" readingOrder="0" vertical="center"/>
    </xf>
    <xf borderId="21" fillId="6" fontId="62" numFmtId="0" xfId="0" applyAlignment="1" applyBorder="1" applyFont="1">
      <alignment horizontal="center" vertical="center"/>
    </xf>
    <xf borderId="0" fillId="6" fontId="63" numFmtId="0" xfId="0" applyAlignment="1" applyFont="1">
      <alignment horizontal="center" vertical="center"/>
    </xf>
    <xf borderId="3" fillId="0" fontId="3" numFmtId="0" xfId="0" applyAlignment="1" applyBorder="1" applyFont="1">
      <alignment horizontal="center" vertical="center"/>
    </xf>
    <xf borderId="48" fillId="0" fontId="61" numFmtId="0" xfId="0" applyAlignment="1" applyBorder="1" applyFont="1">
      <alignment horizontal="center" vertical="center"/>
    </xf>
    <xf borderId="48" fillId="0" fontId="60" numFmtId="0" xfId="0" applyAlignment="1" applyBorder="1" applyFont="1">
      <alignment horizontal="center" vertical="center"/>
    </xf>
    <xf borderId="0" fillId="6" fontId="13" numFmtId="0" xfId="0" applyAlignment="1" applyFont="1">
      <alignment horizontal="center" vertical="center"/>
    </xf>
    <xf borderId="0" fillId="2" fontId="6" numFmtId="0" xfId="0" applyAlignment="1" applyFont="1">
      <alignment horizontal="center" readingOrder="0" shrinkToFit="0" vertical="center" wrapText="1"/>
    </xf>
    <xf borderId="21" fillId="6" fontId="64" numFmtId="0" xfId="0" applyAlignment="1" applyBorder="1" applyFont="1">
      <alignment horizontal="center" shrinkToFit="0" vertical="center" wrapText="0"/>
    </xf>
    <xf borderId="0" fillId="6" fontId="64" numFmtId="0" xfId="0" applyAlignment="1" applyFont="1">
      <alignment horizontal="center" shrinkToFit="0" vertical="center" wrapText="0"/>
    </xf>
    <xf borderId="4" fillId="2" fontId="61" numFmtId="0" xfId="0" applyAlignment="1" applyBorder="1" applyFont="1">
      <alignment horizontal="center" readingOrder="0" vertical="center"/>
    </xf>
    <xf borderId="21" fillId="5" fontId="4" numFmtId="0" xfId="0" applyAlignment="1" applyBorder="1" applyFont="1">
      <alignment horizontal="center" vertical="center"/>
    </xf>
    <xf borderId="14" fillId="0" fontId="65" numFmtId="0" xfId="0" applyAlignment="1" applyBorder="1" applyFont="1">
      <alignment horizontal="center" vertical="center"/>
    </xf>
    <xf borderId="0" fillId="0" fontId="65" numFmtId="0" xfId="0" applyAlignment="1" applyFont="1">
      <alignment horizontal="center" vertical="center"/>
    </xf>
    <xf borderId="16" fillId="0" fontId="7" numFmtId="0" xfId="0" applyAlignment="1" applyBorder="1" applyFont="1">
      <alignment horizontal="center" vertical="center"/>
    </xf>
    <xf borderId="5" fillId="2" fontId="6" numFmtId="0" xfId="0" applyAlignment="1" applyBorder="1" applyFont="1">
      <alignment horizontal="center" readingOrder="0" shrinkToFit="0" vertical="center" wrapText="1"/>
    </xf>
    <xf borderId="6" fillId="0" fontId="3" numFmtId="0" xfId="0" applyAlignment="1" applyBorder="1" applyFont="1">
      <alignment horizontal="center" vertical="center"/>
    </xf>
    <xf borderId="21" fillId="0" fontId="66" numFmtId="0" xfId="0" applyAlignment="1" applyBorder="1" applyFont="1">
      <alignment horizontal="left" shrinkToFit="0" vertical="center" wrapText="1"/>
    </xf>
    <xf borderId="0" fillId="0" fontId="66" numFmtId="0" xfId="0" applyAlignment="1" applyFont="1">
      <alignment horizontal="left" shrinkToFit="0" vertical="center" wrapText="1"/>
    </xf>
    <xf borderId="25" fillId="5" fontId="4" numFmtId="0" xfId="0" applyAlignment="1" applyBorder="1" applyFont="1">
      <alignment horizontal="center" vertical="center"/>
    </xf>
    <xf borderId="47" fillId="0" fontId="65" numFmtId="0" xfId="0" applyAlignment="1" applyBorder="1" applyFont="1">
      <alignment horizontal="center" vertical="center"/>
    </xf>
    <xf borderId="21" fillId="0" fontId="67" numFmtId="0" xfId="0" applyAlignment="1" applyBorder="1" applyFont="1">
      <alignment horizontal="center" vertical="center"/>
    </xf>
    <xf borderId="0" fillId="0" fontId="67" numFmtId="0" xfId="0" applyAlignment="1" applyFont="1">
      <alignment horizontal="center" vertical="center"/>
    </xf>
    <xf borderId="21" fillId="6" fontId="68" numFmtId="0" xfId="0" applyAlignment="1" applyBorder="1" applyFont="1">
      <alignment horizontal="center" vertical="center"/>
    </xf>
    <xf borderId="0" fillId="6" fontId="69" numFmtId="0" xfId="0" applyAlignment="1" applyFont="1">
      <alignment horizontal="center" vertical="center"/>
    </xf>
    <xf borderId="4" fillId="0" fontId="60" numFmtId="0" xfId="0" applyAlignment="1" applyBorder="1" applyFont="1">
      <alignment horizontal="center" vertical="center"/>
    </xf>
    <xf borderId="21" fillId="6" fontId="70" numFmtId="0" xfId="0" applyAlignment="1" applyBorder="1" applyFont="1">
      <alignment horizontal="center" vertical="center"/>
    </xf>
    <xf borderId="0" fillId="6" fontId="71" numFmtId="0" xfId="0" applyAlignment="1" applyFont="1">
      <alignment horizontal="center" vertical="center"/>
    </xf>
    <xf borderId="0" fillId="2" fontId="15" numFmtId="0" xfId="0" applyAlignment="1" applyFont="1">
      <alignment horizontal="center" readingOrder="0" vertical="center"/>
    </xf>
    <xf borderId="0" fillId="2" fontId="72" numFmtId="0" xfId="0" applyAlignment="1" applyFont="1">
      <alignment horizontal="center" readingOrder="0" vertical="center"/>
    </xf>
    <xf borderId="41" fillId="2" fontId="3" numFmtId="0" xfId="0" applyAlignment="1" applyBorder="1" applyFont="1">
      <alignment horizontal="center" readingOrder="0" vertical="center"/>
    </xf>
    <xf borderId="0" fillId="0" fontId="17" numFmtId="0" xfId="0" applyAlignment="1" applyFont="1">
      <alignment horizontal="center" readingOrder="0" vertical="center"/>
    </xf>
    <xf borderId="0" fillId="0" fontId="73" numFmtId="0" xfId="0" applyAlignment="1" applyFont="1">
      <alignment horizontal="center" readingOrder="0" vertical="center"/>
    </xf>
    <xf borderId="41" fillId="0" fontId="74" numFmtId="0" xfId="0" applyAlignment="1" applyBorder="1" applyFont="1">
      <alignment horizontal="left" readingOrder="0" vertical="center"/>
    </xf>
    <xf borderId="41" fillId="0" fontId="3" numFmtId="0" xfId="0" applyAlignment="1" applyBorder="1" applyFont="1">
      <alignment horizontal="center" vertical="center"/>
    </xf>
    <xf borderId="24" fillId="0" fontId="17" numFmtId="0" xfId="0" applyAlignment="1" applyBorder="1" applyFont="1">
      <alignment horizontal="center" readingOrder="0" vertical="center"/>
    </xf>
    <xf borderId="0" fillId="0" fontId="17" numFmtId="0" xfId="0" applyAlignment="1" applyFont="1">
      <alignment horizontal="center" readingOrder="0" vertical="center"/>
    </xf>
    <xf borderId="8" fillId="0" fontId="4" numFmtId="0" xfId="0" applyAlignment="1" applyBorder="1" applyFont="1">
      <alignment horizontal="center" readingOrder="0" vertical="center"/>
    </xf>
    <xf borderId="0" fillId="0" fontId="65" numFmtId="0" xfId="0" applyAlignment="1" applyFont="1">
      <alignment horizontal="center" readingOrder="0" vertical="center"/>
    </xf>
    <xf borderId="0" fillId="2" fontId="65" numFmtId="0" xfId="0" applyAlignment="1" applyFont="1">
      <alignment horizontal="center" readingOrder="0" vertical="center"/>
    </xf>
    <xf borderId="0" fillId="0" fontId="65" numFmtId="0" xfId="0" applyAlignment="1" applyFont="1">
      <alignment horizontal="center" readingOrder="0" vertical="center"/>
    </xf>
    <xf borderId="0" fillId="0" fontId="75" numFmtId="0" xfId="0" applyAlignment="1" applyFont="1">
      <alignment horizontal="center" vertical="center"/>
    </xf>
    <xf borderId="0" fillId="0" fontId="76" numFmtId="0" xfId="0" applyAlignment="1" applyFont="1">
      <alignment horizontal="center" readingOrder="0" vertical="center"/>
    </xf>
    <xf borderId="21" fillId="5" fontId="4" numFmtId="0" xfId="0" applyAlignment="1" applyBorder="1" applyFont="1">
      <alignment horizontal="center" readingOrder="0" vertical="center"/>
    </xf>
    <xf borderId="42" fillId="6" fontId="77" numFmtId="0" xfId="0" applyAlignment="1" applyBorder="1" applyFont="1">
      <alignment horizontal="center" readingOrder="0" vertical="center"/>
    </xf>
    <xf borderId="28" fillId="2" fontId="12" numFmtId="0" xfId="0" applyAlignment="1" applyBorder="1" applyFont="1">
      <alignment horizontal="center" readingOrder="0" shrinkToFit="0" vertical="center" wrapText="1"/>
    </xf>
    <xf borderId="8" fillId="7" fontId="4" numFmtId="0" xfId="0" applyAlignment="1" applyBorder="1" applyFont="1">
      <alignment horizontal="center" readingOrder="0" vertical="bottom"/>
    </xf>
    <xf borderId="37" fillId="2" fontId="12" numFmtId="0" xfId="0" applyAlignment="1" applyBorder="1" applyFont="1">
      <alignment horizontal="center" readingOrder="0" shrinkToFit="0" vertical="center" wrapText="1"/>
    </xf>
    <xf borderId="5" fillId="7" fontId="4" numFmtId="0" xfId="0" applyAlignment="1" applyBorder="1" applyFont="1">
      <alignment horizontal="center" readingOrder="0" vertical="center"/>
    </xf>
    <xf borderId="49" fillId="0" fontId="1" numFmtId="0" xfId="0" applyBorder="1" applyFont="1"/>
    <xf borderId="50" fillId="0" fontId="12" numFmtId="0" xfId="0" applyAlignment="1" applyBorder="1" applyFont="1">
      <alignment horizontal="center" readingOrder="0" vertical="center"/>
    </xf>
    <xf borderId="24" fillId="0" fontId="12" numFmtId="0" xfId="0" applyAlignment="1" applyBorder="1" applyFont="1">
      <alignment horizontal="center" readingOrder="0" vertical="center"/>
    </xf>
    <xf borderId="0" fillId="2" fontId="30" numFmtId="0" xfId="0" applyAlignment="1" applyFont="1">
      <alignment horizontal="center" readingOrder="0" vertical="center"/>
    </xf>
    <xf borderId="0" fillId="0" fontId="78" numFmtId="0" xfId="0" applyAlignment="1" applyFont="1">
      <alignment horizontal="center" vertical="center"/>
    </xf>
    <xf borderId="31" fillId="4" fontId="12" numFmtId="0" xfId="0" applyAlignment="1" applyBorder="1" applyFont="1">
      <alignment horizontal="center" readingOrder="0" vertical="center"/>
    </xf>
    <xf borderId="28" fillId="2" fontId="60" numFmtId="0" xfId="0" applyAlignment="1" applyBorder="1" applyFont="1">
      <alignment horizontal="center" vertical="center"/>
    </xf>
    <xf borderId="32" fillId="2" fontId="61" numFmtId="0" xfId="0" applyAlignment="1" applyBorder="1" applyFont="1">
      <alignment horizontal="center" vertical="center"/>
    </xf>
    <xf borderId="32" fillId="2" fontId="61" numFmtId="0" xfId="0" applyAlignment="1" applyBorder="1" applyFont="1">
      <alignment horizontal="center" readingOrder="0" vertical="center"/>
    </xf>
    <xf borderId="0" fillId="0" fontId="25" numFmtId="0" xfId="0" applyAlignment="1" applyFont="1">
      <alignment horizontal="center" vertical="center"/>
    </xf>
    <xf borderId="28" fillId="0" fontId="24" numFmtId="0" xfId="0" applyAlignment="1" applyBorder="1" applyFont="1">
      <alignment horizontal="center" vertical="center"/>
    </xf>
    <xf borderId="32" fillId="0" fontId="25" numFmtId="0" xfId="0" applyAlignment="1" applyBorder="1" applyFont="1">
      <alignment horizontal="center" vertical="center"/>
    </xf>
    <xf borderId="28" fillId="0" fontId="24" numFmtId="0" xfId="0" applyAlignment="1" applyBorder="1" applyFont="1">
      <alignment horizontal="center" vertical="center"/>
    </xf>
    <xf borderId="28" fillId="0" fontId="60" numFmtId="0" xfId="0" applyAlignment="1" applyBorder="1" applyFont="1">
      <alignment horizontal="center" vertical="center"/>
    </xf>
    <xf borderId="28" fillId="0" fontId="24" numFmtId="0" xfId="0" applyAlignment="1" applyBorder="1" applyFont="1">
      <alignment horizontal="center" readingOrder="0" vertical="center"/>
    </xf>
    <xf borderId="32" fillId="0" fontId="33" numFmtId="0" xfId="0" applyAlignment="1" applyBorder="1" applyFont="1">
      <alignment horizontal="center" readingOrder="0" vertical="center"/>
    </xf>
    <xf borderId="47" fillId="13" fontId="30" numFmtId="0" xfId="0" applyAlignment="1" applyBorder="1" applyFill="1" applyFont="1">
      <alignment horizontal="center" readingOrder="0" vertical="center"/>
    </xf>
    <xf borderId="0" fillId="0" fontId="79" numFmtId="0" xfId="0" applyAlignment="1" applyFont="1">
      <alignment horizontal="center" readingOrder="0" shrinkToFit="0" vertical="center" wrapText="0"/>
    </xf>
    <xf borderId="14" fillId="13" fontId="80" numFmtId="0" xfId="0" applyAlignment="1" applyBorder="1" applyFont="1">
      <alignment horizontal="center" readingOrder="0" vertical="center"/>
    </xf>
    <xf borderId="28" fillId="0" fontId="60" numFmtId="0" xfId="0" applyAlignment="1" applyBorder="1" applyFont="1">
      <alignment horizontal="center" readingOrder="0" vertical="center"/>
    </xf>
    <xf borderId="8" fillId="0" fontId="26" numFmtId="0" xfId="0" applyAlignment="1" applyBorder="1" applyFont="1">
      <alignment horizontal="center" readingOrder="0" vertical="center"/>
    </xf>
    <xf borderId="28" fillId="2" fontId="60" numFmtId="0" xfId="0" applyAlignment="1" applyBorder="1" applyFont="1">
      <alignment horizontal="center" vertical="center"/>
    </xf>
    <xf borderId="32" fillId="0" fontId="31" numFmtId="0" xfId="0" applyAlignment="1" applyBorder="1" applyFont="1">
      <alignment horizontal="center" vertical="center"/>
    </xf>
    <xf borderId="32" fillId="2" fontId="81" numFmtId="0" xfId="0" applyAlignment="1" applyBorder="1" applyFont="1">
      <alignment horizontal="center" vertical="center"/>
    </xf>
    <xf borderId="32" fillId="2" fontId="61" numFmtId="0" xfId="0" applyAlignment="1" applyBorder="1" applyFont="1">
      <alignment horizontal="center" vertical="center"/>
    </xf>
    <xf borderId="8" fillId="2" fontId="26" numFmtId="0" xfId="0" applyAlignment="1" applyBorder="1" applyFont="1">
      <alignment horizontal="center" vertical="center"/>
    </xf>
    <xf borderId="0" fillId="2" fontId="60" numFmtId="0" xfId="0" applyAlignment="1" applyFont="1">
      <alignment horizontal="center" shrinkToFit="0" wrapText="0"/>
    </xf>
    <xf borderId="32" fillId="0" fontId="61" numFmtId="0" xfId="0" applyAlignment="1" applyBorder="1" applyFont="1">
      <alignment horizontal="center" readingOrder="0" vertical="center"/>
    </xf>
    <xf borderId="8" fillId="0" fontId="32" numFmtId="0" xfId="0" applyAlignment="1" applyBorder="1" applyFont="1">
      <alignment horizontal="center" readingOrder="0" vertical="center"/>
    </xf>
    <xf borderId="14" fillId="2" fontId="60" numFmtId="0" xfId="0" applyAlignment="1" applyBorder="1" applyFont="1">
      <alignment horizontal="center" shrinkToFit="0" wrapText="0"/>
    </xf>
    <xf borderId="51" fillId="13" fontId="30" numFmtId="0" xfId="0" applyAlignment="1" applyBorder="1" applyFont="1">
      <alignment horizontal="center" readingOrder="0" vertical="center"/>
    </xf>
    <xf borderId="32" fillId="2" fontId="25" numFmtId="0" xfId="0" applyAlignment="1" applyBorder="1" applyFont="1">
      <alignment horizontal="center" vertical="center"/>
    </xf>
    <xf borderId="32" fillId="2" fontId="33" numFmtId="0" xfId="0" applyAlignment="1" applyBorder="1" applyFont="1">
      <alignment horizontal="center" readingOrder="0" vertical="center"/>
    </xf>
    <xf borderId="31" fillId="4" fontId="24" numFmtId="0" xfId="0" applyAlignment="1" applyBorder="1" applyFont="1">
      <alignment horizontal="center" readingOrder="0" vertical="center"/>
    </xf>
    <xf borderId="37" fillId="0" fontId="60" numFmtId="0" xfId="0" applyAlignment="1" applyBorder="1" applyFont="1">
      <alignment horizontal="center" readingOrder="0" vertical="center"/>
    </xf>
    <xf borderId="5" fillId="2" fontId="61" numFmtId="0" xfId="0" applyAlignment="1" applyBorder="1" applyFont="1">
      <alignment horizontal="center" vertical="center"/>
    </xf>
    <xf borderId="5" fillId="0" fontId="33" numFmtId="0" xfId="0" applyAlignment="1" applyBorder="1" applyFont="1">
      <alignment horizontal="center" readingOrder="0" vertical="center"/>
    </xf>
    <xf borderId="5" fillId="2" fontId="25" numFmtId="0" xfId="0" applyAlignment="1" applyBorder="1" applyFont="1">
      <alignment horizontal="center" readingOrder="0" vertical="center"/>
    </xf>
    <xf borderId="5" fillId="0" fontId="32" numFmtId="0" xfId="0" applyAlignment="1" applyBorder="1" applyFont="1">
      <alignment horizontal="center" readingOrder="0" vertical="center"/>
    </xf>
    <xf borderId="28" fillId="2" fontId="24" numFmtId="0" xfId="0" applyAlignment="1" applyBorder="1" applyFont="1">
      <alignment horizontal="center" vertical="center"/>
    </xf>
    <xf borderId="31" fillId="4" fontId="24" numFmtId="0" xfId="0" applyAlignment="1" applyBorder="1" applyFont="1">
      <alignment horizontal="center" vertical="center"/>
    </xf>
    <xf borderId="52" fillId="4" fontId="25" numFmtId="0" xfId="0" applyAlignment="1" applyBorder="1" applyFont="1">
      <alignment horizontal="center" readingOrder="0" vertical="center"/>
    </xf>
    <xf borderId="39" fillId="2" fontId="12" numFmtId="0" xfId="0" applyAlignment="1" applyBorder="1" applyFont="1">
      <alignment horizontal="center" readingOrder="0" shrinkToFit="0" vertical="center" wrapText="1"/>
    </xf>
    <xf borderId="53" fillId="7" fontId="4" numFmtId="0" xfId="0" applyAlignment="1" applyBorder="1" applyFont="1">
      <alignment horizontal="center" readingOrder="0" vertical="center"/>
    </xf>
    <xf borderId="0" fillId="0" fontId="82" numFmtId="0" xfId="0" applyAlignment="1" applyFont="1">
      <alignment horizontal="center" vertical="center"/>
    </xf>
    <xf borderId="0" fillId="2" fontId="83" numFmtId="0" xfId="0" applyAlignment="1" applyFont="1">
      <alignment horizontal="center" vertical="center"/>
    </xf>
    <xf borderId="0" fillId="0" fontId="3" numFmtId="0" xfId="0" applyAlignment="1" applyFont="1">
      <alignment horizontal="center" readingOrder="0" vertical="center"/>
    </xf>
    <xf borderId="0" fillId="2" fontId="3" numFmtId="0" xfId="0" applyAlignment="1" applyFont="1">
      <alignment horizontal="center" vertical="center"/>
    </xf>
    <xf borderId="0" fillId="2" fontId="75" numFmtId="0" xfId="0" applyAlignment="1" applyFont="1">
      <alignment horizontal="center" readingOrder="0" vertical="center"/>
    </xf>
    <xf borderId="0" fillId="2" fontId="76" numFmtId="0" xfId="0" applyAlignment="1" applyFont="1">
      <alignment horizontal="center" readingOrder="0" vertical="center"/>
    </xf>
    <xf borderId="33" fillId="2" fontId="12" numFmtId="0" xfId="0" applyAlignment="1" applyBorder="1" applyFont="1">
      <alignment horizontal="center" readingOrder="0" shrinkToFit="0" vertical="center" wrapText="1"/>
    </xf>
    <xf borderId="0" fillId="2" fontId="3" numFmtId="0" xfId="0" applyAlignment="1" applyFont="1">
      <alignment horizontal="center" readingOrder="0" vertical="center"/>
    </xf>
    <xf borderId="30" fillId="2" fontId="30" numFmtId="0" xfId="0" applyAlignment="1" applyBorder="1" applyFont="1">
      <alignment horizontal="center" readingOrder="0" shrinkToFit="0" vertical="center" wrapText="1"/>
    </xf>
    <xf borderId="0" fillId="7" fontId="15" numFmtId="0" xfId="0" applyAlignment="1" applyFont="1">
      <alignment horizontal="center" readingOrder="0"/>
    </xf>
    <xf borderId="8" fillId="7" fontId="4" numFmtId="0" xfId="0" applyAlignment="1" applyBorder="1" applyFont="1">
      <alignment horizontal="center" readingOrder="0" vertical="center"/>
    </xf>
    <xf borderId="0" fillId="2" fontId="12" numFmtId="0" xfId="0" applyAlignment="1" applyFont="1">
      <alignment horizontal="center" readingOrder="0" vertical="center"/>
    </xf>
    <xf borderId="52" fillId="4" fontId="12" numFmtId="0" xfId="0" applyAlignment="1" applyBorder="1" applyFont="1">
      <alignment horizontal="center" readingOrder="0" vertical="center"/>
    </xf>
    <xf borderId="0" fillId="0" fontId="54" numFmtId="0" xfId="0" applyAlignment="1" applyFont="1">
      <alignment horizontal="center" vertical="center"/>
    </xf>
    <xf borderId="32" fillId="2" fontId="84" numFmtId="0" xfId="0" applyAlignment="1" applyBorder="1" applyFont="1">
      <alignment horizontal="center" readingOrder="0" vertical="center"/>
    </xf>
    <xf borderId="39" fillId="0" fontId="24" numFmtId="0" xfId="0" applyAlignment="1" applyBorder="1" applyFont="1">
      <alignment horizontal="center" vertical="center"/>
    </xf>
    <xf borderId="34" fillId="2" fontId="84" numFmtId="0" xfId="0" applyAlignment="1" applyBorder="1" applyFont="1">
      <alignment horizontal="center" readingOrder="0" vertical="center"/>
    </xf>
    <xf borderId="34" fillId="2" fontId="25" numFmtId="0" xfId="0" applyAlignment="1" applyBorder="1" applyFont="1">
      <alignment horizontal="center" vertical="center"/>
    </xf>
    <xf borderId="0" fillId="2" fontId="82" numFmtId="0" xfId="0" applyAlignment="1" applyFont="1">
      <alignment horizontal="center" vertical="center"/>
    </xf>
    <xf borderId="0" fillId="2" fontId="85" numFmtId="0" xfId="0" applyAlignment="1" applyFont="1">
      <alignment horizontal="center" vertical="center"/>
    </xf>
    <xf borderId="0" fillId="2" fontId="12" numFmtId="0" xfId="0" applyAlignment="1" applyFont="1">
      <alignment horizontal="center" vertical="center"/>
    </xf>
    <xf borderId="0" fillId="2" fontId="86" numFmtId="0" xfId="0" applyAlignment="1" applyFont="1">
      <alignment horizontal="center" vertical="center"/>
    </xf>
    <xf borderId="0" fillId="2" fontId="79" numFmtId="0" xfId="0" applyAlignment="1" applyFont="1">
      <alignment horizontal="center" vertical="center"/>
    </xf>
    <xf borderId="0" fillId="2" fontId="87" numFmtId="0" xfId="0" applyAlignment="1" applyFont="1">
      <alignment horizontal="center" vertical="center"/>
    </xf>
    <xf borderId="0" fillId="0" fontId="78" numFmtId="0" xfId="0" applyAlignment="1" applyFont="1">
      <alignment horizontal="center" readingOrder="0" vertical="center"/>
    </xf>
    <xf borderId="0" fillId="0" fontId="88" numFmtId="0" xfId="0" applyAlignment="1" applyFont="1">
      <alignment horizontal="center" vertical="center"/>
    </xf>
    <xf borderId="0" fillId="0" fontId="79" numFmtId="0" xfId="0" applyAlignment="1" applyFont="1">
      <alignment horizontal="center" vertical="center"/>
    </xf>
    <xf borderId="0" fillId="0" fontId="87" numFmtId="0" xfId="0" applyAlignment="1" applyFont="1">
      <alignment horizontal="center" vertical="center"/>
    </xf>
    <xf borderId="0" fillId="0" fontId="6" numFmtId="0" xfId="0" applyAlignment="1" applyFont="1">
      <alignment horizontal="center" readingOrder="0" vertical="center"/>
    </xf>
    <xf borderId="0" fillId="2" fontId="73" numFmtId="0" xfId="0" applyAlignment="1" applyFont="1">
      <alignment horizontal="center" readingOrder="0" vertical="center"/>
    </xf>
    <xf borderId="0" fillId="0" fontId="6" numFmtId="0" xfId="0" applyAlignment="1" applyFont="1">
      <alignment horizontal="center" readingOrder="0" vertical="center"/>
    </xf>
    <xf borderId="0" fillId="0" fontId="73" numFmtId="0" xfId="0" applyAlignment="1" applyFont="1">
      <alignment horizontal="center" readingOrder="0" vertical="center"/>
    </xf>
    <xf borderId="0" fillId="0" fontId="30" numFmtId="0" xfId="0" applyAlignment="1" applyFont="1">
      <alignment horizontal="center" readingOrder="0" vertical="center"/>
    </xf>
    <xf borderId="0" fillId="0" fontId="86" numFmtId="0" xfId="0" applyAlignment="1" applyFont="1">
      <alignment horizontal="center" readingOrder="0" vertical="center"/>
    </xf>
    <xf borderId="30" fillId="0" fontId="24" numFmtId="0" xfId="0" applyAlignment="1" applyBorder="1" applyFont="1">
      <alignment horizontal="center" readingOrder="0" vertical="center"/>
    </xf>
    <xf borderId="34" fillId="2" fontId="33" numFmtId="0" xfId="0" applyAlignment="1" applyBorder="1" applyFont="1">
      <alignment horizontal="center" readingOrder="0" vertical="center"/>
    </xf>
    <xf borderId="21" fillId="3" fontId="89" numFmtId="0" xfId="0" applyAlignment="1" applyBorder="1" applyFont="1">
      <alignment horizontal="center" readingOrder="0" vertical="center"/>
    </xf>
    <xf borderId="0" fillId="2" fontId="66" numFmtId="0" xfId="0" applyAlignment="1" applyFont="1">
      <alignment horizontal="center" readingOrder="0" vertical="center"/>
    </xf>
    <xf borderId="8" fillId="2" fontId="32" numFmtId="0" xfId="0" applyAlignment="1" applyBorder="1" applyFont="1">
      <alignment horizontal="center" readingOrder="0" vertical="center"/>
    </xf>
    <xf borderId="33" fillId="0" fontId="24" numFmtId="0" xfId="0" applyAlignment="1" applyBorder="1" applyFont="1">
      <alignment horizontal="center" readingOrder="0" vertical="center"/>
    </xf>
    <xf borderId="36" fillId="2" fontId="32" numFmtId="0" xfId="0" applyAlignment="1" applyBorder="1" applyFont="1">
      <alignment horizontal="center" readingOrder="0" vertical="center"/>
    </xf>
    <xf borderId="0" fillId="2" fontId="3" numFmtId="0" xfId="0" applyAlignment="1" applyFont="1">
      <alignment horizontal="left" readingOrder="0" vertical="center"/>
    </xf>
    <xf borderId="8" fillId="7" fontId="15" numFmtId="0" xfId="0" applyAlignment="1" applyBorder="1" applyFont="1">
      <alignment horizontal="center" readingOrder="0" vertical="center"/>
    </xf>
    <xf borderId="32" fillId="2" fontId="25" numFmtId="0" xfId="0" applyAlignment="1" applyBorder="1" applyFont="1">
      <alignment horizontal="center" vertical="center"/>
    </xf>
    <xf borderId="0" fillId="0" fontId="59" numFmtId="0" xfId="0" applyAlignment="1" applyFont="1">
      <alignment horizontal="center" vertical="center"/>
    </xf>
    <xf borderId="0" fillId="2" fontId="86" numFmtId="0" xfId="0" applyAlignment="1" applyFont="1">
      <alignment horizontal="center" readingOrder="0" vertical="center"/>
    </xf>
    <xf borderId="0" fillId="2" fontId="90" numFmtId="0" xfId="0" applyAlignment="1" applyFont="1">
      <alignment horizontal="center" readingOrder="0" vertical="center"/>
    </xf>
    <xf borderId="0" fillId="2" fontId="91" numFmtId="0" xfId="0" applyAlignment="1" applyFont="1">
      <alignment horizontal="center" readingOrder="0" vertical="center"/>
    </xf>
    <xf borderId="0" fillId="0" fontId="32" numFmtId="0" xfId="0" applyAlignment="1" applyFont="1">
      <alignment horizontal="center" vertical="center"/>
    </xf>
    <xf borderId="25" fillId="6" fontId="92" numFmtId="0" xfId="0" applyAlignment="1" applyBorder="1" applyFont="1">
      <alignment horizontal="center" readingOrder="0" vertical="center"/>
    </xf>
    <xf borderId="0" fillId="0" fontId="82" numFmtId="0" xfId="0" applyAlignment="1" applyFont="1">
      <alignment horizontal="center" readingOrder="0" shrinkToFit="0" vertical="center" wrapText="0"/>
    </xf>
    <xf borderId="50" fillId="0" fontId="24" numFmtId="0" xfId="0" applyAlignment="1" applyBorder="1" applyFont="1">
      <alignment horizontal="center" vertical="center"/>
    </xf>
    <xf borderId="24" fillId="0" fontId="25" numFmtId="0" xfId="0" applyAlignment="1" applyBorder="1" applyFont="1">
      <alignment horizontal="center" vertical="center"/>
    </xf>
    <xf borderId="24" fillId="0" fontId="33" numFmtId="0" xfId="0" applyAlignment="1" applyBorder="1" applyFont="1">
      <alignment horizontal="center" readingOrder="0" vertical="center"/>
    </xf>
    <xf borderId="38" fillId="2" fontId="31" numFmtId="0" xfId="0" applyAlignment="1" applyBorder="1" applyFont="1">
      <alignment horizontal="center" readingOrder="0" vertical="center"/>
    </xf>
    <xf borderId="0" fillId="0" fontId="26" numFmtId="0" xfId="0" applyAlignment="1" applyFont="1">
      <alignment horizontal="center" readingOrder="0" vertical="center"/>
    </xf>
    <xf borderId="54" fillId="4" fontId="25" numFmtId="0" xfId="0" applyAlignment="1" applyBorder="1" applyFont="1">
      <alignment horizontal="center" readingOrder="0" vertical="center"/>
    </xf>
    <xf borderId="12" fillId="0" fontId="24" numFmtId="0" xfId="0" applyAlignment="1" applyBorder="1" applyFont="1">
      <alignment horizontal="center" readingOrder="0" vertical="center"/>
    </xf>
    <xf borderId="36" fillId="7" fontId="4" numFmtId="0" xfId="0" applyAlignment="1" applyBorder="1" applyFont="1">
      <alignment horizontal="center" readingOrder="0" vertical="center"/>
    </xf>
    <xf borderId="11" fillId="5" fontId="4" numFmtId="0" xfId="0" applyAlignment="1" applyBorder="1" applyFont="1">
      <alignment horizontal="center" readingOrder="0" vertical="center"/>
    </xf>
    <xf borderId="12" fillId="2" fontId="4" numFmtId="0" xfId="0" applyAlignment="1" applyBorder="1" applyFont="1">
      <alignment horizontal="center" readingOrder="0" vertical="center"/>
    </xf>
    <xf borderId="11" fillId="3" fontId="93" numFmtId="0" xfId="0" applyAlignment="1" applyBorder="1" applyFont="1">
      <alignment horizontal="center" readingOrder="0" vertical="center"/>
    </xf>
    <xf borderId="16" fillId="0" fontId="1" numFmtId="0" xfId="0" applyBorder="1" applyFont="1"/>
    <xf borderId="21" fillId="0" fontId="21" numFmtId="0" xfId="0" applyAlignment="1" applyBorder="1" applyFont="1">
      <alignment horizontal="center" readingOrder="0" vertical="center"/>
    </xf>
    <xf borderId="14" fillId="2" fontId="3" numFmtId="0" xfId="0" applyAlignment="1" applyBorder="1" applyFont="1">
      <alignment horizontal="center" readingOrder="0" vertical="center"/>
    </xf>
    <xf borderId="25" fillId="6" fontId="94" numFmtId="0" xfId="0" applyAlignment="1" applyBorder="1" applyFont="1">
      <alignment horizontal="center" readingOrder="0" shrinkToFit="0" vertical="center" wrapText="1"/>
    </xf>
    <xf borderId="0" fillId="2" fontId="95" numFmtId="0" xfId="0" applyAlignment="1" applyFont="1">
      <alignment horizontal="center" readingOrder="0" vertical="center"/>
    </xf>
    <xf borderId="8" fillId="2" fontId="12" numFmtId="0" xfId="0" applyAlignment="1" applyBorder="1" applyFont="1">
      <alignment horizontal="center" readingOrder="0" vertical="center"/>
    </xf>
    <xf borderId="30" fillId="0" fontId="24" numFmtId="0" xfId="0" applyAlignment="1" applyBorder="1" applyFont="1">
      <alignment horizontal="center" readingOrder="0" vertical="center"/>
    </xf>
    <xf borderId="4" fillId="0" fontId="25" numFmtId="0" xfId="0" applyAlignment="1" applyBorder="1" applyFont="1">
      <alignment horizontal="center" readingOrder="0" vertical="center"/>
    </xf>
    <xf borderId="4" fillId="0" fontId="25" numFmtId="0" xfId="0" applyAlignment="1" applyBorder="1" applyFont="1">
      <alignment horizontal="center" vertical="center"/>
    </xf>
    <xf borderId="3" fillId="0" fontId="25" numFmtId="0" xfId="0" applyAlignment="1" applyBorder="1" applyFont="1">
      <alignment horizontal="center" readingOrder="0" vertical="center"/>
    </xf>
    <xf borderId="8" fillId="0" fontId="96" numFmtId="0" xfId="0" applyAlignment="1" applyBorder="1" applyFont="1">
      <alignment horizontal="center" readingOrder="0" vertical="center"/>
    </xf>
    <xf borderId="0" fillId="2" fontId="97" numFmtId="0" xfId="0" applyAlignment="1" applyFont="1">
      <alignment horizontal="center" readingOrder="0" vertical="center"/>
    </xf>
    <xf borderId="4" fillId="2" fontId="25" numFmtId="0" xfId="0" applyAlignment="1" applyBorder="1" applyFont="1">
      <alignment horizontal="center" vertical="center"/>
    </xf>
    <xf borderId="0" fillId="2" fontId="98" numFmtId="0" xfId="0" applyAlignment="1" applyFont="1">
      <alignment horizontal="center" readingOrder="0" vertical="center"/>
    </xf>
    <xf borderId="4" fillId="2" fontId="25" numFmtId="0" xfId="0" applyAlignment="1" applyBorder="1" applyFont="1">
      <alignment horizontal="center" readingOrder="0" vertical="center"/>
    </xf>
    <xf borderId="8" fillId="0" fontId="26" numFmtId="0" xfId="0" applyAlignment="1" applyBorder="1" applyFont="1">
      <alignment horizontal="center" readingOrder="0" vertical="center"/>
    </xf>
    <xf borderId="28" fillId="0" fontId="24" numFmtId="0" xfId="0" applyAlignment="1" applyBorder="1" applyFont="1">
      <alignment horizontal="center" readingOrder="0" vertical="center"/>
    </xf>
    <xf borderId="38" fillId="2" fontId="25" numFmtId="0" xfId="0" applyAlignment="1" applyBorder="1" applyFont="1">
      <alignment horizontal="center" vertical="center"/>
    </xf>
    <xf borderId="38" fillId="0" fontId="25" numFmtId="0" xfId="0" applyAlignment="1" applyBorder="1" applyFont="1">
      <alignment horizontal="center" vertical="center"/>
    </xf>
    <xf borderId="38" fillId="0" fontId="25" numFmtId="0" xfId="0" applyAlignment="1" applyBorder="1" applyFont="1">
      <alignment horizontal="center" readingOrder="0" vertical="center"/>
    </xf>
    <xf borderId="5" fillId="0" fontId="26" numFmtId="0" xfId="0" applyAlignment="1" applyBorder="1" applyFont="1">
      <alignment horizontal="center" readingOrder="0" vertical="center"/>
    </xf>
    <xf borderId="18" fillId="0" fontId="16" numFmtId="0" xfId="0" applyAlignment="1" applyBorder="1" applyFont="1">
      <alignment horizontal="center" readingOrder="0" shrinkToFit="0" vertical="center" wrapText="1"/>
    </xf>
    <xf borderId="21" fillId="4" fontId="15" numFmtId="0" xfId="0" applyAlignment="1" applyBorder="1" applyFont="1">
      <alignment horizontal="center" readingOrder="0" vertical="center"/>
    </xf>
    <xf borderId="0" fillId="2" fontId="26" numFmtId="0" xfId="0" applyAlignment="1" applyFont="1">
      <alignment horizontal="center" readingOrder="0" vertical="center"/>
    </xf>
    <xf borderId="0" fillId="2" fontId="75" numFmtId="0" xfId="0" applyAlignment="1" applyFont="1">
      <alignment horizontal="center" vertical="center"/>
    </xf>
    <xf borderId="25" fillId="6" fontId="13" numFmtId="0" xfId="0" applyAlignment="1" applyBorder="1" applyFont="1">
      <alignment horizontal="center" readingOrder="0" shrinkToFit="0" vertical="center" wrapText="1"/>
    </xf>
    <xf borderId="28" fillId="2" fontId="30" numFmtId="0" xfId="0" applyAlignment="1" applyBorder="1" applyFont="1">
      <alignment horizontal="center" readingOrder="0" shrinkToFit="0" vertical="center" wrapText="1"/>
    </xf>
    <xf borderId="8" fillId="7" fontId="4" numFmtId="0" xfId="0" applyAlignment="1" applyBorder="1" applyFont="1">
      <alignment horizontal="center" readingOrder="0" vertical="center"/>
    </xf>
    <xf borderId="28" fillId="0" fontId="12" numFmtId="0" xfId="0" applyAlignment="1" applyBorder="1" applyFont="1">
      <alignment horizontal="center" readingOrder="0" vertical="center"/>
    </xf>
    <xf borderId="32" fillId="0" fontId="12" numFmtId="0" xfId="0" applyAlignment="1" applyBorder="1" applyFont="1">
      <alignment horizontal="center" readingOrder="0" vertical="center"/>
    </xf>
    <xf borderId="38" fillId="0" fontId="12" numFmtId="0" xfId="0" applyAlignment="1" applyBorder="1" applyFont="1">
      <alignment horizontal="center" readingOrder="0" vertical="center"/>
    </xf>
    <xf borderId="8" fillId="2" fontId="12" numFmtId="0" xfId="0" applyAlignment="1" applyBorder="1" applyFont="1">
      <alignment horizontal="center" readingOrder="0" vertical="center"/>
    </xf>
    <xf borderId="8" fillId="0" fontId="25" numFmtId="0" xfId="0" applyAlignment="1" applyBorder="1" applyFont="1">
      <alignment horizontal="center" readingOrder="0" vertical="center"/>
    </xf>
    <xf borderId="9" fillId="0" fontId="26" numFmtId="0" xfId="0" applyAlignment="1" applyBorder="1" applyFont="1">
      <alignment horizontal="center" readingOrder="0" vertical="center"/>
    </xf>
    <xf borderId="0" fillId="2" fontId="25" numFmtId="0" xfId="0" applyAlignment="1" applyFont="1">
      <alignment horizontal="center" readingOrder="0" shrinkToFit="0" vertical="center" wrapText="0"/>
    </xf>
    <xf borderId="34" fillId="2" fontId="61" numFmtId="0" xfId="0" applyAlignment="1" applyBorder="1" applyFont="1">
      <alignment horizontal="center" vertical="center"/>
    </xf>
    <xf borderId="36" fillId="0" fontId="25" numFmtId="0" xfId="0" applyAlignment="1" applyBorder="1" applyFont="1">
      <alignment horizontal="center" readingOrder="0" vertical="center"/>
    </xf>
    <xf borderId="34" fillId="2" fontId="61" numFmtId="0" xfId="0" applyAlignment="1" applyBorder="1" applyFont="1">
      <alignment horizontal="center" readingOrder="0" vertical="center"/>
    </xf>
    <xf borderId="19" fillId="0" fontId="26" numFmtId="0" xfId="0" applyAlignment="1" applyBorder="1" applyFont="1">
      <alignment horizontal="center" readingOrder="0" vertical="center"/>
    </xf>
    <xf borderId="0" fillId="2" fontId="31" numFmtId="0" xfId="0" applyAlignment="1" applyFont="1">
      <alignment readingOrder="0" vertical="center"/>
    </xf>
    <xf borderId="28" fillId="2" fontId="12" numFmtId="0" xfId="0" applyAlignment="1" applyBorder="1" applyFont="1">
      <alignment horizontal="center" readingOrder="0" vertical="center"/>
    </xf>
    <xf borderId="54" fillId="4" fontId="12" numFmtId="0" xfId="0" applyAlignment="1" applyBorder="1" applyFont="1">
      <alignment horizontal="center" readingOrder="0" vertical="center"/>
    </xf>
    <xf borderId="8" fillId="2" fontId="26" numFmtId="0" xfId="0" applyAlignment="1" applyBorder="1" applyFont="1">
      <alignment horizontal="center" readingOrder="0" vertical="center"/>
    </xf>
    <xf borderId="36" fillId="2" fontId="26" numFmtId="0" xfId="0" applyAlignment="1" applyBorder="1" applyFont="1">
      <alignment horizontal="center" readingOrder="0" vertical="center"/>
    </xf>
    <xf borderId="0" fillId="2" fontId="3" numFmtId="0" xfId="0" applyAlignment="1" applyFont="1">
      <alignment horizontal="center" readingOrder="0" shrinkToFit="0" vertical="center" wrapText="1"/>
    </xf>
    <xf borderId="28" fillId="2" fontId="12" numFmtId="0" xfId="0" applyAlignment="1" applyBorder="1" applyFont="1">
      <alignment horizontal="center" shrinkToFit="0" wrapText="1"/>
    </xf>
    <xf borderId="9" fillId="7" fontId="4" numFmtId="0" xfId="0" applyAlignment="1" applyBorder="1" applyFont="1">
      <alignment horizontal="center" readingOrder="0"/>
    </xf>
    <xf borderId="30" fillId="2" fontId="12" numFmtId="0" xfId="0" applyAlignment="1" applyBorder="1" applyFont="1">
      <alignment horizontal="center"/>
    </xf>
    <xf borderId="4" fillId="2" fontId="12" numFmtId="0" xfId="0" applyAlignment="1" applyBorder="1" applyFont="1">
      <alignment horizontal="center"/>
    </xf>
    <xf borderId="29" fillId="2" fontId="30" numFmtId="0" xfId="0" applyAlignment="1" applyBorder="1" applyFont="1">
      <alignment horizontal="center"/>
    </xf>
    <xf borderId="17" fillId="4" fontId="12" numFmtId="0" xfId="0" applyAlignment="1" applyBorder="1" applyFont="1">
      <alignment horizontal="center"/>
    </xf>
    <xf borderId="30" fillId="2" fontId="24" numFmtId="0" xfId="0" applyAlignment="1" applyBorder="1" applyFont="1">
      <alignment horizontal="center"/>
    </xf>
    <xf borderId="4" fillId="0" fontId="25" numFmtId="0" xfId="0" applyAlignment="1" applyBorder="1" applyFont="1">
      <alignment horizontal="center"/>
    </xf>
    <xf borderId="4" fillId="2" fontId="25" numFmtId="0" xfId="0" applyAlignment="1" applyBorder="1" applyFont="1">
      <alignment horizontal="center"/>
    </xf>
    <xf borderId="4" fillId="2" fontId="25" numFmtId="0" xfId="0" applyAlignment="1" applyBorder="1" applyFont="1">
      <alignment horizontal="center"/>
    </xf>
    <xf borderId="29" fillId="0" fontId="32" numFmtId="0" xfId="0" applyAlignment="1" applyBorder="1" applyFont="1">
      <alignment horizontal="center"/>
    </xf>
    <xf borderId="17" fillId="4" fontId="3" numFmtId="0" xfId="0" applyBorder="1" applyFont="1"/>
    <xf borderId="30" fillId="2" fontId="24" numFmtId="0" xfId="0" applyAlignment="1" applyBorder="1" applyFont="1">
      <alignment horizontal="center"/>
    </xf>
    <xf borderId="33" fillId="2" fontId="24" numFmtId="0" xfId="0" applyAlignment="1" applyBorder="1" applyFont="1">
      <alignment horizontal="center"/>
    </xf>
    <xf borderId="35" fillId="0" fontId="25" numFmtId="0" xfId="0" applyAlignment="1" applyBorder="1" applyFont="1">
      <alignment horizontal="center"/>
    </xf>
    <xf borderId="35" fillId="2" fontId="25" numFmtId="0" xfId="0" applyAlignment="1" applyBorder="1" applyFont="1">
      <alignment horizontal="center"/>
    </xf>
    <xf borderId="35" fillId="2" fontId="25" numFmtId="0" xfId="0" applyAlignment="1" applyBorder="1" applyFont="1">
      <alignment horizontal="center"/>
    </xf>
    <xf borderId="17" fillId="0" fontId="32" numFmtId="0" xfId="0" applyAlignment="1" applyBorder="1" applyFont="1">
      <alignment horizontal="center"/>
    </xf>
    <xf borderId="11" fillId="6" fontId="13" numFmtId="0" xfId="0" applyAlignment="1" applyBorder="1" applyFont="1">
      <alignment horizontal="center" readingOrder="0" shrinkToFit="0" vertical="center" wrapText="1"/>
    </xf>
    <xf borderId="30" fillId="0" fontId="30" numFmtId="0" xfId="0" applyAlignment="1" applyBorder="1" applyFont="1">
      <alignment horizontal="center" readingOrder="0" vertical="center"/>
    </xf>
    <xf borderId="4" fillId="0" fontId="30" numFmtId="0" xfId="0" applyAlignment="1" applyBorder="1" applyFont="1">
      <alignment horizontal="center" readingOrder="0" vertical="center"/>
    </xf>
    <xf borderId="4" fillId="2" fontId="30" numFmtId="0" xfId="0" applyAlignment="1" applyBorder="1" applyFont="1">
      <alignment horizontal="center" vertical="center"/>
    </xf>
    <xf borderId="2" fillId="2" fontId="30" numFmtId="0" xfId="0" applyAlignment="1" applyBorder="1" applyFont="1">
      <alignment horizontal="center" readingOrder="0" vertical="center"/>
    </xf>
    <xf borderId="30" fillId="0" fontId="60" numFmtId="0" xfId="0" applyAlignment="1" applyBorder="1" applyFont="1">
      <alignment horizontal="center" vertical="center"/>
    </xf>
    <xf borderId="4" fillId="2" fontId="25" numFmtId="0" xfId="0" applyAlignment="1" applyBorder="1" applyFont="1">
      <alignment horizontal="center" readingOrder="0" vertical="center"/>
    </xf>
    <xf borderId="8" fillId="2" fontId="3" numFmtId="0" xfId="0" applyAlignment="1" applyBorder="1" applyFont="1">
      <alignment vertical="center"/>
    </xf>
    <xf borderId="31" fillId="4" fontId="3" numFmtId="0" xfId="0" applyAlignment="1" applyBorder="1" applyFont="1">
      <alignment vertical="center"/>
    </xf>
    <xf borderId="24" fillId="2" fontId="61" numFmtId="0" xfId="0" applyAlignment="1" applyBorder="1" applyFont="1">
      <alignment horizontal="center" readingOrder="0" vertical="center"/>
    </xf>
    <xf borderId="24" fillId="0" fontId="61" numFmtId="0" xfId="0" applyAlignment="1" applyBorder="1" applyFont="1">
      <alignment horizontal="center" readingOrder="0" vertical="center"/>
    </xf>
    <xf borderId="24" fillId="2" fontId="25" numFmtId="0" xfId="0" applyAlignment="1" applyBorder="1" applyFont="1">
      <alignment horizontal="center" readingOrder="0" vertical="center"/>
    </xf>
    <xf borderId="5" fillId="2" fontId="3" numFmtId="0" xfId="0" applyAlignment="1" applyBorder="1" applyFont="1">
      <alignment vertical="center"/>
    </xf>
    <xf borderId="18" fillId="2" fontId="12" numFmtId="0" xfId="0" applyAlignment="1" applyBorder="1" applyFont="1">
      <alignment horizontal="center" readingOrder="0" shrinkToFit="0" vertical="center" wrapText="1"/>
    </xf>
    <xf borderId="21" fillId="4" fontId="15" numFmtId="0" xfId="0" applyAlignment="1" applyBorder="1" applyFont="1">
      <alignment horizontal="center" vertical="center"/>
    </xf>
    <xf borderId="0" fillId="2" fontId="60" numFmtId="0" xfId="0" applyAlignment="1" applyFont="1">
      <alignment horizontal="center" vertical="center"/>
    </xf>
    <xf borderId="0" fillId="2" fontId="61" numFmtId="0" xfId="0" applyAlignment="1" applyFont="1">
      <alignment horizontal="center" readingOrder="0" vertical="center"/>
    </xf>
    <xf borderId="0" fillId="2" fontId="25" numFmtId="0" xfId="0" applyAlignment="1" applyFont="1">
      <alignment horizontal="center" readingOrder="0" vertical="center"/>
    </xf>
    <xf borderId="0" fillId="2" fontId="3" numFmtId="0" xfId="0" applyAlignment="1" applyFont="1">
      <alignment vertical="center"/>
    </xf>
    <xf borderId="0" fillId="2" fontId="20" numFmtId="0" xfId="0" applyAlignment="1" applyFont="1">
      <alignment horizontal="center" readingOrder="0" vertical="center"/>
    </xf>
    <xf borderId="0" fillId="2" fontId="36" numFmtId="0" xfId="0" applyAlignment="1" applyFont="1">
      <alignment horizontal="center" readingOrder="0" vertical="center"/>
    </xf>
    <xf borderId="0" fillId="0" fontId="37" numFmtId="0" xfId="0" applyAlignment="1" applyFont="1">
      <alignment horizontal="left" readingOrder="0" shrinkToFit="0" vertical="top" wrapText="0"/>
    </xf>
    <xf borderId="0" fillId="0" fontId="37" numFmtId="0" xfId="0" applyAlignment="1" applyFont="1">
      <alignment horizontal="left" readingOrder="0" shrinkToFit="0" vertical="center" wrapText="1"/>
    </xf>
    <xf borderId="0" fillId="2" fontId="60" numFmtId="0" xfId="0" applyAlignment="1" applyFont="1">
      <alignment horizontal="center" readingOrder="0" vertical="center"/>
    </xf>
    <xf borderId="0" fillId="0" fontId="31" numFmtId="0" xfId="0" applyAlignment="1" applyFont="1">
      <alignment vertical="center"/>
    </xf>
    <xf borderId="21" fillId="0" fontId="99" numFmtId="0" xfId="0" applyAlignment="1" applyBorder="1" applyFont="1">
      <alignment horizontal="center" readingOrder="0" vertical="center"/>
    </xf>
    <xf borderId="11" fillId="3" fontId="100" numFmtId="0" xfId="0" applyAlignment="1" applyBorder="1" applyFont="1">
      <alignment horizontal="center" readingOrder="0" vertical="center"/>
    </xf>
    <xf borderId="16" fillId="0" fontId="101" numFmtId="0" xfId="0" applyAlignment="1" applyBorder="1" applyFont="1">
      <alignment horizontal="center" readingOrder="0" vertical="center"/>
    </xf>
    <xf borderId="21" fillId="0" fontId="102" numFmtId="0" xfId="0" applyAlignment="1" applyBorder="1" applyFont="1">
      <alignment horizontal="left" readingOrder="0" shrinkToFit="0" vertical="center" wrapText="1"/>
    </xf>
    <xf borderId="0" fillId="7" fontId="103" numFmtId="0" xfId="0" applyAlignment="1" applyFont="1">
      <alignment horizontal="center" readingOrder="0" vertical="center"/>
    </xf>
    <xf borderId="21" fillId="5" fontId="99" numFmtId="0" xfId="0" applyAlignment="1" applyBorder="1" applyFont="1">
      <alignment horizontal="center" readingOrder="0" vertical="center"/>
    </xf>
    <xf borderId="41" fillId="2" fontId="15" numFmtId="0" xfId="0" applyAlignment="1" applyBorder="1" applyFont="1">
      <alignment horizontal="center" readingOrder="0" vertical="center"/>
    </xf>
    <xf borderId="25" fillId="2" fontId="24" numFmtId="0" xfId="0" applyAlignment="1" applyBorder="1" applyFont="1">
      <alignment horizontal="center" readingOrder="0" vertical="center"/>
    </xf>
    <xf borderId="25" fillId="2" fontId="17" numFmtId="0" xfId="0" applyAlignment="1" applyBorder="1" applyFont="1">
      <alignment horizontal="center" readingOrder="0" vertical="center"/>
    </xf>
    <xf borderId="47" fillId="6" fontId="104" numFmtId="0" xfId="0" applyAlignment="1" applyBorder="1" applyFont="1">
      <alignment horizontal="center" readingOrder="0" vertical="center"/>
    </xf>
    <xf borderId="0" fillId="0" fontId="105" numFmtId="0" xfId="0" applyAlignment="1" applyFont="1">
      <alignment horizontal="center" readingOrder="0" shrinkToFit="0" vertical="center" wrapText="0"/>
    </xf>
    <xf borderId="0" fillId="0" fontId="101" numFmtId="0" xfId="0" applyAlignment="1" applyFont="1">
      <alignment horizontal="center" readingOrder="0" vertical="center"/>
    </xf>
    <xf borderId="5" fillId="2" fontId="61" numFmtId="0" xfId="0" applyAlignment="1" applyBorder="1" applyFont="1">
      <alignment horizontal="center" readingOrder="0" vertical="center"/>
    </xf>
    <xf borderId="32" fillId="2" fontId="81" numFmtId="0" xfId="0" applyAlignment="1" applyBorder="1" applyFont="1">
      <alignment horizontal="center" readingOrder="0" vertical="center"/>
    </xf>
    <xf borderId="32" fillId="2" fontId="81" numFmtId="0" xfId="0" applyAlignment="1" applyBorder="1" applyFont="1">
      <alignment horizontal="center" vertical="center"/>
    </xf>
    <xf borderId="0" fillId="0" fontId="106" numFmtId="0" xfId="0" applyAlignment="1" applyFont="1">
      <alignment horizontal="center" vertical="center"/>
    </xf>
    <xf borderId="25" fillId="6" fontId="107" numFmtId="0" xfId="0" applyAlignment="1" applyBorder="1" applyFont="1">
      <alignment horizontal="center" readingOrder="0" vertical="center"/>
    </xf>
    <xf borderId="28" fillId="0" fontId="80" numFmtId="0" xfId="0" applyAlignment="1" applyBorder="1" applyFont="1">
      <alignment horizontal="center" readingOrder="0" shrinkToFit="0" vertical="center" wrapText="1"/>
    </xf>
    <xf borderId="8" fillId="7" fontId="99" numFmtId="0" xfId="0" applyAlignment="1" applyBorder="1" applyFont="1">
      <alignment horizontal="center" readingOrder="0" vertical="center"/>
    </xf>
    <xf borderId="28" fillId="0" fontId="12" numFmtId="0" xfId="0" applyAlignment="1" applyBorder="1" applyFont="1">
      <alignment horizontal="center" vertical="center"/>
    </xf>
    <xf borderId="32" fillId="0" fontId="12" numFmtId="0" xfId="0" applyAlignment="1" applyBorder="1" applyFont="1">
      <alignment horizontal="center" vertical="center"/>
    </xf>
    <xf borderId="8" fillId="0" fontId="12" numFmtId="0" xfId="0" applyAlignment="1" applyBorder="1" applyFont="1">
      <alignment horizontal="center" vertical="center"/>
    </xf>
    <xf borderId="28" fillId="0" fontId="24" numFmtId="0" xfId="0" applyAlignment="1" applyBorder="1" applyFont="1">
      <alignment horizontal="center" vertical="center"/>
    </xf>
    <xf borderId="32" fillId="0" fontId="25" numFmtId="0" xfId="0" applyAlignment="1" applyBorder="1" applyFont="1">
      <alignment horizontal="center" vertical="center"/>
    </xf>
    <xf borderId="32" fillId="0" fontId="7" numFmtId="0" xfId="0" applyAlignment="1" applyBorder="1" applyFont="1">
      <alignment horizontal="center" vertical="center"/>
    </xf>
    <xf borderId="8" fillId="0" fontId="25" numFmtId="0" xfId="0" applyAlignment="1" applyBorder="1" applyFont="1">
      <alignment horizontal="center" vertical="center"/>
    </xf>
    <xf borderId="31" fillId="4" fontId="31" numFmtId="0" xfId="0" applyAlignment="1" applyBorder="1" applyFont="1">
      <alignment horizontal="center" readingOrder="0" vertical="center"/>
    </xf>
    <xf borderId="39" fillId="0" fontId="24" numFmtId="0" xfId="0" applyAlignment="1" applyBorder="1" applyFont="1">
      <alignment horizontal="center" vertical="center"/>
    </xf>
    <xf borderId="34" fillId="0" fontId="25" numFmtId="0" xfId="0" applyAlignment="1" applyBorder="1" applyFont="1">
      <alignment horizontal="center" vertical="center"/>
    </xf>
    <xf borderId="34" fillId="0" fontId="7" numFmtId="0" xfId="0" applyAlignment="1" applyBorder="1" applyFont="1">
      <alignment horizontal="center" vertical="center"/>
    </xf>
    <xf borderId="36" fillId="0" fontId="25" numFmtId="0" xfId="0" applyAlignment="1" applyBorder="1" applyFont="1">
      <alignment horizontal="center" vertical="center"/>
    </xf>
    <xf borderId="31" fillId="4" fontId="11" numFmtId="0" xfId="0" applyAlignment="1" applyBorder="1" applyFont="1">
      <alignment horizontal="center" readingOrder="0"/>
    </xf>
    <xf borderId="52" fillId="4" fontId="11" numFmtId="0" xfId="0" applyAlignment="1" applyBorder="1" applyFont="1">
      <alignment horizontal="center" readingOrder="0"/>
    </xf>
    <xf borderId="12" fillId="2" fontId="12" numFmtId="0" xfId="0" applyAlignment="1" applyBorder="1" applyFont="1">
      <alignment horizontal="center" shrinkToFit="0" wrapText="1"/>
    </xf>
    <xf borderId="30" fillId="0" fontId="30" numFmtId="0" xfId="0" applyAlignment="1" applyBorder="1" applyFont="1">
      <alignment horizontal="center" readingOrder="0" shrinkToFit="0" vertical="center" wrapText="1"/>
    </xf>
    <xf borderId="2" fillId="7" fontId="99" numFmtId="0" xfId="0" applyAlignment="1" applyBorder="1" applyFont="1">
      <alignment horizontal="center" readingOrder="0" vertical="center"/>
    </xf>
    <xf borderId="30" fillId="0" fontId="12" numFmtId="0" xfId="0" applyAlignment="1" applyBorder="1" applyFont="1">
      <alignment horizontal="center" readingOrder="0" vertical="center"/>
    </xf>
    <xf borderId="4" fillId="0" fontId="12" numFmtId="0" xfId="0" applyAlignment="1" applyBorder="1" applyFont="1">
      <alignment horizontal="center" readingOrder="0" vertical="center"/>
    </xf>
    <xf borderId="3" fillId="0" fontId="12" numFmtId="0" xfId="0" applyAlignment="1" applyBorder="1" applyFont="1">
      <alignment horizontal="center" readingOrder="0" vertical="center"/>
    </xf>
    <xf borderId="30" fillId="0" fontId="24" numFmtId="0" xfId="0" applyAlignment="1" applyBorder="1" applyFont="1">
      <alignment horizontal="center" vertical="center"/>
    </xf>
    <xf borderId="48" fillId="0" fontId="25" numFmtId="0" xfId="0" applyAlignment="1" applyBorder="1" applyFont="1">
      <alignment horizontal="center" vertical="center"/>
    </xf>
    <xf borderId="48" fillId="0" fontId="33" numFmtId="0" xfId="0" applyAlignment="1" applyBorder="1" applyFont="1">
      <alignment horizontal="center" vertical="center"/>
    </xf>
    <xf borderId="2" fillId="0" fontId="25" numFmtId="0" xfId="0" applyAlignment="1" applyBorder="1" applyFont="1">
      <alignment horizontal="center" vertical="center"/>
    </xf>
    <xf borderId="33" fillId="0" fontId="24" numFmtId="0" xfId="0" applyAlignment="1" applyBorder="1" applyFont="1">
      <alignment horizontal="center" vertical="center"/>
    </xf>
    <xf borderId="55" fillId="0" fontId="25" numFmtId="0" xfId="0" applyAlignment="1" applyBorder="1" applyFont="1">
      <alignment horizontal="center" vertical="center"/>
    </xf>
    <xf borderId="55" fillId="0" fontId="33" numFmtId="0" xfId="0" applyAlignment="1" applyBorder="1" applyFont="1">
      <alignment horizontal="center" vertical="center"/>
    </xf>
    <xf borderId="53" fillId="0" fontId="25" numFmtId="0" xfId="0" applyAlignment="1" applyBorder="1" applyFont="1">
      <alignment horizontal="center" vertical="center"/>
    </xf>
    <xf borderId="41" fillId="0" fontId="24" numFmtId="0" xfId="0" applyAlignment="1" applyBorder="1" applyFont="1">
      <alignment horizontal="center" vertical="center"/>
    </xf>
    <xf borderId="28" fillId="0" fontId="106" numFmtId="0" xfId="0" applyAlignment="1" applyBorder="1" applyFont="1">
      <alignment horizontal="center" readingOrder="0" vertical="center"/>
    </xf>
    <xf borderId="32" fillId="0" fontId="31" numFmtId="0" xfId="0" applyAlignment="1" applyBorder="1" applyFont="1">
      <alignment horizontal="center" readingOrder="0" vertical="center"/>
    </xf>
    <xf borderId="32" fillId="0" fontId="108" numFmtId="0" xfId="0" applyAlignment="1" applyBorder="1" applyFont="1">
      <alignment horizontal="center" readingOrder="0" vertical="center"/>
    </xf>
    <xf borderId="8" fillId="0" fontId="31" numFmtId="0" xfId="0" applyAlignment="1" applyBorder="1" applyFont="1">
      <alignment horizontal="center" readingOrder="0" vertical="center"/>
    </xf>
    <xf borderId="39" fillId="0" fontId="106" numFmtId="0" xfId="0" applyAlignment="1" applyBorder="1" applyFont="1">
      <alignment horizontal="center" readingOrder="0" vertical="center"/>
    </xf>
    <xf borderId="34" fillId="0" fontId="31" numFmtId="0" xfId="0" applyAlignment="1" applyBorder="1" applyFont="1">
      <alignment horizontal="center" readingOrder="0" vertical="center"/>
    </xf>
    <xf borderId="34" fillId="0" fontId="108" numFmtId="0" xfId="0" applyAlignment="1" applyBorder="1" applyFont="1">
      <alignment horizontal="center" readingOrder="0" vertical="center"/>
    </xf>
    <xf borderId="36" fillId="0" fontId="31" numFmtId="0" xfId="0" applyAlignment="1" applyBorder="1" applyFont="1">
      <alignment horizontal="center" readingOrder="0" vertical="center"/>
    </xf>
    <xf borderId="0" fillId="0" fontId="106" numFmtId="0" xfId="0" applyAlignment="1" applyFont="1">
      <alignment vertical="center"/>
    </xf>
    <xf borderId="11" fillId="3" fontId="109" numFmtId="0" xfId="0" applyAlignment="1" applyBorder="1" applyFont="1">
      <alignment horizontal="center" readingOrder="0" vertical="center"/>
    </xf>
    <xf borderId="12" fillId="2" fontId="15" numFmtId="0" xfId="0" applyAlignment="1" applyBorder="1" applyFont="1">
      <alignment horizontal="center" readingOrder="0" vertical="center"/>
    </xf>
    <xf borderId="42" fillId="6" fontId="110" numFmtId="0" xfId="0" applyAlignment="1" applyBorder="1" applyFont="1">
      <alignment horizontal="center" readingOrder="0" vertical="center"/>
    </xf>
    <xf borderId="4" fillId="0" fontId="7" numFmtId="0" xfId="0" applyAlignment="1" applyBorder="1" applyFont="1">
      <alignment horizontal="center" readingOrder="0" vertical="center"/>
    </xf>
    <xf borderId="33" fillId="0" fontId="24" numFmtId="0" xfId="0" applyAlignment="1" applyBorder="1" applyFont="1">
      <alignment horizontal="center" readingOrder="0" vertical="center"/>
    </xf>
    <xf borderId="35" fillId="0" fontId="25" numFmtId="0" xfId="0" applyAlignment="1" applyBorder="1" applyFont="1">
      <alignment horizontal="center" readingOrder="0" vertical="center"/>
    </xf>
    <xf borderId="35" fillId="0" fontId="7" numFmtId="0" xfId="0" applyAlignment="1" applyBorder="1" applyFont="1">
      <alignment horizontal="center" readingOrder="0" vertical="center"/>
    </xf>
    <xf borderId="1" fillId="0" fontId="25" numFmtId="0" xfId="0" applyAlignment="1" applyBorder="1" applyFont="1">
      <alignment horizontal="center" readingOrder="0" vertical="center"/>
    </xf>
    <xf borderId="0" fillId="2" fontId="24" numFmtId="0" xfId="0" applyAlignment="1" applyFont="1">
      <alignment horizontal="center" readingOrder="0" vertical="center"/>
    </xf>
    <xf borderId="8" fillId="7" fontId="15" numFmtId="0" xfId="0" applyAlignment="1" applyBorder="1" applyFont="1">
      <alignment horizontal="center" vertical="center"/>
    </xf>
    <xf borderId="32" fillId="2" fontId="31" numFmtId="0" xfId="0" applyAlignment="1" applyBorder="1" applyFont="1">
      <alignment horizontal="center" vertical="center"/>
    </xf>
    <xf borderId="32" fillId="2" fontId="111" numFmtId="0" xfId="0" applyAlignment="1" applyBorder="1" applyFont="1">
      <alignment horizontal="center" vertical="center"/>
    </xf>
    <xf borderId="8" fillId="2" fontId="31" numFmtId="0" xfId="0" applyAlignment="1" applyBorder="1" applyFont="1">
      <alignment horizontal="center" vertical="center"/>
    </xf>
    <xf borderId="39" fillId="0" fontId="24" numFmtId="0" xfId="0" applyAlignment="1" applyBorder="1" applyFont="1">
      <alignment horizontal="center" readingOrder="0" vertical="center"/>
    </xf>
    <xf borderId="34" fillId="2" fontId="31" numFmtId="0" xfId="0" applyAlignment="1" applyBorder="1" applyFont="1">
      <alignment horizontal="center" vertical="center"/>
    </xf>
    <xf borderId="34" fillId="2" fontId="111" numFmtId="0" xfId="0" applyAlignment="1" applyBorder="1" applyFont="1">
      <alignment horizontal="center" vertical="center"/>
    </xf>
    <xf borderId="36" fillId="2" fontId="31" numFmtId="0" xfId="0" applyAlignment="1" applyBorder="1" applyFont="1">
      <alignment horizontal="center" vertical="center"/>
    </xf>
    <xf borderId="0" fillId="2" fontId="30" numFmtId="0" xfId="0" applyAlignment="1" applyFont="1">
      <alignment horizontal="center" readingOrder="0" vertical="center"/>
    </xf>
    <xf borderId="32" fillId="0" fontId="24" numFmtId="0" xfId="0" applyAlignment="1" applyBorder="1" applyFont="1">
      <alignment horizontal="center" vertical="center"/>
    </xf>
    <xf borderId="10" fillId="2" fontId="31" numFmtId="0" xfId="0" applyAlignment="1" applyBorder="1" applyFont="1">
      <alignment horizontal="center" readingOrder="0" vertical="center"/>
    </xf>
    <xf borderId="11" fillId="3" fontId="112" numFmtId="0" xfId="0" applyAlignment="1" applyBorder="1" applyFont="1">
      <alignment horizontal="center" vertical="center"/>
    </xf>
    <xf borderId="16" fillId="5" fontId="4" numFmtId="0" xfId="0" applyAlignment="1" applyBorder="1" applyFont="1">
      <alignment horizontal="center" readingOrder="0" vertical="center"/>
    </xf>
    <xf borderId="21" fillId="0" fontId="113" numFmtId="0" xfId="0" applyAlignment="1" applyBorder="1" applyFont="1">
      <alignment horizontal="center" readingOrder="0" vertical="center"/>
    </xf>
    <xf borderId="25" fillId="6" fontId="114" numFmtId="0" xfId="0" applyAlignment="1" applyBorder="1" applyFont="1">
      <alignment horizontal="center" readingOrder="0" vertical="center"/>
    </xf>
    <xf borderId="51" fillId="0" fontId="16" numFmtId="0" xfId="0" applyAlignment="1" applyBorder="1" applyFont="1">
      <alignment horizontal="center" readingOrder="0" shrinkToFit="0" vertical="center" wrapText="1"/>
    </xf>
    <xf borderId="0" fillId="2" fontId="24" numFmtId="0" xfId="0" applyAlignment="1" applyFont="1">
      <alignment horizontal="center" vertical="center"/>
    </xf>
    <xf borderId="8" fillId="0" fontId="12" numFmtId="0" xfId="0" applyAlignment="1" applyBorder="1" applyFont="1">
      <alignment horizontal="center" readingOrder="0" vertical="center"/>
    </xf>
    <xf borderId="8" fillId="2" fontId="61" numFmtId="0" xfId="0" applyAlignment="1" applyBorder="1" applyFont="1">
      <alignment horizontal="center" vertical="center"/>
    </xf>
    <xf borderId="0" fillId="0" fontId="105" numFmtId="0" xfId="0" applyAlignment="1" applyFont="1">
      <alignment vertical="center"/>
    </xf>
    <xf borderId="39" fillId="2" fontId="60" numFmtId="0" xfId="0" applyAlignment="1" applyBorder="1" applyFont="1">
      <alignment horizontal="center" vertical="center"/>
    </xf>
    <xf borderId="36" fillId="2" fontId="61" numFmtId="0" xfId="0" applyAlignment="1" applyBorder="1" applyFont="1">
      <alignment horizontal="center" vertical="center"/>
    </xf>
    <xf borderId="0" fillId="2" fontId="98" numFmtId="0" xfId="0" applyAlignment="1" applyFont="1">
      <alignment horizontal="center" readingOrder="0" vertical="center"/>
    </xf>
    <xf borderId="25" fillId="6" fontId="13" numFmtId="0" xfId="0" applyAlignment="1" applyBorder="1" applyFont="1">
      <alignment horizontal="center" readingOrder="0" shrinkToFit="0" vertical="center" wrapText="1"/>
    </xf>
    <xf borderId="28" fillId="2" fontId="24" numFmtId="0" xfId="0" applyAlignment="1" applyBorder="1" applyFont="1">
      <alignment horizontal="center" readingOrder="0" vertical="center"/>
    </xf>
    <xf borderId="32" fillId="2" fontId="25" numFmtId="0" xfId="0" applyAlignment="1" applyBorder="1" applyFont="1">
      <alignment horizontal="center" readingOrder="0" vertical="center"/>
    </xf>
    <xf borderId="8" fillId="2" fontId="25" numFmtId="0" xfId="0" applyAlignment="1" applyBorder="1" applyFont="1">
      <alignment horizontal="center" readingOrder="0" vertical="center"/>
    </xf>
    <xf borderId="39" fillId="2" fontId="24" numFmtId="0" xfId="0" applyAlignment="1" applyBorder="1" applyFont="1">
      <alignment horizontal="center" readingOrder="0" vertical="center"/>
    </xf>
    <xf borderId="34" fillId="2" fontId="25" numFmtId="0" xfId="0" applyAlignment="1" applyBorder="1" applyFont="1">
      <alignment horizontal="center" readingOrder="0" vertical="center"/>
    </xf>
    <xf borderId="36" fillId="2" fontId="25" numFmtId="0" xfId="0" applyAlignment="1" applyBorder="1" applyFont="1">
      <alignment horizontal="center" readingOrder="0" vertical="center"/>
    </xf>
    <xf borderId="3" fillId="7" fontId="115" numFmtId="0" xfId="0" applyAlignment="1" applyBorder="1" applyFont="1">
      <alignment horizontal="center" readingOrder="0"/>
    </xf>
    <xf borderId="31" fillId="4" fontId="3" numFmtId="0" xfId="0" applyAlignment="1" applyBorder="1" applyFont="1">
      <alignment readingOrder="0" vertical="center"/>
    </xf>
    <xf borderId="21" fillId="3" fontId="116" numFmtId="0" xfId="0" applyAlignment="1" applyBorder="1" applyFont="1">
      <alignment horizontal="center" readingOrder="0" vertical="center"/>
    </xf>
    <xf borderId="21" fillId="5" fontId="117" numFmtId="0" xfId="0" applyAlignment="1" applyBorder="1" applyFont="1">
      <alignment horizontal="center" readingOrder="0" vertical="center"/>
    </xf>
    <xf borderId="0" fillId="2" fontId="101" numFmtId="0" xfId="0" applyAlignment="1" applyFont="1">
      <alignment horizontal="left" readingOrder="0" vertical="center"/>
    </xf>
    <xf borderId="0" fillId="0" fontId="118" numFmtId="0" xfId="0" applyAlignment="1" applyFont="1">
      <alignment horizontal="center" vertical="center"/>
    </xf>
    <xf borderId="14" fillId="0" fontId="119" numFmtId="0" xfId="0" applyAlignment="1" applyBorder="1" applyFont="1">
      <alignment vertical="center"/>
    </xf>
    <xf borderId="15" fillId="0" fontId="1" numFmtId="0" xfId="0" applyAlignment="1" applyBorder="1" applyFont="1">
      <alignment vertical="center"/>
    </xf>
    <xf borderId="14" fillId="0" fontId="120" numFmtId="0" xfId="0" applyAlignment="1" applyBorder="1" applyFont="1">
      <alignment horizontal="left" shrinkToFit="0" vertical="center" wrapText="1"/>
    </xf>
    <xf borderId="14" fillId="0" fontId="1" numFmtId="0" xfId="0" applyBorder="1" applyFont="1"/>
    <xf borderId="16" fillId="0" fontId="119" numFmtId="0" xfId="0" applyAlignment="1" applyBorder="1" applyFont="1">
      <alignment vertical="center"/>
    </xf>
    <xf borderId="17" fillId="0" fontId="1" numFmtId="0" xfId="0" applyAlignment="1" applyBorder="1" applyFont="1">
      <alignment vertical="center"/>
    </xf>
    <xf borderId="0" fillId="0" fontId="119" numFmtId="0" xfId="0" applyAlignment="1" applyFont="1">
      <alignment vertical="center"/>
    </xf>
    <xf borderId="0" fillId="0" fontId="82" numFmtId="0" xfId="0" applyAlignment="1" applyFont="1">
      <alignment horizontal="center"/>
    </xf>
    <xf borderId="2" fillId="0" fontId="4" numFmtId="0" xfId="0" applyAlignment="1" applyBorder="1" applyFont="1">
      <alignment horizontal="center" readingOrder="0"/>
    </xf>
    <xf borderId="0" fillId="0" fontId="3" numFmtId="0" xfId="0" applyAlignment="1" applyFont="1">
      <alignment horizontal="center"/>
    </xf>
    <xf borderId="5" fillId="3" fontId="121" numFmtId="0" xfId="0" applyAlignment="1" applyBorder="1" applyFont="1">
      <alignment horizontal="center" readingOrder="0"/>
    </xf>
    <xf borderId="8" fillId="0" fontId="7" numFmtId="0" xfId="0" applyAlignment="1" applyBorder="1" applyFont="1">
      <alignment horizontal="left" readingOrder="0" shrinkToFit="0" vertical="center" wrapText="1"/>
    </xf>
    <xf borderId="21" fillId="5" fontId="15" numFmtId="0" xfId="0" applyAlignment="1" applyBorder="1" applyFont="1">
      <alignment horizontal="center" readingOrder="0" vertical="bottom"/>
    </xf>
    <xf borderId="11" fillId="5" fontId="15" numFmtId="0" xfId="0" applyAlignment="1" applyBorder="1" applyFont="1">
      <alignment horizontal="center" readingOrder="0" vertical="bottom"/>
    </xf>
    <xf borderId="41" fillId="2" fontId="17" numFmtId="0" xfId="0" applyAlignment="1" applyBorder="1" applyFont="1">
      <alignment horizontal="center" readingOrder="0" vertical="bottom"/>
    </xf>
    <xf borderId="12" fillId="2" fontId="17" numFmtId="0" xfId="0" applyAlignment="1" applyBorder="1" applyFont="1">
      <alignment horizontal="center" readingOrder="0" vertical="bottom"/>
    </xf>
    <xf borderId="21" fillId="2" fontId="17" numFmtId="0" xfId="0" applyAlignment="1" applyBorder="1" applyFont="1">
      <alignment horizontal="center" readingOrder="0" vertical="bottom"/>
    </xf>
    <xf borderId="0" fillId="2" fontId="79" numFmtId="0" xfId="0" applyAlignment="1" applyFont="1">
      <alignment horizontal="center" readingOrder="0" shrinkToFit="0" vertical="center" wrapText="0"/>
    </xf>
    <xf borderId="32" fillId="2" fontId="122" numFmtId="0" xfId="0" applyAlignment="1" applyBorder="1" applyFont="1">
      <alignment horizontal="center" readingOrder="0" vertical="center"/>
    </xf>
    <xf borderId="32" fillId="2" fontId="24" numFmtId="0" xfId="0" applyAlignment="1" applyBorder="1" applyFont="1">
      <alignment horizontal="center" readingOrder="0" vertical="center"/>
    </xf>
    <xf borderId="32" fillId="2" fontId="24" numFmtId="0" xfId="0" applyAlignment="1" applyBorder="1" applyFont="1">
      <alignment horizontal="center" vertical="center"/>
    </xf>
    <xf borderId="0" fillId="2" fontId="82" numFmtId="0" xfId="0" applyAlignment="1" applyFont="1">
      <alignment horizontal="center" vertical="bottom"/>
    </xf>
    <xf borderId="2" fillId="7" fontId="4" numFmtId="0" xfId="0" applyAlignment="1" applyBorder="1" applyFont="1">
      <alignment horizontal="center" readingOrder="0" vertical="center"/>
    </xf>
    <xf borderId="41" fillId="7" fontId="4" numFmtId="0" xfId="0" applyAlignment="1" applyBorder="1" applyFont="1">
      <alignment horizontal="center" readingOrder="0" vertical="center"/>
    </xf>
    <xf borderId="8" fillId="0" fontId="30" numFmtId="0" xfId="0" applyAlignment="1" applyBorder="1" applyFont="1">
      <alignment horizontal="center" readingOrder="0" vertical="center"/>
    </xf>
    <xf borderId="0" fillId="2" fontId="3" numFmtId="0" xfId="0" applyAlignment="1" applyFont="1">
      <alignment horizontal="center"/>
    </xf>
    <xf borderId="28" fillId="0" fontId="24" numFmtId="0" xfId="0" applyAlignment="1" applyBorder="1" applyFont="1">
      <alignment horizontal="center" vertical="bottom"/>
    </xf>
    <xf borderId="32" fillId="2" fontId="61" numFmtId="0" xfId="0" applyAlignment="1" applyBorder="1" applyFont="1">
      <alignment horizontal="center"/>
    </xf>
    <xf borderId="8" fillId="2" fontId="32" numFmtId="0" xfId="0" applyAlignment="1" applyBorder="1" applyFont="1">
      <alignment horizontal="center"/>
    </xf>
    <xf borderId="31" fillId="4" fontId="25" numFmtId="0" xfId="0" applyAlignment="1" applyBorder="1" applyFont="1">
      <alignment horizontal="center" readingOrder="0" vertical="bottom"/>
    </xf>
    <xf borderId="30" fillId="0" fontId="24" numFmtId="0" xfId="0" applyAlignment="1" applyBorder="1" applyFont="1">
      <alignment horizontal="center" vertical="center"/>
    </xf>
    <xf borderId="48" fillId="2" fontId="61" numFmtId="0" xfId="0" applyAlignment="1" applyBorder="1" applyFont="1">
      <alignment horizontal="center" vertical="center"/>
    </xf>
    <xf borderId="39" fillId="0" fontId="24" numFmtId="0" xfId="0" applyAlignment="1" applyBorder="1" applyFont="1">
      <alignment horizontal="center" vertical="bottom"/>
    </xf>
    <xf borderId="34" fillId="2" fontId="61" numFmtId="0" xfId="0" applyAlignment="1" applyBorder="1" applyFont="1">
      <alignment horizontal="center"/>
    </xf>
    <xf borderId="36" fillId="2" fontId="32" numFmtId="0" xfId="0" applyAlignment="1" applyBorder="1" applyFont="1">
      <alignment horizontal="center"/>
    </xf>
    <xf borderId="33" fillId="0" fontId="24" numFmtId="0" xfId="0" applyAlignment="1" applyBorder="1" applyFont="1">
      <alignment horizontal="center" vertical="center"/>
    </xf>
    <xf borderId="55" fillId="2" fontId="61" numFmtId="0" xfId="0" applyAlignment="1" applyBorder="1" applyFont="1">
      <alignment horizontal="center" vertical="center"/>
    </xf>
    <xf borderId="0" fillId="0" fontId="17" numFmtId="0" xfId="0" applyAlignment="1" applyFont="1">
      <alignment horizontal="center" readingOrder="0" vertical="bottom"/>
    </xf>
    <xf borderId="25" fillId="6" fontId="123" numFmtId="0" xfId="0" applyAlignment="1" applyBorder="1" applyFont="1">
      <alignment horizontal="center" readingOrder="0" vertical="bottom"/>
    </xf>
    <xf borderId="0" fillId="2" fontId="82" numFmtId="0" xfId="0" applyAlignment="1" applyFont="1">
      <alignment horizontal="center" vertical="bottom"/>
    </xf>
    <xf borderId="2" fillId="7" fontId="4" numFmtId="0" xfId="0" applyAlignment="1" applyBorder="1" applyFont="1">
      <alignment horizontal="center" readingOrder="0" vertical="bottom"/>
    </xf>
    <xf borderId="30" fillId="0" fontId="12" numFmtId="0" xfId="0" applyAlignment="1" applyBorder="1" applyFont="1">
      <alignment horizontal="center" vertical="bottom"/>
    </xf>
    <xf borderId="4" fillId="0" fontId="12" numFmtId="0" xfId="0" applyAlignment="1" applyBorder="1" applyFont="1">
      <alignment horizontal="center" vertical="bottom"/>
    </xf>
    <xf borderId="3" fillId="0" fontId="30" numFmtId="0" xfId="0" applyAlignment="1" applyBorder="1" applyFont="1">
      <alignment horizontal="center" vertical="bottom"/>
    </xf>
    <xf borderId="30" fillId="0" fontId="24" numFmtId="0" xfId="0" applyAlignment="1" applyBorder="1" applyFont="1">
      <alignment horizontal="center" vertical="bottom"/>
    </xf>
    <xf borderId="4" fillId="0" fontId="25" numFmtId="0" xfId="0" applyAlignment="1" applyBorder="1" applyFont="1">
      <alignment horizontal="center" vertical="bottom"/>
    </xf>
    <xf borderId="4" fillId="0" fontId="33" numFmtId="0" xfId="0" applyAlignment="1" applyBorder="1" applyFont="1">
      <alignment horizontal="center" vertical="center"/>
    </xf>
    <xf borderId="3" fillId="0" fontId="32" numFmtId="0" xfId="0" applyAlignment="1" applyBorder="1" applyFont="1">
      <alignment horizontal="center" vertical="bottom"/>
    </xf>
    <xf borderId="33" fillId="0" fontId="24" numFmtId="0" xfId="0" applyAlignment="1" applyBorder="1" applyFont="1">
      <alignment horizontal="center" vertical="bottom"/>
    </xf>
    <xf borderId="35" fillId="0" fontId="25" numFmtId="0" xfId="0" applyAlignment="1" applyBorder="1" applyFont="1">
      <alignment horizontal="center" vertical="bottom"/>
    </xf>
    <xf borderId="35" fillId="0" fontId="33" numFmtId="0" xfId="0" applyAlignment="1" applyBorder="1" applyFont="1">
      <alignment horizontal="center" vertical="center"/>
    </xf>
    <xf borderId="1" fillId="0" fontId="32" numFmtId="0" xfId="0" applyAlignment="1" applyBorder="1" applyFont="1">
      <alignment horizontal="center" vertical="bottom"/>
    </xf>
    <xf borderId="0" fillId="2" fontId="17" numFmtId="0" xfId="0" applyAlignment="1" applyFont="1">
      <alignment horizontal="center" readingOrder="0" vertical="bottom"/>
    </xf>
    <xf borderId="39" fillId="0" fontId="24" numFmtId="0" xfId="0" applyAlignment="1" applyBorder="1" applyFont="1">
      <alignment horizontal="center" readingOrder="0" vertical="center"/>
    </xf>
    <xf borderId="12" fillId="2" fontId="24" numFmtId="0" xfId="0" applyAlignment="1" applyBorder="1" applyFont="1">
      <alignment horizontal="center" vertical="center"/>
    </xf>
    <xf borderId="11" fillId="3" fontId="124" numFmtId="0" xfId="0" applyAlignment="1" applyBorder="1" applyFont="1">
      <alignment horizontal="center" readingOrder="0" vertical="center"/>
    </xf>
    <xf borderId="22" fillId="2" fontId="95" numFmtId="0" xfId="0" applyAlignment="1" applyBorder="1" applyFont="1">
      <alignment horizontal="center" readingOrder="0" vertical="center"/>
    </xf>
    <xf borderId="0" fillId="2" fontId="15" numFmtId="0" xfId="0" applyAlignment="1" applyFont="1">
      <alignment horizontal="center" readingOrder="0" vertical="bottom"/>
    </xf>
    <xf borderId="3" fillId="0" fontId="30" numFmtId="0" xfId="0" applyAlignment="1" applyBorder="1" applyFont="1">
      <alignment horizontal="center" readingOrder="0" vertical="center"/>
    </xf>
    <xf borderId="32" fillId="2" fontId="25" numFmtId="0" xfId="0" applyAlignment="1" applyBorder="1" applyFont="1">
      <alignment horizontal="center" readingOrder="0" vertical="bottom"/>
    </xf>
    <xf borderId="8" fillId="2" fontId="32" numFmtId="0" xfId="0" applyAlignment="1" applyBorder="1" applyFont="1">
      <alignment horizontal="center" readingOrder="0" vertical="bottom"/>
    </xf>
    <xf borderId="34" fillId="2" fontId="25" numFmtId="0" xfId="0" applyAlignment="1" applyBorder="1" applyFont="1">
      <alignment horizontal="center" readingOrder="0" vertical="bottom"/>
    </xf>
    <xf borderId="36" fillId="2" fontId="32" numFmtId="0" xfId="0" applyAlignment="1" applyBorder="1" applyFont="1">
      <alignment horizontal="center" readingOrder="0" vertical="bottom"/>
    </xf>
    <xf borderId="28" fillId="2" fontId="79" numFmtId="0" xfId="0" applyAlignment="1" applyBorder="1" applyFont="1">
      <alignment horizontal="center" readingOrder="0" shrinkToFit="0" vertical="center" wrapText="1"/>
    </xf>
    <xf borderId="0" fillId="0" fontId="6" numFmtId="0" xfId="0" applyAlignment="1" applyFont="1">
      <alignment horizontal="center" readingOrder="0" vertical="bottom"/>
    </xf>
    <xf borderId="32" fillId="2" fontId="61" numFmtId="0" xfId="0" applyAlignment="1" applyBorder="1" applyFont="1">
      <alignment horizontal="center"/>
    </xf>
    <xf borderId="32" fillId="2" fontId="61" numFmtId="165" xfId="0" applyAlignment="1" applyBorder="1" applyFont="1" applyNumberFormat="1">
      <alignment horizontal="center"/>
    </xf>
    <xf borderId="8" fillId="2" fontId="32" numFmtId="0" xfId="0" applyAlignment="1" applyBorder="1" applyFont="1">
      <alignment horizontal="center"/>
    </xf>
    <xf borderId="0" fillId="2" fontId="6" numFmtId="0" xfId="0" applyAlignment="1" applyFont="1">
      <alignment horizontal="center" readingOrder="0" vertical="bottom"/>
    </xf>
    <xf borderId="25" fillId="6" fontId="125" numFmtId="0" xfId="0" applyAlignment="1" applyBorder="1" applyFont="1">
      <alignment horizontal="center" readingOrder="0" vertical="bottom"/>
    </xf>
    <xf borderId="28" fillId="0" fontId="30" numFmtId="0" xfId="0" applyAlignment="1" applyBorder="1" applyFont="1">
      <alignment horizontal="center" readingOrder="0" shrinkToFit="0" vertical="center" wrapText="1"/>
    </xf>
    <xf borderId="8" fillId="7" fontId="15" numFmtId="0" xfId="0" applyAlignment="1" applyBorder="1" applyFont="1">
      <alignment horizontal="center" readingOrder="0"/>
    </xf>
    <xf borderId="0" fillId="0" fontId="3" numFmtId="0" xfId="0" applyFont="1"/>
    <xf borderId="28" fillId="0" fontId="24" numFmtId="0" xfId="0" applyAlignment="1" applyBorder="1" applyFont="1">
      <alignment horizontal="center" vertical="bottom"/>
    </xf>
    <xf borderId="32" fillId="2" fontId="81" numFmtId="165" xfId="0" applyAlignment="1" applyBorder="1" applyFont="1" applyNumberFormat="1">
      <alignment horizontal="center"/>
    </xf>
    <xf borderId="0" fillId="0" fontId="82" numFmtId="0" xfId="0" applyAlignment="1" applyFont="1">
      <alignment horizontal="center"/>
    </xf>
    <xf borderId="21" fillId="5" fontId="4" numFmtId="0" xfId="0" applyAlignment="1" applyBorder="1" applyFont="1">
      <alignment horizontal="center" readingOrder="0" vertical="bottom"/>
    </xf>
    <xf borderId="0" fillId="2" fontId="4" numFmtId="0" xfId="0" applyAlignment="1" applyFont="1">
      <alignment horizontal="center" readingOrder="0" vertical="bottom"/>
    </xf>
    <xf borderId="21" fillId="3" fontId="126" numFmtId="0" xfId="0" applyAlignment="1" applyBorder="1" applyFont="1">
      <alignment horizontal="center" readingOrder="0" vertical="bottom"/>
    </xf>
    <xf borderId="25" fillId="6" fontId="127" numFmtId="0" xfId="0" applyAlignment="1" applyBorder="1" applyFont="1">
      <alignment horizontal="center" readingOrder="0" shrinkToFit="0" vertical="center" wrapText="1"/>
    </xf>
    <xf borderId="0" fillId="2" fontId="13" numFmtId="0" xfId="0" applyAlignment="1" applyFont="1">
      <alignment horizontal="center" readingOrder="0" shrinkToFit="0" vertical="center" wrapText="1"/>
    </xf>
    <xf borderId="28" fillId="2" fontId="12" numFmtId="0" xfId="0" applyAlignment="1" applyBorder="1" applyFont="1">
      <alignment horizontal="center" readingOrder="0" vertical="center"/>
    </xf>
    <xf borderId="32" fillId="2" fontId="12" numFmtId="0" xfId="0" applyAlignment="1" applyBorder="1" applyFont="1">
      <alignment horizontal="center" readingOrder="0" vertical="center"/>
    </xf>
    <xf borderId="8" fillId="2" fontId="30" numFmtId="0" xfId="0" applyAlignment="1" applyBorder="1" applyFont="1">
      <alignment horizontal="center" readingOrder="0" vertical="center"/>
    </xf>
    <xf borderId="30" fillId="2" fontId="24" numFmtId="0" xfId="0" applyAlignment="1" applyBorder="1" applyFont="1">
      <alignment horizontal="center" vertical="bottom"/>
    </xf>
    <xf borderId="32" fillId="2" fontId="32" numFmtId="0" xfId="0" applyAlignment="1" applyBorder="1" applyFont="1">
      <alignment horizontal="center"/>
    </xf>
    <xf borderId="33" fillId="2" fontId="24" numFmtId="0" xfId="0" applyAlignment="1" applyBorder="1" applyFont="1">
      <alignment horizontal="center" vertical="bottom"/>
    </xf>
    <xf borderId="34" fillId="2" fontId="61" numFmtId="0" xfId="0" applyAlignment="1" applyBorder="1" applyFont="1">
      <alignment horizontal="center"/>
    </xf>
    <xf borderId="34" fillId="2" fontId="32" numFmtId="0" xfId="0" applyAlignment="1" applyBorder="1" applyFont="1">
      <alignment horizontal="center"/>
    </xf>
    <xf borderId="32" fillId="0" fontId="32" numFmtId="0" xfId="0" applyAlignment="1" applyBorder="1" applyFont="1">
      <alignment horizontal="center" vertical="center"/>
    </xf>
    <xf borderId="56" fillId="4" fontId="25" numFmtId="0" xfId="0" applyAlignment="1" applyBorder="1" applyFont="1">
      <alignment horizontal="center" readingOrder="0" vertical="center"/>
    </xf>
    <xf borderId="34" fillId="0" fontId="32" numFmtId="0" xfId="0" applyAlignment="1" applyBorder="1" applyFont="1">
      <alignment horizontal="center" vertical="center"/>
    </xf>
    <xf borderId="3" fillId="7" fontId="29" numFmtId="0" xfId="0" applyAlignment="1" applyBorder="1" applyFont="1">
      <alignment horizontal="center" readingOrder="0"/>
    </xf>
    <xf borderId="0" fillId="2" fontId="128" numFmtId="0" xfId="0" applyAlignment="1" applyFont="1">
      <alignment horizontal="center" readingOrder="0" vertical="bottom"/>
    </xf>
    <xf borderId="6" fillId="2" fontId="128" numFmtId="0" xfId="0" applyAlignment="1" applyBorder="1" applyFont="1">
      <alignment horizontal="center" readingOrder="0" vertical="bottom"/>
    </xf>
    <xf borderId="0" fillId="2" fontId="13" numFmtId="0" xfId="0" applyAlignment="1" applyFont="1">
      <alignment horizontal="center" readingOrder="0" shrinkToFit="0" vertical="center" wrapText="1"/>
    </xf>
    <xf borderId="11" fillId="3" fontId="129" numFmtId="0" xfId="0" applyAlignment="1" applyBorder="1" applyFont="1">
      <alignment horizontal="center" vertical="center"/>
    </xf>
    <xf borderId="0" fillId="0" fontId="3" numFmtId="0" xfId="0" applyAlignment="1" applyFont="1">
      <alignment vertical="bottom"/>
    </xf>
    <xf borderId="48" fillId="0" fontId="12" numFmtId="0" xfId="0" applyAlignment="1" applyBorder="1" applyFont="1">
      <alignment horizontal="center" readingOrder="0" vertical="center"/>
    </xf>
    <xf borderId="2" fillId="0" fontId="12" numFmtId="0" xfId="0" applyAlignment="1" applyBorder="1" applyFont="1">
      <alignment horizontal="center" readingOrder="0" vertical="center"/>
    </xf>
    <xf borderId="30" fillId="0" fontId="60" numFmtId="0" xfId="0" applyAlignment="1" applyBorder="1" applyFont="1">
      <alignment horizontal="center" readingOrder="0" vertical="center"/>
    </xf>
    <xf borderId="57" fillId="2" fontId="25" numFmtId="0" xfId="0" applyAlignment="1" applyBorder="1" applyFont="1">
      <alignment horizontal="center" readingOrder="0" vertical="center"/>
    </xf>
    <xf borderId="23" fillId="4" fontId="25" numFmtId="0" xfId="0" applyAlignment="1" applyBorder="1" applyFont="1">
      <alignment horizontal="center" readingOrder="0" vertical="center"/>
    </xf>
    <xf borderId="37" fillId="2" fontId="24" numFmtId="0" xfId="0" applyAlignment="1" applyBorder="1" applyFont="1">
      <alignment horizontal="center" vertical="center"/>
    </xf>
    <xf borderId="38" fillId="0" fontId="25" numFmtId="0" xfId="0" applyAlignment="1" applyBorder="1" applyFont="1">
      <alignment horizontal="center" vertical="center"/>
    </xf>
    <xf borderId="38" fillId="2" fontId="25" numFmtId="0" xfId="0" applyAlignment="1" applyBorder="1" applyFont="1">
      <alignment horizontal="center" readingOrder="0" vertical="center"/>
    </xf>
    <xf borderId="5" fillId="0" fontId="32" numFmtId="0" xfId="0" applyAlignment="1" applyBorder="1" applyFont="1">
      <alignment horizontal="center" readingOrder="0" vertical="center"/>
    </xf>
    <xf borderId="12" fillId="2" fontId="30" numFmtId="0" xfId="0" applyAlignment="1" applyBorder="1" applyFont="1">
      <alignment horizontal="center" vertical="center"/>
    </xf>
    <xf borderId="38" fillId="0" fontId="61" numFmtId="0" xfId="0" applyAlignment="1" applyBorder="1" applyFont="1">
      <alignment horizontal="center" vertical="center"/>
    </xf>
    <xf borderId="0" fillId="2" fontId="1" numFmtId="0" xfId="0" applyFont="1"/>
    <xf borderId="0" fillId="2" fontId="130" numFmtId="0" xfId="0" applyAlignment="1" applyFont="1">
      <alignment horizontal="center" vertical="bottom"/>
    </xf>
    <xf borderId="18" fillId="0" fontId="12" numFmtId="0" xfId="0" applyAlignment="1" applyBorder="1" applyFont="1">
      <alignment horizontal="center" readingOrder="0" shrinkToFit="0" vertical="center" wrapText="1"/>
    </xf>
    <xf borderId="21" fillId="3" fontId="131" numFmtId="0" xfId="0" applyAlignment="1" applyBorder="1" applyFont="1">
      <alignment horizontal="center" vertical="bottom"/>
    </xf>
    <xf borderId="21" fillId="5" fontId="34" numFmtId="0" xfId="0" applyAlignment="1" applyBorder="1" applyFont="1">
      <alignment horizontal="center" readingOrder="0"/>
    </xf>
    <xf borderId="0" fillId="2" fontId="95" numFmtId="0" xfId="0" applyAlignment="1" applyFont="1">
      <alignment horizontal="center" readingOrder="0" vertical="bottom"/>
    </xf>
    <xf borderId="5" fillId="2" fontId="132" numFmtId="0" xfId="0" applyAlignment="1" applyBorder="1" applyFont="1">
      <alignment horizontal="center" readingOrder="0" vertical="center"/>
    </xf>
    <xf borderId="54" fillId="2" fontId="36" numFmtId="0" xfId="0" applyAlignment="1" applyBorder="1" applyFont="1">
      <alignment horizontal="center" readingOrder="0" vertical="center"/>
    </xf>
    <xf borderId="13" fillId="2" fontId="36" numFmtId="0" xfId="0" applyAlignment="1" applyBorder="1" applyFont="1">
      <alignment horizontal="center" readingOrder="0" vertical="center"/>
    </xf>
    <xf borderId="11" fillId="0" fontId="133" numFmtId="0" xfId="0" applyAlignment="1" applyBorder="1" applyFont="1">
      <alignment horizontal="left" readingOrder="0" shrinkToFit="0" vertical="center" wrapText="1"/>
    </xf>
    <xf borderId="56" fillId="2" fontId="36" numFmtId="0" xfId="0" applyAlignment="1" applyBorder="1" applyFont="1">
      <alignment horizontal="center" readingOrder="0" vertical="center"/>
    </xf>
    <xf borderId="15" fillId="2" fontId="36" numFmtId="0" xfId="0" applyAlignment="1" applyBorder="1" applyFont="1">
      <alignment horizontal="center" readingOrder="0" vertical="center"/>
    </xf>
    <xf borderId="56" fillId="0" fontId="134" numFmtId="0" xfId="0" applyAlignment="1" applyBorder="1" applyFont="1">
      <alignment horizontal="left" readingOrder="0" shrinkToFit="0" vertical="top" wrapText="1"/>
    </xf>
    <xf borderId="56" fillId="2" fontId="135" numFmtId="0" xfId="0" applyAlignment="1" applyBorder="1" applyFont="1">
      <alignment horizontal="left" readingOrder="0"/>
    </xf>
    <xf borderId="52" fillId="2" fontId="36" numFmtId="0" xfId="0" applyAlignment="1" applyBorder="1" applyFont="1">
      <alignment horizontal="center" readingOrder="0" vertical="center"/>
    </xf>
    <xf borderId="31" fillId="2" fontId="36" numFmtId="0" xfId="0" applyAlignment="1" applyBorder="1" applyFont="1">
      <alignment horizontal="center" readingOrder="0" vertical="center"/>
    </xf>
    <xf borderId="0" fillId="0" fontId="119" numFmtId="0" xfId="0" applyAlignment="1" applyFont="1">
      <alignment horizontal="center" vertical="center"/>
    </xf>
    <xf borderId="0" fillId="0" fontId="1" numFmtId="0" xfId="0" applyAlignment="1" applyFont="1">
      <alignment horizontal="center" vertical="center"/>
    </xf>
    <xf borderId="0" fillId="0" fontId="50" numFmtId="0" xfId="0" applyAlignment="1" applyFont="1">
      <alignment horizontal="center" readingOrder="0" vertical="center"/>
    </xf>
    <xf borderId="0" fillId="0" fontId="136" numFmtId="0" xfId="0" applyAlignment="1" applyFont="1">
      <alignment horizontal="center" readingOrder="0" vertical="center"/>
    </xf>
    <xf borderId="21" fillId="0" fontId="6" numFmtId="0" xfId="0" applyAlignment="1" applyBorder="1" applyFont="1">
      <alignment horizontal="center" readingOrder="0" vertical="center"/>
    </xf>
    <xf borderId="21" fillId="0" fontId="50" numFmtId="0" xfId="0" applyAlignment="1" applyBorder="1" applyFont="1">
      <alignment horizontal="left" readingOrder="0" shrinkToFit="0" vertical="center" wrapText="1"/>
    </xf>
    <xf borderId="0" fillId="2" fontId="17" numFmtId="0" xfId="0" applyAlignment="1" applyFont="1">
      <alignment horizontal="center" readingOrder="0" vertical="center"/>
    </xf>
    <xf borderId="0" fillId="2" fontId="82" numFmtId="0" xfId="0" applyAlignment="1" applyFont="1">
      <alignment horizontal="center" vertical="center"/>
    </xf>
    <xf borderId="0" fillId="2" fontId="1" numFmtId="0" xfId="0" applyAlignment="1" applyFont="1">
      <alignment horizontal="center" vertical="center"/>
    </xf>
    <xf borderId="0" fillId="2" fontId="1" numFmtId="0" xfId="0" applyAlignment="1" applyFont="1">
      <alignment horizontal="center" readingOrder="0" vertical="center"/>
    </xf>
    <xf borderId="39" fillId="0" fontId="24" numFmtId="0" xfId="0" applyAlignment="1" applyBorder="1" applyFont="1">
      <alignment horizontal="center" vertical="center"/>
    </xf>
    <xf borderId="34" fillId="0" fontId="25" numFmtId="0" xfId="0" applyAlignment="1" applyBorder="1" applyFont="1">
      <alignment horizontal="center" vertical="center"/>
    </xf>
    <xf borderId="38" fillId="0" fontId="25" numFmtId="0" xfId="0" applyAlignment="1" applyBorder="1" applyFont="1">
      <alignment horizontal="center" readingOrder="0" vertical="center"/>
    </xf>
    <xf borderId="5" fillId="2" fontId="26" numFmtId="0" xfId="0" applyAlignment="1" applyBorder="1" applyFont="1">
      <alignment horizontal="center" readingOrder="0" vertical="center"/>
    </xf>
    <xf borderId="54" fillId="4" fontId="25" numFmtId="0" xfId="0" applyAlignment="1" applyBorder="1" applyFont="1">
      <alignment horizontal="center" readingOrder="0" vertical="center"/>
    </xf>
    <xf borderId="12" fillId="2" fontId="25" numFmtId="0" xfId="0" applyAlignment="1" applyBorder="1" applyFont="1">
      <alignment horizontal="center" readingOrder="0" vertical="center"/>
    </xf>
    <xf borderId="12" fillId="2" fontId="33" numFmtId="0" xfId="0" applyAlignment="1" applyBorder="1" applyFont="1">
      <alignment horizontal="center" readingOrder="0" vertical="center"/>
    </xf>
    <xf borderId="12" fillId="2" fontId="26" numFmtId="0" xfId="0" applyAlignment="1" applyBorder="1" applyFont="1">
      <alignment horizontal="center" readingOrder="0" vertical="center"/>
    </xf>
    <xf borderId="16" fillId="5" fontId="15" numFmtId="0" xfId="0" applyAlignment="1" applyBorder="1" applyFont="1">
      <alignment horizontal="center" readingOrder="0" vertical="center"/>
    </xf>
    <xf borderId="47" fillId="2" fontId="12" numFmtId="0" xfId="0" applyAlignment="1" applyBorder="1" applyFont="1">
      <alignment horizontal="center" readingOrder="0" shrinkToFit="0" vertical="center" wrapText="1"/>
    </xf>
    <xf borderId="21" fillId="7" fontId="4" numFmtId="0" xfId="0" applyAlignment="1" applyBorder="1" applyFont="1">
      <alignment horizontal="center" readingOrder="0" vertical="center"/>
    </xf>
    <xf borderId="48" fillId="0" fontId="12" numFmtId="0" xfId="0" applyAlignment="1" applyBorder="1" applyFont="1">
      <alignment horizontal="center" readingOrder="0" vertical="center"/>
    </xf>
    <xf borderId="2" fillId="2" fontId="30" numFmtId="0" xfId="0" applyAlignment="1" applyBorder="1" applyFont="1">
      <alignment horizontal="center" readingOrder="0" vertical="center"/>
    </xf>
    <xf borderId="4" fillId="2" fontId="25" numFmtId="0" xfId="0" applyAlignment="1" applyBorder="1" applyFont="1">
      <alignment horizontal="center" vertical="center"/>
    </xf>
    <xf borderId="4" fillId="0" fontId="25" numFmtId="0" xfId="0" applyAlignment="1" applyBorder="1" applyFont="1">
      <alignment horizontal="center" vertical="center"/>
    </xf>
    <xf borderId="4" fillId="0" fontId="33" numFmtId="0" xfId="0" applyAlignment="1" applyBorder="1" applyFont="1">
      <alignment horizontal="center" vertical="center"/>
    </xf>
    <xf borderId="0" fillId="0" fontId="6" numFmtId="0" xfId="0" applyAlignment="1" applyFont="1">
      <alignment horizontal="center" readingOrder="0" vertical="center"/>
    </xf>
    <xf borderId="32" fillId="0" fontId="25" numFmtId="165" xfId="0" applyAlignment="1" applyBorder="1" applyFont="1" applyNumberFormat="1">
      <alignment horizontal="center" readingOrder="0" vertical="center"/>
    </xf>
    <xf borderId="8" fillId="0" fontId="32" numFmtId="0" xfId="0" applyAlignment="1" applyBorder="1" applyFont="1">
      <alignment horizontal="center" vertical="center"/>
    </xf>
    <xf borderId="12" fillId="2" fontId="6" numFmtId="0" xfId="0" applyAlignment="1" applyBorder="1" applyFont="1">
      <alignment horizontal="center" readingOrder="0" vertical="center"/>
    </xf>
    <xf borderId="32" fillId="0" fontId="33" numFmtId="165" xfId="0" applyAlignment="1" applyBorder="1" applyFont="1" applyNumberFormat="1">
      <alignment horizontal="center" readingOrder="0" vertical="center"/>
    </xf>
    <xf borderId="0" fillId="0" fontId="31" numFmtId="0" xfId="0" applyAlignment="1" applyFont="1">
      <alignment horizontal="center" vertical="center"/>
    </xf>
    <xf borderId="0" fillId="0" fontId="119" numFmtId="0" xfId="0" applyAlignment="1" applyFont="1">
      <alignment horizontal="center" vertical="center"/>
    </xf>
    <xf borderId="8" fillId="5" fontId="117" numFmtId="0" xfId="0" applyAlignment="1" applyBorder="1" applyFont="1">
      <alignment horizontal="center" readingOrder="0"/>
    </xf>
    <xf borderId="0" fillId="2" fontId="117" numFmtId="0" xfId="0" applyAlignment="1" applyFont="1">
      <alignment horizontal="center" readingOrder="0"/>
    </xf>
    <xf borderId="0" fillId="2" fontId="119" numFmtId="0" xfId="0" applyAlignment="1" applyFont="1">
      <alignment horizontal="center" vertical="center"/>
    </xf>
    <xf borderId="25" fillId="6" fontId="137" numFmtId="0" xfId="0" applyAlignment="1" applyBorder="1" applyFont="1">
      <alignment horizontal="center" readingOrder="0" shrinkToFit="0" vertical="center" wrapText="1"/>
    </xf>
    <xf borderId="0" fillId="0" fontId="31" numFmtId="0" xfId="0" applyAlignment="1" applyFont="1">
      <alignment horizontal="center" readingOrder="0" vertical="center"/>
    </xf>
    <xf borderId="11" fillId="2" fontId="13" numFmtId="0" xfId="0" applyAlignment="1" applyBorder="1" applyFont="1">
      <alignment horizontal="center" readingOrder="0" shrinkToFit="0" vertical="center" wrapText="1"/>
    </xf>
    <xf borderId="12" fillId="2" fontId="13" numFmtId="0" xfId="0" applyAlignment="1" applyBorder="1" applyFont="1">
      <alignment horizontal="center" readingOrder="0" shrinkToFit="0" vertical="center" wrapText="1"/>
    </xf>
    <xf borderId="3" fillId="7" fontId="4" numFmtId="0" xfId="0" applyAlignment="1" applyBorder="1" applyFont="1">
      <alignment horizontal="center" readingOrder="0" vertical="center"/>
    </xf>
    <xf borderId="14" fillId="2" fontId="13" numFmtId="0" xfId="0" applyAlignment="1" applyBorder="1" applyFont="1">
      <alignment horizontal="center" readingOrder="0" shrinkToFit="0" vertical="center" wrapText="1"/>
    </xf>
    <xf borderId="32" fillId="0" fontId="25" numFmtId="0" xfId="0" applyAlignment="1" applyBorder="1" applyFont="1">
      <alignment horizontal="center" readingOrder="0" vertical="center"/>
    </xf>
    <xf borderId="31" fillId="4" fontId="25" numFmtId="0" xfId="0" applyAlignment="1" applyBorder="1" applyFont="1">
      <alignment horizontal="center" vertical="center"/>
    </xf>
    <xf borderId="36" fillId="0" fontId="96" numFmtId="0" xfId="0" applyAlignment="1" applyBorder="1" applyFont="1">
      <alignment horizontal="center" readingOrder="0" vertical="center"/>
    </xf>
    <xf borderId="0" fillId="2" fontId="17" numFmtId="0" xfId="0" applyAlignment="1" applyFont="1">
      <alignment horizontal="center" readingOrder="0" vertical="center"/>
    </xf>
    <xf borderId="0" fillId="0" fontId="138" numFmtId="0" xfId="0" applyAlignment="1" applyFont="1">
      <alignment horizontal="center" readingOrder="0" shrinkToFit="0" vertical="center" wrapText="0"/>
    </xf>
    <xf borderId="56" fillId="0" fontId="1" numFmtId="0" xfId="0" applyAlignment="1" applyBorder="1" applyFont="1">
      <alignment horizontal="center" readingOrder="0" vertical="center"/>
    </xf>
    <xf borderId="14" fillId="2" fontId="13" numFmtId="0" xfId="0" applyAlignment="1" applyBorder="1" applyFont="1">
      <alignment horizontal="center" readingOrder="0" shrinkToFit="0" vertical="center" wrapText="1"/>
    </xf>
    <xf borderId="14" fillId="2" fontId="15" numFmtId="0" xfId="0" applyAlignment="1" applyBorder="1" applyFont="1">
      <alignment horizontal="center" vertical="center"/>
    </xf>
    <xf borderId="14" fillId="2" fontId="12" numFmtId="0" xfId="0" applyAlignment="1" applyBorder="1" applyFont="1">
      <alignment horizontal="center" readingOrder="0" vertical="center"/>
    </xf>
    <xf borderId="4" fillId="0" fontId="60" numFmtId="0" xfId="0" applyAlignment="1" applyBorder="1" applyFont="1">
      <alignment horizontal="center" readingOrder="0" vertical="center"/>
    </xf>
    <xf borderId="21" fillId="4" fontId="25" numFmtId="0" xfId="0" applyAlignment="1" applyBorder="1" applyFont="1">
      <alignment horizontal="center" readingOrder="0" vertical="center"/>
    </xf>
    <xf borderId="14" fillId="2" fontId="25" numFmtId="0" xfId="0" applyAlignment="1" applyBorder="1" applyFont="1">
      <alignment horizontal="center" readingOrder="0" vertical="center"/>
    </xf>
    <xf borderId="10" fillId="0" fontId="60" numFmtId="0" xfId="0" applyAlignment="1" applyBorder="1" applyFont="1">
      <alignment horizontal="center" readingOrder="0" vertical="center"/>
    </xf>
    <xf borderId="22" fillId="4" fontId="25" numFmtId="0" xfId="0" applyAlignment="1" applyBorder="1" applyFont="1">
      <alignment horizontal="center" readingOrder="0" vertical="center"/>
    </xf>
    <xf borderId="12" fillId="13" fontId="30" numFmtId="0" xfId="0" applyAlignment="1" applyBorder="1" applyFont="1">
      <alignment horizontal="center" vertical="center"/>
    </xf>
    <xf borderId="15" fillId="0" fontId="1" numFmtId="0" xfId="0" applyAlignment="1" applyBorder="1" applyFont="1">
      <alignment horizontal="center" readingOrder="0" vertical="center"/>
    </xf>
    <xf borderId="14" fillId="2" fontId="30" numFmtId="0" xfId="0" applyAlignment="1" applyBorder="1" applyFont="1">
      <alignment horizontal="center" vertical="center"/>
    </xf>
    <xf borderId="0" fillId="13" fontId="30" numFmtId="0" xfId="0" applyAlignment="1" applyFont="1">
      <alignment horizontal="center" vertical="center"/>
    </xf>
    <xf borderId="14" fillId="2" fontId="15" numFmtId="0" xfId="0" applyAlignment="1" applyBorder="1" applyFont="1">
      <alignment horizontal="center" vertical="center"/>
    </xf>
    <xf borderId="0" fillId="0" fontId="139" numFmtId="0" xfId="0" applyAlignment="1" applyFont="1">
      <alignment horizontal="center" readingOrder="0" vertical="center"/>
    </xf>
    <xf borderId="12" fillId="0" fontId="139" numFmtId="0" xfId="0" applyAlignment="1" applyBorder="1" applyFont="1">
      <alignment horizontal="center" readingOrder="0" vertical="center"/>
    </xf>
    <xf borderId="11" fillId="0" fontId="37" numFmtId="0" xfId="0" applyAlignment="1" applyBorder="1" applyFont="1">
      <alignment horizontal="left" readingOrder="0" shrinkToFit="0" vertical="center" wrapText="1"/>
    </xf>
    <xf borderId="0" fillId="0" fontId="29" numFmtId="0" xfId="0" applyAlignment="1" applyFont="1">
      <alignment horizontal="center" shrinkToFit="0" vertical="center" wrapText="1"/>
    </xf>
    <xf borderId="0" fillId="0" fontId="140" numFmtId="0" xfId="0" applyAlignment="1" applyFont="1">
      <alignment horizontal="center" shrinkToFit="0" vertical="center" wrapText="1"/>
    </xf>
    <xf borderId="0" fillId="2" fontId="141" numFmtId="0" xfId="0" applyAlignment="1" applyFont="1">
      <alignment horizontal="center" readingOrder="0" vertical="center"/>
    </xf>
    <xf borderId="21" fillId="0" fontId="4" numFmtId="0" xfId="0" applyAlignment="1" applyBorder="1" applyFont="1">
      <alignment horizontal="center" shrinkToFit="0" vertical="center" wrapText="1"/>
    </xf>
    <xf borderId="11" fillId="3" fontId="142" numFmtId="0" xfId="0" applyAlignment="1" applyBorder="1" applyFont="1">
      <alignment horizontal="center" readingOrder="0" vertical="center"/>
    </xf>
    <xf borderId="21" fillId="0" fontId="36" numFmtId="0" xfId="0" applyAlignment="1" applyBorder="1" applyFont="1">
      <alignment horizontal="center" readingOrder="0" vertical="center"/>
    </xf>
    <xf borderId="21" fillId="0" fontId="111" numFmtId="0" xfId="0" applyAlignment="1" applyBorder="1" applyFont="1">
      <alignment horizontal="left" readingOrder="0" shrinkToFit="0" vertical="center" wrapText="1"/>
    </xf>
    <xf borderId="0" fillId="0" fontId="1" numFmtId="0" xfId="0" applyAlignment="1" applyFont="1">
      <alignment vertical="center"/>
    </xf>
    <xf borderId="0" fillId="0" fontId="102" numFmtId="0" xfId="0" applyAlignment="1" applyFont="1">
      <alignment vertical="center"/>
    </xf>
    <xf borderId="0" fillId="2" fontId="80" numFmtId="0" xfId="0" applyAlignment="1" applyFont="1">
      <alignment horizontal="center" readingOrder="0" vertical="center"/>
    </xf>
    <xf borderId="30" fillId="0" fontId="24" numFmtId="0" xfId="0" applyAlignment="1" applyBorder="1" applyFont="1">
      <alignment horizontal="center" vertical="center"/>
    </xf>
    <xf borderId="32" fillId="0" fontId="25" numFmtId="0" xfId="0" applyAlignment="1" applyBorder="1" applyFont="1">
      <alignment horizontal="center"/>
    </xf>
    <xf borderId="8" fillId="0" fontId="32" numFmtId="0" xfId="0" applyAlignment="1" applyBorder="1" applyFont="1">
      <alignment horizontal="center" vertical="center"/>
    </xf>
    <xf borderId="0" fillId="2" fontId="101" numFmtId="0" xfId="0" applyAlignment="1" applyFont="1">
      <alignment horizontal="center" readingOrder="0" vertical="center"/>
    </xf>
    <xf borderId="48" fillId="0" fontId="25" numFmtId="0" xfId="0" applyAlignment="1" applyBorder="1" applyFont="1">
      <alignment horizontal="center"/>
    </xf>
    <xf borderId="42" fillId="13" fontId="12" numFmtId="0" xfId="0" applyAlignment="1" applyBorder="1" applyFont="1">
      <alignment horizontal="center" readingOrder="0" vertical="center"/>
    </xf>
    <xf borderId="0" fillId="0" fontId="119" numFmtId="0" xfId="0" applyAlignment="1" applyFont="1">
      <alignment horizontal="center" readingOrder="0" shrinkToFit="0" vertical="center" wrapText="0"/>
    </xf>
    <xf borderId="35" fillId="2" fontId="25" numFmtId="0" xfId="0" applyAlignment="1" applyBorder="1" applyFont="1">
      <alignment horizontal="center" vertical="center"/>
    </xf>
    <xf borderId="34" fillId="2" fontId="81" numFmtId="0" xfId="0" applyAlignment="1" applyBorder="1" applyFont="1">
      <alignment horizontal="center" readingOrder="0" vertical="center"/>
    </xf>
    <xf borderId="36" fillId="0" fontId="32" numFmtId="0" xfId="0" applyAlignment="1" applyBorder="1" applyFont="1">
      <alignment horizontal="center" vertical="center"/>
    </xf>
    <xf borderId="50" fillId="0" fontId="24" numFmtId="0" xfId="0" applyAlignment="1" applyBorder="1" applyFont="1">
      <alignment horizontal="center" vertical="center"/>
    </xf>
    <xf borderId="24" fillId="2" fontId="25" numFmtId="0" xfId="0" applyAlignment="1" applyBorder="1" applyFont="1">
      <alignment horizontal="center" vertical="center"/>
    </xf>
    <xf borderId="38" fillId="2" fontId="81" numFmtId="0" xfId="0" applyAlignment="1" applyBorder="1" applyFont="1">
      <alignment horizontal="center" readingOrder="0" vertical="center"/>
    </xf>
    <xf borderId="24" fillId="0" fontId="25" numFmtId="0" xfId="0" applyAlignment="1" applyBorder="1" applyFont="1">
      <alignment horizontal="center" readingOrder="0" vertical="center"/>
    </xf>
    <xf borderId="5" fillId="0" fontId="32" numFmtId="0" xfId="0" applyAlignment="1" applyBorder="1" applyFont="1">
      <alignment horizontal="center" vertical="center"/>
    </xf>
    <xf borderId="0" fillId="0" fontId="143" numFmtId="0" xfId="0" applyAlignment="1" applyFont="1">
      <alignment horizontal="center" vertical="center"/>
    </xf>
    <xf borderId="0" fillId="0" fontId="144" numFmtId="0" xfId="0" applyAlignment="1" applyFont="1">
      <alignment horizontal="center" vertical="center"/>
    </xf>
    <xf borderId="12" fillId="2" fontId="17" numFmtId="0" xfId="0" applyAlignment="1" applyBorder="1" applyFont="1">
      <alignment horizontal="center" readingOrder="0" vertical="center"/>
    </xf>
    <xf borderId="28" fillId="0" fontId="12" numFmtId="0" xfId="0" applyAlignment="1" applyBorder="1" applyFont="1">
      <alignment horizontal="center" readingOrder="0" shrinkToFit="0" vertical="center" wrapText="0"/>
    </xf>
    <xf borderId="32" fillId="0" fontId="12" numFmtId="0" xfId="0" applyAlignment="1" applyBorder="1" applyFont="1">
      <alignment horizontal="center" readingOrder="0" shrinkToFit="0" vertical="center" wrapText="0"/>
    </xf>
    <xf borderId="8" fillId="2" fontId="12" numFmtId="0" xfId="0" applyAlignment="1" applyBorder="1" applyFont="1">
      <alignment horizontal="center" readingOrder="0" shrinkToFit="0" vertical="center" wrapText="0"/>
    </xf>
    <xf borderId="31" fillId="4" fontId="12" numFmtId="0" xfId="0" applyAlignment="1" applyBorder="1" applyFont="1">
      <alignment horizontal="center" readingOrder="0" shrinkToFit="0" vertical="center" wrapText="0"/>
    </xf>
    <xf borderId="39" fillId="0" fontId="24" numFmtId="0" xfId="0" applyAlignment="1" applyBorder="1" applyFont="1">
      <alignment horizontal="center" vertical="center"/>
    </xf>
    <xf borderId="0" fillId="2" fontId="145" numFmtId="0" xfId="0" applyAlignment="1" applyFont="1">
      <alignment horizontal="center" readingOrder="0" vertical="center"/>
    </xf>
    <xf borderId="0" fillId="2" fontId="96" numFmtId="0" xfId="0" applyAlignment="1" applyFont="1">
      <alignment horizontal="center" readingOrder="0" vertical="center"/>
    </xf>
    <xf borderId="22" fillId="2" fontId="114" numFmtId="0" xfId="0" applyAlignment="1" applyBorder="1" applyFont="1">
      <alignment horizontal="center" readingOrder="0" vertical="center"/>
    </xf>
    <xf borderId="42" fillId="6" fontId="146" numFmtId="0" xfId="0" applyAlignment="1" applyBorder="1" applyFont="1">
      <alignment horizontal="center" readingOrder="0" vertical="center"/>
    </xf>
    <xf borderId="3" fillId="0" fontId="32" numFmtId="0" xfId="0" applyAlignment="1" applyBorder="1" applyFont="1">
      <alignment horizontal="center" vertical="center"/>
    </xf>
    <xf borderId="33" fillId="0" fontId="24" numFmtId="0" xfId="0" applyAlignment="1" applyBorder="1" applyFont="1">
      <alignment horizontal="center" vertical="center"/>
    </xf>
    <xf borderId="35" fillId="0" fontId="25" numFmtId="0" xfId="0" applyAlignment="1" applyBorder="1" applyFont="1">
      <alignment horizontal="center" vertical="center"/>
    </xf>
    <xf borderId="1" fillId="0" fontId="32" numFmtId="0" xfId="0" applyAlignment="1" applyBorder="1" applyFont="1">
      <alignment horizontal="center" vertical="center"/>
    </xf>
    <xf borderId="0" fillId="0" fontId="82" numFmtId="0" xfId="0" applyAlignment="1" applyFont="1">
      <alignment horizontal="center" vertical="center"/>
    </xf>
    <xf borderId="0" fillId="0" fontId="85" numFmtId="0" xfId="0" applyAlignment="1" applyFont="1">
      <alignment horizontal="center" vertical="center"/>
    </xf>
    <xf borderId="24" fillId="2" fontId="24" numFmtId="0" xfId="0" applyAlignment="1" applyBorder="1" applyFont="1">
      <alignment horizontal="center" vertical="center"/>
    </xf>
    <xf borderId="58" fillId="2" fontId="81" numFmtId="0" xfId="0" applyAlignment="1" applyBorder="1" applyFont="1">
      <alignment horizontal="center" readingOrder="0" vertical="center"/>
    </xf>
    <xf borderId="24" fillId="2" fontId="25" numFmtId="0" xfId="0" applyAlignment="1" applyBorder="1" applyFont="1">
      <alignment horizontal="center" readingOrder="0" vertical="center"/>
    </xf>
    <xf borderId="41" fillId="2" fontId="32" numFmtId="0" xfId="0" applyAlignment="1" applyBorder="1" applyFont="1">
      <alignment horizontal="center" vertical="center"/>
    </xf>
    <xf borderId="0" fillId="2" fontId="25" numFmtId="0" xfId="0" applyAlignment="1" applyFont="1">
      <alignment horizontal="center" readingOrder="0" vertical="center"/>
    </xf>
    <xf borderId="16" fillId="2" fontId="95" numFmtId="0" xfId="0" applyAlignment="1" applyBorder="1" applyFont="1">
      <alignment horizontal="center" readingOrder="0" vertical="center"/>
    </xf>
    <xf borderId="1" fillId="2" fontId="95" numFmtId="0" xfId="0" applyAlignment="1" applyBorder="1" applyFont="1">
      <alignment horizontal="center" readingOrder="0" vertical="center"/>
    </xf>
    <xf borderId="0" fillId="2" fontId="98" numFmtId="0" xfId="0" applyAlignment="1" applyFont="1">
      <alignment horizontal="center" readingOrder="0" vertical="center"/>
    </xf>
    <xf borderId="0" fillId="2" fontId="147" numFmtId="0" xfId="0" applyAlignment="1" applyFont="1">
      <alignment horizontal="center" readingOrder="0" shrinkToFit="0" vertical="center" wrapText="1"/>
    </xf>
    <xf borderId="35" fillId="2" fontId="61" numFmtId="0" xfId="0" applyAlignment="1" applyBorder="1" applyFont="1">
      <alignment horizontal="center" readingOrder="0" vertical="center"/>
    </xf>
    <xf borderId="0" fillId="0" fontId="16" numFmtId="0" xfId="0" applyAlignment="1" applyFont="1">
      <alignment horizontal="center" readingOrder="0" shrinkToFit="0" vertical="center" wrapText="1"/>
    </xf>
    <xf borderId="0" fillId="2" fontId="15" numFmtId="0" xfId="0" applyAlignment="1" applyFont="1">
      <alignment horizontal="center" readingOrder="0" vertical="center"/>
    </xf>
    <xf borderId="0" fillId="0" fontId="148" numFmtId="0" xfId="0" applyAlignment="1" applyFont="1">
      <alignment horizontal="center" vertical="center"/>
    </xf>
    <xf borderId="12" fillId="0" fontId="6" numFmtId="0" xfId="0" applyAlignment="1" applyBorder="1" applyFont="1">
      <alignment horizontal="center" readingOrder="0" vertical="center"/>
    </xf>
    <xf borderId="12" fillId="0" fontId="73" numFmtId="0" xfId="0" applyAlignment="1" applyBorder="1" applyFont="1">
      <alignment horizontal="center" readingOrder="0" vertical="center"/>
    </xf>
    <xf borderId="12" fillId="0" fontId="17" numFmtId="0" xfId="0" applyAlignment="1" applyBorder="1" applyFont="1">
      <alignment horizontal="center" readingOrder="0" vertical="center"/>
    </xf>
    <xf borderId="0" fillId="0" fontId="73" numFmtId="0" xfId="0" applyAlignment="1" applyFont="1">
      <alignment horizontal="center" readingOrder="0" vertical="center"/>
    </xf>
    <xf borderId="0" fillId="0" fontId="17" numFmtId="0" xfId="0" applyAlignment="1" applyFont="1">
      <alignment horizontal="center" readingOrder="0" vertical="center"/>
    </xf>
    <xf borderId="32" fillId="0" fontId="30" numFmtId="0" xfId="0" applyAlignment="1" applyBorder="1" applyFont="1">
      <alignment horizontal="center" readingOrder="0" vertical="center"/>
    </xf>
    <xf borderId="32" fillId="2" fontId="149" numFmtId="0" xfId="0" applyAlignment="1" applyBorder="1" applyFont="1">
      <alignment horizontal="center" readingOrder="0" vertical="center"/>
    </xf>
    <xf borderId="25" fillId="6" fontId="114" numFmtId="0" xfId="0" applyAlignment="1" applyBorder="1" applyFont="1">
      <alignment horizontal="center" readingOrder="0" shrinkToFit="0" vertical="center" wrapText="1"/>
    </xf>
    <xf borderId="28" fillId="0" fontId="24" numFmtId="0" xfId="0" applyAlignment="1" applyBorder="1" applyFont="1">
      <alignment horizontal="center" readingOrder="0"/>
    </xf>
    <xf borderId="10" fillId="0" fontId="25" numFmtId="0" xfId="0" applyAlignment="1" applyBorder="1" applyFont="1">
      <alignment horizontal="center"/>
    </xf>
    <xf borderId="10" fillId="0" fontId="33" numFmtId="0" xfId="0" applyAlignment="1" applyBorder="1" applyFont="1">
      <alignment horizontal="center" readingOrder="0" vertical="center"/>
    </xf>
    <xf borderId="10" fillId="2" fontId="25" numFmtId="0" xfId="0" applyAlignment="1" applyBorder="1" applyFont="1">
      <alignment horizontal="center"/>
    </xf>
    <xf borderId="40" fillId="0" fontId="3" numFmtId="0" xfId="0" applyBorder="1" applyFont="1"/>
    <xf borderId="23" fillId="4" fontId="3" numFmtId="0" xfId="0" applyBorder="1" applyFont="1"/>
    <xf borderId="30" fillId="0" fontId="24" numFmtId="0" xfId="0" applyAlignment="1" applyBorder="1" applyFont="1">
      <alignment horizontal="center" readingOrder="0"/>
    </xf>
    <xf borderId="29" fillId="0" fontId="3" numFmtId="0" xfId="0" applyBorder="1" applyFont="1"/>
    <xf borderId="33" fillId="0" fontId="24" numFmtId="0" xfId="0" applyAlignment="1" applyBorder="1" applyFont="1">
      <alignment horizontal="center" readingOrder="0"/>
    </xf>
    <xf borderId="35" fillId="0" fontId="25" numFmtId="0" xfId="0" applyAlignment="1" applyBorder="1" applyFont="1">
      <alignment horizontal="center"/>
    </xf>
    <xf borderId="46" fillId="0" fontId="33" numFmtId="0" xfId="0" applyAlignment="1" applyBorder="1" applyFont="1">
      <alignment horizontal="center" readingOrder="0" vertical="center"/>
    </xf>
    <xf borderId="17" fillId="0" fontId="3" numFmtId="0" xfId="0" applyBorder="1" applyFont="1"/>
    <xf borderId="0" fillId="0" fontId="82" numFmtId="0" xfId="0" applyAlignment="1" applyFont="1">
      <alignment horizontal="center" vertical="center"/>
    </xf>
    <xf borderId="0" fillId="0" fontId="3" numFmtId="0" xfId="0" applyAlignment="1" applyFont="1">
      <alignment horizontal="center" vertical="center"/>
    </xf>
    <xf borderId="0" fillId="0" fontId="141" numFmtId="0" xfId="0" applyAlignment="1" applyFont="1">
      <alignment horizontal="center" readingOrder="0" vertical="center"/>
    </xf>
    <xf borderId="34" fillId="0" fontId="25" numFmtId="0" xfId="0" applyAlignment="1" applyBorder="1" applyFont="1">
      <alignment horizontal="center" readingOrder="0" vertical="center"/>
    </xf>
    <xf borderId="0" fillId="0" fontId="79" numFmtId="0" xfId="0" applyAlignment="1" applyFont="1">
      <alignment horizontal="center" vertical="center"/>
    </xf>
    <xf borderId="54" fillId="4" fontId="25" numFmtId="0" xfId="0" applyAlignment="1" applyBorder="1" applyFont="1">
      <alignment horizontal="center" readingOrder="0" vertical="bottom"/>
    </xf>
    <xf borderId="59" fillId="2" fontId="24" numFmtId="0" xfId="0" applyAlignment="1" applyBorder="1" applyFont="1">
      <alignment horizontal="center" readingOrder="0" vertical="center"/>
    </xf>
    <xf borderId="59" fillId="2" fontId="25" numFmtId="0" xfId="0" applyAlignment="1" applyBorder="1" applyFont="1">
      <alignment horizontal="center" vertical="center"/>
    </xf>
    <xf borderId="59" fillId="2" fontId="25" numFmtId="0" xfId="0" applyAlignment="1" applyBorder="1" applyFont="1">
      <alignment horizontal="center" readingOrder="0" vertical="center"/>
    </xf>
    <xf borderId="59" fillId="2" fontId="96" numFmtId="0" xfId="0" applyAlignment="1" applyBorder="1" applyFont="1">
      <alignment horizontal="center" readingOrder="0" vertical="center"/>
    </xf>
    <xf borderId="12" fillId="2" fontId="24" numFmtId="0" xfId="0" applyAlignment="1" applyBorder="1" applyFont="1">
      <alignment horizontal="center" vertical="center"/>
    </xf>
    <xf borderId="12" fillId="2" fontId="25" numFmtId="0" xfId="0" applyAlignment="1" applyBorder="1" applyFont="1">
      <alignment horizontal="center" vertical="center"/>
    </xf>
    <xf borderId="12" fillId="2" fontId="25" numFmtId="165" xfId="0" applyAlignment="1" applyBorder="1" applyFont="1" applyNumberFormat="1">
      <alignment horizontal="center" readingOrder="0" vertical="center"/>
    </xf>
    <xf borderId="12" fillId="2" fontId="25" numFmtId="0" xfId="0" applyAlignment="1" applyBorder="1" applyFont="1">
      <alignment horizontal="center" readingOrder="0" vertical="center"/>
    </xf>
    <xf borderId="12" fillId="2" fontId="96" numFmtId="0" xfId="0" applyAlignment="1" applyBorder="1" applyFont="1">
      <alignment horizontal="center" readingOrder="0" vertical="center"/>
    </xf>
    <xf borderId="0" fillId="2" fontId="16" numFmtId="0" xfId="0" applyAlignment="1" applyFont="1">
      <alignment horizontal="center" readingOrder="0" shrinkToFit="0" vertical="center" wrapText="1"/>
    </xf>
    <xf borderId="12" fillId="0" fontId="37" numFmtId="0" xfId="0" applyAlignment="1" applyBorder="1" applyFont="1">
      <alignment horizontal="left" readingOrder="0" shrinkToFit="0" vertical="center" wrapText="1"/>
    </xf>
    <xf borderId="0" fillId="0" fontId="134" numFmtId="0" xfId="0" applyAlignment="1" applyFont="1">
      <alignment horizontal="left" readingOrder="0" shrinkToFit="0" vertical="top" wrapText="1"/>
    </xf>
    <xf borderId="0" fillId="2" fontId="135" numFmtId="0" xfId="0" applyAlignment="1" applyFont="1">
      <alignment horizontal="left" readingOrder="0"/>
    </xf>
    <xf borderId="2" fillId="0" fontId="4" numFmtId="0" xfId="0" applyAlignment="1" applyBorder="1" applyFont="1">
      <alignment horizontal="center" shrinkToFit="0" vertical="center" wrapText="1"/>
    </xf>
    <xf borderId="8" fillId="0" fontId="36" numFmtId="0" xfId="0" applyAlignment="1" applyBorder="1" applyFont="1">
      <alignment horizontal="center" readingOrder="0" vertical="center"/>
    </xf>
    <xf borderId="8" fillId="0" fontId="111" numFmtId="0" xfId="0" applyAlignment="1" applyBorder="1" applyFont="1">
      <alignment horizontal="left" readingOrder="0" shrinkToFit="0" vertical="center" wrapText="1"/>
    </xf>
    <xf borderId="46" fillId="0" fontId="25" numFmtId="0" xfId="0" applyAlignment="1" applyBorder="1" applyFont="1">
      <alignment horizontal="center" vertical="center"/>
    </xf>
    <xf borderId="32" fillId="0" fontId="81" numFmtId="0" xfId="0" applyAlignment="1" applyBorder="1" applyFont="1">
      <alignment horizontal="center" readingOrder="0" vertical="center"/>
    </xf>
    <xf borderId="22" fillId="2" fontId="12" numFmtId="0" xfId="0" applyAlignment="1" applyBorder="1" applyFont="1">
      <alignment horizontal="center" readingOrder="0" shrinkToFit="0" vertical="center" wrapText="1"/>
    </xf>
    <xf borderId="22" fillId="2" fontId="4" numFmtId="0" xfId="0" applyAlignment="1" applyBorder="1" applyFont="1">
      <alignment horizontal="center" readingOrder="0" vertical="center"/>
    </xf>
    <xf borderId="31" fillId="4" fontId="24" numFmtId="0" xfId="0" applyAlignment="1" applyBorder="1" applyFont="1">
      <alignment horizontal="center" readingOrder="0" vertical="center"/>
    </xf>
    <xf borderId="21" fillId="3" fontId="150" numFmtId="0" xfId="0" applyAlignment="1" applyBorder="1" applyFont="1">
      <alignment horizontal="center" readingOrder="0" vertical="center"/>
    </xf>
    <xf borderId="0" fillId="2" fontId="151" numFmtId="0" xfId="0" applyAlignment="1" applyFont="1">
      <alignment horizontal="center" readingOrder="0" vertical="center"/>
    </xf>
    <xf borderId="25" fillId="6" fontId="152" numFmtId="0" xfId="0" applyAlignment="1" applyBorder="1" applyFont="1">
      <alignment horizontal="center" readingOrder="0" vertical="center"/>
    </xf>
    <xf borderId="8" fillId="2" fontId="2" numFmtId="0" xfId="0" applyAlignment="1" applyBorder="1" applyFont="1">
      <alignment horizontal="left"/>
    </xf>
    <xf borderId="32" fillId="2" fontId="153" numFmtId="0" xfId="0" applyAlignment="1" applyBorder="1" applyFont="1">
      <alignment horizontal="left"/>
    </xf>
    <xf borderId="8" fillId="2" fontId="32" numFmtId="0" xfId="0" applyAlignment="1" applyBorder="1" applyFont="1">
      <alignment horizontal="center" vertical="center"/>
    </xf>
    <xf borderId="32" fillId="0" fontId="33" numFmtId="0" xfId="0" applyAlignment="1" applyBorder="1" applyFont="1">
      <alignment horizontal="center" vertical="center"/>
    </xf>
    <xf borderId="18" fillId="2" fontId="60" numFmtId="0" xfId="0" applyAlignment="1" applyBorder="1" applyFont="1">
      <alignment horizontal="center" readingOrder="0" vertical="center"/>
    </xf>
    <xf borderId="34" fillId="0" fontId="33" numFmtId="0" xfId="0" applyAlignment="1" applyBorder="1" applyFont="1">
      <alignment horizontal="center" vertical="center"/>
    </xf>
    <xf borderId="4" fillId="0" fontId="25" numFmtId="0" xfId="0" applyAlignment="1" applyBorder="1" applyFont="1">
      <alignment horizontal="center" vertical="center"/>
    </xf>
    <xf borderId="35" fillId="0" fontId="25" numFmtId="0" xfId="0" applyAlignment="1" applyBorder="1" applyFont="1">
      <alignment horizontal="center" vertical="center"/>
    </xf>
    <xf borderId="4" fillId="0" fontId="25" numFmtId="165" xfId="0" applyAlignment="1" applyBorder="1" applyFont="1" applyNumberFormat="1">
      <alignment horizontal="center" readingOrder="0" vertical="center"/>
    </xf>
    <xf borderId="35" fillId="0" fontId="25" numFmtId="165" xfId="0" applyAlignment="1" applyBorder="1" applyFont="1" applyNumberFormat="1">
      <alignment horizontal="center" readingOrder="0" vertical="center"/>
    </xf>
    <xf borderId="12" fillId="2" fontId="16" numFmtId="0" xfId="0" applyAlignment="1" applyBorder="1" applyFont="1">
      <alignment horizontal="center" readingOrder="0" shrinkToFit="0" vertical="center" wrapText="1"/>
    </xf>
    <xf borderId="24" fillId="2" fontId="36" numFmtId="0" xfId="0" applyAlignment="1" applyBorder="1" applyFont="1">
      <alignment horizontal="center" readingOrder="0" vertical="center"/>
    </xf>
    <xf borderId="12" fillId="0" fontId="133" numFmtId="0" xfId="0" applyAlignment="1" applyBorder="1" applyFont="1">
      <alignment horizontal="left" readingOrder="0" shrinkToFit="0" vertical="center" wrapText="1"/>
    </xf>
    <xf borderId="0" fillId="2" fontId="72" numFmtId="0" xfId="0" applyAlignment="1" applyFont="1">
      <alignment horizontal="center" readingOrder="0" vertical="bottom"/>
    </xf>
    <xf borderId="21" fillId="0" fontId="4" numFmtId="0" xfId="0" applyAlignment="1" applyBorder="1" applyFont="1">
      <alignment horizontal="center" readingOrder="0"/>
    </xf>
    <xf borderId="21" fillId="0" fontId="7" numFmtId="0" xfId="0" applyAlignment="1" applyBorder="1" applyFont="1">
      <alignment horizontal="center" readingOrder="0" shrinkToFit="0" vertical="center" wrapText="1"/>
    </xf>
    <xf borderId="0" fillId="0" fontId="65" numFmtId="0" xfId="0" applyAlignment="1" applyFont="1">
      <alignment horizontal="center" readingOrder="0"/>
    </xf>
    <xf borderId="0" fillId="2" fontId="65" numFmtId="0" xfId="0" applyAlignment="1" applyFont="1">
      <alignment horizontal="center" readingOrder="0" vertical="bottom"/>
    </xf>
    <xf borderId="0" fillId="7" fontId="15" numFmtId="0" xfId="0" applyAlignment="1" applyFont="1">
      <alignment horizontal="center"/>
    </xf>
    <xf borderId="7" fillId="0" fontId="12" numFmtId="0" xfId="0" applyAlignment="1" applyBorder="1" applyFont="1">
      <alignment horizontal="center" readingOrder="0" vertical="center"/>
    </xf>
    <xf borderId="3" fillId="0" fontId="32" numFmtId="0" xfId="0" applyAlignment="1" applyBorder="1" applyFont="1">
      <alignment horizontal="center" readingOrder="0" vertical="center"/>
    </xf>
    <xf borderId="0" fillId="0" fontId="78" numFmtId="0" xfId="0" applyFont="1"/>
    <xf borderId="17" fillId="4" fontId="25" numFmtId="0" xfId="0" applyAlignment="1" applyBorder="1" applyFont="1">
      <alignment horizontal="center" readingOrder="0" vertical="center"/>
    </xf>
    <xf borderId="37" fillId="2" fontId="24" numFmtId="0" xfId="0" applyAlignment="1" applyBorder="1" applyFont="1">
      <alignment horizontal="center" vertical="center"/>
    </xf>
    <xf borderId="5" fillId="2" fontId="61" numFmtId="0" xfId="0" applyAlignment="1" applyBorder="1" applyFont="1">
      <alignment horizontal="center" vertical="center"/>
    </xf>
    <xf borderId="5" fillId="2" fontId="33" numFmtId="0" xfId="0" applyAlignment="1" applyBorder="1" applyFont="1">
      <alignment horizontal="center" readingOrder="0" vertical="center"/>
    </xf>
    <xf borderId="5" fillId="2" fontId="26" numFmtId="0" xfId="0" applyAlignment="1" applyBorder="1" applyFont="1">
      <alignment horizontal="center" vertical="center"/>
    </xf>
    <xf borderId="52" fillId="4" fontId="24" numFmtId="0" xfId="0" applyAlignment="1" applyBorder="1" applyFont="1">
      <alignment horizontal="center" vertical="center"/>
    </xf>
    <xf borderId="0" fillId="2" fontId="12" numFmtId="0" xfId="0" applyAlignment="1" applyFont="1">
      <alignment horizontal="center" readingOrder="0" shrinkToFit="0" vertical="center" wrapText="1"/>
    </xf>
    <xf borderId="0" fillId="2" fontId="4" numFmtId="0" xfId="0" applyAlignment="1" applyFont="1">
      <alignment horizontal="center" readingOrder="0" vertical="center"/>
    </xf>
    <xf borderId="0" fillId="0" fontId="6" numFmtId="0" xfId="0" applyAlignment="1" applyFont="1">
      <alignment horizontal="center" readingOrder="0"/>
    </xf>
    <xf borderId="5" fillId="7" fontId="15" numFmtId="0" xfId="0" applyAlignment="1" applyBorder="1" applyFont="1">
      <alignment horizontal="center" vertical="center"/>
    </xf>
    <xf borderId="32" fillId="0" fontId="30" numFmtId="0" xfId="0" applyAlignment="1" applyBorder="1" applyFont="1">
      <alignment horizontal="center" readingOrder="0" vertical="center"/>
    </xf>
    <xf borderId="23" fillId="4" fontId="12" numFmtId="0" xfId="0" applyAlignment="1" applyBorder="1" applyFont="1">
      <alignment horizontal="center" readingOrder="0" vertical="center"/>
    </xf>
    <xf borderId="32" fillId="0" fontId="25" numFmtId="0" xfId="0" applyAlignment="1" applyBorder="1" applyFont="1">
      <alignment horizontal="center" readingOrder="0"/>
    </xf>
    <xf borderId="34" fillId="0" fontId="25" numFmtId="0" xfId="0" applyAlignment="1" applyBorder="1" applyFont="1">
      <alignment horizontal="center" readingOrder="0"/>
    </xf>
    <xf borderId="0" fillId="0" fontId="75" numFmtId="0" xfId="0" applyFont="1"/>
    <xf borderId="0" fillId="0" fontId="78" numFmtId="0" xfId="0" applyAlignment="1" applyFont="1">
      <alignment horizontal="center" readingOrder="0"/>
    </xf>
    <xf borderId="0" fillId="0" fontId="88" numFmtId="0" xfId="0" applyAlignment="1" applyFont="1">
      <alignment horizontal="center" readingOrder="0"/>
    </xf>
    <xf borderId="0" fillId="2" fontId="76" numFmtId="0" xfId="0" applyAlignment="1" applyFont="1">
      <alignment horizontal="center" readingOrder="0" vertical="bottom"/>
    </xf>
    <xf borderId="25" fillId="6" fontId="13" numFmtId="0" xfId="0" applyAlignment="1" applyBorder="1" applyFont="1">
      <alignment horizontal="center" readingOrder="0" vertical="center"/>
    </xf>
    <xf borderId="32" fillId="2" fontId="25" numFmtId="0" xfId="0" applyAlignment="1" applyBorder="1" applyFont="1">
      <alignment horizontal="center"/>
    </xf>
    <xf borderId="34" fillId="2" fontId="25" numFmtId="0" xfId="0" applyAlignment="1" applyBorder="1" applyFont="1">
      <alignment horizontal="center"/>
    </xf>
    <xf borderId="35" fillId="2" fontId="25" numFmtId="0" xfId="0" applyAlignment="1" applyBorder="1" applyFont="1">
      <alignment horizontal="center" readingOrder="0" vertical="center"/>
    </xf>
    <xf borderId="37" fillId="0" fontId="24" numFmtId="0" xfId="0" applyAlignment="1" applyBorder="1" applyFont="1">
      <alignment horizontal="center" readingOrder="0" vertical="center"/>
    </xf>
    <xf borderId="38" fillId="2" fontId="61" numFmtId="0" xfId="0" applyAlignment="1" applyBorder="1" applyFont="1">
      <alignment horizontal="center" vertical="center"/>
    </xf>
    <xf borderId="38" fillId="0" fontId="25" numFmtId="165" xfId="0" applyAlignment="1" applyBorder="1" applyFont="1" applyNumberFormat="1">
      <alignment horizontal="center" readingOrder="0" vertical="center"/>
    </xf>
    <xf borderId="5" fillId="0" fontId="25" numFmtId="0" xfId="0" applyAlignment="1" applyBorder="1" applyFont="1">
      <alignment horizontal="center" vertical="center"/>
    </xf>
    <xf borderId="12" fillId="2" fontId="12" numFmtId="0" xfId="0" applyAlignment="1" applyBorder="1" applyFont="1">
      <alignment horizontal="center" readingOrder="0" shrinkToFit="0" vertical="center" wrapText="1"/>
    </xf>
    <xf borderId="0" fillId="2" fontId="3" numFmtId="0" xfId="0" applyFont="1"/>
    <xf borderId="32" fillId="2" fontId="12" numFmtId="0" xfId="0" applyAlignment="1" applyBorder="1" applyFont="1">
      <alignment horizontal="center" readingOrder="0" shrinkToFit="0" vertical="center" wrapText="1"/>
    </xf>
    <xf borderId="32" fillId="0" fontId="154" numFmtId="0" xfId="0" applyAlignment="1" applyBorder="1" applyFont="1">
      <alignment horizontal="center" readingOrder="0" vertical="center"/>
    </xf>
    <xf borderId="32" fillId="2" fontId="155" numFmtId="0" xfId="0" applyAlignment="1" applyBorder="1" applyFont="1">
      <alignment horizontal="center" readingOrder="0" vertical="center"/>
    </xf>
    <xf borderId="32" fillId="0" fontId="24" numFmtId="0" xfId="0" applyAlignment="1" applyBorder="1" applyFont="1">
      <alignment horizontal="center" readingOrder="0" vertical="center"/>
    </xf>
    <xf borderId="34" fillId="2" fontId="155" numFmtId="0" xfId="0" applyAlignment="1" applyBorder="1" applyFont="1">
      <alignment horizontal="center" readingOrder="0" vertical="center"/>
    </xf>
    <xf borderId="0" fillId="0" fontId="7" numFmtId="0" xfId="0" applyAlignment="1" applyFont="1">
      <alignment horizontal="center" readingOrder="0" vertical="center"/>
    </xf>
    <xf borderId="0" fillId="0" fontId="3" numFmtId="0" xfId="0" applyAlignment="1" applyFont="1">
      <alignment readingOrder="0"/>
    </xf>
    <xf borderId="25" fillId="6" fontId="13" numFmtId="0" xfId="0" applyAlignment="1" applyBorder="1" applyFont="1">
      <alignment horizontal="center" readingOrder="0" vertical="center"/>
    </xf>
    <xf borderId="37" fillId="0" fontId="24" numFmtId="0" xfId="0" applyAlignment="1" applyBorder="1" applyFont="1">
      <alignment horizontal="center" vertical="center"/>
    </xf>
    <xf borderId="0" fillId="2" fontId="3" numFmtId="0" xfId="0" applyAlignment="1" applyFont="1">
      <alignment horizontal="center" vertical="bottom"/>
    </xf>
    <xf borderId="0" fillId="2" fontId="75" numFmtId="0" xfId="0" applyAlignment="1" applyFont="1">
      <alignment horizontal="center" vertical="bottom"/>
    </xf>
    <xf borderId="16" fillId="3" fontId="156" numFmtId="0" xfId="0" applyAlignment="1" applyBorder="1" applyFont="1">
      <alignment horizontal="center" readingOrder="0" vertical="center"/>
    </xf>
    <xf borderId="0" fillId="2" fontId="20" numFmtId="0" xfId="0" applyAlignment="1" applyFont="1">
      <alignment horizontal="left" readingOrder="0"/>
    </xf>
    <xf borderId="5" fillId="2" fontId="157" numFmtId="0" xfId="0" applyAlignment="1" applyBorder="1" applyFont="1">
      <alignment horizontal="center" readingOrder="0" vertical="center"/>
    </xf>
    <xf borderId="54" fillId="2" fontId="6" numFmtId="0" xfId="0" applyAlignment="1" applyBorder="1" applyFont="1">
      <alignment horizontal="center" readingOrder="0" vertical="center"/>
    </xf>
    <xf borderId="13" fillId="2" fontId="6" numFmtId="0" xfId="0" applyAlignment="1" applyBorder="1" applyFont="1">
      <alignment horizontal="center" readingOrder="0" vertical="center"/>
    </xf>
    <xf borderId="56" fillId="2" fontId="6" numFmtId="0" xfId="0" applyAlignment="1" applyBorder="1" applyFont="1">
      <alignment horizontal="center" readingOrder="0" vertical="center"/>
    </xf>
    <xf borderId="15" fillId="2" fontId="6" numFmtId="0" xfId="0" applyAlignment="1" applyBorder="1" applyFont="1">
      <alignment horizontal="center" readingOrder="0" vertical="center"/>
    </xf>
    <xf borderId="56" fillId="0" fontId="158" numFmtId="0" xfId="0" applyAlignment="1" applyBorder="1" applyFont="1">
      <alignment horizontal="left" readingOrder="0" shrinkToFit="0" vertical="top" wrapText="1"/>
    </xf>
    <xf borderId="56" fillId="2" fontId="159" numFmtId="0" xfId="0" applyAlignment="1" applyBorder="1" applyFont="1">
      <alignment horizontal="left" readingOrder="0"/>
    </xf>
    <xf borderId="52" fillId="2" fontId="6" numFmtId="0" xfId="0" applyAlignment="1" applyBorder="1" applyFont="1">
      <alignment horizontal="center" readingOrder="0" vertical="center"/>
    </xf>
    <xf borderId="31" fillId="2" fontId="6" numFmtId="0" xfId="0" applyAlignment="1" applyBorder="1" applyFont="1">
      <alignment horizontal="center" readingOrder="0" vertical="center"/>
    </xf>
    <xf borderId="41" fillId="0" fontId="3" numFmtId="0" xfId="0" applyBorder="1" applyFont="1"/>
    <xf borderId="21" fillId="0" fontId="7" numFmtId="0" xfId="0" applyAlignment="1" applyBorder="1" applyFont="1">
      <alignment horizontal="left" readingOrder="0" shrinkToFit="0" vertical="center" wrapText="1"/>
    </xf>
    <xf borderId="47" fillId="2" fontId="79" numFmtId="0" xfId="0" applyAlignment="1" applyBorder="1" applyFont="1">
      <alignment horizontal="center" shrinkToFit="0" wrapText="1"/>
    </xf>
    <xf borderId="3" fillId="7" fontId="4" numFmtId="0" xfId="0" applyAlignment="1" applyBorder="1" applyFont="1">
      <alignment horizontal="center" readingOrder="0" vertical="bottom"/>
    </xf>
    <xf borderId="30" fillId="0" fontId="12" numFmtId="0" xfId="0" applyAlignment="1" applyBorder="1" applyFont="1">
      <alignment horizontal="center"/>
    </xf>
    <xf borderId="4" fillId="0" fontId="12" numFmtId="0" xfId="0" applyAlignment="1" applyBorder="1" applyFont="1">
      <alignment horizontal="center"/>
    </xf>
    <xf borderId="29" fillId="2" fontId="30" numFmtId="0" xfId="0" applyAlignment="1" applyBorder="1" applyFont="1">
      <alignment horizontal="center"/>
    </xf>
    <xf borderId="30" fillId="2" fontId="160" numFmtId="0" xfId="0" applyAlignment="1" applyBorder="1" applyFont="1">
      <alignment horizontal="center" vertical="center"/>
    </xf>
    <xf borderId="4" fillId="2" fontId="161" numFmtId="0" xfId="0" applyAlignment="1" applyBorder="1" applyFont="1">
      <alignment horizontal="center" vertical="center"/>
    </xf>
    <xf borderId="4" fillId="2" fontId="161" numFmtId="0" xfId="0" applyAlignment="1" applyBorder="1" applyFont="1">
      <alignment horizontal="center" vertical="center"/>
    </xf>
    <xf borderId="29" fillId="2" fontId="11" numFmtId="0" xfId="0" applyAlignment="1" applyBorder="1" applyFont="1">
      <alignment horizontal="center" vertical="center"/>
    </xf>
    <xf borderId="17" fillId="4" fontId="11" numFmtId="0" xfId="0" applyAlignment="1" applyBorder="1" applyFont="1">
      <alignment horizontal="center" readingOrder="0" vertical="center"/>
    </xf>
    <xf borderId="31" fillId="4" fontId="11" numFmtId="0" xfId="0" applyAlignment="1" applyBorder="1" applyFont="1">
      <alignment horizontal="center" readingOrder="0" vertical="center"/>
    </xf>
    <xf borderId="30" fillId="0" fontId="162" numFmtId="0" xfId="0" applyAlignment="1" applyBorder="1" applyFont="1">
      <alignment horizontal="center" vertical="center"/>
    </xf>
    <xf borderId="4" fillId="0" fontId="11" numFmtId="0" xfId="0" applyAlignment="1" applyBorder="1" applyFont="1">
      <alignment horizontal="center" vertical="center"/>
    </xf>
    <xf borderId="4" fillId="2" fontId="11" numFmtId="0" xfId="0" applyAlignment="1" applyBorder="1" applyFont="1">
      <alignment horizontal="center" vertical="center"/>
    </xf>
    <xf borderId="30" fillId="0" fontId="11" numFmtId="0" xfId="0" applyAlignment="1" applyBorder="1" applyFont="1">
      <alignment horizontal="center" vertical="center"/>
    </xf>
    <xf borderId="4" fillId="0" fontId="11" numFmtId="0" xfId="0" applyAlignment="1" applyBorder="1" applyFont="1">
      <alignment horizontal="center" vertical="center"/>
    </xf>
    <xf borderId="4" fillId="2" fontId="11" numFmtId="0" xfId="0" applyAlignment="1" applyBorder="1" applyFont="1">
      <alignment horizontal="center" vertical="center"/>
    </xf>
    <xf borderId="29" fillId="0" fontId="11" numFmtId="0" xfId="0" applyAlignment="1" applyBorder="1" applyFont="1">
      <alignment horizontal="center" vertical="center"/>
    </xf>
    <xf borderId="30" fillId="2" fontId="11" numFmtId="0" xfId="0" applyAlignment="1" applyBorder="1" applyFont="1">
      <alignment horizontal="center" vertical="center"/>
    </xf>
    <xf borderId="30" fillId="0" fontId="160" numFmtId="0" xfId="0" applyAlignment="1" applyBorder="1" applyFont="1">
      <alignment horizontal="center" vertical="center"/>
    </xf>
    <xf borderId="4" fillId="0" fontId="33" numFmtId="0" xfId="0" applyAlignment="1" applyBorder="1" applyFont="1">
      <alignment horizontal="center" vertical="center"/>
    </xf>
    <xf borderId="3" fillId="0" fontId="11" numFmtId="0" xfId="0" applyAlignment="1" applyBorder="1" applyFont="1">
      <alignment horizontal="center" vertical="center"/>
    </xf>
    <xf borderId="52" fillId="4" fontId="24" numFmtId="0" xfId="0" applyAlignment="1" applyBorder="1" applyFont="1">
      <alignment horizontal="center" readingOrder="0" vertical="center"/>
    </xf>
    <xf borderId="30" fillId="0" fontId="160" numFmtId="0" xfId="0" applyAlignment="1" applyBorder="1" applyFont="1">
      <alignment horizontal="center" vertical="center"/>
    </xf>
    <xf borderId="24" fillId="2" fontId="161" numFmtId="0" xfId="0" applyAlignment="1" applyBorder="1" applyFont="1">
      <alignment horizontal="center" vertical="center"/>
    </xf>
    <xf borderId="24" fillId="0" fontId="33" numFmtId="0" xfId="0" applyAlignment="1" applyBorder="1" applyFont="1">
      <alignment horizontal="center" vertical="center"/>
    </xf>
    <xf borderId="24" fillId="2" fontId="11" numFmtId="0" xfId="0" applyAlignment="1" applyBorder="1" applyFont="1">
      <alignment horizontal="center" vertical="center"/>
    </xf>
    <xf borderId="15" fillId="0" fontId="11" numFmtId="0" xfId="0" applyAlignment="1" applyBorder="1" applyFont="1">
      <alignment horizontal="center" vertical="center"/>
    </xf>
    <xf borderId="5" fillId="2" fontId="81" numFmtId="0" xfId="0" applyAlignment="1" applyBorder="1" applyFont="1">
      <alignment horizontal="center" vertical="center"/>
    </xf>
    <xf borderId="16" fillId="2" fontId="12" numFmtId="0" xfId="0" applyAlignment="1" applyBorder="1" applyFont="1">
      <alignment horizontal="center" shrinkToFit="0" wrapText="1"/>
    </xf>
    <xf borderId="36" fillId="7" fontId="15" numFmtId="0" xfId="0" applyAlignment="1" applyBorder="1" applyFont="1">
      <alignment horizontal="center" vertical="center"/>
    </xf>
    <xf borderId="14" fillId="0" fontId="3" numFmtId="0" xfId="0" applyBorder="1" applyFont="1"/>
    <xf borderId="21" fillId="4" fontId="12" numFmtId="0" xfId="0" applyAlignment="1" applyBorder="1" applyFont="1">
      <alignment horizontal="center" readingOrder="0" vertical="center"/>
    </xf>
    <xf borderId="32" fillId="2" fontId="163" numFmtId="0" xfId="0" applyAlignment="1" applyBorder="1" applyFont="1">
      <alignment horizontal="center" vertical="center"/>
    </xf>
    <xf borderId="34" fillId="2" fontId="163" numFmtId="0" xfId="0" applyAlignment="1" applyBorder="1" applyFont="1">
      <alignment horizontal="center" shrinkToFit="0" vertical="center" wrapText="0"/>
    </xf>
    <xf borderId="5" fillId="7" fontId="15" numFmtId="0" xfId="0" applyAlignment="1" applyBorder="1" applyFont="1">
      <alignment horizontal="center" readingOrder="0" vertical="center"/>
    </xf>
    <xf borderId="11" fillId="6" fontId="164" numFmtId="0" xfId="0" applyAlignment="1" applyBorder="1" applyFont="1">
      <alignment horizontal="center" readingOrder="0" vertical="bottom"/>
    </xf>
    <xf borderId="60" fillId="2" fontId="12" numFmtId="0" xfId="0" applyAlignment="1" applyBorder="1" applyFont="1">
      <alignment horizontal="center" readingOrder="0" shrinkToFit="0" vertical="center" wrapText="1"/>
    </xf>
    <xf borderId="61" fillId="7" fontId="4" numFmtId="0" xfId="0" applyAlignment="1" applyBorder="1" applyFont="1">
      <alignment horizontal="center" readingOrder="0" vertical="center"/>
    </xf>
    <xf borderId="12" fillId="2" fontId="30" numFmtId="0" xfId="0" applyAlignment="1" applyBorder="1" applyFont="1">
      <alignment horizontal="center" readingOrder="0" vertical="bottom"/>
    </xf>
    <xf borderId="0" fillId="0" fontId="79" numFmtId="0" xfId="0" applyAlignment="1" applyFont="1">
      <alignment vertical="center"/>
    </xf>
    <xf borderId="32" fillId="0" fontId="25" numFmtId="0" xfId="0" applyAlignment="1" applyBorder="1" applyFont="1">
      <alignment horizontal="center" vertical="bottom"/>
    </xf>
    <xf borderId="32" fillId="0" fontId="25" numFmtId="0" xfId="0" applyAlignment="1" applyBorder="1" applyFont="1">
      <alignment horizontal="center" readingOrder="0" vertical="bottom"/>
    </xf>
    <xf borderId="8" fillId="0" fontId="26" numFmtId="0" xfId="0" applyAlignment="1" applyBorder="1" applyFont="1">
      <alignment horizontal="center" readingOrder="0" vertical="bottom"/>
    </xf>
    <xf borderId="31" fillId="4" fontId="25" numFmtId="0" xfId="0" applyAlignment="1" applyBorder="1" applyFont="1">
      <alignment readingOrder="0" vertical="bottom"/>
    </xf>
    <xf borderId="39" fillId="0" fontId="24" numFmtId="0" xfId="0" applyAlignment="1" applyBorder="1" applyFont="1">
      <alignment horizontal="center" vertical="bottom"/>
    </xf>
    <xf borderId="34" fillId="0" fontId="25" numFmtId="0" xfId="0" applyAlignment="1" applyBorder="1" applyFont="1">
      <alignment horizontal="center" vertical="bottom"/>
    </xf>
    <xf borderId="34" fillId="0" fontId="25" numFmtId="0" xfId="0" applyAlignment="1" applyBorder="1" applyFont="1">
      <alignment horizontal="center" readingOrder="0" vertical="bottom"/>
    </xf>
    <xf borderId="36" fillId="0" fontId="26" numFmtId="0" xfId="0" applyAlignment="1" applyBorder="1" applyFont="1">
      <alignment horizontal="center" readingOrder="0" vertical="bottom"/>
    </xf>
    <xf borderId="25" fillId="6" fontId="165" numFmtId="0" xfId="0" applyAlignment="1" applyBorder="1" applyFont="1">
      <alignment horizontal="center" readingOrder="0" shrinkToFit="0" vertical="bottom" wrapText="1"/>
    </xf>
    <xf borderId="0" fillId="2" fontId="30" numFmtId="0" xfId="0" applyAlignment="1" applyFont="1">
      <alignment horizontal="center" vertical="center"/>
    </xf>
    <xf borderId="11" fillId="0" fontId="158" numFmtId="0" xfId="0" applyAlignment="1" applyBorder="1" applyFont="1">
      <alignment horizontal="left" readingOrder="0" shrinkToFit="0" vertical="center" wrapText="1"/>
    </xf>
    <xf borderId="32" fillId="0" fontId="33" numFmtId="0" xfId="0" applyAlignment="1" applyBorder="1" applyFont="1">
      <alignment horizontal="center" vertical="center"/>
    </xf>
    <xf borderId="10" fillId="0" fontId="32" numFmtId="0" xfId="0" applyAlignment="1" applyBorder="1" applyFont="1">
      <alignment horizontal="center" vertical="center"/>
    </xf>
    <xf borderId="32" fillId="2" fontId="32" numFmtId="0" xfId="0" applyAlignment="1" applyBorder="1" applyFont="1">
      <alignment horizontal="center" vertical="center"/>
    </xf>
    <xf borderId="34" fillId="2" fontId="61" numFmtId="0" xfId="0" applyAlignment="1" applyBorder="1" applyFont="1">
      <alignment horizontal="center" vertical="center"/>
    </xf>
    <xf borderId="0" fillId="2" fontId="13" numFmtId="0" xfId="0" applyAlignment="1" applyFont="1">
      <alignment horizontal="center" readingOrder="0" vertical="center"/>
    </xf>
    <xf borderId="0" fillId="2" fontId="166" numFmtId="0" xfId="0" applyAlignment="1" applyFont="1">
      <alignment horizontal="left"/>
    </xf>
    <xf borderId="8" fillId="6" fontId="167" numFmtId="0" xfId="0" applyAlignment="1" applyBorder="1" applyFont="1">
      <alignment horizontal="center" readingOrder="0" vertical="center"/>
    </xf>
    <xf borderId="62" fillId="4" fontId="12" numFmtId="0" xfId="0" applyAlignment="1" applyBorder="1" applyFont="1">
      <alignment horizontal="center" readingOrder="0" vertical="center"/>
    </xf>
    <xf borderId="48" fillId="0" fontId="24" numFmtId="0" xfId="0" applyAlignment="1" applyBorder="1" applyFont="1">
      <alignment horizontal="center" vertical="center"/>
    </xf>
    <xf borderId="62" fillId="4" fontId="25" numFmtId="0" xfId="0" applyAlignment="1" applyBorder="1" applyFont="1">
      <alignment horizontal="center" readingOrder="0" vertical="center"/>
    </xf>
    <xf borderId="24" fillId="0" fontId="25" numFmtId="0" xfId="0" applyAlignment="1" applyBorder="1" applyFont="1">
      <alignment horizontal="center" readingOrder="0" vertical="center"/>
    </xf>
    <xf borderId="60" fillId="4" fontId="25" numFmtId="0" xfId="0" applyAlignment="1" applyBorder="1" applyFont="1">
      <alignment horizontal="center" readingOrder="0" vertical="center"/>
    </xf>
    <xf borderId="25" fillId="6" fontId="13" numFmtId="0" xfId="0" applyAlignment="1" applyBorder="1" applyFont="1">
      <alignment horizontal="center" readingOrder="0" vertical="center"/>
    </xf>
    <xf borderId="25" fillId="6" fontId="168" numFmtId="0" xfId="0" applyAlignment="1" applyBorder="1" applyFont="1">
      <alignment horizontal="center"/>
    </xf>
    <xf borderId="30" fillId="2" fontId="12" numFmtId="0" xfId="0" applyAlignment="1" applyBorder="1" applyFont="1">
      <alignment horizontal="center" shrinkToFit="0" wrapText="1"/>
    </xf>
    <xf borderId="30" fillId="0" fontId="12" numFmtId="0" xfId="0" applyAlignment="1" applyBorder="1" applyFont="1">
      <alignment horizontal="center"/>
    </xf>
    <xf borderId="4" fillId="0" fontId="12" numFmtId="0" xfId="0" applyAlignment="1" applyBorder="1" applyFont="1">
      <alignment horizontal="center"/>
    </xf>
    <xf borderId="4" fillId="0" fontId="169" numFmtId="0" xfId="0" applyAlignment="1" applyBorder="1" applyFont="1">
      <alignment horizontal="center"/>
    </xf>
    <xf borderId="4" fillId="2" fontId="30" numFmtId="0" xfId="0" applyAlignment="1" applyBorder="1" applyFont="1">
      <alignment horizontal="center"/>
    </xf>
    <xf borderId="29" fillId="4" fontId="12" numFmtId="0" xfId="0" applyAlignment="1" applyBorder="1" applyFont="1">
      <alignment horizontal="center"/>
    </xf>
    <xf borderId="30" fillId="0" fontId="162" numFmtId="0" xfId="0" applyAlignment="1" applyBorder="1" applyFont="1">
      <alignment horizontal="center"/>
    </xf>
    <xf borderId="4" fillId="0" fontId="11" numFmtId="0" xfId="0" applyAlignment="1" applyBorder="1" applyFont="1">
      <alignment horizontal="center"/>
    </xf>
    <xf borderId="4" fillId="2" fontId="161" numFmtId="0" xfId="0" applyAlignment="1" applyBorder="1" applyFont="1">
      <alignment horizontal="center"/>
    </xf>
    <xf borderId="4" fillId="0" fontId="170" numFmtId="0" xfId="0" applyAlignment="1" applyBorder="1" applyFont="1">
      <alignment vertical="bottom"/>
    </xf>
    <xf borderId="33" fillId="0" fontId="162" numFmtId="0" xfId="0" applyAlignment="1" applyBorder="1" applyFont="1">
      <alignment horizontal="center"/>
    </xf>
    <xf borderId="35" fillId="0" fontId="11" numFmtId="0" xfId="0" applyAlignment="1" applyBorder="1" applyFont="1">
      <alignment horizontal="center"/>
    </xf>
    <xf borderId="35" fillId="2" fontId="161" numFmtId="0" xfId="0" applyAlignment="1" applyBorder="1" applyFont="1">
      <alignment horizontal="center"/>
    </xf>
    <xf borderId="35" fillId="0" fontId="170" numFmtId="0" xfId="0" applyAlignment="1" applyBorder="1" applyFont="1">
      <alignment vertical="bottom"/>
    </xf>
    <xf borderId="8" fillId="6" fontId="13" numFmtId="0" xfId="0" applyAlignment="1" applyBorder="1" applyFont="1">
      <alignment horizontal="center" readingOrder="0" shrinkToFit="0" vertical="center" wrapText="1"/>
    </xf>
    <xf borderId="0" fillId="0" fontId="1" numFmtId="0" xfId="0" applyAlignment="1" applyFont="1">
      <alignment horizontal="center" readingOrder="0" vertical="center"/>
    </xf>
    <xf borderId="8" fillId="6" fontId="13" numFmtId="0" xfId="0" applyAlignment="1" applyBorder="1" applyFont="1">
      <alignment horizontal="center" readingOrder="0" vertical="center"/>
    </xf>
    <xf borderId="32" fillId="2" fontId="24" numFmtId="0" xfId="0" applyAlignment="1" applyBorder="1" applyFont="1">
      <alignment horizontal="center" vertical="center"/>
    </xf>
    <xf borderId="62" fillId="4" fontId="25" numFmtId="0" xfId="0" applyAlignment="1" applyBorder="1" applyFont="1">
      <alignment horizontal="center" readingOrder="0" vertical="center"/>
    </xf>
    <xf borderId="60" fillId="4" fontId="25" numFmtId="0" xfId="0" applyAlignment="1" applyBorder="1" applyFont="1">
      <alignment horizontal="center" readingOrder="0" vertical="center"/>
    </xf>
    <xf borderId="4" fillId="0" fontId="171" numFmtId="0" xfId="0" applyAlignment="1" applyBorder="1" applyFont="1">
      <alignment horizontal="center"/>
    </xf>
    <xf borderId="29" fillId="4" fontId="11" numFmtId="0" xfId="0" applyAlignment="1" applyBorder="1" applyFont="1">
      <alignment horizontal="center" readingOrder="0"/>
    </xf>
    <xf borderId="29" fillId="4" fontId="11" numFmtId="0" xfId="0" applyAlignment="1" applyBorder="1" applyFont="1">
      <alignment horizontal="center"/>
    </xf>
    <xf borderId="17" fillId="4" fontId="11" numFmtId="0" xfId="0" applyAlignment="1" applyBorder="1" applyFont="1">
      <alignment horizontal="center"/>
    </xf>
    <xf borderId="56" fillId="0" fontId="1" numFmtId="0" xfId="0" applyBorder="1" applyFont="1"/>
    <xf borderId="0" fillId="0" fontId="172" numFmtId="0" xfId="0" applyAlignment="1" applyFont="1">
      <alignment vertical="bottom"/>
    </xf>
    <xf borderId="0" fillId="2" fontId="173" numFmtId="0" xfId="0" applyAlignment="1" applyFont="1">
      <alignment vertical="bottom"/>
    </xf>
    <xf borderId="1" fillId="0" fontId="172" numFmtId="0" xfId="0" applyAlignment="1" applyBorder="1" applyFont="1">
      <alignment vertical="bottom"/>
    </xf>
    <xf borderId="1" fillId="2" fontId="173" numFmtId="0" xfId="0" applyAlignment="1" applyBorder="1" applyFont="1">
      <alignment vertical="bottom"/>
    </xf>
    <xf borderId="16" fillId="0" fontId="29" numFmtId="0" xfId="0" applyAlignment="1" applyBorder="1" applyFont="1">
      <alignment horizontal="center" shrinkToFit="0" wrapText="1"/>
    </xf>
    <xf borderId="14" fillId="3" fontId="174" numFmtId="0" xfId="0" applyAlignment="1" applyBorder="1" applyFont="1">
      <alignment horizontal="center"/>
    </xf>
    <xf borderId="16" fillId="0" fontId="175" numFmtId="0" xfId="0" applyAlignment="1" applyBorder="1" applyFont="1">
      <alignment horizontal="center"/>
    </xf>
    <xf borderId="16" fillId="0" fontId="7" numFmtId="0" xfId="0" applyAlignment="1" applyBorder="1" applyFont="1">
      <alignment horizontal="center" shrinkToFit="0" wrapText="1"/>
    </xf>
    <xf borderId="1" fillId="0" fontId="7" numFmtId="0" xfId="0" applyAlignment="1" applyBorder="1" applyFont="1">
      <alignment vertical="bottom"/>
    </xf>
    <xf borderId="1" fillId="0" fontId="3" numFmtId="0" xfId="0" applyAlignment="1" applyBorder="1" applyFont="1">
      <alignment vertical="bottom"/>
    </xf>
    <xf borderId="16" fillId="5" fontId="176" numFmtId="0" xfId="0" applyAlignment="1" applyBorder="1" applyFont="1">
      <alignment horizontal="center"/>
    </xf>
    <xf borderId="15" fillId="0" fontId="3" numFmtId="0" xfId="0" applyAlignment="1" applyBorder="1" applyFont="1">
      <alignment vertical="bottom"/>
    </xf>
    <xf borderId="1" fillId="5" fontId="29" numFmtId="0" xfId="0" applyAlignment="1" applyBorder="1" applyFont="1">
      <alignment horizontal="center"/>
    </xf>
    <xf borderId="15" fillId="2" fontId="173" numFmtId="0" xfId="0" applyAlignment="1" applyBorder="1" applyFont="1">
      <alignment vertical="bottom"/>
    </xf>
    <xf borderId="1" fillId="2" fontId="143" numFmtId="0" xfId="0" applyAlignment="1" applyBorder="1" applyFont="1">
      <alignment horizontal="center"/>
    </xf>
    <xf borderId="3" fillId="6" fontId="177" numFmtId="0" xfId="0" applyAlignment="1" applyBorder="1" applyFont="1">
      <alignment horizontal="center" shrinkToFit="0" wrapText="1"/>
    </xf>
    <xf borderId="4" fillId="2" fontId="12" numFmtId="0" xfId="0" applyAlignment="1" applyBorder="1" applyFont="1">
      <alignment horizontal="center" shrinkToFit="0" wrapText="1"/>
    </xf>
    <xf borderId="52" fillId="4" fontId="12" numFmtId="0" xfId="0" applyAlignment="1" applyBorder="1" applyFont="1">
      <alignment horizontal="center" readingOrder="0" vertical="center"/>
    </xf>
    <xf borderId="15" fillId="2" fontId="78" numFmtId="0" xfId="0" applyAlignment="1" applyBorder="1" applyFont="1">
      <alignment vertical="bottom"/>
    </xf>
    <xf borderId="29" fillId="2" fontId="12" numFmtId="0" xfId="0" applyAlignment="1" applyBorder="1" applyFont="1">
      <alignment horizontal="center"/>
    </xf>
    <xf borderId="17" fillId="4" fontId="12" numFmtId="0" xfId="0" applyAlignment="1" applyBorder="1" applyFont="1">
      <alignment horizontal="center"/>
    </xf>
    <xf borderId="0" fillId="2" fontId="78" numFmtId="0" xfId="0" applyAlignment="1" applyFont="1">
      <alignment vertical="bottom"/>
    </xf>
    <xf borderId="15" fillId="2" fontId="11" numFmtId="0" xfId="0" applyAlignment="1" applyBorder="1" applyFont="1">
      <alignment vertical="bottom"/>
    </xf>
    <xf borderId="4" fillId="0" fontId="162" numFmtId="0" xfId="0" applyAlignment="1" applyBorder="1" applyFont="1">
      <alignment horizontal="center"/>
    </xf>
    <xf borderId="29" fillId="0" fontId="11" numFmtId="0" xfId="0" applyAlignment="1" applyBorder="1" applyFont="1">
      <alignment vertical="bottom"/>
    </xf>
    <xf borderId="17" fillId="4" fontId="11" numFmtId="0" xfId="0" applyAlignment="1" applyBorder="1" applyFont="1">
      <alignment readingOrder="0" vertical="bottom"/>
    </xf>
    <xf borderId="0" fillId="2" fontId="11" numFmtId="0" xfId="0" applyAlignment="1" applyFont="1">
      <alignment vertical="bottom"/>
    </xf>
    <xf borderId="15" fillId="2" fontId="79" numFmtId="0" xfId="0" applyAlignment="1" applyBorder="1" applyFont="1">
      <alignment horizontal="center" readingOrder="0" vertical="center"/>
    </xf>
    <xf borderId="3" fillId="13" fontId="12" numFmtId="0" xfId="0" applyAlignment="1" applyBorder="1" applyFont="1">
      <alignment horizontal="center"/>
    </xf>
    <xf borderId="4" fillId="2" fontId="11" numFmtId="0" xfId="0" applyAlignment="1" applyBorder="1" applyFont="1">
      <alignment horizontal="center"/>
    </xf>
    <xf borderId="4" fillId="2" fontId="81" numFmtId="0" xfId="0" applyAlignment="1" applyBorder="1" applyFont="1">
      <alignment horizontal="center"/>
    </xf>
    <xf borderId="17" fillId="4" fontId="11" numFmtId="0" xfId="0" applyAlignment="1" applyBorder="1" applyFont="1">
      <alignment vertical="bottom"/>
    </xf>
    <xf borderId="35" fillId="0" fontId="162" numFmtId="0" xfId="0" applyAlignment="1" applyBorder="1" applyFont="1">
      <alignment horizontal="center"/>
    </xf>
    <xf borderId="35" fillId="2" fontId="11" numFmtId="0" xfId="0" applyAlignment="1" applyBorder="1" applyFont="1">
      <alignment horizontal="center"/>
    </xf>
    <xf borderId="35" fillId="2" fontId="81" numFmtId="0" xfId="0" applyAlignment="1" applyBorder="1" applyFont="1">
      <alignment horizontal="center"/>
    </xf>
    <xf borderId="17" fillId="0" fontId="11" numFmtId="0" xfId="0" applyAlignment="1" applyBorder="1" applyFont="1">
      <alignment vertical="bottom"/>
    </xf>
    <xf borderId="1" fillId="0" fontId="178" numFmtId="0" xfId="0" applyAlignment="1" applyBorder="1" applyFont="1">
      <alignment vertical="bottom"/>
    </xf>
    <xf borderId="42" fillId="6" fontId="179" numFmtId="0" xfId="0" applyAlignment="1" applyBorder="1" applyFont="1">
      <alignment horizontal="center"/>
    </xf>
    <xf borderId="30" fillId="0" fontId="12" numFmtId="0" xfId="0" applyAlignment="1" applyBorder="1" applyFont="1">
      <alignment horizontal="center" shrinkToFit="0" wrapText="0"/>
    </xf>
    <xf borderId="4" fillId="0" fontId="12" numFmtId="0" xfId="0" applyAlignment="1" applyBorder="1" applyFont="1">
      <alignment horizontal="center" shrinkToFit="0" wrapText="0"/>
    </xf>
    <xf borderId="29" fillId="2" fontId="12" numFmtId="0" xfId="0" applyAlignment="1" applyBorder="1" applyFont="1">
      <alignment horizontal="center" shrinkToFit="0" wrapText="0"/>
    </xf>
    <xf borderId="17" fillId="4" fontId="12" numFmtId="0" xfId="0" applyAlignment="1" applyBorder="1" applyFont="1">
      <alignment horizontal="center" shrinkToFit="0" wrapText="0"/>
    </xf>
    <xf borderId="4" fillId="2" fontId="161" numFmtId="0" xfId="0" applyAlignment="1" applyBorder="1" applyFont="1">
      <alignment horizontal="center"/>
    </xf>
    <xf borderId="0" fillId="2" fontId="175" numFmtId="0" xfId="0" applyAlignment="1" applyFont="1">
      <alignment horizontal="center"/>
    </xf>
    <xf borderId="12" fillId="2" fontId="173" numFmtId="0" xfId="0" applyAlignment="1" applyBorder="1" applyFont="1">
      <alignment vertical="bottom"/>
    </xf>
    <xf borderId="12" fillId="2" fontId="11" numFmtId="0" xfId="0" applyAlignment="1" applyBorder="1" applyFont="1">
      <alignment vertical="bottom"/>
    </xf>
    <xf borderId="0" fillId="2" fontId="143" numFmtId="0" xfId="0" applyAlignment="1" applyFont="1">
      <alignment horizontal="center"/>
    </xf>
    <xf borderId="16" fillId="2" fontId="143" numFmtId="0" xfId="0" applyAlignment="1" applyBorder="1" applyFont="1">
      <alignment horizontal="center"/>
    </xf>
    <xf borderId="0" fillId="2" fontId="3" numFmtId="0" xfId="0" applyAlignment="1" applyFont="1">
      <alignment vertical="bottom"/>
    </xf>
    <xf borderId="3" fillId="7" fontId="29" numFmtId="0" xfId="0" applyAlignment="1" applyBorder="1" applyFont="1">
      <alignment horizontal="center" vertical="bottom"/>
    </xf>
    <xf borderId="0" fillId="2" fontId="79" numFmtId="0" xfId="0" applyAlignment="1" applyFont="1">
      <alignment horizontal="center" readingOrder="0" vertical="center"/>
    </xf>
    <xf borderId="31" fillId="4" fontId="61" numFmtId="0" xfId="0" applyAlignment="1" applyBorder="1" applyFont="1">
      <alignment horizontal="center" readingOrder="0" vertical="center"/>
    </xf>
    <xf borderId="28" fillId="2" fontId="60" numFmtId="0" xfId="0" applyAlignment="1" applyBorder="1" applyFont="1">
      <alignment horizontal="center" shrinkToFit="0" wrapText="0"/>
    </xf>
    <xf borderId="1" fillId="14" fontId="99" numFmtId="0" xfId="0" applyAlignment="1" applyBorder="1" applyFill="1" applyFont="1">
      <alignment horizontal="center"/>
    </xf>
    <xf borderId="1" fillId="2" fontId="12" numFmtId="0" xfId="0" applyAlignment="1" applyBorder="1" applyFont="1">
      <alignment horizontal="center" shrinkToFit="0" wrapText="1"/>
    </xf>
    <xf borderId="1" fillId="2" fontId="29" numFmtId="0" xfId="0" applyAlignment="1" applyBorder="1" applyFont="1">
      <alignment horizontal="center"/>
    </xf>
    <xf borderId="0" fillId="2" fontId="12" numFmtId="0" xfId="0" applyAlignment="1" applyFont="1">
      <alignment horizontal="center" shrinkToFit="0" wrapText="1"/>
    </xf>
    <xf borderId="0" fillId="2" fontId="29" numFmtId="0" xfId="0" applyAlignment="1" applyFont="1">
      <alignment horizontal="center"/>
    </xf>
    <xf borderId="42" fillId="6" fontId="180" numFmtId="0" xfId="0" applyAlignment="1" applyBorder="1" applyFont="1">
      <alignment horizontal="center" vertical="bottom"/>
    </xf>
    <xf borderId="30" fillId="2" fontId="12" numFmtId="0" xfId="0" applyAlignment="1" applyBorder="1" applyFont="1">
      <alignment horizontal="center" shrinkToFit="0" vertical="bottom" wrapText="1"/>
    </xf>
    <xf borderId="3" fillId="7" fontId="115" numFmtId="0" xfId="0" applyAlignment="1" applyBorder="1" applyFont="1">
      <alignment horizontal="center" vertical="bottom"/>
    </xf>
    <xf borderId="29" fillId="2" fontId="30" numFmtId="0" xfId="0" applyAlignment="1" applyBorder="1" applyFont="1">
      <alignment horizontal="center" vertical="bottom"/>
    </xf>
    <xf borderId="17" fillId="4" fontId="12" numFmtId="0" xfId="0" applyAlignment="1" applyBorder="1" applyFont="1">
      <alignment horizontal="center" vertical="bottom"/>
    </xf>
    <xf borderId="30" fillId="0" fontId="162" numFmtId="0" xfId="0" applyAlignment="1" applyBorder="1" applyFont="1">
      <alignment horizontal="center" vertical="bottom"/>
    </xf>
    <xf borderId="4" fillId="0" fontId="11" numFmtId="0" xfId="0" applyAlignment="1" applyBorder="1" applyFont="1">
      <alignment horizontal="center" vertical="bottom"/>
    </xf>
    <xf borderId="4" fillId="0" fontId="25" numFmtId="0" xfId="0" applyAlignment="1" applyBorder="1" applyFont="1">
      <alignment horizontal="center" readingOrder="0" vertical="bottom"/>
    </xf>
    <xf borderId="4" fillId="2" fontId="11" numFmtId="0" xfId="0" applyAlignment="1" applyBorder="1" applyFont="1">
      <alignment horizontal="center" vertical="bottom"/>
    </xf>
    <xf borderId="33" fillId="0" fontId="162" numFmtId="0" xfId="0" applyAlignment="1" applyBorder="1" applyFont="1">
      <alignment horizontal="center" vertical="bottom"/>
    </xf>
    <xf borderId="35" fillId="0" fontId="11" numFmtId="0" xfId="0" applyAlignment="1" applyBorder="1" applyFont="1">
      <alignment horizontal="center" vertical="bottom"/>
    </xf>
    <xf borderId="35" fillId="0" fontId="25" numFmtId="0" xfId="0" applyAlignment="1" applyBorder="1" applyFont="1">
      <alignment horizontal="center" readingOrder="0" vertical="bottom"/>
    </xf>
    <xf borderId="35" fillId="2" fontId="11" numFmtId="0" xfId="0" applyAlignment="1" applyBorder="1" applyFont="1">
      <alignment horizontal="center" vertical="bottom"/>
    </xf>
    <xf borderId="0" fillId="2" fontId="8" numFmtId="0" xfId="0" applyAlignment="1" applyFont="1">
      <alignment vertical="bottom"/>
    </xf>
    <xf borderId="0" fillId="0" fontId="173" numFmtId="0" xfId="0" applyAlignment="1" applyFont="1">
      <alignment vertical="bottom"/>
    </xf>
    <xf borderId="25" fillId="6" fontId="181" numFmtId="0" xfId="0" applyAlignment="1" applyBorder="1" applyFont="1">
      <alignment horizontal="center" vertical="bottom"/>
    </xf>
    <xf borderId="25" fillId="6" fontId="182" numFmtId="0" xfId="0" applyAlignment="1" applyBorder="1" applyFont="1">
      <alignment horizontal="center" vertical="bottom"/>
    </xf>
    <xf borderId="3" fillId="7" fontId="183" numFmtId="0" xfId="0" applyAlignment="1" applyBorder="1" applyFont="1">
      <alignment horizontal="center" vertical="bottom"/>
    </xf>
    <xf borderId="4" fillId="0" fontId="33" numFmtId="0" xfId="0" applyAlignment="1" applyBorder="1" applyFont="1">
      <alignment horizontal="center" vertical="bottom"/>
    </xf>
    <xf borderId="15" fillId="0" fontId="79" numFmtId="0" xfId="0" applyAlignment="1" applyBorder="1" applyFont="1">
      <alignment horizontal="center" shrinkToFit="0" vertical="center" wrapText="0"/>
    </xf>
    <xf borderId="35" fillId="0" fontId="33" numFmtId="0" xfId="0" applyAlignment="1" applyBorder="1" applyFont="1">
      <alignment horizontal="center" vertical="bottom"/>
    </xf>
    <xf borderId="15" fillId="0" fontId="11" numFmtId="0" xfId="0" applyAlignment="1" applyBorder="1" applyFont="1">
      <alignment vertical="bottom"/>
    </xf>
    <xf borderId="1" fillId="0" fontId="173" numFmtId="0" xfId="0" applyAlignment="1" applyBorder="1" applyFont="1">
      <alignment vertical="bottom"/>
    </xf>
    <xf borderId="4" fillId="0" fontId="11" numFmtId="0" xfId="0" applyAlignment="1" applyBorder="1" applyFont="1">
      <alignment horizontal="center" readingOrder="0"/>
    </xf>
    <xf borderId="0" fillId="0" fontId="54" numFmtId="0" xfId="0" applyAlignment="1" applyFont="1">
      <alignment vertical="bottom"/>
    </xf>
    <xf borderId="1" fillId="0" fontId="54" numFmtId="0" xfId="0" applyAlignment="1" applyBorder="1" applyFont="1">
      <alignment vertical="bottom"/>
    </xf>
    <xf borderId="42" fillId="6" fontId="184" numFmtId="0" xfId="0" applyAlignment="1" applyBorder="1" applyFont="1">
      <alignment horizontal="center" shrinkToFit="0" wrapText="1"/>
    </xf>
    <xf borderId="30" fillId="2" fontId="12" numFmtId="0" xfId="0" applyAlignment="1" applyBorder="1" applyFont="1">
      <alignment horizontal="center"/>
    </xf>
    <xf borderId="4" fillId="2" fontId="12" numFmtId="0" xfId="0" applyAlignment="1" applyBorder="1" applyFont="1">
      <alignment horizontal="center"/>
    </xf>
    <xf borderId="29" fillId="2" fontId="30" numFmtId="0" xfId="0" applyAlignment="1" applyBorder="1" applyFont="1">
      <alignment horizontal="center"/>
    </xf>
    <xf borderId="30" fillId="2" fontId="162" numFmtId="0" xfId="0" applyAlignment="1" applyBorder="1" applyFont="1">
      <alignment horizontal="center"/>
    </xf>
    <xf borderId="4" fillId="2" fontId="11" numFmtId="0" xfId="0" applyAlignment="1" applyBorder="1" applyFont="1">
      <alignment horizontal="center" readingOrder="0"/>
    </xf>
    <xf borderId="4" fillId="2" fontId="11" numFmtId="0" xfId="0" applyAlignment="1" applyBorder="1" applyFont="1">
      <alignment horizontal="center"/>
    </xf>
    <xf borderId="29" fillId="2" fontId="11" numFmtId="0" xfId="0" applyAlignment="1" applyBorder="1" applyFont="1">
      <alignment vertical="bottom"/>
    </xf>
    <xf borderId="33" fillId="2" fontId="162" numFmtId="0" xfId="0" applyAlignment="1" applyBorder="1" applyFont="1">
      <alignment horizontal="center"/>
    </xf>
    <xf borderId="35" fillId="2" fontId="11" numFmtId="0" xfId="0" applyAlignment="1" applyBorder="1" applyFont="1">
      <alignment horizontal="center" readingOrder="0"/>
    </xf>
    <xf borderId="35" fillId="2" fontId="11" numFmtId="0" xfId="0" applyAlignment="1" applyBorder="1" applyFont="1">
      <alignment horizontal="center"/>
    </xf>
    <xf borderId="16" fillId="6" fontId="185" numFmtId="0" xfId="0" applyAlignment="1" applyBorder="1" applyFont="1">
      <alignment horizontal="center" shrinkToFit="0" wrapText="1"/>
    </xf>
    <xf borderId="14" fillId="3" fontId="129" numFmtId="0" xfId="0" applyAlignment="1" applyBorder="1" applyFont="1">
      <alignment horizontal="center"/>
    </xf>
    <xf borderId="24" fillId="2" fontId="11" numFmtId="0" xfId="0" applyAlignment="1" applyBorder="1" applyFont="1">
      <alignment horizontal="center"/>
    </xf>
    <xf borderId="24" fillId="0" fontId="11" numFmtId="0" xfId="0" applyAlignment="1" applyBorder="1" applyFont="1">
      <alignment horizontal="center"/>
    </xf>
    <xf borderId="15" fillId="4" fontId="11" numFmtId="0" xfId="0" applyAlignment="1" applyBorder="1" applyFont="1">
      <alignment vertical="bottom"/>
    </xf>
    <xf borderId="16" fillId="0" fontId="16" numFmtId="0" xfId="0" applyAlignment="1" applyBorder="1" applyFont="1">
      <alignment horizontal="center" shrinkToFit="0" wrapText="1"/>
    </xf>
    <xf borderId="21" fillId="4" fontId="1" numFmtId="0" xfId="0" applyAlignment="1" applyBorder="1" applyFont="1">
      <alignment readingOrder="0"/>
    </xf>
    <xf borderId="12" fillId="2" fontId="33" numFmtId="0" xfId="0" applyAlignment="1" applyBorder="1" applyFont="1">
      <alignment vertical="bottom"/>
    </xf>
    <xf borderId="12" fillId="2" fontId="8" numFmtId="0" xfId="0" applyAlignment="1" applyBorder="1" applyFont="1">
      <alignment vertical="bottom"/>
    </xf>
    <xf borderId="1" fillId="2" fontId="33" numFmtId="0" xfId="0" applyAlignment="1" applyBorder="1" applyFont="1">
      <alignment vertical="bottom"/>
    </xf>
    <xf borderId="1" fillId="2" fontId="8" numFmtId="0" xfId="0" applyAlignment="1" applyBorder="1" applyFont="1">
      <alignment vertical="bottom"/>
    </xf>
    <xf borderId="16" fillId="5" fontId="186" numFmtId="0" xfId="0" applyAlignment="1" applyBorder="1" applyFont="1">
      <alignment horizontal="center"/>
    </xf>
    <xf borderId="3" fillId="0" fontId="3" numFmtId="0" xfId="0" applyAlignment="1" applyBorder="1" applyFont="1">
      <alignment vertical="bottom"/>
    </xf>
    <xf borderId="41" fillId="2" fontId="187" numFmtId="0" xfId="0" applyAlignment="1" applyBorder="1" applyFont="1">
      <alignment horizontal="center"/>
    </xf>
    <xf borderId="0" fillId="0" fontId="37" numFmtId="0" xfId="0" applyAlignment="1" applyFont="1">
      <alignment horizontal="left" shrinkToFit="0" wrapText="1"/>
    </xf>
    <xf borderId="0" fillId="0" fontId="172" numFmtId="0" xfId="0" applyAlignment="1" applyFont="1">
      <alignment vertical="bottom"/>
    </xf>
    <xf borderId="0" fillId="2" fontId="173" numFmtId="0" xfId="0" applyAlignment="1" applyFont="1">
      <alignment vertical="bottom"/>
    </xf>
    <xf borderId="21" fillId="5" fontId="29" numFmtId="0" xfId="0" applyAlignment="1" applyBorder="1" applyFont="1">
      <alignment horizontal="center"/>
    </xf>
    <xf borderId="21" fillId="2" fontId="143" numFmtId="0" xfId="0" applyAlignment="1" applyBorder="1" applyFont="1">
      <alignment horizontal="center"/>
    </xf>
    <xf borderId="42" fillId="6" fontId="177" numFmtId="0" xfId="0" applyAlignment="1" applyBorder="1" applyFont="1">
      <alignment horizontal="center" shrinkToFit="0" wrapText="1"/>
    </xf>
    <xf borderId="15" fillId="2" fontId="79" numFmtId="0" xfId="0" applyAlignment="1" applyBorder="1" applyFont="1">
      <alignment vertical="center"/>
    </xf>
    <xf borderId="42" fillId="13" fontId="12" numFmtId="0" xfId="0" applyAlignment="1" applyBorder="1" applyFont="1">
      <alignment horizontal="center"/>
    </xf>
    <xf borderId="0" fillId="0" fontId="178" numFmtId="0" xfId="0" applyAlignment="1" applyFont="1">
      <alignment vertical="bottom"/>
    </xf>
    <xf borderId="29" fillId="0" fontId="11" numFmtId="0" xfId="0" applyAlignment="1" applyBorder="1" applyFont="1">
      <alignment horizontal="center" vertical="bottom"/>
    </xf>
    <xf borderId="17" fillId="0" fontId="11" numFmtId="0" xfId="0" applyAlignment="1" applyBorder="1" applyFont="1">
      <alignment horizontal="center" vertical="bottom"/>
    </xf>
    <xf borderId="5" fillId="2" fontId="81" numFmtId="0" xfId="0" applyAlignment="1" applyBorder="1" applyFont="1">
      <alignment horizontal="center" vertical="center"/>
    </xf>
    <xf borderId="12" fillId="0" fontId="12" numFmtId="0" xfId="0" applyAlignment="1" applyBorder="1" applyFont="1">
      <alignment horizontal="center"/>
    </xf>
    <xf borderId="57" fillId="2" fontId="26" numFmtId="0" xfId="0" applyAlignment="1" applyBorder="1" applyFont="1">
      <alignment horizontal="center" readingOrder="0" vertical="center"/>
    </xf>
    <xf borderId="1" fillId="7" fontId="99" numFmtId="0" xfId="0" applyAlignment="1" applyBorder="1" applyFont="1">
      <alignment horizontal="center"/>
    </xf>
    <xf borderId="4" fillId="0" fontId="7" numFmtId="0" xfId="0" applyAlignment="1" applyBorder="1" applyFont="1">
      <alignment horizontal="center" readingOrder="0" vertical="bottom"/>
    </xf>
    <xf borderId="17" fillId="4" fontId="11" numFmtId="0" xfId="0" applyAlignment="1" applyBorder="1" applyFont="1">
      <alignment horizontal="center" readingOrder="0" vertical="bottom"/>
    </xf>
    <xf borderId="35" fillId="0" fontId="7" numFmtId="0" xfId="0" applyAlignment="1" applyBorder="1" applyFont="1">
      <alignment horizontal="center" readingOrder="0" vertical="bottom"/>
    </xf>
    <xf borderId="17" fillId="4" fontId="11" numFmtId="0" xfId="0" applyAlignment="1" applyBorder="1" applyFont="1">
      <alignment horizontal="center" vertical="bottom"/>
    </xf>
    <xf borderId="25" fillId="6" fontId="188" numFmtId="0" xfId="0" applyAlignment="1" applyBorder="1" applyFont="1">
      <alignment horizontal="center" vertical="bottom"/>
    </xf>
    <xf borderId="9" fillId="6" fontId="182" numFmtId="0" xfId="0" applyAlignment="1" applyBorder="1" applyFont="1">
      <alignment horizontal="center" vertical="bottom"/>
    </xf>
    <xf borderId="4" fillId="2" fontId="12" numFmtId="0" xfId="0" applyAlignment="1" applyBorder="1" applyFont="1">
      <alignment horizontal="center" shrinkToFit="0" vertical="bottom" wrapText="1"/>
    </xf>
    <xf borderId="15" fillId="0" fontId="79" numFmtId="0" xfId="0" applyAlignment="1" applyBorder="1" applyFont="1">
      <alignment horizontal="center" shrinkToFit="0" wrapText="0"/>
    </xf>
    <xf borderId="4" fillId="0" fontId="162" numFmtId="0" xfId="0" applyAlignment="1" applyBorder="1" applyFont="1">
      <alignment horizontal="center" vertical="bottom"/>
    </xf>
    <xf borderId="35" fillId="0" fontId="162" numFmtId="0" xfId="0" applyAlignment="1" applyBorder="1" applyFont="1">
      <alignment horizontal="center" vertical="bottom"/>
    </xf>
    <xf borderId="21" fillId="5" fontId="176" numFmtId="0" xfId="0" applyAlignment="1" applyBorder="1" applyFont="1">
      <alignment horizontal="center"/>
    </xf>
    <xf borderId="23" fillId="4" fontId="3" numFmtId="0" xfId="0" applyAlignment="1" applyBorder="1" applyFont="1">
      <alignment readingOrder="0"/>
    </xf>
    <xf borderId="17" fillId="4" fontId="3" numFmtId="0" xfId="0" applyAlignment="1" applyBorder="1" applyFont="1">
      <alignment readingOrder="0"/>
    </xf>
    <xf borderId="35" fillId="2" fontId="161" numFmtId="0" xfId="0" applyAlignment="1" applyBorder="1" applyFont="1">
      <alignment horizontal="center"/>
    </xf>
    <xf borderId="52" fillId="0" fontId="16" numFmtId="0" xfId="0" applyAlignment="1" applyBorder="1" applyFont="1">
      <alignment horizontal="center" shrinkToFit="0" wrapText="1"/>
    </xf>
    <xf borderId="21" fillId="4" fontId="99" numFmtId="0" xfId="0" applyAlignment="1" applyBorder="1" applyFont="1">
      <alignment horizontal="center"/>
    </xf>
    <xf borderId="0" fillId="2" fontId="33" numFmtId="0" xfId="0" applyAlignment="1" applyFont="1">
      <alignment vertical="bottom"/>
    </xf>
    <xf borderId="21" fillId="0" fontId="115" numFmtId="0" xfId="0" applyAlignment="1" applyBorder="1" applyFont="1">
      <alignment horizontal="center" readingOrder="0" shrinkToFit="0" wrapText="1"/>
    </xf>
    <xf borderId="16" fillId="0" fontId="7" numFmtId="0" xfId="0" applyAlignment="1" applyBorder="1" applyFont="1">
      <alignment horizontal="center" readingOrder="0" shrinkToFit="0" wrapText="1"/>
    </xf>
    <xf borderId="0" fillId="0" fontId="105" numFmtId="0" xfId="0" applyAlignment="1" applyFont="1">
      <alignment horizontal="center" readingOrder="0" vertical="center"/>
    </xf>
    <xf borderId="40" fillId="2" fontId="170" numFmtId="0" xfId="0" applyAlignment="1" applyBorder="1" applyFont="1">
      <alignment horizontal="center" vertical="bottom"/>
    </xf>
    <xf borderId="17" fillId="4" fontId="11" numFmtId="0" xfId="0" applyAlignment="1" applyBorder="1" applyFont="1">
      <alignment horizontal="center" readingOrder="0"/>
    </xf>
    <xf borderId="17" fillId="4" fontId="78" numFmtId="0" xfId="0" applyAlignment="1" applyBorder="1" applyFont="1">
      <alignment vertical="bottom"/>
    </xf>
    <xf borderId="31" fillId="4" fontId="11" numFmtId="0" xfId="0" applyAlignment="1" applyBorder="1" applyFont="1">
      <alignment vertical="bottom"/>
    </xf>
    <xf borderId="23" fillId="4" fontId="11" numFmtId="0" xfId="0" applyAlignment="1" applyBorder="1" applyFont="1">
      <alignment vertical="bottom"/>
    </xf>
    <xf borderId="50" fillId="0" fontId="162" numFmtId="0" xfId="0" applyAlignment="1" applyBorder="1" applyFont="1">
      <alignment horizontal="center" vertical="bottom"/>
    </xf>
    <xf borderId="24" fillId="0" fontId="11" numFmtId="0" xfId="0" applyAlignment="1" applyBorder="1" applyFont="1">
      <alignment horizontal="center" vertical="bottom"/>
    </xf>
    <xf borderId="24" fillId="2" fontId="11" numFmtId="0" xfId="0" applyAlignment="1" applyBorder="1" applyFont="1">
      <alignment horizontal="center" vertical="bottom"/>
    </xf>
    <xf borderId="0" fillId="2" fontId="6" numFmtId="0" xfId="0" applyAlignment="1" applyFont="1">
      <alignment horizontal="center" readingOrder="0" vertical="center"/>
    </xf>
    <xf borderId="42" fillId="6" fontId="13" numFmtId="0" xfId="0" applyAlignment="1" applyBorder="1" applyFont="1">
      <alignment horizontal="center" readingOrder="0" shrinkToFit="0" vertical="center" wrapText="1"/>
    </xf>
    <xf borderId="28" fillId="2" fontId="60" numFmtId="0" xfId="0" applyAlignment="1" applyBorder="1" applyFont="1">
      <alignment horizontal="center" readingOrder="0" vertical="center"/>
    </xf>
    <xf borderId="11" fillId="3" fontId="129" numFmtId="0" xfId="0" applyAlignment="1" applyBorder="1" applyFont="1">
      <alignment horizontal="center"/>
    </xf>
    <xf borderId="14" fillId="2" fontId="129" numFmtId="0" xfId="0" applyAlignment="1" applyBorder="1" applyFont="1">
      <alignment horizontal="center"/>
    </xf>
    <xf borderId="3" fillId="0" fontId="26" numFmtId="0" xfId="0" applyAlignment="1" applyBorder="1" applyFont="1">
      <alignment horizontal="center" readingOrder="0" vertical="center"/>
    </xf>
    <xf borderId="47" fillId="13" fontId="12" numFmtId="0" xfId="0" applyAlignment="1" applyBorder="1" applyFont="1">
      <alignment horizontal="center" readingOrder="0" vertical="center"/>
    </xf>
    <xf borderId="47" fillId="13" fontId="30" numFmtId="0" xfId="0" applyAlignment="1" applyBorder="1" applyFont="1">
      <alignment horizontal="center" vertical="center"/>
    </xf>
    <xf borderId="0" fillId="2" fontId="81" numFmtId="0" xfId="0" applyAlignment="1" applyFont="1">
      <alignment horizontal="center" readingOrder="0" vertical="center"/>
    </xf>
    <xf borderId="39" fillId="0" fontId="12" numFmtId="0" xfId="0" applyAlignment="1" applyBorder="1" applyFont="1">
      <alignment horizontal="center" readingOrder="0" shrinkToFit="0" vertical="center" wrapText="1"/>
    </xf>
    <xf borderId="11" fillId="4" fontId="25" numFmtId="0" xfId="0" applyAlignment="1" applyBorder="1" applyFont="1">
      <alignment horizontal="center" readingOrder="0" vertical="center"/>
    </xf>
    <xf borderId="21" fillId="5" fontId="186" numFmtId="0" xfId="0" applyAlignment="1" applyBorder="1" applyFont="1">
      <alignment horizontal="center"/>
    </xf>
    <xf borderId="0" fillId="0" fontId="133" numFmtId="0" xfId="0" applyAlignment="1" applyFont="1">
      <alignment horizontal="left" readingOrder="0" shrinkToFit="0" vertical="center" wrapText="1"/>
    </xf>
    <xf borderId="0" fillId="0" fontId="1" numFmtId="0" xfId="0" applyAlignment="1" applyFont="1">
      <alignment horizontal="center"/>
    </xf>
    <xf borderId="1" fillId="0" fontId="7" numFmtId="0" xfId="0" applyAlignment="1" applyBorder="1" applyFont="1">
      <alignment horizontal="center" vertical="bottom"/>
    </xf>
    <xf borderId="0" fillId="0" fontId="3" numFmtId="0" xfId="0" applyAlignment="1" applyFont="1">
      <alignment horizontal="center" vertical="bottom"/>
    </xf>
    <xf borderId="0" fillId="0" fontId="189" numFmtId="0" xfId="0" applyAlignment="1" applyFont="1">
      <alignment horizontal="center" vertical="center"/>
    </xf>
    <xf borderId="32" fillId="2" fontId="33" numFmtId="0" xfId="0" applyAlignment="1" applyBorder="1" applyFont="1">
      <alignment horizontal="center" vertical="center"/>
    </xf>
    <xf borderId="10" fillId="2" fontId="24" numFmtId="0" xfId="0" applyAlignment="1" applyBorder="1" applyFont="1">
      <alignment horizontal="center" vertical="center"/>
    </xf>
    <xf borderId="0" fillId="2" fontId="24" numFmtId="0" xfId="0" applyAlignment="1" applyFont="1">
      <alignment horizontal="center" vertical="center"/>
    </xf>
    <xf borderId="17" fillId="4" fontId="25" numFmtId="0" xfId="0" applyAlignment="1" applyBorder="1" applyFont="1">
      <alignment horizontal="center" readingOrder="0"/>
    </xf>
    <xf borderId="17" fillId="4" fontId="25" numFmtId="0" xfId="0" applyAlignment="1" applyBorder="1" applyFont="1">
      <alignment horizontal="center" readingOrder="0" vertical="bottom"/>
    </xf>
    <xf borderId="31" fillId="4" fontId="25" numFmtId="0" xfId="0" applyAlignment="1" applyBorder="1" applyFont="1">
      <alignment horizontal="center" readingOrder="0" vertical="bottom"/>
    </xf>
    <xf borderId="23" fillId="4" fontId="25" numFmtId="0" xfId="0" applyAlignment="1" applyBorder="1" applyFont="1">
      <alignment horizontal="center" readingOrder="0" vertical="bottom"/>
    </xf>
    <xf borderId="5" fillId="0" fontId="32" numFmtId="0" xfId="0" applyAlignment="1" applyBorder="1" applyFont="1">
      <alignment horizontal="center" vertical="center"/>
    </xf>
    <xf borderId="34" fillId="0" fontId="25" numFmtId="165" xfId="0" applyAlignment="1" applyBorder="1" applyFont="1" applyNumberFormat="1">
      <alignment horizontal="center" readingOrder="0" vertical="center"/>
    </xf>
    <xf borderId="35" fillId="2" fontId="25" numFmtId="0" xfId="0" applyAlignment="1" applyBorder="1" applyFont="1">
      <alignment horizontal="center" readingOrder="0" vertical="center"/>
    </xf>
    <xf borderId="34" fillId="0" fontId="33" numFmtId="165" xfId="0" applyAlignment="1" applyBorder="1" applyFont="1" applyNumberFormat="1">
      <alignment horizontal="center" readingOrder="0" vertical="center"/>
    </xf>
    <xf borderId="12" fillId="0" fontId="12" numFmtId="0" xfId="0" applyAlignment="1" applyBorder="1" applyFont="1">
      <alignment horizontal="center" readingOrder="0" vertical="center"/>
    </xf>
    <xf borderId="8" fillId="0" fontId="12" numFmtId="0" xfId="0" applyAlignment="1" applyBorder="1" applyFont="1">
      <alignment horizontal="center" readingOrder="0" vertical="center"/>
    </xf>
    <xf borderId="38" fillId="0" fontId="60" numFmtId="0" xfId="0" applyAlignment="1" applyBorder="1" applyFont="1">
      <alignment horizontal="center" readingOrder="0" vertical="center"/>
    </xf>
    <xf borderId="31" fillId="0" fontId="12" numFmtId="0" xfId="0" applyAlignment="1" applyBorder="1" applyFont="1">
      <alignment horizontal="center" readingOrder="0" shrinkToFit="0" vertical="center" wrapText="1"/>
    </xf>
    <xf borderId="21" fillId="4" fontId="15" numFmtId="0" xfId="0" applyAlignment="1" applyBorder="1" applyFont="1">
      <alignment horizontal="center" vertical="center"/>
    </xf>
    <xf borderId="3" fillId="0" fontId="3" numFmtId="0" xfId="0" applyAlignment="1" applyBorder="1" applyFont="1">
      <alignment horizontal="center" vertical="bottom"/>
    </xf>
    <xf borderId="0" fillId="2" fontId="173" numFmtId="0" xfId="0" applyAlignment="1" applyFont="1">
      <alignment horizontal="center" vertical="bottom"/>
    </xf>
    <xf borderId="15" fillId="2" fontId="173" numFmtId="0" xfId="0" applyAlignment="1" applyBorder="1" applyFont="1">
      <alignment horizontal="center" vertical="bottom"/>
    </xf>
    <xf borderId="0" fillId="0" fontId="37" numFmtId="0" xfId="0" applyAlignment="1" applyFont="1">
      <alignment horizontal="center" shrinkToFit="0" wrapText="1"/>
    </xf>
    <xf borderId="0" fillId="2" fontId="3" numFmtId="0" xfId="0" applyAlignment="1" applyFont="1">
      <alignment horizontal="center" vertical="bottom"/>
    </xf>
    <xf borderId="21" fillId="6" fontId="190" numFmtId="0" xfId="0" applyAlignment="1" applyBorder="1" applyFont="1">
      <alignment horizontal="center" readingOrder="0"/>
    </xf>
    <xf borderId="33" fillId="2" fontId="12" numFmtId="0" xfId="0" applyAlignment="1" applyBorder="1" applyFont="1">
      <alignment horizontal="center" shrinkToFit="0" wrapText="1"/>
    </xf>
    <xf borderId="1" fillId="7" fontId="29" numFmtId="0" xfId="0" applyAlignment="1" applyBorder="1" applyFont="1">
      <alignment horizontal="center" vertical="bottom"/>
    </xf>
    <xf borderId="52" fillId="0" fontId="12" numFmtId="0" xfId="0" applyAlignment="1" applyBorder="1" applyFont="1">
      <alignment horizontal="center"/>
    </xf>
    <xf borderId="17" fillId="0" fontId="12" numFmtId="0" xfId="0" applyBorder="1" applyFont="1"/>
    <xf borderId="17" fillId="0" fontId="12" numFmtId="0" xfId="0" applyAlignment="1" applyBorder="1" applyFont="1">
      <alignment horizontal="center"/>
    </xf>
    <xf borderId="17" fillId="2" fontId="30" numFmtId="0" xfId="0" applyAlignment="1" applyBorder="1" applyFont="1">
      <alignment horizontal="center"/>
    </xf>
    <xf borderId="50" fillId="0" fontId="17" numFmtId="0" xfId="0" applyAlignment="1" applyBorder="1" applyFont="1">
      <alignment horizontal="center" vertical="center"/>
    </xf>
    <xf borderId="4" fillId="13" fontId="191" numFmtId="0" xfId="0" applyAlignment="1" applyBorder="1" applyFont="1">
      <alignment horizontal="center" readingOrder="0" vertical="center"/>
    </xf>
    <xf borderId="4" fillId="13" fontId="11" numFmtId="0" xfId="0" applyAlignment="1" applyBorder="1" applyFont="1">
      <alignment horizontal="center"/>
    </xf>
    <xf borderId="4" fillId="13" fontId="11" numFmtId="0" xfId="0" applyAlignment="1" applyBorder="1" applyFont="1">
      <alignment horizontal="center" readingOrder="0"/>
    </xf>
    <xf borderId="3" fillId="0" fontId="11" numFmtId="0" xfId="0" applyAlignment="1" applyBorder="1" applyFont="1">
      <alignment vertical="bottom"/>
    </xf>
    <xf borderId="31" fillId="4" fontId="162" numFmtId="0" xfId="0" applyAlignment="1" applyBorder="1" applyFont="1">
      <alignment horizontal="center"/>
    </xf>
    <xf borderId="33" fillId="0" fontId="1" numFmtId="0" xfId="0" applyBorder="1" applyFont="1"/>
    <xf borderId="35" fillId="0" fontId="192" numFmtId="0" xfId="0" applyAlignment="1" applyBorder="1" applyFont="1">
      <alignment horizontal="center" readingOrder="0" vertical="center"/>
    </xf>
    <xf borderId="35" fillId="0" fontId="11" numFmtId="0" xfId="0" applyAlignment="1" applyBorder="1" applyFont="1">
      <alignment horizontal="center"/>
    </xf>
    <xf borderId="35" fillId="0" fontId="11" numFmtId="0" xfId="0" applyAlignment="1" applyBorder="1" applyFont="1">
      <alignment horizontal="center" readingOrder="0"/>
    </xf>
    <xf borderId="1" fillId="0" fontId="11" numFmtId="0" xfId="0" applyAlignment="1" applyBorder="1" applyFont="1">
      <alignment vertical="bottom"/>
    </xf>
    <xf borderId="16" fillId="0" fontId="11" numFmtId="0" xfId="0" applyAlignment="1" applyBorder="1" applyFont="1">
      <alignment horizontal="center" readingOrder="0"/>
    </xf>
    <xf borderId="54" fillId="0" fontId="17" numFmtId="0" xfId="0" applyAlignment="1" applyBorder="1" applyFont="1">
      <alignment horizontal="center" vertical="center"/>
    </xf>
    <xf borderId="52" fillId="0" fontId="1" numFmtId="0" xfId="0" applyBorder="1" applyFont="1"/>
    <xf borderId="54" fillId="0" fontId="162" numFmtId="0" xfId="0" applyAlignment="1" applyBorder="1" applyFont="1">
      <alignment horizontal="center" vertical="center"/>
    </xf>
    <xf borderId="25" fillId="6" fontId="128" numFmtId="0" xfId="0" applyAlignment="1" applyBorder="1" applyFont="1">
      <alignment horizontal="center" readingOrder="0"/>
    </xf>
    <xf borderId="0" fillId="2" fontId="1" numFmtId="0" xfId="0" applyAlignment="1" applyFont="1">
      <alignment readingOrder="0"/>
    </xf>
    <xf borderId="28" fillId="2" fontId="12" numFmtId="0" xfId="0" applyAlignment="1" applyBorder="1" applyFont="1">
      <alignment horizontal="center" shrinkToFit="0" vertical="bottom" wrapText="1"/>
    </xf>
    <xf borderId="9" fillId="7" fontId="29" numFmtId="0" xfId="0" applyAlignment="1" applyBorder="1" applyFont="1">
      <alignment horizontal="center" vertical="bottom"/>
    </xf>
    <xf borderId="29" fillId="2" fontId="11" numFmtId="0" xfId="0" applyAlignment="1" applyBorder="1" applyFont="1">
      <alignment horizontal="center" vertical="bottom"/>
    </xf>
    <xf borderId="24" fillId="0" fontId="12" numFmtId="0" xfId="0" applyAlignment="1" applyBorder="1" applyFont="1">
      <alignment horizontal="center"/>
    </xf>
    <xf borderId="28" fillId="0" fontId="160" numFmtId="0" xfId="0" applyAlignment="1" applyBorder="1" applyFont="1">
      <alignment horizontal="center" readingOrder="0"/>
    </xf>
    <xf borderId="4" fillId="0" fontId="161" numFmtId="0" xfId="0" applyAlignment="1" applyBorder="1" applyFont="1">
      <alignment horizontal="center"/>
    </xf>
    <xf borderId="10" fillId="0" fontId="81" numFmtId="0" xfId="0" applyAlignment="1" applyBorder="1" applyFont="1">
      <alignment horizontal="center" readingOrder="0"/>
    </xf>
    <xf borderId="10" fillId="2" fontId="161" numFmtId="0" xfId="0" applyAlignment="1" applyBorder="1" applyFont="1">
      <alignment horizontal="center" readingOrder="0"/>
    </xf>
    <xf borderId="40" fillId="2" fontId="11" numFmtId="0" xfId="0" applyAlignment="1" applyBorder="1" applyFont="1">
      <alignment vertical="bottom"/>
    </xf>
    <xf borderId="30" fillId="0" fontId="11" numFmtId="0" xfId="0" applyAlignment="1" applyBorder="1" applyFont="1">
      <alignment horizontal="center" readingOrder="0" vertical="bottom"/>
    </xf>
    <xf borderId="4" fillId="2" fontId="11" numFmtId="0" xfId="0" applyAlignment="1" applyBorder="1" applyFont="1">
      <alignment horizontal="center" vertical="bottom"/>
    </xf>
    <xf borderId="29" fillId="2" fontId="78" numFmtId="0" xfId="0" applyAlignment="1" applyBorder="1" applyFont="1">
      <alignment vertical="bottom"/>
    </xf>
    <xf borderId="33" fillId="0" fontId="11" numFmtId="0" xfId="0" applyAlignment="1" applyBorder="1" applyFont="1">
      <alignment horizontal="center" readingOrder="0" vertical="bottom"/>
    </xf>
    <xf borderId="35" fillId="2" fontId="11" numFmtId="0" xfId="0" applyAlignment="1" applyBorder="1" applyFont="1">
      <alignment horizontal="center" vertical="bottom"/>
    </xf>
    <xf borderId="46" fillId="0" fontId="81" numFmtId="0" xfId="0" applyAlignment="1" applyBorder="1" applyFont="1">
      <alignment horizontal="center" readingOrder="0"/>
    </xf>
    <xf borderId="46" fillId="2" fontId="161" numFmtId="0" xfId="0" applyAlignment="1" applyBorder="1" applyFont="1">
      <alignment horizontal="center" readingOrder="0"/>
    </xf>
    <xf borderId="17" fillId="4" fontId="25" numFmtId="0" xfId="0" applyAlignment="1" applyBorder="1" applyFont="1">
      <alignment horizontal="center" vertical="bottom"/>
    </xf>
    <xf borderId="25" fillId="6" fontId="193" numFmtId="0" xfId="0" applyAlignment="1" applyBorder="1" applyFont="1">
      <alignment horizontal="center" shrinkToFit="0" wrapText="1"/>
    </xf>
    <xf borderId="4" fillId="0" fontId="33" numFmtId="0" xfId="0" applyAlignment="1" applyBorder="1" applyFont="1">
      <alignment horizontal="center" readingOrder="0"/>
    </xf>
    <xf borderId="35" fillId="0" fontId="33" numFmtId="0" xfId="0" applyAlignment="1" applyBorder="1" applyFont="1">
      <alignment horizontal="center" readingOrder="0"/>
    </xf>
    <xf borderId="35" fillId="0" fontId="11" numFmtId="0" xfId="0" applyAlignment="1" applyBorder="1" applyFont="1">
      <alignment horizontal="center" readingOrder="0"/>
    </xf>
    <xf borderId="1" fillId="7" fontId="115" numFmtId="0" xfId="0" applyAlignment="1" applyBorder="1" applyFont="1">
      <alignment horizontal="center" readingOrder="0" vertical="bottom"/>
    </xf>
    <xf borderId="3" fillId="0" fontId="11" numFmtId="0" xfId="0" applyAlignment="1" applyBorder="1" applyFont="1">
      <alignment horizontal="center" vertical="bottom"/>
    </xf>
    <xf borderId="31" fillId="4" fontId="11" numFmtId="0" xfId="0" applyAlignment="1" applyBorder="1" applyFont="1">
      <alignment horizontal="center" readingOrder="0"/>
    </xf>
    <xf borderId="1" fillId="0" fontId="11" numFmtId="0" xfId="0" applyAlignment="1" applyBorder="1" applyFont="1">
      <alignment horizontal="center" vertical="bottom"/>
    </xf>
    <xf borderId="16" fillId="2" fontId="11" numFmtId="0" xfId="0" applyAlignment="1" applyBorder="1" applyFont="1">
      <alignment horizontal="center" readingOrder="0"/>
    </xf>
    <xf borderId="31" fillId="4" fontId="11" numFmtId="0" xfId="0" applyAlignment="1" applyBorder="1" applyFont="1">
      <alignment horizontal="center" readingOrder="0" vertical="bottom"/>
    </xf>
    <xf borderId="24" fillId="0" fontId="194" numFmtId="0" xfId="0" applyAlignment="1" applyBorder="1" applyFont="1">
      <alignment horizontal="center" readingOrder="0" vertical="center"/>
    </xf>
    <xf borderId="24" fillId="0" fontId="11" numFmtId="0" xfId="0" applyAlignment="1" applyBorder="1" applyFont="1">
      <alignment horizontal="center"/>
    </xf>
    <xf borderId="24" fillId="0" fontId="11" numFmtId="0" xfId="0" applyAlignment="1" applyBorder="1" applyFont="1">
      <alignment horizontal="center" readingOrder="0"/>
    </xf>
    <xf borderId="0" fillId="0" fontId="11" numFmtId="0" xfId="0" applyAlignment="1" applyFont="1">
      <alignment horizontal="center" vertical="bottom"/>
    </xf>
    <xf borderId="54" fillId="4" fontId="11" numFmtId="0" xfId="0" applyAlignment="1" applyBorder="1" applyFont="1">
      <alignment horizontal="center" readingOrder="0" vertical="bottom"/>
    </xf>
    <xf borderId="25" fillId="6" fontId="190" numFmtId="0" xfId="0" applyAlignment="1" applyBorder="1" applyFont="1">
      <alignment horizontal="center" readingOrder="0"/>
    </xf>
    <xf borderId="30" fillId="2" fontId="60" numFmtId="0" xfId="0" applyAlignment="1" applyBorder="1" applyFont="1">
      <alignment horizontal="center"/>
    </xf>
    <xf borderId="4" fillId="2" fontId="161" numFmtId="0" xfId="0" applyAlignment="1" applyBorder="1" applyFont="1">
      <alignment horizontal="center" readingOrder="0"/>
    </xf>
    <xf borderId="29" fillId="2" fontId="170" numFmtId="0" xfId="0" applyAlignment="1" applyBorder="1" applyFont="1">
      <alignment horizontal="center" vertical="bottom"/>
    </xf>
    <xf borderId="30" fillId="0" fontId="24" numFmtId="0" xfId="0" applyAlignment="1" applyBorder="1" applyFont="1">
      <alignment horizontal="center"/>
    </xf>
    <xf borderId="17" fillId="4" fontId="25" numFmtId="0" xfId="0" applyAlignment="1" applyBorder="1" applyFont="1">
      <alignment horizontal="center" readingOrder="0" vertical="center"/>
    </xf>
    <xf borderId="30" fillId="0" fontId="60" numFmtId="0" xfId="0" applyAlignment="1" applyBorder="1" applyFont="1">
      <alignment horizontal="center"/>
    </xf>
    <xf borderId="4" fillId="0" fontId="161" numFmtId="0" xfId="0" applyAlignment="1" applyBorder="1" applyFont="1">
      <alignment horizontal="center" readingOrder="0"/>
    </xf>
    <xf borderId="30" fillId="0" fontId="24" numFmtId="0" xfId="0" applyAlignment="1" applyBorder="1" applyFont="1">
      <alignment horizontal="center" vertical="bottom"/>
    </xf>
    <xf borderId="4" fillId="0" fontId="11" numFmtId="0" xfId="0" applyAlignment="1" applyBorder="1" applyFont="1">
      <alignment horizontal="center" vertical="bottom"/>
    </xf>
    <xf borderId="29" fillId="2" fontId="88" numFmtId="0" xfId="0" applyAlignment="1" applyBorder="1" applyFont="1">
      <alignment horizontal="center" vertical="bottom"/>
    </xf>
    <xf borderId="4" fillId="0" fontId="11" numFmtId="0" xfId="0" applyAlignment="1" applyBorder="1" applyFont="1">
      <alignment horizontal="center" vertical="bottom"/>
    </xf>
    <xf borderId="29" fillId="0" fontId="170" numFmtId="0" xfId="0" applyAlignment="1" applyBorder="1" applyFont="1">
      <alignment horizontal="center" vertical="bottom"/>
    </xf>
    <xf borderId="30" fillId="2" fontId="24" numFmtId="0" xfId="0" applyAlignment="1" applyBorder="1" applyFont="1">
      <alignment horizontal="center" vertical="bottom"/>
    </xf>
    <xf borderId="1" fillId="7" fontId="29" numFmtId="0" xfId="0" applyAlignment="1" applyBorder="1" applyFont="1">
      <alignment horizontal="center"/>
    </xf>
    <xf borderId="1" fillId="0" fontId="26" numFmtId="0" xfId="0" applyAlignment="1" applyBorder="1" applyFont="1">
      <alignment horizontal="center" readingOrder="0" vertical="center"/>
    </xf>
    <xf borderId="0" fillId="0" fontId="148" numFmtId="0" xfId="0" applyAlignment="1" applyFont="1">
      <alignment horizontal="center"/>
    </xf>
    <xf borderId="8" fillId="2" fontId="86" numFmtId="0" xfId="0" applyAlignment="1" applyBorder="1" applyFont="1">
      <alignment horizontal="center" readingOrder="0" vertical="center"/>
    </xf>
    <xf borderId="4" fillId="0" fontId="33" numFmtId="0" xfId="0" applyAlignment="1" applyBorder="1" applyFont="1">
      <alignment horizontal="center" readingOrder="0" vertical="center"/>
    </xf>
    <xf borderId="4" fillId="0" fontId="195" numFmtId="0" xfId="0" applyAlignment="1" applyBorder="1" applyFont="1">
      <alignment horizontal="center" readingOrder="0" vertical="center"/>
    </xf>
    <xf borderId="24" fillId="0" fontId="25" numFmtId="0" xfId="0" applyAlignment="1" applyBorder="1" applyFont="1">
      <alignment horizontal="center" vertical="center"/>
    </xf>
    <xf borderId="24" fillId="0" fontId="33" numFmtId="0" xfId="0" applyAlignment="1" applyBorder="1" applyFont="1">
      <alignment horizontal="center" readingOrder="0" vertical="center"/>
    </xf>
    <xf borderId="24" fillId="0" fontId="195" numFmtId="0" xfId="0" applyAlignment="1" applyBorder="1" applyFont="1">
      <alignment horizontal="center" readingOrder="0" vertical="center"/>
    </xf>
    <xf borderId="17" fillId="0" fontId="170" numFmtId="0" xfId="0" applyAlignment="1" applyBorder="1" applyFont="1">
      <alignment horizontal="center" vertical="bottom"/>
    </xf>
    <xf borderId="12" fillId="13" fontId="12" numFmtId="0" xfId="0" applyAlignment="1" applyBorder="1" applyFont="1">
      <alignment horizontal="center" readingOrder="0" vertical="center"/>
    </xf>
    <xf borderId="12" fillId="13" fontId="86" numFmtId="0" xfId="0" applyAlignment="1" applyBorder="1" applyFont="1">
      <alignment horizontal="center" readingOrder="0" vertical="center"/>
    </xf>
    <xf borderId="0" fillId="13" fontId="12" numFmtId="0" xfId="0" applyAlignment="1" applyFont="1">
      <alignment horizontal="center" readingOrder="0" vertical="center"/>
    </xf>
    <xf borderId="0" fillId="13" fontId="86" numFmtId="0" xfId="0" applyAlignment="1" applyFont="1">
      <alignment horizontal="center" readingOrder="0" vertical="center"/>
    </xf>
    <xf borderId="12" fillId="0" fontId="31" numFmtId="0" xfId="0" applyAlignment="1" applyBorder="1" applyFont="1">
      <alignment horizontal="center"/>
    </xf>
    <xf borderId="25" fillId="6" fontId="196" numFmtId="0" xfId="0" applyAlignment="1" applyBorder="1" applyFont="1">
      <alignment horizontal="center"/>
    </xf>
    <xf borderId="30" fillId="2" fontId="12" numFmtId="0" xfId="0" applyAlignment="1" applyBorder="1" applyFont="1">
      <alignment horizontal="center" readingOrder="0" shrinkToFit="0" vertical="center" wrapText="1"/>
    </xf>
    <xf borderId="29" fillId="2" fontId="78" numFmtId="0" xfId="0" applyAlignment="1" applyBorder="1" applyFont="1">
      <alignment horizontal="center" vertical="bottom"/>
    </xf>
    <xf borderId="0" fillId="2" fontId="86" numFmtId="0" xfId="0" applyAlignment="1" applyFont="1">
      <alignment horizontal="center" readingOrder="0" shrinkToFit="0" vertical="center" wrapText="1"/>
    </xf>
    <xf borderId="0" fillId="0" fontId="197" numFmtId="0" xfId="0" applyAlignment="1" applyFont="1">
      <alignment horizontal="center" vertical="bottom"/>
    </xf>
    <xf borderId="1" fillId="0" fontId="197" numFmtId="0" xfId="0" applyAlignment="1" applyBorder="1" applyFont="1">
      <alignment horizontal="center" vertical="bottom"/>
    </xf>
    <xf borderId="25" fillId="6" fontId="64" numFmtId="0" xfId="0" applyAlignment="1" applyBorder="1" applyFont="1">
      <alignment horizontal="center" readingOrder="0" shrinkToFit="0" wrapText="0"/>
    </xf>
    <xf borderId="30" fillId="2" fontId="12" numFmtId="0" xfId="0" applyAlignment="1" applyBorder="1" applyFont="1">
      <alignment horizontal="center" readingOrder="0" shrinkToFit="0" wrapText="1"/>
    </xf>
    <xf borderId="4" fillId="0" fontId="25" numFmtId="0" xfId="0" applyAlignment="1" applyBorder="1" applyFont="1">
      <alignment horizontal="center" readingOrder="0"/>
    </xf>
    <xf borderId="35" fillId="0" fontId="25" numFmtId="0" xfId="0" applyAlignment="1" applyBorder="1" applyFont="1">
      <alignment horizontal="center" readingOrder="0"/>
    </xf>
    <xf borderId="17" fillId="2" fontId="170" numFmtId="0" xfId="0" applyAlignment="1" applyBorder="1" applyFont="1">
      <alignment horizontal="center" vertical="bottom"/>
    </xf>
    <xf borderId="48" fillId="0" fontId="25" numFmtId="0" xfId="0" applyAlignment="1" applyBorder="1" applyFont="1">
      <alignment horizontal="center" vertical="bottom"/>
    </xf>
    <xf borderId="55" fillId="0" fontId="25" numFmtId="0" xfId="0" applyAlignment="1" applyBorder="1" applyFont="1">
      <alignment horizontal="center" vertical="bottom"/>
    </xf>
    <xf borderId="0" fillId="0" fontId="75" numFmtId="0" xfId="0" applyAlignment="1" applyFont="1">
      <alignment horizontal="center" vertical="bottom"/>
    </xf>
    <xf borderId="11" fillId="2" fontId="198" numFmtId="0" xfId="0" applyAlignment="1" applyBorder="1" applyFont="1">
      <alignment horizontal="center"/>
    </xf>
    <xf borderId="14" fillId="2" fontId="173" numFmtId="0" xfId="0" applyAlignment="1" applyBorder="1" applyFont="1">
      <alignment vertical="bottom"/>
    </xf>
    <xf borderId="14" fillId="0" fontId="3" numFmtId="0" xfId="0" applyAlignment="1" applyBorder="1" applyFont="1">
      <alignment vertical="bottom"/>
    </xf>
    <xf borderId="14" fillId="2" fontId="3" numFmtId="0" xfId="0" applyAlignment="1" applyBorder="1" applyFont="1">
      <alignment vertical="bottom"/>
    </xf>
    <xf borderId="16" fillId="2" fontId="173" numFmtId="0" xfId="0" applyAlignment="1" applyBorder="1" applyFont="1">
      <alignment vertical="bottom"/>
    </xf>
    <xf borderId="17" fillId="2" fontId="173" numFmtId="0" xfId="0" applyAlignment="1" applyBorder="1" applyFont="1">
      <alignment vertical="bottom"/>
    </xf>
    <xf borderId="12" fillId="0" fontId="12" numFmtId="0" xfId="0" applyAlignment="1" applyBorder="1" applyFont="1">
      <alignment horizontal="center" readingOrder="0" vertical="center"/>
    </xf>
    <xf borderId="35" fillId="0" fontId="33" numFmtId="0" xfId="0" applyAlignment="1" applyBorder="1" applyFont="1">
      <alignment horizontal="center" readingOrder="0" vertical="center"/>
    </xf>
    <xf borderId="30" fillId="2" fontId="12" numFmtId="0" xfId="0" applyAlignment="1" applyBorder="1" applyFont="1">
      <alignment horizontal="center" shrinkToFit="0" vertical="center" wrapText="1"/>
    </xf>
    <xf borderId="17" fillId="4" fontId="11" numFmtId="0" xfId="0" applyAlignment="1" applyBorder="1" applyFont="1">
      <alignment horizontal="center" readingOrder="0" vertical="center"/>
    </xf>
    <xf borderId="25" fillId="6" fontId="199" numFmtId="0" xfId="0" applyAlignment="1" applyBorder="1" applyFont="1">
      <alignment horizontal="center" vertical="bottom"/>
    </xf>
    <xf borderId="23" fillId="4" fontId="25" numFmtId="0" xfId="0" applyAlignment="1" applyBorder="1" applyFont="1">
      <alignment horizontal="center" readingOrder="0"/>
    </xf>
    <xf borderId="17" fillId="4" fontId="25" numFmtId="0" xfId="0" applyAlignment="1" applyBorder="1" applyFont="1">
      <alignment horizontal="center" readingOrder="0"/>
    </xf>
    <xf borderId="17" fillId="4" fontId="25" numFmtId="0" xfId="0" applyAlignment="1" applyBorder="1" applyFont="1">
      <alignment horizontal="center"/>
    </xf>
    <xf borderId="25" fillId="6" fontId="64" numFmtId="0" xfId="0" applyAlignment="1" applyBorder="1" applyFont="1">
      <alignment horizontal="center" readingOrder="0" shrinkToFit="0" vertical="center" wrapText="0"/>
    </xf>
    <xf borderId="4" fillId="2" fontId="170" numFmtId="0" xfId="0" applyAlignment="1" applyBorder="1" applyFont="1">
      <alignment horizontal="center"/>
    </xf>
    <xf borderId="35" fillId="2" fontId="170" numFmtId="0" xfId="0" applyAlignment="1" applyBorder="1" applyFont="1">
      <alignment horizontal="center"/>
    </xf>
    <xf borderId="23" fillId="4" fontId="12" numFmtId="0" xfId="0" applyAlignment="1" applyBorder="1" applyFont="1">
      <alignment horizontal="center"/>
    </xf>
    <xf borderId="21" fillId="0" fontId="4" numFmtId="0" xfId="0" applyAlignment="1" applyBorder="1" applyFont="1">
      <alignment horizontal="center" readingOrder="0" shrinkToFit="0" vertical="center" wrapText="1"/>
    </xf>
    <xf borderId="3" fillId="7" fontId="183" numFmtId="0" xfId="0" applyAlignment="1" applyBorder="1" applyFont="1">
      <alignment horizontal="center" readingOrder="0"/>
    </xf>
    <xf borderId="25" fillId="6" fontId="200" numFmtId="0" xfId="0" applyAlignment="1" applyBorder="1" applyFont="1">
      <alignment horizontal="center" shrinkToFit="0" wrapText="1"/>
    </xf>
    <xf borderId="4" fillId="2" fontId="11" numFmtId="0" xfId="0" applyAlignment="1" applyBorder="1" applyFont="1">
      <alignment horizontal="center" readingOrder="0"/>
    </xf>
    <xf borderId="48" fillId="0" fontId="25" numFmtId="0" xfId="0" applyAlignment="1" applyBorder="1" applyFont="1">
      <alignment horizontal="center" readingOrder="0" vertical="bottom"/>
    </xf>
    <xf borderId="55" fillId="0" fontId="25" numFmtId="0" xfId="0" applyAlignment="1" applyBorder="1" applyFont="1">
      <alignment horizontal="center" readingOrder="0" vertical="bottom"/>
    </xf>
    <xf borderId="63" fillId="0" fontId="1" numFmtId="0" xfId="0" applyBorder="1" applyFont="1"/>
    <xf borderId="31" fillId="4" fontId="11" numFmtId="0" xfId="0" applyAlignment="1" applyBorder="1" applyFont="1">
      <alignment horizontal="center" readingOrder="0" vertical="center"/>
    </xf>
    <xf borderId="31" fillId="4" fontId="161" numFmtId="0" xfId="0" applyAlignment="1" applyBorder="1" applyFont="1">
      <alignment horizontal="center" readingOrder="0" vertical="center"/>
    </xf>
    <xf borderId="1" fillId="4" fontId="12" numFmtId="0" xfId="0" applyAlignment="1" applyBorder="1" applyFont="1">
      <alignment horizontal="center"/>
    </xf>
    <xf borderId="1" fillId="4" fontId="11" numFmtId="0" xfId="0" applyAlignment="1" applyBorder="1" applyFont="1">
      <alignment readingOrder="0" vertical="bottom"/>
    </xf>
    <xf borderId="35" fillId="2" fontId="11" numFmtId="0" xfId="0" applyAlignment="1" applyBorder="1" applyFont="1">
      <alignment horizontal="center" readingOrder="0"/>
    </xf>
    <xf borderId="21" fillId="0" fontId="183" numFmtId="0" xfId="0" applyAlignment="1" applyBorder="1" applyFont="1">
      <alignment horizontal="center" readingOrder="0" shrinkToFit="0" wrapText="1"/>
    </xf>
    <xf borderId="14" fillId="3" fontId="201" numFmtId="0" xfId="0" applyAlignment="1" applyBorder="1" applyFont="1">
      <alignment horizontal="center" vertical="center"/>
    </xf>
    <xf borderId="30" fillId="2" fontId="160" numFmtId="0" xfId="0" applyAlignment="1" applyBorder="1" applyFont="1">
      <alignment horizontal="center"/>
    </xf>
    <xf borderId="30" fillId="0" fontId="160" numFmtId="0" xfId="0" applyAlignment="1" applyBorder="1" applyFont="1">
      <alignment horizontal="center"/>
    </xf>
    <xf borderId="17" fillId="4" fontId="161" numFmtId="0" xfId="0" applyAlignment="1" applyBorder="1" applyFont="1">
      <alignment horizontal="center" readingOrder="0"/>
    </xf>
    <xf borderId="30" fillId="2" fontId="160" numFmtId="0" xfId="0" applyAlignment="1" applyBorder="1" applyFont="1">
      <alignment horizontal="center" vertical="bottom"/>
    </xf>
    <xf borderId="4" fillId="2" fontId="161" numFmtId="0" xfId="0" applyAlignment="1" applyBorder="1" applyFont="1">
      <alignment horizontal="center" vertical="bottom"/>
    </xf>
    <xf borderId="3" fillId="2" fontId="30" numFmtId="0" xfId="0" applyAlignment="1" applyBorder="1" applyFont="1">
      <alignment horizontal="center"/>
    </xf>
    <xf borderId="31" fillId="4" fontId="30" numFmtId="0" xfId="0" applyAlignment="1" applyBorder="1" applyFont="1">
      <alignment horizontal="center"/>
    </xf>
    <xf borderId="16" fillId="2" fontId="162" numFmtId="0" xfId="0" applyAlignment="1" applyBorder="1" applyFont="1">
      <alignment horizontal="center" vertical="bottom"/>
    </xf>
    <xf borderId="35" fillId="0" fontId="1" numFmtId="0" xfId="0" applyBorder="1" applyFont="1"/>
    <xf borderId="28" fillId="0" fontId="162" numFmtId="0" xfId="0" applyAlignment="1" applyBorder="1" applyFont="1">
      <alignment horizontal="center" vertical="bottom"/>
    </xf>
    <xf borderId="32" fillId="0" fontId="11" numFmtId="0" xfId="0" applyAlignment="1" applyBorder="1" applyFont="1">
      <alignment horizontal="center" vertical="bottom"/>
    </xf>
    <xf borderId="32" fillId="2" fontId="11" numFmtId="0" xfId="0" applyAlignment="1" applyBorder="1" applyFont="1">
      <alignment horizontal="center" vertical="bottom"/>
    </xf>
    <xf borderId="39" fillId="0" fontId="162" numFmtId="0" xfId="0" applyAlignment="1" applyBorder="1" applyFont="1">
      <alignment horizontal="center" readingOrder="0" vertical="bottom"/>
    </xf>
    <xf borderId="34" fillId="0" fontId="11" numFmtId="0" xfId="0" applyAlignment="1" applyBorder="1" applyFont="1">
      <alignment horizontal="center" vertical="bottom"/>
    </xf>
    <xf borderId="34" fillId="2" fontId="11" numFmtId="0" xfId="0" applyAlignment="1" applyBorder="1" applyFont="1">
      <alignment horizontal="center" readingOrder="0" vertical="bottom"/>
    </xf>
    <xf borderId="14" fillId="0" fontId="1" numFmtId="0" xfId="0" applyAlignment="1" applyBorder="1" applyFont="1">
      <alignment horizontal="center" readingOrder="0" vertical="center"/>
    </xf>
    <xf borderId="17" fillId="4" fontId="61" numFmtId="0" xfId="0" applyAlignment="1" applyBorder="1" applyFont="1">
      <alignment horizontal="center" readingOrder="0"/>
    </xf>
    <xf borderId="15" fillId="4" fontId="25" numFmtId="0" xfId="0" applyAlignment="1" applyBorder="1" applyFont="1">
      <alignment horizontal="center" readingOrder="0" vertical="bottom"/>
    </xf>
    <xf borderId="31" fillId="4" fontId="61" numFmtId="0" xfId="0" applyAlignment="1" applyBorder="1" applyFont="1">
      <alignment horizontal="center" readingOrder="0"/>
    </xf>
    <xf borderId="50" fillId="2" fontId="160" numFmtId="0" xfId="0" applyAlignment="1" applyBorder="1" applyFont="1">
      <alignment horizontal="center" vertical="bottom"/>
    </xf>
    <xf borderId="24" fillId="0" fontId="161" numFmtId="0" xfId="0" applyAlignment="1" applyBorder="1" applyFont="1">
      <alignment horizontal="center"/>
    </xf>
    <xf borderId="24" fillId="2" fontId="161" numFmtId="0" xfId="0" applyAlignment="1" applyBorder="1" applyFont="1">
      <alignment horizontal="center" vertical="bottom"/>
    </xf>
    <xf borderId="24" fillId="2" fontId="161" numFmtId="0" xfId="0" applyAlignment="1" applyBorder="1" applyFont="1">
      <alignment horizontal="center" readingOrder="0"/>
    </xf>
    <xf borderId="12" fillId="2" fontId="162" numFmtId="0" xfId="0" applyAlignment="1" applyBorder="1" applyFont="1">
      <alignment horizontal="center" vertical="bottom"/>
    </xf>
    <xf borderId="28" fillId="0" fontId="12" numFmtId="0" xfId="0" applyAlignment="1" applyBorder="1" applyFont="1">
      <alignment horizontal="center" vertical="bottom"/>
    </xf>
    <xf borderId="32" fillId="0" fontId="12" numFmtId="0" xfId="0" applyAlignment="1" applyBorder="1" applyFont="1">
      <alignment horizontal="center" vertical="bottom"/>
    </xf>
    <xf borderId="57" fillId="2" fontId="30" numFmtId="0" xfId="0" applyAlignment="1" applyBorder="1" applyFont="1">
      <alignment horizontal="center" vertical="bottom"/>
    </xf>
    <xf borderId="31" fillId="4" fontId="12" numFmtId="0" xfId="0" applyAlignment="1" applyBorder="1" applyFont="1">
      <alignment horizontal="center" vertical="bottom"/>
    </xf>
    <xf borderId="57" fillId="0" fontId="11" numFmtId="0" xfId="0" applyAlignment="1" applyBorder="1" applyFont="1">
      <alignment vertical="bottom"/>
    </xf>
    <xf borderId="23" fillId="4" fontId="11" numFmtId="0" xfId="0" applyAlignment="1" applyBorder="1" applyFont="1">
      <alignment readingOrder="0" vertical="bottom"/>
    </xf>
    <xf borderId="39" fillId="0" fontId="162" numFmtId="0" xfId="0" applyAlignment="1" applyBorder="1" applyFont="1">
      <alignment horizontal="center" vertical="bottom"/>
    </xf>
    <xf borderId="34" fillId="2" fontId="11" numFmtId="0" xfId="0" applyAlignment="1" applyBorder="1" applyFont="1">
      <alignment horizontal="center" vertical="bottom"/>
    </xf>
    <xf borderId="64" fillId="0" fontId="11" numFmtId="0" xfId="0" applyAlignment="1" applyBorder="1" applyFont="1">
      <alignment vertical="bottom"/>
    </xf>
    <xf borderId="31" fillId="4" fontId="11" numFmtId="0" xfId="0" applyAlignment="1" applyBorder="1" applyFont="1">
      <alignment readingOrder="0" vertical="bottom"/>
    </xf>
    <xf borderId="36" fillId="0" fontId="88" numFmtId="0" xfId="0" applyAlignment="1" applyBorder="1" applyFont="1">
      <alignment horizontal="center" readingOrder="0" vertical="center"/>
    </xf>
    <xf borderId="11" fillId="2" fontId="202" numFmtId="0" xfId="0" applyAlignment="1" applyBorder="1" applyFont="1">
      <alignment horizontal="center" readingOrder="0" vertical="center"/>
    </xf>
    <xf borderId="42" fillId="0" fontId="1" numFmtId="0" xfId="0" applyBorder="1" applyFont="1"/>
    <xf borderId="21" fillId="2" fontId="6" numFmtId="0" xfId="0" applyAlignment="1" applyBorder="1" applyFont="1">
      <alignment horizontal="center" readingOrder="0" vertical="center"/>
    </xf>
    <xf borderId="4" fillId="0" fontId="203" numFmtId="0" xfId="0" applyAlignment="1" applyBorder="1" applyFont="1">
      <alignment horizontal="center" readingOrder="0" vertical="center"/>
    </xf>
    <xf borderId="4" fillId="0" fontId="11" numFmtId="0" xfId="0" applyAlignment="1" applyBorder="1" applyFont="1">
      <alignment horizontal="center"/>
    </xf>
    <xf borderId="4" fillId="0" fontId="11" numFmtId="0" xfId="0" applyAlignment="1" applyBorder="1" applyFont="1">
      <alignment horizontal="center" readingOrder="0"/>
    </xf>
    <xf borderId="20" fillId="2" fontId="170" numFmtId="0" xfId="0" applyAlignment="1" applyBorder="1" applyFont="1">
      <alignment horizontal="center" vertical="bottom"/>
    </xf>
    <xf borderId="40" fillId="2" fontId="170" numFmtId="0" xfId="0" applyAlignment="1" applyBorder="1" applyFont="1">
      <alignment horizontal="center" readingOrder="0" vertical="bottom"/>
    </xf>
    <xf borderId="20" fillId="2" fontId="170" numFmtId="0" xfId="0" applyAlignment="1" applyBorder="1" applyFont="1">
      <alignment horizontal="center" readingOrder="0" vertical="bottom"/>
    </xf>
    <xf borderId="64" fillId="2" fontId="26" numFmtId="0" xfId="0" applyAlignment="1" applyBorder="1" applyFont="1">
      <alignment horizontal="center" readingOrder="0" vertical="center"/>
    </xf>
    <xf borderId="57" fillId="0" fontId="170" numFmtId="0" xfId="0" applyAlignment="1" applyBorder="1" applyFont="1">
      <alignment horizontal="center" vertical="bottom"/>
    </xf>
    <xf borderId="65" fillId="0" fontId="170" numFmtId="0" xfId="0" applyAlignment="1" applyBorder="1" applyFont="1">
      <alignment horizontal="center" vertical="bottom"/>
    </xf>
    <xf borderId="66" fillId="0" fontId="170" numFmtId="0" xfId="0" applyAlignment="1" applyBorder="1" applyFont="1">
      <alignment horizontal="center" vertical="bottom"/>
    </xf>
    <xf borderId="25" fillId="6" fontId="204" numFmtId="0" xfId="0" applyAlignment="1" applyBorder="1" applyFont="1">
      <alignment horizontal="center" readingOrder="0"/>
    </xf>
    <xf borderId="4" fillId="0" fontId="205" numFmtId="0" xfId="0" applyAlignment="1" applyBorder="1" applyFont="1">
      <alignment horizontal="center" readingOrder="0" vertical="center"/>
    </xf>
    <xf borderId="31" fillId="4" fontId="11" numFmtId="0" xfId="0" applyAlignment="1" applyBorder="1" applyFont="1">
      <alignment horizontal="center" vertical="bottom"/>
    </xf>
    <xf borderId="14" fillId="2" fontId="178" numFmtId="0" xfId="0" applyAlignment="1" applyBorder="1" applyFont="1">
      <alignment readingOrder="0" vertical="bottom"/>
    </xf>
    <xf borderId="23" fillId="4" fontId="11" numFmtId="0" xfId="0" applyAlignment="1" applyBorder="1" applyFont="1">
      <alignment horizontal="center" vertical="bottom"/>
    </xf>
    <xf borderId="4" fillId="2" fontId="25" numFmtId="0" xfId="0" applyAlignment="1" applyBorder="1" applyFont="1">
      <alignment horizontal="center" readingOrder="0"/>
    </xf>
    <xf borderId="4" fillId="2" fontId="25" numFmtId="0" xfId="0" applyAlignment="1" applyBorder="1" applyFont="1">
      <alignment horizontal="center"/>
    </xf>
    <xf borderId="29" fillId="2" fontId="32" numFmtId="0" xfId="0" applyAlignment="1" applyBorder="1" applyFont="1">
      <alignment horizontal="center" vertical="bottom"/>
    </xf>
    <xf borderId="35" fillId="2" fontId="25" numFmtId="0" xfId="0" applyAlignment="1" applyBorder="1" applyFont="1">
      <alignment horizontal="center" readingOrder="0"/>
    </xf>
    <xf borderId="35" fillId="2" fontId="25" numFmtId="0" xfId="0" applyAlignment="1" applyBorder="1" applyFont="1">
      <alignment horizontal="center"/>
    </xf>
    <xf borderId="17" fillId="2" fontId="32" numFmtId="0" xfId="0" applyAlignment="1" applyBorder="1" applyFont="1">
      <alignment horizontal="center" vertical="bottom"/>
    </xf>
    <xf borderId="8" fillId="7" fontId="15" numFmtId="0" xfId="0" applyAlignment="1" applyBorder="1" applyFont="1">
      <alignment horizontal="center"/>
    </xf>
    <xf borderId="8" fillId="7" fontId="15" numFmtId="0" xfId="0" applyAlignment="1" applyBorder="1" applyFont="1">
      <alignment horizontal="center"/>
    </xf>
    <xf borderId="3" fillId="7" fontId="15" numFmtId="0" xfId="0" applyAlignment="1" applyBorder="1" applyFont="1">
      <alignment horizontal="center"/>
    </xf>
    <xf borderId="4" fillId="0" fontId="170" numFmtId="0" xfId="0" applyAlignment="1" applyBorder="1" applyFont="1">
      <alignment horizontal="center" vertical="bottom"/>
    </xf>
    <xf borderId="35" fillId="0" fontId="170" numFmtId="0" xfId="0" applyAlignment="1" applyBorder="1" applyFont="1">
      <alignment horizontal="center" vertical="bottom"/>
    </xf>
    <xf borderId="0" fillId="0" fontId="54" numFmtId="0" xfId="0" applyAlignment="1" applyFont="1">
      <alignment horizontal="center" vertical="bottom"/>
    </xf>
    <xf borderId="1" fillId="0" fontId="54" numFmtId="0" xfId="0" applyAlignment="1" applyBorder="1" applyFont="1">
      <alignment horizontal="center" vertical="bottom"/>
    </xf>
    <xf borderId="1" fillId="0" fontId="3" numFmtId="0" xfId="0" applyAlignment="1" applyBorder="1" applyFont="1">
      <alignment horizontal="center" vertical="bottom"/>
    </xf>
    <xf borderId="14" fillId="2" fontId="173" numFmtId="0" xfId="0" applyAlignment="1" applyBorder="1" applyFont="1">
      <alignment horizontal="center" vertical="bottom"/>
    </xf>
    <xf borderId="0" fillId="0" fontId="133" numFmtId="0" xfId="0" applyAlignment="1" applyFont="1">
      <alignment horizontal="center" readingOrder="0" shrinkToFit="0" vertical="center" wrapText="1"/>
    </xf>
    <xf borderId="14" fillId="0" fontId="3" numFmtId="0" xfId="0" applyAlignment="1" applyBorder="1" applyFont="1">
      <alignment horizontal="center" vertical="bottom"/>
    </xf>
    <xf borderId="14" fillId="2" fontId="3" numFmtId="0" xfId="0" applyAlignment="1" applyBorder="1" applyFont="1">
      <alignment horizontal="center" vertical="bottom"/>
    </xf>
    <xf borderId="16" fillId="2" fontId="173" numFmtId="0" xfId="0" applyAlignment="1" applyBorder="1" applyFont="1">
      <alignment horizontal="center" vertical="bottom"/>
    </xf>
    <xf borderId="17" fillId="2" fontId="173" numFmtId="0" xfId="0" applyAlignment="1" applyBorder="1" applyFont="1">
      <alignment horizontal="center" vertical="bottom"/>
    </xf>
    <xf borderId="42" fillId="2" fontId="206" numFmtId="0" xfId="0" applyAlignment="1" applyBorder="1" applyFont="1">
      <alignment horizontal="center" vertical="bottom"/>
    </xf>
    <xf borderId="3" fillId="2" fontId="207" numFmtId="0" xfId="0" applyAlignment="1" applyBorder="1" applyFont="1">
      <alignment horizontal="center" vertical="bottom"/>
    </xf>
    <xf borderId="29" fillId="2" fontId="208" numFmtId="0" xfId="0" applyAlignment="1" applyBorder="1" applyFont="1">
      <alignment horizontal="center" vertical="bottom"/>
    </xf>
    <xf borderId="54" fillId="0" fontId="162" numFmtId="0" xfId="0" applyAlignment="1" applyBorder="1" applyFont="1">
      <alignment horizontal="center" readingOrder="0" vertical="center"/>
    </xf>
    <xf borderId="4" fillId="2" fontId="161" numFmtId="0" xfId="0" applyAlignment="1" applyBorder="1" applyFont="1">
      <alignment horizontal="center" readingOrder="0"/>
    </xf>
    <xf borderId="8" fillId="2" fontId="171" numFmtId="0" xfId="0" applyAlignment="1" applyBorder="1" applyFont="1">
      <alignment horizontal="center" readingOrder="0" vertical="center"/>
    </xf>
    <xf borderId="0" fillId="2" fontId="171" numFmtId="0" xfId="0" applyAlignment="1" applyFont="1">
      <alignment horizontal="center" readingOrder="0" vertical="center"/>
    </xf>
    <xf borderId="8" fillId="2" fontId="61" numFmtId="0" xfId="0" applyAlignment="1" applyBorder="1" applyFont="1">
      <alignment horizontal="center" readingOrder="0" vertical="center"/>
    </xf>
    <xf borderId="57" fillId="0" fontId="32" numFmtId="0" xfId="0" applyAlignment="1" applyBorder="1" applyFont="1">
      <alignment horizontal="center" readingOrder="0" vertical="center"/>
    </xf>
    <xf borderId="23" fillId="4" fontId="25" numFmtId="0" xfId="0" applyAlignment="1" applyBorder="1" applyFont="1">
      <alignment horizontal="center" readingOrder="0" vertical="center"/>
    </xf>
    <xf borderId="67" fillId="0" fontId="32" numFmtId="0" xfId="0" applyAlignment="1" applyBorder="1" applyFont="1">
      <alignment horizontal="center" readingOrder="0" vertical="center"/>
    </xf>
    <xf borderId="8" fillId="0" fontId="61" numFmtId="0" xfId="0" applyAlignment="1" applyBorder="1" applyFont="1">
      <alignment horizontal="center" readingOrder="0" vertical="center"/>
    </xf>
    <xf borderId="8" fillId="2" fontId="25" numFmtId="0" xfId="0" applyAlignment="1" applyBorder="1" applyFont="1">
      <alignment horizontal="center" readingOrder="0" vertical="center"/>
    </xf>
    <xf borderId="4" fillId="13" fontId="209" numFmtId="0" xfId="0" applyAlignment="1" applyBorder="1" applyFont="1">
      <alignment horizontal="center" readingOrder="0" vertical="center"/>
    </xf>
    <xf borderId="3" fillId="0" fontId="170" numFmtId="0" xfId="0" applyAlignment="1" applyBorder="1" applyFont="1">
      <alignment vertical="bottom"/>
    </xf>
    <xf borderId="1" fillId="0" fontId="170" numFmtId="0" xfId="0" applyAlignment="1" applyBorder="1" applyFont="1">
      <alignment vertical="bottom"/>
    </xf>
    <xf borderId="3" fillId="0" fontId="170" numFmtId="0" xfId="0" applyAlignment="1" applyBorder="1" applyFont="1">
      <alignment horizontal="center" vertical="bottom"/>
    </xf>
    <xf borderId="1" fillId="0" fontId="170" numFmtId="0" xfId="0" applyAlignment="1" applyBorder="1" applyFont="1">
      <alignment horizontal="center" vertical="bottom"/>
    </xf>
    <xf borderId="11" fillId="5" fontId="176" numFmtId="0" xfId="0" applyAlignment="1" applyBorder="1" applyFont="1">
      <alignment horizontal="center"/>
    </xf>
    <xf borderId="31" fillId="4" fontId="3" numFmtId="0" xfId="0" applyBorder="1" applyFont="1"/>
    <xf borderId="52" fillId="4" fontId="3" numFmtId="0" xfId="0" applyBorder="1" applyFont="1"/>
    <xf borderId="29" fillId="0" fontId="170" numFmtId="0" xfId="0" applyAlignment="1" applyBorder="1" applyFont="1">
      <alignment vertical="bottom"/>
    </xf>
    <xf borderId="35" fillId="2" fontId="161" numFmtId="0" xfId="0" applyAlignment="1" applyBorder="1" applyFont="1">
      <alignment horizontal="center" readingOrder="0"/>
    </xf>
    <xf borderId="17" fillId="0" fontId="170" numFmtId="0" xfId="0" applyAlignment="1" applyBorder="1" applyFont="1">
      <alignment vertical="bottom"/>
    </xf>
    <xf borderId="31" fillId="4" fontId="12" numFmtId="0" xfId="0" applyAlignment="1" applyBorder="1" applyFont="1">
      <alignment horizontal="center"/>
    </xf>
    <xf borderId="3" fillId="7" fontId="115" numFmtId="0" xfId="0" applyAlignment="1" applyBorder="1" applyFont="1">
      <alignment horizontal="center" readingOrder="0" vertical="bottom"/>
    </xf>
    <xf borderId="17" fillId="4" fontId="78" numFmtId="0" xfId="0" applyAlignment="1" applyBorder="1" applyFont="1">
      <alignment readingOrder="0" vertical="bottom"/>
    </xf>
    <xf borderId="28" fillId="2" fontId="160" numFmtId="0" xfId="0" applyAlignment="1" applyBorder="1" applyFont="1">
      <alignment horizontal="center" vertical="bottom"/>
    </xf>
    <xf borderId="32" fillId="2" fontId="161" numFmtId="0" xfId="0" applyAlignment="1" applyBorder="1" applyFont="1">
      <alignment horizontal="center" vertical="bottom"/>
    </xf>
    <xf borderId="32" fillId="2" fontId="161" numFmtId="0" xfId="0" applyAlignment="1" applyBorder="1" applyFont="1">
      <alignment horizontal="center" readingOrder="0"/>
    </xf>
    <xf borderId="28" fillId="2" fontId="160" numFmtId="0" xfId="0" applyAlignment="1" applyBorder="1" applyFont="1">
      <alignment horizontal="center" readingOrder="0" vertical="bottom"/>
    </xf>
    <xf borderId="37" fillId="2" fontId="160" numFmtId="0" xfId="0" applyAlignment="1" applyBorder="1" applyFont="1">
      <alignment horizontal="center" vertical="bottom"/>
    </xf>
    <xf borderId="24" fillId="0" fontId="11" numFmtId="0" xfId="0" applyAlignment="1" applyBorder="1" applyFont="1">
      <alignment horizontal="center" vertical="bottom"/>
    </xf>
    <xf borderId="38" fillId="2" fontId="161" numFmtId="0" xfId="0" applyAlignment="1" applyBorder="1" applyFont="1">
      <alignment horizontal="center" vertical="bottom"/>
    </xf>
    <xf borderId="38" fillId="2" fontId="161" numFmtId="0" xfId="0" applyAlignment="1" applyBorder="1" applyFont="1">
      <alignment horizontal="center" readingOrder="0"/>
    </xf>
    <xf borderId="8" fillId="13" fontId="30" numFmtId="0" xfId="0" applyAlignment="1" applyBorder="1" applyFont="1">
      <alignment horizontal="center"/>
    </xf>
    <xf borderId="0" fillId="2" fontId="61" numFmtId="0" xfId="0" applyAlignment="1" applyFont="1">
      <alignment horizontal="center" vertical="center"/>
    </xf>
    <xf borderId="0" fillId="2" fontId="33" numFmtId="0" xfId="0" applyAlignment="1" applyFont="1">
      <alignment horizontal="center" readingOrder="0" vertical="center"/>
    </xf>
    <xf borderId="0" fillId="2" fontId="26" numFmtId="0" xfId="0" applyAlignment="1" applyFont="1">
      <alignment horizontal="center" readingOrder="0" vertical="center"/>
    </xf>
    <xf borderId="52" fillId="4" fontId="11" numFmtId="0" xfId="0" applyAlignment="1" applyBorder="1" applyFont="1">
      <alignment readingOrder="0" vertical="bottom"/>
    </xf>
    <xf borderId="32" fillId="2" fontId="24" numFmtId="0" xfId="0" applyAlignment="1" applyBorder="1" applyFont="1">
      <alignment horizontal="center" vertical="bottom"/>
    </xf>
    <xf borderId="32" fillId="2" fontId="11" numFmtId="0" xfId="0" applyAlignment="1" applyBorder="1" applyFont="1">
      <alignment horizontal="center" vertical="bottom"/>
    </xf>
    <xf borderId="32" fillId="0" fontId="11" numFmtId="0" xfId="0" applyAlignment="1" applyBorder="1" applyFont="1">
      <alignment horizontal="center" vertical="bottom"/>
    </xf>
    <xf borderId="32" fillId="2" fontId="60" numFmtId="0" xfId="0" applyAlignment="1" applyBorder="1" applyFont="1">
      <alignment horizontal="center"/>
    </xf>
    <xf borderId="57" fillId="2" fontId="170" numFmtId="0" xfId="0" applyAlignment="1" applyBorder="1" applyFont="1">
      <alignment horizontal="center" vertical="bottom"/>
    </xf>
    <xf borderId="32" fillId="2" fontId="11" numFmtId="0" xfId="0" applyAlignment="1" applyBorder="1" applyFont="1">
      <alignment vertical="bottom"/>
    </xf>
    <xf borderId="15" fillId="2" fontId="170" numFmtId="0" xfId="0" applyAlignment="1" applyBorder="1" applyFont="1">
      <alignment horizontal="center" vertical="bottom"/>
    </xf>
    <xf borderId="42" fillId="6" fontId="13" numFmtId="0" xfId="0" applyAlignment="1" applyBorder="1" applyFont="1">
      <alignment horizontal="center" readingOrder="0" vertical="center"/>
    </xf>
    <xf borderId="0" fillId="14" fontId="99" numFmtId="0" xfId="0" applyAlignment="1" applyFont="1">
      <alignment horizontal="center"/>
    </xf>
    <xf borderId="0" fillId="0" fontId="105" numFmtId="0" xfId="0" applyAlignment="1" applyFont="1">
      <alignment horizontal="center" readingOrder="0"/>
    </xf>
    <xf borderId="4" fillId="2" fontId="11" numFmtId="0" xfId="0" applyAlignment="1" applyBorder="1" applyFont="1">
      <alignment horizontal="center" readingOrder="0" vertical="bottom"/>
    </xf>
    <xf borderId="25" fillId="6" fontId="210" numFmtId="0" xfId="0" applyAlignment="1" applyBorder="1" applyFont="1">
      <alignment horizontal="center" shrinkToFit="0" vertical="bottom" wrapText="1"/>
    </xf>
    <xf borderId="29" fillId="2" fontId="12" numFmtId="0" xfId="0" applyAlignment="1" applyBorder="1" applyFont="1">
      <alignment horizontal="center" vertical="bottom"/>
    </xf>
    <xf borderId="4" fillId="2" fontId="161" numFmtId="0" xfId="0" applyAlignment="1" applyBorder="1" applyFont="1">
      <alignment horizontal="center" vertical="bottom"/>
    </xf>
    <xf borderId="3" fillId="2" fontId="3" numFmtId="0" xfId="0" applyBorder="1" applyFont="1"/>
    <xf borderId="17" fillId="4" fontId="3" numFmtId="0" xfId="0" applyAlignment="1" applyBorder="1" applyFont="1">
      <alignment vertical="bottom"/>
    </xf>
    <xf borderId="35" fillId="2" fontId="161" numFmtId="0" xfId="0" applyAlignment="1" applyBorder="1" applyFont="1">
      <alignment horizontal="center" vertical="bottom"/>
    </xf>
    <xf borderId="42" fillId="6" fontId="211" numFmtId="0" xfId="0" applyAlignment="1" applyBorder="1" applyFont="1">
      <alignment horizontal="center" shrinkToFit="0" vertical="bottom" wrapText="1"/>
    </xf>
    <xf borderId="30" fillId="2" fontId="12" numFmtId="0" xfId="0" applyAlignment="1" applyBorder="1" applyFont="1">
      <alignment horizontal="center" vertical="bottom"/>
    </xf>
    <xf borderId="4" fillId="2" fontId="12" numFmtId="0" xfId="0" applyAlignment="1" applyBorder="1" applyFont="1">
      <alignment horizontal="center" vertical="bottom"/>
    </xf>
    <xf borderId="30" fillId="2" fontId="162" numFmtId="0" xfId="0" applyAlignment="1" applyBorder="1" applyFont="1">
      <alignment horizontal="center" vertical="bottom"/>
    </xf>
    <xf borderId="33" fillId="2" fontId="162" numFmtId="0" xfId="0" applyAlignment="1" applyBorder="1" applyFont="1">
      <alignment horizontal="center" vertical="bottom"/>
    </xf>
    <xf borderId="42" fillId="6" fontId="212" numFmtId="0" xfId="0" applyAlignment="1" applyBorder="1" applyFont="1">
      <alignment horizontal="center" shrinkToFit="0" wrapText="1"/>
    </xf>
    <xf borderId="3" fillId="7" fontId="15" numFmtId="0" xfId="0" applyAlignment="1" applyBorder="1" applyFont="1">
      <alignment horizontal="center" vertical="bottom"/>
    </xf>
    <xf borderId="30" fillId="2" fontId="12" numFmtId="0" xfId="0" applyAlignment="1" applyBorder="1" applyFont="1">
      <alignment horizontal="center"/>
    </xf>
    <xf borderId="4" fillId="2" fontId="12" numFmtId="0" xfId="0" applyAlignment="1" applyBorder="1" applyFont="1">
      <alignment horizontal="center"/>
    </xf>
    <xf borderId="24" fillId="2" fontId="12" numFmtId="0" xfId="0" applyAlignment="1" applyBorder="1" applyFont="1">
      <alignment horizontal="center"/>
    </xf>
    <xf borderId="29" fillId="2" fontId="30" numFmtId="0" xfId="0" applyAlignment="1" applyBorder="1" applyFont="1">
      <alignment horizontal="center"/>
    </xf>
    <xf borderId="17" fillId="4" fontId="12" numFmtId="0" xfId="0" applyAlignment="1" applyBorder="1" applyFont="1">
      <alignment horizontal="center"/>
    </xf>
    <xf borderId="4" fillId="2" fontId="25" numFmtId="0" xfId="0" applyAlignment="1" applyBorder="1" applyFont="1">
      <alignment horizontal="center"/>
    </xf>
    <xf borderId="29" fillId="0" fontId="3" numFmtId="0" xfId="0" applyBorder="1" applyFont="1"/>
    <xf borderId="17" fillId="4" fontId="3" numFmtId="0" xfId="0" applyBorder="1" applyFont="1"/>
    <xf borderId="21" fillId="0" fontId="111" numFmtId="0" xfId="0" applyAlignment="1" applyBorder="1" applyFont="1">
      <alignment horizontal="center" readingOrder="0" shrinkToFit="0" vertical="center" wrapText="1"/>
    </xf>
    <xf borderId="35" fillId="2" fontId="11" numFmtId="0" xfId="0" applyAlignment="1" applyBorder="1" applyFont="1">
      <alignment horizontal="center" readingOrder="0" vertical="bottom"/>
    </xf>
    <xf borderId="3" fillId="2" fontId="3" numFmtId="0" xfId="0" applyAlignment="1" applyBorder="1" applyFont="1">
      <alignment horizontal="center"/>
    </xf>
    <xf borderId="17" fillId="4" fontId="3" numFmtId="0" xfId="0" applyAlignment="1" applyBorder="1" applyFont="1">
      <alignment horizontal="center" readingOrder="0" vertical="bottom"/>
    </xf>
    <xf borderId="35" fillId="2" fontId="161" numFmtId="0" xfId="0" applyAlignment="1" applyBorder="1" applyFont="1">
      <alignment horizontal="center" vertical="bottom"/>
    </xf>
    <xf borderId="1" fillId="2" fontId="3" numFmtId="0" xfId="0" applyAlignment="1" applyBorder="1" applyFont="1">
      <alignment horizontal="center"/>
    </xf>
    <xf borderId="17" fillId="4" fontId="3" numFmtId="0" xfId="0" applyAlignment="1" applyBorder="1" applyFont="1">
      <alignment horizontal="center" vertical="bottom"/>
    </xf>
    <xf borderId="29" fillId="0" fontId="3" numFmtId="0" xfId="0" applyAlignment="1" applyBorder="1" applyFont="1">
      <alignment horizontal="center"/>
    </xf>
    <xf borderId="17" fillId="4" fontId="7" numFmtId="0" xfId="0" applyAlignment="1" applyBorder="1" applyFont="1">
      <alignment horizontal="center" readingOrder="0"/>
    </xf>
    <xf borderId="35" fillId="2" fontId="25" numFmtId="0" xfId="0" applyAlignment="1" applyBorder="1" applyFont="1">
      <alignment horizontal="center"/>
    </xf>
    <xf borderId="17" fillId="0" fontId="3" numFmtId="0" xfId="0" applyAlignment="1" applyBorder="1" applyFont="1">
      <alignment horizontal="center"/>
    </xf>
    <xf borderId="0" fillId="7" fontId="29" numFmtId="0" xfId="0" applyAlignment="1" applyFont="1">
      <alignment horizontal="center" vertical="bottom"/>
    </xf>
    <xf borderId="46" fillId="0" fontId="25" numFmtId="0" xfId="0" applyAlignment="1" applyBorder="1" applyFont="1">
      <alignment horizontal="center"/>
    </xf>
    <xf borderId="0" fillId="0" fontId="24" numFmtId="0" xfId="0" applyAlignment="1" applyFont="1">
      <alignment horizontal="center" readingOrder="0"/>
    </xf>
    <xf borderId="22" fillId="5" fontId="29" numFmtId="0" xfId="0" applyAlignment="1" applyBorder="1" applyFont="1">
      <alignment horizontal="center"/>
    </xf>
    <xf borderId="31" fillId="4" fontId="3" numFmtId="0" xfId="0" applyAlignment="1" applyBorder="1" applyFont="1">
      <alignment readingOrder="0"/>
    </xf>
    <xf borderId="52" fillId="4" fontId="3" numFmtId="0" xfId="0" applyAlignment="1" applyBorder="1" applyFont="1">
      <alignment readingOrder="0"/>
    </xf>
    <xf borderId="30" fillId="2" fontId="65" numFmtId="0" xfId="0" applyAlignment="1" applyBorder="1" applyFont="1">
      <alignment horizontal="center" readingOrder="0" shrinkToFit="0" vertical="center" wrapText="1"/>
    </xf>
    <xf borderId="17" fillId="0" fontId="3" numFmtId="0" xfId="0" applyBorder="1" applyFont="1"/>
    <xf borderId="12" fillId="2" fontId="12" numFmtId="0" xfId="0" applyAlignment="1" applyBorder="1" applyFont="1">
      <alignment horizontal="center" readingOrder="0" vertical="center"/>
    </xf>
    <xf borderId="14" fillId="2" fontId="95" numFmtId="0" xfId="0" applyAlignment="1" applyBorder="1" applyFont="1">
      <alignment horizontal="center" readingOrder="0" vertical="center"/>
    </xf>
    <xf borderId="32" fillId="0" fontId="25" numFmtId="0" xfId="0" applyAlignment="1" applyBorder="1" applyFont="1">
      <alignment horizontal="center" vertical="bottom"/>
    </xf>
    <xf borderId="48" fillId="0" fontId="25" numFmtId="0" xfId="0" applyAlignment="1" applyBorder="1" applyFont="1">
      <alignment horizontal="center" vertical="bottom"/>
    </xf>
    <xf borderId="32" fillId="0" fontId="32" numFmtId="0" xfId="0" applyAlignment="1" applyBorder="1" applyFont="1">
      <alignment horizontal="center" readingOrder="0" vertical="center"/>
    </xf>
    <xf borderId="38" fillId="0" fontId="33" numFmtId="0" xfId="0" applyAlignment="1" applyBorder="1" applyFont="1">
      <alignment horizontal="center" readingOrder="0" vertical="center"/>
    </xf>
    <xf borderId="51" fillId="2" fontId="12" numFmtId="0" xfId="0" applyAlignment="1" applyBorder="1" applyFont="1">
      <alignment horizontal="center" readingOrder="0" shrinkToFit="0" vertical="center" wrapText="1"/>
    </xf>
    <xf borderId="21" fillId="7" fontId="4" numFmtId="0" xfId="0" applyAlignment="1" applyBorder="1" applyFont="1">
      <alignment horizontal="center" readingOrder="0" vertical="center"/>
    </xf>
    <xf borderId="34" fillId="0" fontId="32" numFmtId="0" xfId="0" applyAlignment="1" applyBorder="1" applyFont="1">
      <alignment horizontal="center" readingOrder="0" vertical="center"/>
    </xf>
    <xf borderId="5" fillId="2" fontId="12" numFmtId="0" xfId="0" applyAlignment="1" applyBorder="1" applyFont="1">
      <alignment horizontal="center" readingOrder="0" vertical="center"/>
    </xf>
    <xf borderId="32" fillId="0" fontId="12" numFmtId="0" xfId="0" applyAlignment="1" applyBorder="1" applyFont="1">
      <alignment horizontal="center"/>
    </xf>
    <xf borderId="32" fillId="2" fontId="11" numFmtId="0" xfId="0" applyAlignment="1" applyBorder="1" applyFont="1">
      <alignment horizontal="center"/>
    </xf>
    <xf borderId="15" fillId="4" fontId="11" numFmtId="0" xfId="0" applyAlignment="1" applyBorder="1" applyFont="1">
      <alignment readingOrder="0" vertical="bottom"/>
    </xf>
    <xf borderId="31" fillId="4" fontId="30" numFmtId="0" xfId="0" applyAlignment="1" applyBorder="1" applyFont="1">
      <alignment horizontal="center" readingOrder="0"/>
    </xf>
    <xf borderId="21" fillId="4" fontId="25" numFmtId="0" xfId="0" applyAlignment="1" applyBorder="1" applyFont="1">
      <alignment horizontal="center" readingOrder="0" vertical="center"/>
    </xf>
    <xf borderId="14" fillId="2" fontId="170" numFmtId="0" xfId="0" applyAlignment="1" applyBorder="1" applyFont="1">
      <alignment horizontal="center" vertical="bottom"/>
    </xf>
    <xf borderId="11" fillId="2" fontId="213" numFmtId="0" xfId="0" applyAlignment="1" applyBorder="1" applyFont="1">
      <alignment horizontal="center" readingOrder="0" vertical="center"/>
    </xf>
    <xf borderId="14" fillId="0" fontId="133" numFmtId="0" xfId="0" applyAlignment="1" applyBorder="1" applyFont="1">
      <alignment horizontal="left" readingOrder="0" shrinkToFit="0" vertical="center" wrapText="1"/>
    </xf>
    <xf borderId="12" fillId="2" fontId="36" numFmtId="0" xfId="0" applyAlignment="1" applyBorder="1" applyFont="1">
      <alignment horizontal="center" readingOrder="0" vertical="center"/>
    </xf>
    <xf borderId="31" fillId="4" fontId="162" numFmtId="0" xfId="0" applyAlignment="1" applyBorder="1" applyFont="1">
      <alignment horizontal="center" readingOrder="0"/>
    </xf>
    <xf borderId="59" fillId="0" fontId="1" numFmtId="0" xfId="0" applyBorder="1" applyFont="1"/>
    <xf borderId="12" fillId="2" fontId="86" numFmtId="0" xfId="0" applyAlignment="1" applyBorder="1" applyFont="1">
      <alignment horizontal="center" readingOrder="0" vertical="center"/>
    </xf>
    <xf borderId="0" fillId="2" fontId="12" numFmtId="0" xfId="0" applyAlignment="1" applyFont="1">
      <alignment horizontal="center" readingOrder="0" vertical="center"/>
    </xf>
    <xf borderId="0" fillId="2" fontId="86" numFmtId="0" xfId="0" applyAlignment="1" applyFont="1">
      <alignment horizontal="center" readingOrder="0" vertical="center"/>
    </xf>
    <xf borderId="31" fillId="4" fontId="11" numFmtId="0" xfId="0" applyAlignment="1" applyBorder="1" applyFont="1">
      <alignment horizontal="center"/>
    </xf>
    <xf borderId="11" fillId="0" fontId="1" numFmtId="0" xfId="0" applyBorder="1" applyFont="1"/>
    <xf borderId="21" fillId="6" fontId="13" numFmtId="0" xfId="0" applyAlignment="1" applyBorder="1" applyFont="1">
      <alignment horizontal="center" readingOrder="0"/>
    </xf>
    <xf borderId="36" fillId="7" fontId="15" numFmtId="0" xfId="0" applyAlignment="1" applyBorder="1" applyFont="1">
      <alignment horizontal="center"/>
    </xf>
    <xf borderId="15" fillId="2" fontId="30" numFmtId="0" xfId="0" applyAlignment="1" applyBorder="1" applyFont="1">
      <alignment horizontal="center"/>
    </xf>
    <xf borderId="3" fillId="2" fontId="11" numFmtId="0" xfId="0" applyAlignment="1" applyBorder="1" applyFont="1">
      <alignment horizontal="center"/>
    </xf>
    <xf borderId="1" fillId="2" fontId="11" numFmtId="0" xfId="0" applyAlignment="1" applyBorder="1" applyFont="1">
      <alignment horizontal="center"/>
    </xf>
    <xf borderId="64" fillId="2" fontId="170" numFmtId="0" xfId="0" applyAlignment="1" applyBorder="1" applyFont="1">
      <alignment horizontal="center" vertical="bottom"/>
    </xf>
    <xf borderId="33" fillId="2" fontId="160" numFmtId="0" xfId="0" applyAlignment="1" applyBorder="1" applyFont="1">
      <alignment horizontal="center" vertical="bottom"/>
    </xf>
    <xf borderId="35" fillId="0" fontId="161" numFmtId="0" xfId="0" applyAlignment="1" applyBorder="1" applyFont="1">
      <alignment horizontal="center"/>
    </xf>
    <xf borderId="35" fillId="2" fontId="161" numFmtId="0" xfId="0" applyAlignment="1" applyBorder="1" applyFont="1">
      <alignment horizontal="center" readingOrder="0"/>
    </xf>
    <xf borderId="64" fillId="0" fontId="32" numFmtId="0" xfId="0" applyAlignment="1" applyBorder="1" applyFont="1">
      <alignment horizontal="center" readingOrder="0" vertical="center"/>
    </xf>
    <xf borderId="0" fillId="2" fontId="138" numFmtId="0" xfId="0" applyAlignment="1" applyFont="1">
      <alignment horizontal="center" readingOrder="0" shrinkToFit="0" vertical="center" wrapText="0"/>
    </xf>
    <xf borderId="12" fillId="0" fontId="60" numFmtId="0" xfId="0" applyAlignment="1" applyBorder="1" applyFont="1">
      <alignment horizontal="center" readingOrder="0" vertical="center"/>
    </xf>
    <xf borderId="0" fillId="0" fontId="60" numFmtId="0" xfId="0" applyAlignment="1" applyFont="1">
      <alignment horizontal="center" readingOrder="0" vertical="center"/>
    </xf>
    <xf borderId="0" fillId="2" fontId="15" numFmtId="0" xfId="0" applyAlignment="1" applyFont="1">
      <alignment horizontal="center" vertical="center"/>
    </xf>
    <xf borderId="1" fillId="2" fontId="98" numFmtId="0" xfId="0" applyAlignment="1" applyBorder="1" applyFont="1">
      <alignment horizontal="center" readingOrder="0" vertical="center"/>
    </xf>
    <xf borderId="16" fillId="2" fontId="17" numFmtId="0" xfId="0" applyAlignment="1" applyBorder="1" applyFont="1">
      <alignment horizontal="center" readingOrder="0" vertical="center"/>
    </xf>
    <xf borderId="30" fillId="2" fontId="12" numFmtId="0" xfId="0" applyAlignment="1" applyBorder="1" applyFont="1">
      <alignment horizontal="center" shrinkToFit="0" wrapText="1"/>
    </xf>
    <xf borderId="3" fillId="7" fontId="29" numFmtId="0" xfId="0" applyAlignment="1" applyBorder="1" applyFont="1">
      <alignment horizontal="center" vertical="bottom"/>
    </xf>
    <xf borderId="29" fillId="2" fontId="30" numFmtId="0" xfId="0" applyAlignment="1" applyBorder="1" applyFont="1">
      <alignment horizontal="center" vertical="bottom"/>
    </xf>
    <xf borderId="17" fillId="4" fontId="12" numFmtId="0" xfId="0" applyAlignment="1" applyBorder="1" applyFont="1">
      <alignment horizontal="center" vertical="bottom"/>
    </xf>
    <xf borderId="30" fillId="2" fontId="60" numFmtId="0" xfId="0" applyAlignment="1" applyBorder="1" applyFont="1">
      <alignment horizontal="center"/>
    </xf>
    <xf borderId="4" fillId="2" fontId="61" numFmtId="0" xfId="0" applyAlignment="1" applyBorder="1" applyFont="1">
      <alignment horizontal="center"/>
    </xf>
    <xf borderId="17" fillId="4" fontId="25" numFmtId="0" xfId="0" applyAlignment="1" applyBorder="1" applyFont="1">
      <alignment horizontal="center" vertical="bottom"/>
    </xf>
    <xf borderId="17" fillId="4" fontId="25" numFmtId="0" xfId="0" applyAlignment="1" applyBorder="1" applyFont="1">
      <alignment horizontal="center" vertical="bottom"/>
    </xf>
    <xf borderId="30" fillId="0" fontId="24" numFmtId="0" xfId="0" applyAlignment="1" applyBorder="1" applyFont="1">
      <alignment horizontal="center"/>
    </xf>
    <xf borderId="30" fillId="0" fontId="60" numFmtId="0" xfId="0" applyAlignment="1" applyBorder="1" applyFont="1">
      <alignment horizontal="center"/>
    </xf>
    <xf borderId="4" fillId="0" fontId="61" numFmtId="0" xfId="0" applyAlignment="1" applyBorder="1" applyFont="1">
      <alignment horizontal="center"/>
    </xf>
    <xf borderId="30" fillId="2" fontId="60" numFmtId="0" xfId="0" applyAlignment="1" applyBorder="1" applyFont="1">
      <alignment horizontal="center" vertical="bottom"/>
    </xf>
    <xf borderId="33" fillId="2" fontId="12" numFmtId="0" xfId="0" applyAlignment="1" applyBorder="1" applyFont="1">
      <alignment horizontal="center" readingOrder="0" shrinkToFit="0" wrapText="1"/>
    </xf>
    <xf borderId="2" fillId="0" fontId="4" numFmtId="0" xfId="0" applyAlignment="1" applyBorder="1" applyFont="1">
      <alignment horizontal="center" readingOrder="0" shrinkToFit="0" vertical="center" wrapText="1"/>
    </xf>
    <xf borderId="11" fillId="2" fontId="98" numFmtId="0" xfId="0" applyAlignment="1" applyBorder="1" applyFont="1">
      <alignment horizontal="center" readingOrder="0" vertical="center"/>
    </xf>
    <xf borderId="29" fillId="2" fontId="3" numFmtId="0" xfId="0" applyAlignment="1" applyBorder="1" applyFont="1">
      <alignment vertical="bottom"/>
    </xf>
    <xf borderId="17" fillId="4" fontId="25" numFmtId="0" xfId="0" applyAlignment="1" applyBorder="1" applyFont="1">
      <alignment horizontal="center" readingOrder="0" vertical="bottom"/>
    </xf>
    <xf borderId="29" fillId="0" fontId="3" numFmtId="0" xfId="0" applyAlignment="1" applyBorder="1" applyFont="1">
      <alignment vertical="bottom"/>
    </xf>
    <xf borderId="16" fillId="0" fontId="4" numFmtId="0" xfId="0" applyAlignment="1" applyBorder="1" applyFont="1">
      <alignment horizontal="center" readingOrder="0"/>
    </xf>
    <xf borderId="16" fillId="0" fontId="115" numFmtId="0" xfId="0" applyAlignment="1" applyBorder="1" applyFont="1">
      <alignment horizontal="center" readingOrder="0" shrinkToFit="0" wrapText="1"/>
    </xf>
    <xf borderId="0" fillId="0" fontId="115" numFmtId="0" xfId="0" applyAlignment="1" applyFont="1">
      <alignment horizontal="center" readingOrder="0" shrinkToFit="0" wrapText="1"/>
    </xf>
    <xf borderId="0" fillId="3" fontId="214" numFmtId="0" xfId="0" applyAlignment="1" applyFont="1">
      <alignment horizontal="center"/>
    </xf>
    <xf borderId="0" fillId="0" fontId="175" numFmtId="0" xfId="0" applyAlignment="1" applyFont="1">
      <alignment horizontal="center"/>
    </xf>
    <xf borderId="0" fillId="0" fontId="7" numFmtId="0" xfId="0" applyAlignment="1" applyFont="1">
      <alignment horizontal="center" readingOrder="0" shrinkToFit="0" wrapText="1"/>
    </xf>
    <xf borderId="0" fillId="0" fontId="7" numFmtId="0" xfId="0" applyAlignment="1" applyFont="1">
      <alignment horizontal="center" vertical="bottom"/>
    </xf>
    <xf borderId="0" fillId="5" fontId="176" numFmtId="0" xfId="0" applyAlignment="1" applyFont="1">
      <alignment horizontal="center"/>
    </xf>
    <xf borderId="0" fillId="6" fontId="13" numFmtId="0" xfId="0" applyAlignment="1" applyFont="1">
      <alignment horizontal="center" readingOrder="0" vertical="center"/>
    </xf>
    <xf borderId="0" fillId="7" fontId="4" numFmtId="0" xfId="0" applyAlignment="1" applyFont="1">
      <alignment horizontal="center" readingOrder="0" vertical="bottom"/>
    </xf>
    <xf borderId="0" fillId="4" fontId="12" numFmtId="0" xfId="0" applyAlignment="1" applyFont="1">
      <alignment horizontal="center" readingOrder="0" vertical="center"/>
    </xf>
    <xf borderId="0" fillId="4" fontId="25" numFmtId="0" xfId="0" applyAlignment="1" applyFont="1">
      <alignment horizontal="center" readingOrder="0" vertical="center"/>
    </xf>
    <xf borderId="0" fillId="13" fontId="30" numFmtId="0" xfId="0" applyAlignment="1" applyFont="1">
      <alignment horizontal="center" readingOrder="0" vertical="center"/>
    </xf>
    <xf borderId="0" fillId="7" fontId="4" numFmtId="0" xfId="0" applyAlignment="1" applyFont="1">
      <alignment horizontal="center" readingOrder="0" vertical="center"/>
    </xf>
    <xf borderId="0" fillId="6" fontId="114" numFmtId="0" xfId="0" applyAlignment="1" applyFont="1">
      <alignment horizontal="center" readingOrder="0" vertical="center"/>
    </xf>
    <xf borderId="0" fillId="4" fontId="12" numFmtId="0" xfId="0" applyAlignment="1" applyFont="1">
      <alignment horizontal="center" readingOrder="0" vertical="center"/>
    </xf>
    <xf borderId="0" fillId="2" fontId="114" numFmtId="0" xfId="0" applyAlignment="1" applyFont="1">
      <alignment horizontal="center" readingOrder="0" vertical="center"/>
    </xf>
    <xf borderId="0" fillId="3" fontId="95" numFmtId="0" xfId="0" applyAlignment="1" applyFont="1">
      <alignment horizontal="center" readingOrder="0" vertical="center"/>
    </xf>
    <xf borderId="0" fillId="5" fontId="15" numFmtId="0" xfId="0" applyAlignment="1" applyFont="1">
      <alignment horizontal="center" readingOrder="0" vertical="center"/>
    </xf>
    <xf borderId="0" fillId="6" fontId="215" numFmtId="0" xfId="0" applyAlignment="1" applyFont="1">
      <alignment horizontal="center"/>
    </xf>
    <xf borderId="3" fillId="7" fontId="29" numFmtId="0" xfId="0" applyAlignment="1" applyBorder="1" applyFont="1">
      <alignment horizontal="center" readingOrder="0" vertical="bottom"/>
    </xf>
    <xf borderId="0" fillId="7" fontId="29" numFmtId="0" xfId="0" applyAlignment="1" applyFont="1">
      <alignment horizontal="center" readingOrder="0" vertical="bottom"/>
    </xf>
    <xf borderId="0" fillId="4" fontId="12" numFmtId="0" xfId="0" applyAlignment="1" applyFont="1">
      <alignment horizontal="center"/>
    </xf>
    <xf borderId="0" fillId="4" fontId="25" numFmtId="0" xfId="0" applyAlignment="1" applyFont="1">
      <alignment horizontal="center" readingOrder="0"/>
    </xf>
    <xf borderId="0" fillId="4" fontId="25" numFmtId="0" xfId="0" applyAlignment="1" applyFont="1">
      <alignment horizontal="center" readingOrder="0" vertical="bottom"/>
    </xf>
    <xf borderId="0" fillId="7" fontId="99" numFmtId="0" xfId="0" applyAlignment="1" applyFont="1">
      <alignment horizontal="center"/>
    </xf>
    <xf borderId="0" fillId="6" fontId="13" numFmtId="0" xfId="0" applyAlignment="1" applyFont="1">
      <alignment horizontal="center" readingOrder="0" vertical="center"/>
    </xf>
    <xf borderId="0" fillId="7" fontId="4" numFmtId="0" xfId="0" applyAlignment="1" applyFont="1">
      <alignment horizontal="center" readingOrder="0" vertical="center"/>
    </xf>
    <xf borderId="0" fillId="6" fontId="13" numFmtId="0" xfId="0" applyAlignment="1" applyFont="1">
      <alignment horizontal="center" readingOrder="0" vertical="center"/>
    </xf>
    <xf borderId="0" fillId="0" fontId="12" numFmtId="0" xfId="0" applyAlignment="1" applyFont="1">
      <alignment horizontal="center" readingOrder="0" vertical="center"/>
    </xf>
    <xf borderId="0" fillId="6" fontId="13" numFmtId="0" xfId="0" applyAlignment="1" applyFont="1">
      <alignment horizontal="center" readingOrder="0" shrinkToFit="0" vertical="center" wrapText="1"/>
    </xf>
    <xf borderId="0" fillId="6" fontId="13" numFmtId="0" xfId="0" applyAlignment="1" applyFont="1">
      <alignment horizontal="center" readingOrder="0" shrinkToFit="0" vertical="center" wrapText="1"/>
    </xf>
    <xf borderId="0" fillId="7" fontId="29" numFmtId="0" xfId="0" applyAlignment="1" applyFont="1">
      <alignment horizontal="center"/>
    </xf>
    <xf borderId="0" fillId="6" fontId="13" numFmtId="0" xfId="0" applyAlignment="1" applyFont="1">
      <alignment horizontal="center" readingOrder="0" shrinkToFit="0" vertical="center" wrapText="1"/>
    </xf>
    <xf borderId="0" fillId="7" fontId="15" numFmtId="0" xfId="0" applyAlignment="1" applyFont="1">
      <alignment horizontal="center" vertical="center"/>
    </xf>
    <xf borderId="0" fillId="13" fontId="12" numFmtId="0" xfId="0" applyAlignment="1" applyFont="1">
      <alignment horizontal="center" readingOrder="0" vertical="center"/>
    </xf>
    <xf borderId="0" fillId="7" fontId="15" numFmtId="0" xfId="0" applyAlignment="1" applyFont="1">
      <alignment horizontal="center" vertical="center"/>
    </xf>
    <xf borderId="0" fillId="5" fontId="186" numFmtId="0" xfId="0" applyAlignment="1" applyFont="1">
      <alignment horizontal="center"/>
    </xf>
    <xf borderId="0" fillId="2" fontId="216" numFmtId="0" xfId="0" applyAlignment="1" applyFont="1">
      <alignment horizontal="center"/>
    </xf>
    <xf borderId="1" fillId="4" fontId="11" numFmtId="0" xfId="0" applyAlignment="1" applyBorder="1" applyFont="1">
      <alignment vertical="bottom"/>
    </xf>
    <xf borderId="40" fillId="0" fontId="217" numFmtId="0" xfId="0" applyAlignment="1" applyBorder="1" applyFont="1">
      <alignment horizontal="center"/>
    </xf>
    <xf borderId="40" fillId="0" fontId="74" numFmtId="0" xfId="0" applyAlignment="1" applyBorder="1" applyFont="1">
      <alignment horizontal="center"/>
    </xf>
    <xf borderId="29" fillId="0" fontId="217" numFmtId="0" xfId="0" applyAlignment="1" applyBorder="1" applyFont="1">
      <alignment horizontal="center"/>
    </xf>
    <xf borderId="29" fillId="0" fontId="74" numFmtId="0" xfId="0" applyAlignment="1" applyBorder="1" applyFont="1">
      <alignment horizontal="center"/>
    </xf>
    <xf borderId="17" fillId="0" fontId="217" numFmtId="0" xfId="0" applyAlignment="1" applyBorder="1" applyFont="1">
      <alignment horizontal="center"/>
    </xf>
    <xf borderId="17" fillId="0" fontId="74" numFmtId="0" xfId="0" applyAlignment="1" applyBorder="1" applyFont="1">
      <alignment horizontal="center"/>
    </xf>
    <xf borderId="1" fillId="4" fontId="11" numFmtId="0" xfId="0" applyAlignment="1" applyBorder="1" applyFont="1">
      <alignment horizontal="center" readingOrder="0"/>
    </xf>
    <xf borderId="0" fillId="2" fontId="218" numFmtId="0" xfId="0" applyAlignment="1" applyFont="1">
      <alignment horizontal="center" vertical="bottom"/>
    </xf>
    <xf borderId="3" fillId="7" fontId="15" numFmtId="0" xfId="0" applyAlignment="1" applyBorder="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8.xml"/><Relationship Id="rId42" Type="http://schemas.openxmlformats.org/officeDocument/2006/relationships/worksheet" Target="worksheets/sheet40.xml"/><Relationship Id="rId41" Type="http://schemas.openxmlformats.org/officeDocument/2006/relationships/worksheet" Target="worksheets/sheet39.xml"/><Relationship Id="rId44" Type="http://schemas.openxmlformats.org/officeDocument/2006/relationships/worksheet" Target="worksheets/sheet42.xml"/><Relationship Id="rId43" Type="http://schemas.openxmlformats.org/officeDocument/2006/relationships/worksheet" Target="worksheets/sheet41.xml"/><Relationship Id="rId46" Type="http://schemas.openxmlformats.org/officeDocument/2006/relationships/worksheet" Target="worksheets/sheet44.xml"/><Relationship Id="rId45" Type="http://schemas.openxmlformats.org/officeDocument/2006/relationships/worksheet" Target="worksheets/sheet43.xml"/><Relationship Id="rId107" Type="http://schemas.openxmlformats.org/officeDocument/2006/relationships/worksheet" Target="worksheets/sheet105.xml"/><Relationship Id="rId106" Type="http://schemas.openxmlformats.org/officeDocument/2006/relationships/worksheet" Target="worksheets/sheet104.xml"/><Relationship Id="rId105" Type="http://schemas.openxmlformats.org/officeDocument/2006/relationships/worksheet" Target="worksheets/sheet103.xml"/><Relationship Id="rId104" Type="http://schemas.openxmlformats.org/officeDocument/2006/relationships/worksheet" Target="worksheets/sheet102.xml"/><Relationship Id="rId109" Type="http://schemas.openxmlformats.org/officeDocument/2006/relationships/worksheet" Target="worksheets/sheet107.xml"/><Relationship Id="rId108" Type="http://schemas.openxmlformats.org/officeDocument/2006/relationships/worksheet" Target="worksheets/sheet106.xml"/><Relationship Id="rId48" Type="http://schemas.openxmlformats.org/officeDocument/2006/relationships/worksheet" Target="worksheets/sheet46.xml"/><Relationship Id="rId47" Type="http://schemas.openxmlformats.org/officeDocument/2006/relationships/worksheet" Target="worksheets/sheet45.xml"/><Relationship Id="rId49" Type="http://schemas.openxmlformats.org/officeDocument/2006/relationships/worksheet" Target="worksheets/sheet47.xml"/><Relationship Id="rId103" Type="http://schemas.openxmlformats.org/officeDocument/2006/relationships/worksheet" Target="worksheets/sheet101.xml"/><Relationship Id="rId102" Type="http://schemas.openxmlformats.org/officeDocument/2006/relationships/worksheet" Target="worksheets/sheet100.xml"/><Relationship Id="rId101" Type="http://schemas.openxmlformats.org/officeDocument/2006/relationships/worksheet" Target="worksheets/sheet99.xml"/><Relationship Id="rId100" Type="http://schemas.openxmlformats.org/officeDocument/2006/relationships/worksheet" Target="worksheets/sheet98.xml"/><Relationship Id="rId31" Type="http://schemas.openxmlformats.org/officeDocument/2006/relationships/worksheet" Target="worksheets/sheet29.xml"/><Relationship Id="rId30" Type="http://schemas.openxmlformats.org/officeDocument/2006/relationships/worksheet" Target="worksheets/sheet28.xml"/><Relationship Id="rId33" Type="http://schemas.openxmlformats.org/officeDocument/2006/relationships/worksheet" Target="worksheets/sheet31.xml"/><Relationship Id="rId32" Type="http://schemas.openxmlformats.org/officeDocument/2006/relationships/worksheet" Target="worksheets/sheet30.xml"/><Relationship Id="rId35" Type="http://schemas.openxmlformats.org/officeDocument/2006/relationships/worksheet" Target="worksheets/sheet33.xml"/><Relationship Id="rId34" Type="http://schemas.openxmlformats.org/officeDocument/2006/relationships/worksheet" Target="worksheets/sheet32.xml"/><Relationship Id="rId37" Type="http://schemas.openxmlformats.org/officeDocument/2006/relationships/worksheet" Target="worksheets/sheet35.xml"/><Relationship Id="rId36" Type="http://schemas.openxmlformats.org/officeDocument/2006/relationships/worksheet" Target="worksheets/sheet34.xml"/><Relationship Id="rId39" Type="http://schemas.openxmlformats.org/officeDocument/2006/relationships/worksheet" Target="worksheets/sheet37.xml"/><Relationship Id="rId38" Type="http://schemas.openxmlformats.org/officeDocument/2006/relationships/worksheet" Target="worksheets/sheet36.xml"/><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29" Type="http://schemas.openxmlformats.org/officeDocument/2006/relationships/worksheet" Target="worksheets/sheet27.xml"/><Relationship Id="rId95" Type="http://schemas.openxmlformats.org/officeDocument/2006/relationships/worksheet" Target="worksheets/sheet93.xml"/><Relationship Id="rId94" Type="http://schemas.openxmlformats.org/officeDocument/2006/relationships/worksheet" Target="worksheets/sheet92.xml"/><Relationship Id="rId97" Type="http://schemas.openxmlformats.org/officeDocument/2006/relationships/worksheet" Target="worksheets/sheet95.xml"/><Relationship Id="rId96" Type="http://schemas.openxmlformats.org/officeDocument/2006/relationships/worksheet" Target="worksheets/sheet94.xml"/><Relationship Id="rId11" Type="http://schemas.openxmlformats.org/officeDocument/2006/relationships/worksheet" Target="worksheets/sheet9.xml"/><Relationship Id="rId99" Type="http://schemas.openxmlformats.org/officeDocument/2006/relationships/worksheet" Target="worksheets/sheet97.xml"/><Relationship Id="rId10" Type="http://schemas.openxmlformats.org/officeDocument/2006/relationships/worksheet" Target="worksheets/sheet8.xml"/><Relationship Id="rId98" Type="http://schemas.openxmlformats.org/officeDocument/2006/relationships/worksheet" Target="worksheets/sheet96.xml"/><Relationship Id="rId13" Type="http://schemas.openxmlformats.org/officeDocument/2006/relationships/worksheet" Target="worksheets/sheet11.xml"/><Relationship Id="rId12" Type="http://schemas.openxmlformats.org/officeDocument/2006/relationships/worksheet" Target="worksheets/sheet10.xml"/><Relationship Id="rId91" Type="http://schemas.openxmlformats.org/officeDocument/2006/relationships/worksheet" Target="worksheets/sheet89.xml"/><Relationship Id="rId90" Type="http://schemas.openxmlformats.org/officeDocument/2006/relationships/worksheet" Target="worksheets/sheet88.xml"/><Relationship Id="rId93" Type="http://schemas.openxmlformats.org/officeDocument/2006/relationships/worksheet" Target="worksheets/sheet91.xml"/><Relationship Id="rId92" Type="http://schemas.openxmlformats.org/officeDocument/2006/relationships/worksheet" Target="worksheets/sheet9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 Id="rId84" Type="http://schemas.openxmlformats.org/officeDocument/2006/relationships/worksheet" Target="worksheets/sheet82.xml"/><Relationship Id="rId83" Type="http://schemas.openxmlformats.org/officeDocument/2006/relationships/worksheet" Target="worksheets/sheet81.xml"/><Relationship Id="rId86" Type="http://schemas.openxmlformats.org/officeDocument/2006/relationships/worksheet" Target="worksheets/sheet84.xml"/><Relationship Id="rId85" Type="http://schemas.openxmlformats.org/officeDocument/2006/relationships/worksheet" Target="worksheets/sheet83.xml"/><Relationship Id="rId88" Type="http://schemas.openxmlformats.org/officeDocument/2006/relationships/worksheet" Target="worksheets/sheet86.xml"/><Relationship Id="rId87" Type="http://schemas.openxmlformats.org/officeDocument/2006/relationships/worksheet" Target="worksheets/sheet85.xml"/><Relationship Id="rId89" Type="http://schemas.openxmlformats.org/officeDocument/2006/relationships/worksheet" Target="worksheets/sheet87.xml"/><Relationship Id="rId80" Type="http://schemas.openxmlformats.org/officeDocument/2006/relationships/worksheet" Target="worksheets/sheet78.xml"/><Relationship Id="rId82" Type="http://schemas.openxmlformats.org/officeDocument/2006/relationships/worksheet" Target="worksheets/sheet80.xml"/><Relationship Id="rId81" Type="http://schemas.openxmlformats.org/officeDocument/2006/relationships/worksheet" Target="worksheets/sheet79.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73" Type="http://schemas.openxmlformats.org/officeDocument/2006/relationships/worksheet" Target="worksheets/sheet71.xml"/><Relationship Id="rId72" Type="http://schemas.openxmlformats.org/officeDocument/2006/relationships/worksheet" Target="worksheets/sheet70.xml"/><Relationship Id="rId75" Type="http://schemas.openxmlformats.org/officeDocument/2006/relationships/worksheet" Target="worksheets/sheet73.xml"/><Relationship Id="rId74" Type="http://schemas.openxmlformats.org/officeDocument/2006/relationships/worksheet" Target="worksheets/sheet72.xml"/><Relationship Id="rId77" Type="http://schemas.openxmlformats.org/officeDocument/2006/relationships/worksheet" Target="worksheets/sheet75.xml"/><Relationship Id="rId76" Type="http://schemas.openxmlformats.org/officeDocument/2006/relationships/worksheet" Target="worksheets/sheet74.xml"/><Relationship Id="rId79" Type="http://schemas.openxmlformats.org/officeDocument/2006/relationships/worksheet" Target="worksheets/sheet77.xml"/><Relationship Id="rId78" Type="http://schemas.openxmlformats.org/officeDocument/2006/relationships/worksheet" Target="worksheets/sheet76.xml"/><Relationship Id="rId71" Type="http://schemas.openxmlformats.org/officeDocument/2006/relationships/worksheet" Target="worksheets/sheet69.xml"/><Relationship Id="rId70" Type="http://schemas.openxmlformats.org/officeDocument/2006/relationships/worksheet" Target="worksheets/sheet68.xml"/><Relationship Id="rId62" Type="http://schemas.openxmlformats.org/officeDocument/2006/relationships/worksheet" Target="worksheets/sheet60.xml"/><Relationship Id="rId61" Type="http://schemas.openxmlformats.org/officeDocument/2006/relationships/worksheet" Target="worksheets/sheet59.xml"/><Relationship Id="rId64" Type="http://schemas.openxmlformats.org/officeDocument/2006/relationships/worksheet" Target="worksheets/sheet62.xml"/><Relationship Id="rId63" Type="http://schemas.openxmlformats.org/officeDocument/2006/relationships/worksheet" Target="worksheets/sheet61.xml"/><Relationship Id="rId66" Type="http://schemas.openxmlformats.org/officeDocument/2006/relationships/worksheet" Target="worksheets/sheet64.xml"/><Relationship Id="rId65" Type="http://schemas.openxmlformats.org/officeDocument/2006/relationships/worksheet" Target="worksheets/sheet63.xml"/><Relationship Id="rId68" Type="http://schemas.openxmlformats.org/officeDocument/2006/relationships/worksheet" Target="worksheets/sheet66.xml"/><Relationship Id="rId67" Type="http://schemas.openxmlformats.org/officeDocument/2006/relationships/worksheet" Target="worksheets/sheet65.xml"/><Relationship Id="rId60" Type="http://schemas.openxmlformats.org/officeDocument/2006/relationships/worksheet" Target="worksheets/sheet58.xml"/><Relationship Id="rId69" Type="http://schemas.openxmlformats.org/officeDocument/2006/relationships/worksheet" Target="worksheets/sheet67.xml"/><Relationship Id="rId51" Type="http://schemas.openxmlformats.org/officeDocument/2006/relationships/worksheet" Target="worksheets/sheet49.xml"/><Relationship Id="rId50" Type="http://schemas.openxmlformats.org/officeDocument/2006/relationships/worksheet" Target="worksheets/sheet48.xml"/><Relationship Id="rId53" Type="http://schemas.openxmlformats.org/officeDocument/2006/relationships/worksheet" Target="worksheets/sheet51.xml"/><Relationship Id="rId52" Type="http://schemas.openxmlformats.org/officeDocument/2006/relationships/worksheet" Target="worksheets/sheet50.xml"/><Relationship Id="rId55" Type="http://schemas.openxmlformats.org/officeDocument/2006/relationships/worksheet" Target="worksheets/sheet53.xml"/><Relationship Id="rId54" Type="http://schemas.openxmlformats.org/officeDocument/2006/relationships/worksheet" Target="worksheets/sheet52.xml"/><Relationship Id="rId57" Type="http://schemas.openxmlformats.org/officeDocument/2006/relationships/worksheet" Target="worksheets/sheet55.xml"/><Relationship Id="rId56" Type="http://schemas.openxmlformats.org/officeDocument/2006/relationships/worksheet" Target="worksheets/sheet54.xml"/><Relationship Id="rId59" Type="http://schemas.openxmlformats.org/officeDocument/2006/relationships/worksheet" Target="worksheets/sheet57.xml"/><Relationship Id="rId58" Type="http://schemas.openxmlformats.org/officeDocument/2006/relationships/worksheet" Target="worksheets/sheet5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000000"/>
                </a:solidFill>
                <a:latin typeface="Roboto"/>
              </a:defRPr>
            </a:pPr>
            <a:r>
              <a:rPr b="1" sz="3000">
                <a:solidFill>
                  <a:srgbClr val="000000"/>
                </a:solidFill>
                <a:latin typeface="Roboto"/>
              </a:rPr>
              <a:t>LEGS</a:t>
            </a:r>
          </a:p>
        </c:rich>
      </c:tx>
      <c:overlay val="0"/>
    </c:title>
    <c:plotArea>
      <c:layout>
        <c:manualLayout>
          <c:xMode val="edge"/>
          <c:yMode val="edge"/>
          <c:x val="0.0496"/>
          <c:y val="0.18156"/>
          <c:w val="0.9305599999999999"/>
          <c:h val="0.6282400000000001"/>
        </c:manualLayout>
      </c:layout>
      <c:barChart>
        <c:barDir val="col"/>
        <c:ser>
          <c:idx val="0"/>
          <c:order val="0"/>
          <c:tx>
            <c:strRef>
              <c:f>'WORK ANALYTICS'!$A$21</c:f>
            </c:strRef>
          </c:tx>
          <c:spPr>
            <a:solidFill>
              <a:srgbClr val="B6D7A8"/>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'WORK ANALYTICS'!$B$20:$M$20</c:f>
            </c:strRef>
          </c:cat>
          <c:val>
            <c:numRef>
              <c:f>'WORK ANALYTICS'!$B$21:$M$21</c:f>
              <c:numCache/>
            </c:numRef>
          </c:val>
        </c:ser>
        <c:ser>
          <c:idx val="1"/>
          <c:order val="1"/>
          <c:tx>
            <c:strRef>
              <c:f>'WORK ANALYTICS'!$A$22</c:f>
            </c:strRef>
          </c:tx>
          <c:cat>
            <c:strRef>
              <c:f>'WORK ANALYTICS'!$B$20:$M$20</c:f>
            </c:strRef>
          </c:cat>
          <c:val>
            <c:numRef>
              <c:f>'WORK ANALYTICS'!$B$22:$M$22</c:f>
              <c:numCache/>
            </c:numRef>
          </c:val>
        </c:ser>
        <c:ser>
          <c:idx val="2"/>
          <c:order val="2"/>
          <c:tx>
            <c:strRef>
              <c:f>'WORK ANALYTICS'!$A$23</c:f>
            </c:strRef>
          </c:tx>
          <c:cat>
            <c:strRef>
              <c:f>'WORK ANALYTICS'!$B$20:$M$20</c:f>
            </c:strRef>
          </c:cat>
          <c:val>
            <c:numRef>
              <c:f>'WORK ANALYTICS'!$B$23:$M$23</c:f>
              <c:numCache/>
            </c:numRef>
          </c:val>
        </c:ser>
        <c:axId val="114127787"/>
        <c:axId val="1588588595"/>
      </c:barChart>
      <c:catAx>
        <c:axId val="11412778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sz="2000">
                <a:solidFill>
                  <a:srgbClr val="222222"/>
                </a:solidFill>
                <a:latin typeface="Roboto"/>
              </a:defRPr>
            </a:pPr>
          </a:p>
        </c:txPr>
        <c:crossAx val="1588588595"/>
      </c:catAx>
      <c:valAx>
        <c:axId val="15885885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4127787"/>
      </c:valAx>
    </c:plotArea>
    <c:legend>
      <c:legendPos val="t"/>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000000"/>
                </a:solidFill>
                <a:latin typeface="Roboto"/>
              </a:defRPr>
            </a:pPr>
            <a:r>
              <a:rPr b="1" sz="3000">
                <a:solidFill>
                  <a:srgbClr val="000000"/>
                </a:solidFill>
                <a:latin typeface="Roboto"/>
              </a:rPr>
              <a:t>CHEST</a:t>
            </a:r>
          </a:p>
        </c:rich>
      </c:tx>
      <c:overlay val="0"/>
    </c:title>
    <c:plotArea>
      <c:layout>
        <c:manualLayout>
          <c:xMode val="edge"/>
          <c:yMode val="edge"/>
          <c:x val="0.0496"/>
          <c:y val="0.18156"/>
          <c:w val="0.9305599999999999"/>
          <c:h val="0.6282400000000001"/>
        </c:manualLayout>
      </c:layout>
      <c:barChart>
        <c:barDir val="col"/>
        <c:ser>
          <c:idx val="0"/>
          <c:order val="0"/>
          <c:tx>
            <c:strRef>
              <c:f>'WORK ANALYTICS'!$A$2</c:f>
            </c:strRef>
          </c:tx>
          <c:spPr>
            <a:solidFill>
              <a:srgbClr val="B6D7A8"/>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'WORK ANALYTICS'!$B$1:$M$1</c:f>
            </c:strRef>
          </c:cat>
          <c:val>
            <c:numRef>
              <c:f>'WORK ANALYTICS'!$B$2:$M$2</c:f>
              <c:numCache/>
            </c:numRef>
          </c:val>
        </c:ser>
        <c:ser>
          <c:idx val="1"/>
          <c:order val="1"/>
          <c:tx>
            <c:strRef>
              <c:f>'WORK ANALYTICS'!$A$3</c:f>
            </c:strRef>
          </c:tx>
          <c:spPr>
            <a:solidFill>
              <a:srgbClr val="9FC5E8"/>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'WORK ANALYTICS'!$B$1:$M$1</c:f>
            </c:strRef>
          </c:cat>
          <c:val>
            <c:numRef>
              <c:f>'WORK ANALYTICS'!$B$3:$M$3</c:f>
              <c:numCache/>
            </c:numRef>
          </c:val>
        </c:ser>
        <c:ser>
          <c:idx val="2"/>
          <c:order val="2"/>
          <c:tx>
            <c:strRef>
              <c:f>'WORK ANALYTICS'!$A$4</c:f>
            </c:strRef>
          </c:tx>
          <c:cat>
            <c:strRef>
              <c:f>'WORK ANALYTICS'!$B$1:$M$1</c:f>
            </c:strRef>
          </c:cat>
          <c:val>
            <c:numRef>
              <c:f>'WORK ANALYTICS'!$B$4:$M$4</c:f>
              <c:numCache/>
            </c:numRef>
          </c:val>
        </c:ser>
        <c:ser>
          <c:idx val="3"/>
          <c:order val="3"/>
          <c:tx>
            <c:strRef>
              <c:f>'WORK ANALYTICS'!$A$5</c:f>
            </c:strRef>
          </c:tx>
          <c:cat>
            <c:strRef>
              <c:f>'WORK ANALYTICS'!$B$1:$M$1</c:f>
            </c:strRef>
          </c:cat>
          <c:val>
            <c:numRef>
              <c:f>'WORK ANALYTICS'!$B$5:$M$5</c:f>
              <c:numCache/>
            </c:numRef>
          </c:val>
        </c:ser>
        <c:axId val="1054627929"/>
        <c:axId val="1653817360"/>
      </c:barChart>
      <c:catAx>
        <c:axId val="105462792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sz="2000">
                <a:solidFill>
                  <a:srgbClr val="222222"/>
                </a:solidFill>
                <a:latin typeface="Roboto"/>
              </a:defRPr>
            </a:pPr>
          </a:p>
        </c:txPr>
        <c:crossAx val="1653817360"/>
      </c:catAx>
      <c:valAx>
        <c:axId val="16538173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54627929"/>
      </c:valAx>
    </c:plotArea>
    <c:legend>
      <c:legendPos val="t"/>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000000"/>
                </a:solidFill>
                <a:latin typeface="Roboto"/>
              </a:defRPr>
            </a:pPr>
            <a:r>
              <a:rPr b="1" sz="3000">
                <a:solidFill>
                  <a:srgbClr val="000000"/>
                </a:solidFill>
                <a:latin typeface="Roboto"/>
              </a:rPr>
              <a:t>BACK</a:t>
            </a:r>
          </a:p>
        </c:rich>
      </c:tx>
      <c:overlay val="0"/>
    </c:title>
    <c:plotArea>
      <c:layout>
        <c:manualLayout>
          <c:xMode val="edge"/>
          <c:yMode val="edge"/>
          <c:x val="0.0496"/>
          <c:y val="0.18156"/>
          <c:w val="0.9305599999999999"/>
          <c:h val="0.6282400000000001"/>
        </c:manualLayout>
      </c:layout>
      <c:barChart>
        <c:barDir val="col"/>
        <c:ser>
          <c:idx val="0"/>
          <c:order val="0"/>
          <c:tx>
            <c:strRef>
              <c:f>'WORK ANALYTICS'!$A$11</c:f>
            </c:strRef>
          </c:tx>
          <c:spPr>
            <a:solidFill>
              <a:srgbClr val="674EA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'WORK ANALYTICS'!$B$10:$M$10</c:f>
            </c:strRef>
          </c:cat>
          <c:val>
            <c:numRef>
              <c:f>'WORK ANALYTICS'!$B$11:$M$11</c:f>
              <c:numCache/>
            </c:numRef>
          </c:val>
        </c:ser>
        <c:ser>
          <c:idx val="1"/>
          <c:order val="1"/>
          <c:tx>
            <c:strRef>
              <c:f>'WORK ANALYTICS'!$A$12</c:f>
            </c:strRef>
          </c:tx>
          <c:spPr>
            <a:solidFill>
              <a:srgbClr val="3D85C6"/>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'WORK ANALYTICS'!$B$10:$M$10</c:f>
            </c:strRef>
          </c:cat>
          <c:val>
            <c:numRef>
              <c:f>'WORK ANALYTICS'!$B$12:$M$12</c:f>
              <c:numCache/>
            </c:numRef>
          </c:val>
        </c:ser>
        <c:ser>
          <c:idx val="2"/>
          <c:order val="2"/>
          <c:tx>
            <c:strRef>
              <c:f>'WORK ANALYTICS'!$A$13</c:f>
            </c:strRef>
          </c:tx>
          <c:spPr>
            <a:solidFill>
              <a:srgbClr val="45818E"/>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'WORK ANALYTICS'!$B$10:$M$10</c:f>
            </c:strRef>
          </c:cat>
          <c:val>
            <c:numRef>
              <c:f>'WORK ANALYTICS'!$B$13:$M$13</c:f>
              <c:numCache/>
            </c:numRef>
          </c:val>
        </c:ser>
        <c:axId val="753834110"/>
        <c:axId val="97829037"/>
      </c:barChart>
      <c:catAx>
        <c:axId val="75383411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sz="2000">
                <a:solidFill>
                  <a:srgbClr val="222222"/>
                </a:solidFill>
                <a:latin typeface="Roboto"/>
              </a:defRPr>
            </a:pPr>
          </a:p>
        </c:txPr>
        <c:crossAx val="97829037"/>
      </c:catAx>
      <c:valAx>
        <c:axId val="978290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753834110"/>
      </c:valAx>
    </c:plotArea>
    <c:legend>
      <c:legendPos val="t"/>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000000"/>
                </a:solidFill>
                <a:latin typeface="Roboto"/>
              </a:defRPr>
            </a:pPr>
            <a:r>
              <a:rPr b="1" sz="3000">
                <a:solidFill>
                  <a:srgbClr val="000000"/>
                </a:solidFill>
                <a:latin typeface="Roboto"/>
              </a:rPr>
              <a:t>SHOULDERS</a:t>
            </a:r>
          </a:p>
        </c:rich>
      </c:tx>
      <c:overlay val="0"/>
    </c:title>
    <c:plotArea>
      <c:layout>
        <c:manualLayout>
          <c:xMode val="edge"/>
          <c:yMode val="edge"/>
          <c:x val="0.0496"/>
          <c:y val="0.18156"/>
          <c:w val="0.9305599999999999"/>
          <c:h val="0.6282400000000001"/>
        </c:manualLayout>
      </c:layout>
      <c:barChart>
        <c:barDir val="col"/>
        <c:ser>
          <c:idx val="0"/>
          <c:order val="0"/>
          <c:tx>
            <c:strRef>
              <c:f>'WORK ANALYTICS'!$A$31</c:f>
            </c:strRef>
          </c:tx>
          <c:spPr>
            <a:solidFill>
              <a:srgbClr val="674EA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'WORK ANALYTICS'!$B$30:$M$30</c:f>
            </c:strRef>
          </c:cat>
          <c:val>
            <c:numRef>
              <c:f>'WORK ANALYTICS'!$B$31:$M$31</c:f>
              <c:numCache/>
            </c:numRef>
          </c:val>
        </c:ser>
        <c:ser>
          <c:idx val="1"/>
          <c:order val="1"/>
          <c:tx>
            <c:strRef>
              <c:f>'WORK ANALYTICS'!$A$32</c:f>
            </c:strRef>
          </c:tx>
          <c:spPr>
            <a:solidFill>
              <a:srgbClr val="3D85C6"/>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'WORK ANALYTICS'!$B$30:$M$30</c:f>
            </c:strRef>
          </c:cat>
          <c:val>
            <c:numRef>
              <c:f>'WORK ANALYTICS'!$B$32:$M$32</c:f>
              <c:numCache/>
            </c:numRef>
          </c:val>
        </c:ser>
        <c:axId val="956037549"/>
        <c:axId val="766482720"/>
      </c:barChart>
      <c:catAx>
        <c:axId val="95603754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sz="2000">
                <a:solidFill>
                  <a:srgbClr val="222222"/>
                </a:solidFill>
                <a:latin typeface="Roboto"/>
              </a:defRPr>
            </a:pPr>
          </a:p>
        </c:txPr>
        <c:crossAx val="766482720"/>
      </c:catAx>
      <c:valAx>
        <c:axId val="7664827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956037549"/>
      </c:valAx>
    </c:plotArea>
    <c:legend>
      <c:legendPos val="t"/>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000000"/>
                </a:solidFill>
                <a:latin typeface="Roboto"/>
              </a:defRPr>
            </a:pPr>
            <a:r>
              <a:rPr b="1" sz="3000">
                <a:solidFill>
                  <a:srgbClr val="000000"/>
                </a:solidFill>
                <a:latin typeface="Roboto"/>
              </a:rPr>
              <a:t>BICEPS</a:t>
            </a:r>
          </a:p>
        </c:rich>
      </c:tx>
      <c:overlay val="0"/>
    </c:title>
    <c:plotArea>
      <c:layout>
        <c:manualLayout>
          <c:xMode val="edge"/>
          <c:yMode val="edge"/>
          <c:x val="0.0496"/>
          <c:y val="0.18156"/>
          <c:w val="0.9305599999999999"/>
          <c:h val="0.6282400000000001"/>
        </c:manualLayout>
      </c:layout>
      <c:barChart>
        <c:barDir val="col"/>
        <c:ser>
          <c:idx val="0"/>
          <c:order val="0"/>
          <c:tx>
            <c:strRef>
              <c:f>'WORK ANALYTICS'!$A$36</c:f>
            </c:strRef>
          </c:tx>
          <c:spPr>
            <a:solidFill>
              <a:srgbClr val="B6D7A8"/>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'WORK ANALYTICS'!$B$35:$BE$35</c:f>
            </c:strRef>
          </c:cat>
          <c:val>
            <c:numRef>
              <c:f>'WORK ANALYTICS'!$B$36:$BE$36</c:f>
              <c:numCache/>
            </c:numRef>
          </c:val>
        </c:ser>
        <c:ser>
          <c:idx val="1"/>
          <c:order val="1"/>
          <c:tx>
            <c:strRef>
              <c:f>'WORK ANALYTICS'!$A$37</c:f>
            </c:strRef>
          </c:tx>
          <c:cat>
            <c:strRef>
              <c:f>'WORK ANALYTICS'!$B$35:$BE$35</c:f>
            </c:strRef>
          </c:cat>
          <c:val>
            <c:numRef>
              <c:f>'WORK ANALYTICS'!$B$37:$BE$37</c:f>
              <c:numCache/>
            </c:numRef>
          </c:val>
        </c:ser>
        <c:ser>
          <c:idx val="2"/>
          <c:order val="2"/>
          <c:tx>
            <c:strRef>
              <c:f>'WORK ANALYTICS'!$A$38</c:f>
            </c:strRef>
          </c:tx>
          <c:cat>
            <c:strRef>
              <c:f>'WORK ANALYTICS'!$B$35:$BE$35</c:f>
            </c:strRef>
          </c:cat>
          <c:val>
            <c:numRef>
              <c:f>'WORK ANALYTICS'!$B$38:$BE$38</c:f>
              <c:numCache/>
            </c:numRef>
          </c:val>
        </c:ser>
        <c:axId val="1716235141"/>
        <c:axId val="814206893"/>
      </c:barChart>
      <c:catAx>
        <c:axId val="171623514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sz="2000">
                <a:solidFill>
                  <a:srgbClr val="222222"/>
                </a:solidFill>
                <a:latin typeface="Roboto"/>
              </a:defRPr>
            </a:pPr>
          </a:p>
        </c:txPr>
        <c:crossAx val="814206893"/>
      </c:catAx>
      <c:valAx>
        <c:axId val="8142068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716235141"/>
      </c:valAx>
    </c:plotArea>
    <c:legend>
      <c:legendPos val="t"/>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000000"/>
                </a:solidFill>
                <a:latin typeface="Roboto"/>
              </a:defRPr>
            </a:pPr>
            <a:r>
              <a:rPr b="1" sz="3000">
                <a:solidFill>
                  <a:srgbClr val="000000"/>
                </a:solidFill>
                <a:latin typeface="Roboto"/>
              </a:rPr>
              <a:t>TRICEPS</a:t>
            </a:r>
          </a:p>
        </c:rich>
      </c:tx>
      <c:overlay val="0"/>
    </c:title>
    <c:plotArea>
      <c:layout>
        <c:manualLayout>
          <c:xMode val="edge"/>
          <c:yMode val="edge"/>
          <c:x val="0.0496"/>
          <c:y val="0.18156"/>
          <c:w val="0.9305599999999999"/>
          <c:h val="0.6282400000000001"/>
        </c:manualLayout>
      </c:layout>
      <c:barChart>
        <c:barDir val="col"/>
        <c:ser>
          <c:idx val="0"/>
          <c:order val="0"/>
          <c:tx>
            <c:strRef>
              <c:f>'WORK ANALYTICS'!$A$43</c:f>
            </c:strRef>
          </c:tx>
          <c:spPr>
            <a:solidFill>
              <a:srgbClr val="674EA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'WORK ANALYTICS'!$B$42:$BE$42</c:f>
            </c:strRef>
          </c:cat>
          <c:val>
            <c:numRef>
              <c:f>'WORK ANALYTICS'!$B$43:$BE$43</c:f>
              <c:numCache/>
            </c:numRef>
          </c:val>
        </c:ser>
        <c:ser>
          <c:idx val="1"/>
          <c:order val="1"/>
          <c:tx>
            <c:strRef>
              <c:f>'WORK ANALYTICS'!$A$44</c:f>
            </c:strRef>
          </c:tx>
          <c:cat>
            <c:strRef>
              <c:f>'WORK ANALYTICS'!$B$42:$BE$42</c:f>
            </c:strRef>
          </c:cat>
          <c:val>
            <c:numRef>
              <c:f>'WORK ANALYTICS'!$B$44:$BE$44</c:f>
              <c:numCache/>
            </c:numRef>
          </c:val>
        </c:ser>
        <c:axId val="437053591"/>
        <c:axId val="1497890341"/>
      </c:barChart>
      <c:catAx>
        <c:axId val="43705359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sz="2000">
                <a:solidFill>
                  <a:srgbClr val="222222"/>
                </a:solidFill>
                <a:latin typeface="Roboto"/>
              </a:defRPr>
            </a:pPr>
          </a:p>
        </c:txPr>
        <c:crossAx val="1497890341"/>
      </c:catAx>
      <c:valAx>
        <c:axId val="14978903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37053591"/>
      </c:valAx>
    </c:plotArea>
    <c:legend>
      <c:legendPos val="t"/>
      <c:overlay val="0"/>
      <c:txPr>
        <a:bodyPr/>
        <a:lstStyle/>
        <a:p>
          <a:pPr lvl="0">
            <a:defRPr b="0">
              <a:solidFill>
                <a:srgbClr val="000000"/>
              </a:solidFill>
              <a:latin typeface="Roboto"/>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image" Target="../media/Chart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g"/></Relationships>
</file>

<file path=xl/drawings/_rels/drawing13.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9.jpg"/></Relationships>
</file>

<file path=xl/drawings/_rels/drawing14.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9.jpg"/></Relationships>
</file>

<file path=xl/drawings/_rels/drawing15.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2.jpg"/></Relationships>
</file>

<file path=xl/drawings/_rels/drawing16.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2.jpg"/></Relationships>
</file>

<file path=xl/drawings/_rels/drawing17.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9.jpg"/></Relationships>
</file>

<file path=xl/drawings/_rels/drawing18.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2.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9.jpg"/><Relationship Id="rId2" Type="http://schemas.openxmlformats.org/officeDocument/2006/relationships/image" Target="../media/image2.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35.xml.rels><?xml version="1.0" encoding="UTF-8" standalone="yes"?><Relationships xmlns="http://schemas.openxmlformats.org/package/2006/relationships"><Relationship Id="rId1" Type="http://schemas.openxmlformats.org/officeDocument/2006/relationships/image" Target="../media/image2.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4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47.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49.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5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5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55.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57.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59.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6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62.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9.jpg"/></Relationships>
</file>

<file path=xl/drawings/_rels/drawing63.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2.jpg"/></Relationships>
</file>

<file path=xl/drawings/_rels/drawing64.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9.jpg"/></Relationships>
</file>

<file path=xl/drawings/_rels/drawing65.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2.jpg"/></Relationships>
</file>

<file path=xl/drawings/_rels/drawing66.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2.jpg"/></Relationships>
</file>

<file path=xl/drawings/_rels/drawing67.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2.jpg"/></Relationships>
</file>

<file path=xl/drawings/_rels/drawing69.xml.rels><?xml version="1.0" encoding="UTF-8" standalone="yes"?><Relationships xmlns="http://schemas.openxmlformats.org/package/2006/relationships"><Relationship Id="rId1" Type="http://schemas.openxmlformats.org/officeDocument/2006/relationships/image" Target="../media/image19.jpg"/><Relationship Id="rId2" Type="http://schemas.openxmlformats.org/officeDocument/2006/relationships/image" Target="../media/image2.jpg"/></Relationships>
</file>

<file path=xl/drawings/_rels/drawing7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7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7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77.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79.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8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83.xml.rels><?xml version="1.0" encoding="UTF-8" standalone="yes"?><Relationships xmlns="http://schemas.openxmlformats.org/package/2006/relationships"><Relationship Id="rId1" Type="http://schemas.openxmlformats.org/officeDocument/2006/relationships/image" Target="../media/image2.jpg"/></Relationships>
</file>

<file path=xl/drawings/_rels/drawing85.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86.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89.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9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9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95.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97.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99.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10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10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104.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107.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0</xdr:row>
      <xdr:rowOff>0</xdr:rowOff>
    </xdr:from>
    <xdr:ext cx="2914650" cy="155257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157</xdr:row>
      <xdr:rowOff>200025</xdr:rowOff>
    </xdr:from>
    <xdr:ext cx="1885950" cy="3505200"/>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0</xdr:row>
      <xdr:rowOff>0</xdr:rowOff>
    </xdr:from>
    <xdr:ext cx="2933700" cy="156210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143</xdr:row>
      <xdr:rowOff>190500</xdr:rowOff>
    </xdr:from>
    <xdr:ext cx="1885950" cy="3505200"/>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63</xdr:row>
      <xdr:rowOff>180975</xdr:rowOff>
    </xdr:from>
    <xdr:ext cx="9601200" cy="33909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21</xdr:row>
      <xdr:rowOff>0</xdr:rowOff>
    </xdr:from>
    <xdr:ext cx="9601200" cy="33813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41</xdr:row>
      <xdr:rowOff>190500</xdr:rowOff>
    </xdr:from>
    <xdr:ext cx="9601200" cy="33813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85</xdr:row>
      <xdr:rowOff>0</xdr:rowOff>
    </xdr:from>
    <xdr:ext cx="9601200" cy="33909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106</xdr:row>
      <xdr:rowOff>0</xdr:rowOff>
    </xdr:from>
    <xdr:ext cx="9601200" cy="33909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127</xdr:row>
      <xdr:rowOff>0</xdr:rowOff>
    </xdr:from>
    <xdr:ext cx="9601200" cy="33813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0</xdr:row>
      <xdr:rowOff>0</xdr:rowOff>
    </xdr:from>
    <xdr:ext cx="9582150" cy="3171825"/>
    <xdr:pic>
      <xdr:nvPicPr>
        <xdr:cNvPr id="1100880763"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390525</xdr:colOff>
      <xdr:row>0</xdr:row>
      <xdr:rowOff>0</xdr:rowOff>
    </xdr:from>
    <xdr:ext cx="2933700" cy="156210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628650</xdr:colOff>
      <xdr:row>0</xdr:row>
      <xdr:rowOff>0</xdr:rowOff>
    </xdr:from>
    <xdr:ext cx="2933700" cy="1571625"/>
    <xdr:pic>
      <xdr:nvPicPr>
        <xdr:cNvPr id="0" name="image4.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057900" cy="1562100"/>
    <xdr:pic>
      <xdr:nvPicPr>
        <xdr:cNvPr id="0" name="image6.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166</xdr:row>
      <xdr:rowOff>180975</xdr:rowOff>
    </xdr:from>
    <xdr:ext cx="1971675" cy="3000375"/>
    <xdr:pic>
      <xdr:nvPicPr>
        <xdr:cNvPr id="0" name="image9.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91200" cy="1543050"/>
    <xdr:pic>
      <xdr:nvPicPr>
        <xdr:cNvPr id="0" name="image7.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158</xdr:row>
      <xdr:rowOff>180975</xdr:rowOff>
    </xdr:from>
    <xdr:ext cx="1905000" cy="3028950"/>
    <xdr:pic>
      <xdr:nvPicPr>
        <xdr:cNvPr id="0" name="image1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158</xdr:row>
      <xdr:rowOff>190500</xdr:rowOff>
    </xdr:from>
    <xdr:ext cx="1905000" cy="2990850"/>
    <xdr:pic>
      <xdr:nvPicPr>
        <xdr:cNvPr id="0" name="image10.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457200</xdr:colOff>
      <xdr:row>0</xdr:row>
      <xdr:rowOff>0</xdr:rowOff>
    </xdr:from>
    <xdr:ext cx="2924175" cy="1562100"/>
    <xdr:pic>
      <xdr:nvPicPr>
        <xdr:cNvPr id="0" name="image5.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158</xdr:row>
      <xdr:rowOff>190500</xdr:rowOff>
    </xdr:from>
    <xdr:ext cx="1905000" cy="2990850"/>
    <xdr:pic>
      <xdr:nvPicPr>
        <xdr:cNvPr id="0" name="image10.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457200</xdr:colOff>
      <xdr:row>0</xdr:row>
      <xdr:rowOff>0</xdr:rowOff>
    </xdr:from>
    <xdr:ext cx="2924175" cy="1562100"/>
    <xdr:pic>
      <xdr:nvPicPr>
        <xdr:cNvPr id="0" name="image5.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53100" cy="1581150"/>
    <xdr:pic>
      <xdr:nvPicPr>
        <xdr:cNvPr id="0" name="image8.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156</xdr:row>
      <xdr:rowOff>190500</xdr:rowOff>
    </xdr:from>
    <xdr:ext cx="1905000" cy="3000375"/>
    <xdr:pic>
      <xdr:nvPicPr>
        <xdr:cNvPr id="0" name="image13.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156</xdr:row>
      <xdr:rowOff>190500</xdr:rowOff>
    </xdr:from>
    <xdr:ext cx="1895475" cy="3000375"/>
    <xdr:pic>
      <xdr:nvPicPr>
        <xdr:cNvPr id="0" name="image1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409575</xdr:colOff>
      <xdr:row>0</xdr:row>
      <xdr:rowOff>0</xdr:rowOff>
    </xdr:from>
    <xdr:ext cx="2933700" cy="1571625"/>
    <xdr:pic>
      <xdr:nvPicPr>
        <xdr:cNvPr id="0" name="image14.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151</xdr:row>
      <xdr:rowOff>190500</xdr:rowOff>
    </xdr:from>
    <xdr:ext cx="1905000" cy="2971800"/>
    <xdr:pic>
      <xdr:nvPicPr>
        <xdr:cNvPr id="0" name="image19.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419100</xdr:colOff>
      <xdr:row>0</xdr:row>
      <xdr:rowOff>0</xdr:rowOff>
    </xdr:from>
    <xdr:ext cx="2914650" cy="1562100"/>
    <xdr:pic>
      <xdr:nvPicPr>
        <xdr:cNvPr id="0" name="image16.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158</xdr:row>
      <xdr:rowOff>190500</xdr:rowOff>
    </xdr:from>
    <xdr:ext cx="1857375" cy="3000375"/>
    <xdr:pic>
      <xdr:nvPicPr>
        <xdr:cNvPr id="0" name="image17.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428625</xdr:colOff>
      <xdr:row>0</xdr:row>
      <xdr:rowOff>0</xdr:rowOff>
    </xdr:from>
    <xdr:ext cx="2905125" cy="1552575"/>
    <xdr:pic>
      <xdr:nvPicPr>
        <xdr:cNvPr id="0" name="image15.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168</xdr:row>
      <xdr:rowOff>190500</xdr:rowOff>
    </xdr:from>
    <xdr:ext cx="1895475" cy="2971800"/>
    <xdr:pic>
      <xdr:nvPicPr>
        <xdr:cNvPr id="0" name="image2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438150</xdr:colOff>
      <xdr:row>0</xdr:row>
      <xdr:rowOff>0</xdr:rowOff>
    </xdr:from>
    <xdr:ext cx="2924175" cy="1562100"/>
    <xdr:pic>
      <xdr:nvPicPr>
        <xdr:cNvPr id="0" name="image18.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139</xdr:row>
      <xdr:rowOff>190500</xdr:rowOff>
    </xdr:from>
    <xdr:ext cx="1876425" cy="2990850"/>
    <xdr:pic>
      <xdr:nvPicPr>
        <xdr:cNvPr id="0" name="image2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419100</xdr:colOff>
      <xdr:row>0</xdr:row>
      <xdr:rowOff>0</xdr:rowOff>
    </xdr:from>
    <xdr:ext cx="2914650" cy="1552575"/>
    <xdr:pic>
      <xdr:nvPicPr>
        <xdr:cNvPr id="0" name="image20.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144</xdr:row>
      <xdr:rowOff>190500</xdr:rowOff>
    </xdr:from>
    <xdr:ext cx="1876425" cy="3000375"/>
    <xdr:pic>
      <xdr:nvPicPr>
        <xdr:cNvPr id="0" name="image2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381000</xdr:colOff>
      <xdr:row>0</xdr:row>
      <xdr:rowOff>0</xdr:rowOff>
    </xdr:from>
    <xdr:ext cx="2943225" cy="1571625"/>
    <xdr:pic>
      <xdr:nvPicPr>
        <xdr:cNvPr id="0" name="image26.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159</xdr:row>
      <xdr:rowOff>180975</xdr:rowOff>
    </xdr:from>
    <xdr:ext cx="1895475" cy="3009900"/>
    <xdr:pic>
      <xdr:nvPicPr>
        <xdr:cNvPr id="0" name="image2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314325</xdr:colOff>
      <xdr:row>0</xdr:row>
      <xdr:rowOff>0</xdr:rowOff>
    </xdr:from>
    <xdr:ext cx="2905125" cy="1552575"/>
    <xdr:pic>
      <xdr:nvPicPr>
        <xdr:cNvPr id="0" name="image28.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158</xdr:row>
      <xdr:rowOff>200025</xdr:rowOff>
    </xdr:from>
    <xdr:ext cx="1885950" cy="2952750"/>
    <xdr:pic>
      <xdr:nvPicPr>
        <xdr:cNvPr id="0" name="image24.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371475</xdr:colOff>
      <xdr:row>0</xdr:row>
      <xdr:rowOff>0</xdr:rowOff>
    </xdr:from>
    <xdr:ext cx="2933700" cy="1571625"/>
    <xdr:pic>
      <xdr:nvPicPr>
        <xdr:cNvPr id="0" name="image27.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276225</xdr:colOff>
      <xdr:row>0</xdr:row>
      <xdr:rowOff>0</xdr:rowOff>
    </xdr:from>
    <xdr:ext cx="2924175" cy="1562100"/>
    <xdr:pic>
      <xdr:nvPicPr>
        <xdr:cNvPr id="0" name="image29.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161</xdr:row>
      <xdr:rowOff>190500</xdr:rowOff>
    </xdr:from>
    <xdr:ext cx="1895475" cy="2971800"/>
    <xdr:pic>
      <xdr:nvPicPr>
        <xdr:cNvPr id="0" name="image3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285750</xdr:colOff>
      <xdr:row>0</xdr:row>
      <xdr:rowOff>0</xdr:rowOff>
    </xdr:from>
    <xdr:ext cx="2933700" cy="1571625"/>
    <xdr:pic>
      <xdr:nvPicPr>
        <xdr:cNvPr id="0" name="image30.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157</xdr:row>
      <xdr:rowOff>180975</xdr:rowOff>
    </xdr:from>
    <xdr:ext cx="1885950" cy="3019425"/>
    <xdr:pic>
      <xdr:nvPicPr>
        <xdr:cNvPr id="0" name="image3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304800</xdr:colOff>
      <xdr:row>0</xdr:row>
      <xdr:rowOff>0</xdr:rowOff>
    </xdr:from>
    <xdr:ext cx="2933700" cy="1562100"/>
    <xdr:pic>
      <xdr:nvPicPr>
        <xdr:cNvPr id="0" name="image3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165</xdr:row>
      <xdr:rowOff>190500</xdr:rowOff>
    </xdr:from>
    <xdr:ext cx="1895475" cy="2990850"/>
    <xdr:pic>
      <xdr:nvPicPr>
        <xdr:cNvPr id="0" name="image34.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266700</xdr:colOff>
      <xdr:row>0</xdr:row>
      <xdr:rowOff>0</xdr:rowOff>
    </xdr:from>
    <xdr:ext cx="2933700" cy="1571625"/>
    <xdr:pic>
      <xdr:nvPicPr>
        <xdr:cNvPr id="0" name="image35.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0</xdr:row>
      <xdr:rowOff>0</xdr:rowOff>
    </xdr:from>
    <xdr:ext cx="2924175" cy="1562100"/>
    <xdr:pic>
      <xdr:nvPicPr>
        <xdr:cNvPr id="0" name="image36.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151</xdr:row>
      <xdr:rowOff>190500</xdr:rowOff>
    </xdr:from>
    <xdr:ext cx="1895475" cy="2990850"/>
    <xdr:pic>
      <xdr:nvPicPr>
        <xdr:cNvPr id="0" name="image37.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0</xdr:row>
      <xdr:rowOff>0</xdr:rowOff>
    </xdr:from>
    <xdr:ext cx="2933700" cy="1562100"/>
    <xdr:pic>
      <xdr:nvPicPr>
        <xdr:cNvPr id="0" name="image4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159</xdr:row>
      <xdr:rowOff>200025</xdr:rowOff>
    </xdr:from>
    <xdr:ext cx="1895475" cy="2962275"/>
    <xdr:pic>
      <xdr:nvPicPr>
        <xdr:cNvPr id="0" name="image39.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0</xdr:rowOff>
    </xdr:from>
    <xdr:ext cx="2914650" cy="1562100"/>
    <xdr:pic>
      <xdr:nvPicPr>
        <xdr:cNvPr id="0" name="image40.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142</xdr:row>
      <xdr:rowOff>180975</xdr:rowOff>
    </xdr:from>
    <xdr:ext cx="1895475" cy="2990850"/>
    <xdr:pic>
      <xdr:nvPicPr>
        <xdr:cNvPr id="0" name="image38.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276225</xdr:colOff>
      <xdr:row>0</xdr:row>
      <xdr:rowOff>0</xdr:rowOff>
    </xdr:from>
    <xdr:ext cx="2943225" cy="1571625"/>
    <xdr:pic>
      <xdr:nvPicPr>
        <xdr:cNvPr id="0" name="image44.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145</xdr:row>
      <xdr:rowOff>180975</xdr:rowOff>
    </xdr:from>
    <xdr:ext cx="1895475" cy="2990850"/>
    <xdr:pic>
      <xdr:nvPicPr>
        <xdr:cNvPr id="0" name="image4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0</xdr:row>
      <xdr:rowOff>0</xdr:rowOff>
    </xdr:from>
    <xdr:ext cx="2924175" cy="1562100"/>
    <xdr:pic>
      <xdr:nvPicPr>
        <xdr:cNvPr id="0" name="image4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144</xdr:row>
      <xdr:rowOff>180975</xdr:rowOff>
    </xdr:from>
    <xdr:ext cx="1885950" cy="3000375"/>
    <xdr:pic>
      <xdr:nvPicPr>
        <xdr:cNvPr id="0" name="image47.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0</xdr:row>
      <xdr:rowOff>0</xdr:rowOff>
    </xdr:from>
    <xdr:ext cx="2943225" cy="1571625"/>
    <xdr:pic>
      <xdr:nvPicPr>
        <xdr:cNvPr id="0" name="image46.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163</xdr:row>
      <xdr:rowOff>171450</xdr:rowOff>
    </xdr:from>
    <xdr:ext cx="1895475" cy="3019425"/>
    <xdr:pic>
      <xdr:nvPicPr>
        <xdr:cNvPr id="0" name="image43.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247650</xdr:colOff>
      <xdr:row>0</xdr:row>
      <xdr:rowOff>0</xdr:rowOff>
    </xdr:from>
    <xdr:ext cx="2924175" cy="1562100"/>
    <xdr:pic>
      <xdr:nvPicPr>
        <xdr:cNvPr id="0" name="image49.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152</xdr:row>
      <xdr:rowOff>200025</xdr:rowOff>
    </xdr:from>
    <xdr:ext cx="1895475" cy="2962275"/>
    <xdr:pic>
      <xdr:nvPicPr>
        <xdr:cNvPr id="0" name="image48.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276225</xdr:colOff>
      <xdr:row>0</xdr:row>
      <xdr:rowOff>0</xdr:rowOff>
    </xdr:from>
    <xdr:ext cx="2914650" cy="1562100"/>
    <xdr:pic>
      <xdr:nvPicPr>
        <xdr:cNvPr id="0" name="image5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155</xdr:row>
      <xdr:rowOff>190500</xdr:rowOff>
    </xdr:from>
    <xdr:ext cx="1905000" cy="2981325"/>
    <xdr:pic>
      <xdr:nvPicPr>
        <xdr:cNvPr id="0" name="image50.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0</xdr:row>
      <xdr:rowOff>0</xdr:rowOff>
    </xdr:from>
    <xdr:ext cx="2924175" cy="1562100"/>
    <xdr:pic>
      <xdr:nvPicPr>
        <xdr:cNvPr id="0" name="image5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142</xdr:row>
      <xdr:rowOff>200025</xdr:rowOff>
    </xdr:from>
    <xdr:ext cx="1895475" cy="2971800"/>
    <xdr:pic>
      <xdr:nvPicPr>
        <xdr:cNvPr id="0" name="image52.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0</xdr:row>
      <xdr:rowOff>0</xdr:rowOff>
    </xdr:from>
    <xdr:ext cx="2943225" cy="1571625"/>
    <xdr:pic>
      <xdr:nvPicPr>
        <xdr:cNvPr id="0" name="image5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161</xdr:row>
      <xdr:rowOff>180975</xdr:rowOff>
    </xdr:from>
    <xdr:ext cx="1876425" cy="3514725"/>
    <xdr:pic>
      <xdr:nvPicPr>
        <xdr:cNvPr id="0" name="image54.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057900" cy="1562100"/>
    <xdr:pic>
      <xdr:nvPicPr>
        <xdr:cNvPr id="0" name="image6.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166</xdr:row>
      <xdr:rowOff>180975</xdr:rowOff>
    </xdr:from>
    <xdr:ext cx="1971675" cy="3000375"/>
    <xdr:pic>
      <xdr:nvPicPr>
        <xdr:cNvPr id="0" name="image9.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166</xdr:row>
      <xdr:rowOff>180975</xdr:rowOff>
    </xdr:from>
    <xdr:ext cx="1962150" cy="3019425"/>
    <xdr:pic>
      <xdr:nvPicPr>
        <xdr:cNvPr id="0" name="image57.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628650</xdr:colOff>
      <xdr:row>0</xdr:row>
      <xdr:rowOff>0</xdr:rowOff>
    </xdr:from>
    <xdr:ext cx="2933700" cy="1571625"/>
    <xdr:pic>
      <xdr:nvPicPr>
        <xdr:cNvPr id="0" name="image4.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91200" cy="1543050"/>
    <xdr:pic>
      <xdr:nvPicPr>
        <xdr:cNvPr id="0" name="image7.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158</xdr:row>
      <xdr:rowOff>190500</xdr:rowOff>
    </xdr:from>
    <xdr:ext cx="1905000" cy="3000375"/>
    <xdr:pic>
      <xdr:nvPicPr>
        <xdr:cNvPr id="0" name="image1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158</xdr:row>
      <xdr:rowOff>161925</xdr:rowOff>
    </xdr:from>
    <xdr:ext cx="1885950" cy="3009900"/>
    <xdr:pic>
      <xdr:nvPicPr>
        <xdr:cNvPr id="0" name="image10.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457200</xdr:colOff>
      <xdr:row>0</xdr:row>
      <xdr:rowOff>0</xdr:rowOff>
    </xdr:from>
    <xdr:ext cx="2924175" cy="1562100"/>
    <xdr:pic>
      <xdr:nvPicPr>
        <xdr:cNvPr id="0" name="image5.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156</xdr:row>
      <xdr:rowOff>190500</xdr:rowOff>
    </xdr:from>
    <xdr:ext cx="1905000" cy="3000375"/>
    <xdr:pic>
      <xdr:nvPicPr>
        <xdr:cNvPr id="0" name="image1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419100</xdr:colOff>
      <xdr:row>0</xdr:row>
      <xdr:rowOff>0</xdr:rowOff>
    </xdr:from>
    <xdr:ext cx="2924175" cy="1562100"/>
    <xdr:pic>
      <xdr:nvPicPr>
        <xdr:cNvPr id="0" name="image56.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156</xdr:row>
      <xdr:rowOff>190500</xdr:rowOff>
    </xdr:from>
    <xdr:ext cx="1895475" cy="3000375"/>
    <xdr:pic>
      <xdr:nvPicPr>
        <xdr:cNvPr id="0" name="image1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409575</xdr:colOff>
      <xdr:row>0</xdr:row>
      <xdr:rowOff>0</xdr:rowOff>
    </xdr:from>
    <xdr:ext cx="2933700" cy="1571625"/>
    <xdr:pic>
      <xdr:nvPicPr>
        <xdr:cNvPr id="0" name="image14.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151</xdr:row>
      <xdr:rowOff>190500</xdr:rowOff>
    </xdr:from>
    <xdr:ext cx="1905000" cy="2971800"/>
    <xdr:pic>
      <xdr:nvPicPr>
        <xdr:cNvPr id="0" name="image19.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419100</xdr:colOff>
      <xdr:row>0</xdr:row>
      <xdr:rowOff>0</xdr:rowOff>
    </xdr:from>
    <xdr:ext cx="2914650" cy="1562100"/>
    <xdr:pic>
      <xdr:nvPicPr>
        <xdr:cNvPr id="0" name="image16.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153</xdr:row>
      <xdr:rowOff>190500</xdr:rowOff>
    </xdr:from>
    <xdr:ext cx="1857375" cy="3000375"/>
    <xdr:pic>
      <xdr:nvPicPr>
        <xdr:cNvPr id="0" name="image17.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428625</xdr:colOff>
      <xdr:row>0</xdr:row>
      <xdr:rowOff>0</xdr:rowOff>
    </xdr:from>
    <xdr:ext cx="2905125" cy="1552575"/>
    <xdr:pic>
      <xdr:nvPicPr>
        <xdr:cNvPr id="0" name="image15.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168</xdr:row>
      <xdr:rowOff>190500</xdr:rowOff>
    </xdr:from>
    <xdr:ext cx="1895475" cy="2971800"/>
    <xdr:pic>
      <xdr:nvPicPr>
        <xdr:cNvPr id="0" name="image2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438150</xdr:colOff>
      <xdr:row>0</xdr:row>
      <xdr:rowOff>0</xdr:rowOff>
    </xdr:from>
    <xdr:ext cx="2924175" cy="1562100"/>
    <xdr:pic>
      <xdr:nvPicPr>
        <xdr:cNvPr id="0" name="image18.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139</xdr:row>
      <xdr:rowOff>190500</xdr:rowOff>
    </xdr:from>
    <xdr:ext cx="1876425" cy="2990850"/>
    <xdr:pic>
      <xdr:nvPicPr>
        <xdr:cNvPr id="0" name="image2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419100</xdr:colOff>
      <xdr:row>0</xdr:row>
      <xdr:rowOff>0</xdr:rowOff>
    </xdr:from>
    <xdr:ext cx="2914650" cy="1552575"/>
    <xdr:pic>
      <xdr:nvPicPr>
        <xdr:cNvPr id="0" name="image20.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144</xdr:row>
      <xdr:rowOff>190500</xdr:rowOff>
    </xdr:from>
    <xdr:ext cx="1876425" cy="3000375"/>
    <xdr:pic>
      <xdr:nvPicPr>
        <xdr:cNvPr id="0" name="image2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381000</xdr:colOff>
      <xdr:row>0</xdr:row>
      <xdr:rowOff>0</xdr:rowOff>
    </xdr:from>
    <xdr:ext cx="2943225" cy="1571625"/>
    <xdr:pic>
      <xdr:nvPicPr>
        <xdr:cNvPr id="0" name="image26.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159</xdr:row>
      <xdr:rowOff>180975</xdr:rowOff>
    </xdr:from>
    <xdr:ext cx="1895475" cy="3009900"/>
    <xdr:pic>
      <xdr:nvPicPr>
        <xdr:cNvPr id="0" name="image2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304800</xdr:colOff>
      <xdr:row>0</xdr:row>
      <xdr:rowOff>28575</xdr:rowOff>
    </xdr:from>
    <xdr:ext cx="2905125" cy="1552575"/>
    <xdr:pic>
      <xdr:nvPicPr>
        <xdr:cNvPr id="0" name="image28.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158</xdr:row>
      <xdr:rowOff>200025</xdr:rowOff>
    </xdr:from>
    <xdr:ext cx="1885950" cy="2952750"/>
    <xdr:pic>
      <xdr:nvPicPr>
        <xdr:cNvPr id="0" name="image24.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371475</xdr:colOff>
      <xdr:row>0</xdr:row>
      <xdr:rowOff>0</xdr:rowOff>
    </xdr:from>
    <xdr:ext cx="2933700" cy="1571625"/>
    <xdr:pic>
      <xdr:nvPicPr>
        <xdr:cNvPr id="0" name="image27.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276225</xdr:colOff>
      <xdr:row>0</xdr:row>
      <xdr:rowOff>0</xdr:rowOff>
    </xdr:from>
    <xdr:ext cx="2924175" cy="1562100"/>
    <xdr:pic>
      <xdr:nvPicPr>
        <xdr:cNvPr id="0" name="image29.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161</xdr:row>
      <xdr:rowOff>190500</xdr:rowOff>
    </xdr:from>
    <xdr:ext cx="1895475" cy="2971800"/>
    <xdr:pic>
      <xdr:nvPicPr>
        <xdr:cNvPr id="0" name="image3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285750</xdr:colOff>
      <xdr:row>0</xdr:row>
      <xdr:rowOff>0</xdr:rowOff>
    </xdr:from>
    <xdr:ext cx="2933700" cy="1571625"/>
    <xdr:pic>
      <xdr:nvPicPr>
        <xdr:cNvPr id="0" name="image30.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157</xdr:row>
      <xdr:rowOff>180975</xdr:rowOff>
    </xdr:from>
    <xdr:ext cx="1885950" cy="3019425"/>
    <xdr:pic>
      <xdr:nvPicPr>
        <xdr:cNvPr id="0" name="image3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304800</xdr:colOff>
      <xdr:row>0</xdr:row>
      <xdr:rowOff>0</xdr:rowOff>
    </xdr:from>
    <xdr:ext cx="2933700" cy="1562100"/>
    <xdr:pic>
      <xdr:nvPicPr>
        <xdr:cNvPr id="0" name="image3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165</xdr:row>
      <xdr:rowOff>190500</xdr:rowOff>
    </xdr:from>
    <xdr:ext cx="1895475" cy="2990850"/>
    <xdr:pic>
      <xdr:nvPicPr>
        <xdr:cNvPr id="0" name="image34.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266700</xdr:colOff>
      <xdr:row>0</xdr:row>
      <xdr:rowOff>0</xdr:rowOff>
    </xdr:from>
    <xdr:ext cx="2933700" cy="1571625"/>
    <xdr:pic>
      <xdr:nvPicPr>
        <xdr:cNvPr id="0" name="image35.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0</xdr:row>
      <xdr:rowOff>0</xdr:rowOff>
    </xdr:from>
    <xdr:ext cx="2924175" cy="1562100"/>
    <xdr:pic>
      <xdr:nvPicPr>
        <xdr:cNvPr id="0" name="image36.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151</xdr:row>
      <xdr:rowOff>190500</xdr:rowOff>
    </xdr:from>
    <xdr:ext cx="1895475" cy="2990850"/>
    <xdr:pic>
      <xdr:nvPicPr>
        <xdr:cNvPr id="0" name="image37.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0</xdr:row>
      <xdr:rowOff>0</xdr:rowOff>
    </xdr:from>
    <xdr:ext cx="2933700" cy="1562100"/>
    <xdr:pic>
      <xdr:nvPicPr>
        <xdr:cNvPr id="0" name="image4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159</xdr:row>
      <xdr:rowOff>200025</xdr:rowOff>
    </xdr:from>
    <xdr:ext cx="1895475" cy="2962275"/>
    <xdr:pic>
      <xdr:nvPicPr>
        <xdr:cNvPr id="0" name="image39.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0</xdr:rowOff>
    </xdr:from>
    <xdr:ext cx="2914650" cy="1562100"/>
    <xdr:pic>
      <xdr:nvPicPr>
        <xdr:cNvPr id="0" name="image40.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142</xdr:row>
      <xdr:rowOff>180975</xdr:rowOff>
    </xdr:from>
    <xdr:ext cx="1895475" cy="2990850"/>
    <xdr:pic>
      <xdr:nvPicPr>
        <xdr:cNvPr id="0" name="image38.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276225</xdr:colOff>
      <xdr:row>0</xdr:row>
      <xdr:rowOff>0</xdr:rowOff>
    </xdr:from>
    <xdr:ext cx="2943225" cy="1571625"/>
    <xdr:pic>
      <xdr:nvPicPr>
        <xdr:cNvPr id="0" name="image44.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145</xdr:row>
      <xdr:rowOff>180975</xdr:rowOff>
    </xdr:from>
    <xdr:ext cx="1895475" cy="2990850"/>
    <xdr:pic>
      <xdr:nvPicPr>
        <xdr:cNvPr id="0" name="image4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304800</xdr:colOff>
      <xdr:row>0</xdr:row>
      <xdr:rowOff>0</xdr:rowOff>
    </xdr:from>
    <xdr:ext cx="2924175" cy="1562100"/>
    <xdr:pic>
      <xdr:nvPicPr>
        <xdr:cNvPr id="0" name="image4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144</xdr:row>
      <xdr:rowOff>200025</xdr:rowOff>
    </xdr:from>
    <xdr:ext cx="1895475" cy="2981325"/>
    <xdr:pic>
      <xdr:nvPicPr>
        <xdr:cNvPr id="0" name="image47.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0</xdr:row>
      <xdr:rowOff>0</xdr:rowOff>
    </xdr:from>
    <xdr:ext cx="2943225" cy="1571625"/>
    <xdr:pic>
      <xdr:nvPicPr>
        <xdr:cNvPr id="0" name="image46.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163</xdr:row>
      <xdr:rowOff>171450</xdr:rowOff>
    </xdr:from>
    <xdr:ext cx="1895475" cy="3019425"/>
    <xdr:pic>
      <xdr:nvPicPr>
        <xdr:cNvPr id="0" name="image43.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247650</xdr:colOff>
      <xdr:row>0</xdr:row>
      <xdr:rowOff>0</xdr:rowOff>
    </xdr:from>
    <xdr:ext cx="2924175" cy="1562100"/>
    <xdr:pic>
      <xdr:nvPicPr>
        <xdr:cNvPr id="0" name="image49.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152</xdr:row>
      <xdr:rowOff>200025</xdr:rowOff>
    </xdr:from>
    <xdr:ext cx="1895475" cy="2962275"/>
    <xdr:pic>
      <xdr:nvPicPr>
        <xdr:cNvPr id="0" name="image48.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276225</xdr:colOff>
      <xdr:row>0</xdr:row>
      <xdr:rowOff>0</xdr:rowOff>
    </xdr:from>
    <xdr:ext cx="2914650" cy="1562100"/>
    <xdr:pic>
      <xdr:nvPicPr>
        <xdr:cNvPr id="0" name="image5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155</xdr:row>
      <xdr:rowOff>190500</xdr:rowOff>
    </xdr:from>
    <xdr:ext cx="1905000" cy="2981325"/>
    <xdr:pic>
      <xdr:nvPicPr>
        <xdr:cNvPr id="0" name="image50.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0</xdr:row>
      <xdr:rowOff>0</xdr:rowOff>
    </xdr:from>
    <xdr:ext cx="2924175" cy="1562100"/>
    <xdr:pic>
      <xdr:nvPicPr>
        <xdr:cNvPr id="0" name="image5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142</xdr:row>
      <xdr:rowOff>200025</xdr:rowOff>
    </xdr:from>
    <xdr:ext cx="1895475" cy="2971800"/>
    <xdr:pic>
      <xdr:nvPicPr>
        <xdr:cNvPr id="0" name="image52.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2.xml"/><Relationship Id="rId3"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3.xml"/><Relationship Id="rId3"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4.xml"/><Relationship Id="rId3"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5.xml"/><Relationship Id="rId3"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6.xml"/><Relationship Id="rId3"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7.xml"/><Relationship Id="rId3"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0.xml"/><Relationship Id="rId3"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1.xml"/><Relationship Id="rId3"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3.xml"/><Relationship Id="rId3" Type="http://schemas.openxmlformats.org/officeDocument/2006/relationships/vmlDrawing" Target="../drawings/vmlDrawing1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5.xml"/><Relationship Id="rId3" Type="http://schemas.openxmlformats.org/officeDocument/2006/relationships/vmlDrawing" Target="../drawings/vmlDrawing14.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7.xml"/><Relationship Id="rId3" Type="http://schemas.openxmlformats.org/officeDocument/2006/relationships/vmlDrawing" Target="../drawings/vmlDrawing15.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9.xml"/><Relationship Id="rId3" Type="http://schemas.openxmlformats.org/officeDocument/2006/relationships/vmlDrawing" Target="../drawings/vmlDrawing16.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31.xml"/><Relationship Id="rId3" Type="http://schemas.openxmlformats.org/officeDocument/2006/relationships/vmlDrawing" Target="../drawings/vmlDrawing17.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3.xml"/><Relationship Id="rId3" Type="http://schemas.openxmlformats.org/officeDocument/2006/relationships/vmlDrawing" Target="../drawings/vmlDrawing18.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34.xml"/><Relationship Id="rId3" Type="http://schemas.openxmlformats.org/officeDocument/2006/relationships/vmlDrawing" Target="../drawings/vmlDrawing19.v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37.xml"/><Relationship Id="rId3" Type="http://schemas.openxmlformats.org/officeDocument/2006/relationships/vmlDrawing" Target="../drawings/vmlDrawing20.v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39.xml"/><Relationship Id="rId3" Type="http://schemas.openxmlformats.org/officeDocument/2006/relationships/vmlDrawing" Target="../drawings/vmlDrawing21.v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42.xml"/><Relationship Id="rId3" Type="http://schemas.openxmlformats.org/officeDocument/2006/relationships/vmlDrawing" Target="../drawings/vmlDrawing22.v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44.xml"/><Relationship Id="rId3" Type="http://schemas.openxmlformats.org/officeDocument/2006/relationships/vmlDrawing" Target="../drawings/vmlDrawing23.v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46.xml"/><Relationship Id="rId3" Type="http://schemas.openxmlformats.org/officeDocument/2006/relationships/vmlDrawing" Target="../drawings/vmlDrawing24.v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50.xml"/><Relationship Id="rId3" Type="http://schemas.openxmlformats.org/officeDocument/2006/relationships/vmlDrawing" Target="../drawings/vmlDrawing25.v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52.xml"/><Relationship Id="rId3" Type="http://schemas.openxmlformats.org/officeDocument/2006/relationships/vmlDrawing" Target="../drawings/vmlDrawing26.v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54.xml"/><Relationship Id="rId3" Type="http://schemas.openxmlformats.org/officeDocument/2006/relationships/vmlDrawing" Target="../drawings/vmlDrawing27.v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56.xml"/><Relationship Id="rId3" Type="http://schemas.openxmlformats.org/officeDocument/2006/relationships/vmlDrawing" Target="../drawings/vmlDrawing28.v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58.xml"/><Relationship Id="rId3" Type="http://schemas.openxmlformats.org/officeDocument/2006/relationships/vmlDrawing" Target="../drawings/vmlDrawing29.v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60.xml"/><Relationship Id="rId3" Type="http://schemas.openxmlformats.org/officeDocument/2006/relationships/vmlDrawing" Target="../drawings/vmlDrawing30.v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62.xml"/><Relationship Id="rId3" Type="http://schemas.openxmlformats.org/officeDocument/2006/relationships/vmlDrawing" Target="../drawings/vmlDrawing31.vml"/></Relationships>
</file>

<file path=xl/worksheets/_rels/sheet63.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63.xml"/><Relationship Id="rId3" Type="http://schemas.openxmlformats.org/officeDocument/2006/relationships/vmlDrawing" Target="../drawings/vmlDrawing32.v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65.xml"/><Relationship Id="rId3" Type="http://schemas.openxmlformats.org/officeDocument/2006/relationships/vmlDrawing" Target="../drawings/vmlDrawing33.vml"/></Relationships>
</file>

<file path=xl/worksheets/_rels/sheet66.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66.xml"/><Relationship Id="rId3" Type="http://schemas.openxmlformats.org/officeDocument/2006/relationships/vmlDrawing" Target="../drawings/vmlDrawing34.v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68.xml"/><Relationship Id="rId3" Type="http://schemas.openxmlformats.org/officeDocument/2006/relationships/vmlDrawing" Target="../drawings/vmlDrawing35.v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70.xml"/><Relationship Id="rId3" Type="http://schemas.openxmlformats.org/officeDocument/2006/relationships/vmlDrawing" Target="../drawings/vmlDrawing36.v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72.xml"/><Relationship Id="rId3" Type="http://schemas.openxmlformats.org/officeDocument/2006/relationships/vmlDrawing" Target="../drawings/vmlDrawing37.v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74.xml"/><Relationship Id="rId3" Type="http://schemas.openxmlformats.org/officeDocument/2006/relationships/vmlDrawing" Target="../drawings/vmlDrawing38.v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76.xml"/><Relationship Id="rId3" Type="http://schemas.openxmlformats.org/officeDocument/2006/relationships/vmlDrawing" Target="../drawings/vmlDrawing39.v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78.xml"/><Relationship Id="rId3" Type="http://schemas.openxmlformats.org/officeDocument/2006/relationships/vmlDrawing" Target="../drawings/vmlDrawing40.v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80.xml"/><Relationship Id="rId3" Type="http://schemas.openxmlformats.org/officeDocument/2006/relationships/vmlDrawing" Target="../drawings/vmlDrawing41.v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82.xml"/><Relationship Id="rId3" Type="http://schemas.openxmlformats.org/officeDocument/2006/relationships/vmlDrawing" Target="../drawings/vmlDrawing42.v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84.xml"/><Relationship Id="rId3" Type="http://schemas.openxmlformats.org/officeDocument/2006/relationships/vmlDrawing" Target="../drawings/vmlDrawing43.v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87.xml"/><Relationship Id="rId3" Type="http://schemas.openxmlformats.org/officeDocument/2006/relationships/vmlDrawing" Target="../drawings/vmlDrawing44.vml"/></Relationships>
</file>

<file path=xl/worksheets/_rels/sheet88.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88.xml"/><Relationship Id="rId3" Type="http://schemas.openxmlformats.org/officeDocument/2006/relationships/vmlDrawing" Target="../drawings/vmlDrawing45.v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90.xml"/><Relationship Id="rId3" Type="http://schemas.openxmlformats.org/officeDocument/2006/relationships/vmlDrawing" Target="../drawings/vmlDrawing46.v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92.xml"/><Relationship Id="rId3" Type="http://schemas.openxmlformats.org/officeDocument/2006/relationships/vmlDrawing" Target="../drawings/vmlDrawing47.v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94.xml"/><Relationship Id="rId3" Type="http://schemas.openxmlformats.org/officeDocument/2006/relationships/vmlDrawing" Target="../drawings/vmlDrawing48.v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98.xml"/><Relationship Id="rId3" Type="http://schemas.openxmlformats.org/officeDocument/2006/relationships/vmlDrawing" Target="../drawings/vmlDrawing49.v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drawing" Target="../drawings/drawing100.xml"/><Relationship Id="rId3" Type="http://schemas.openxmlformats.org/officeDocument/2006/relationships/vmlDrawing" Target="../drawings/vmlDrawing50.v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comments" Target="../comments51.xml"/><Relationship Id="rId2" Type="http://schemas.openxmlformats.org/officeDocument/2006/relationships/drawing" Target="../drawings/drawing102.xml"/><Relationship Id="rId3" Type="http://schemas.openxmlformats.org/officeDocument/2006/relationships/vmlDrawing" Target="../drawings/vmlDrawing51.v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comments" Target="../comments52.xml"/><Relationship Id="rId2" Type="http://schemas.openxmlformats.org/officeDocument/2006/relationships/drawing" Target="../drawings/drawing105.xml"/><Relationship Id="rId3" Type="http://schemas.openxmlformats.org/officeDocument/2006/relationships/vmlDrawing" Target="../drawings/vmlDrawing52.vml"/></Relationships>
</file>

<file path=xl/worksheets/_rels/sheet106.xml.rels><?xml version="1.0" encoding="UTF-8" standalone="yes"?><Relationships xmlns="http://schemas.openxmlformats.org/package/2006/relationships"><Relationship Id="rId1" Type="http://schemas.openxmlformats.org/officeDocument/2006/relationships/comments" Target="../comments53.xml"/><Relationship Id="rId2" Type="http://schemas.openxmlformats.org/officeDocument/2006/relationships/drawing" Target="../drawings/drawing106.xml"/><Relationship Id="rId3" Type="http://schemas.openxmlformats.org/officeDocument/2006/relationships/vmlDrawing" Target="../drawings/vmlDrawing53.v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s>
  <sheetData>
    <row r="1" ht="18.75" customHeight="1">
      <c r="A1" t="s">
        <v>0</v>
      </c>
      <c r="B1" t="s">
        <v>1</v>
      </c>
      <c r="C1" t="s">
        <v>2</v>
      </c>
    </row>
    <row r="2">
      <c r="A2" s="1"/>
      <c r="B2" s="2"/>
      <c r="C2" s="3"/>
    </row>
    <row r="3">
      <c r="A3" s="1"/>
      <c r="B3" s="2"/>
      <c r="C3" s="3"/>
    </row>
    <row r="4">
      <c r="A4" s="1"/>
      <c r="B4" s="2"/>
      <c r="C4"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v>
      </c>
      <c r="B1" s="4" t="s">
        <v>4</v>
      </c>
    </row>
    <row r="2">
      <c r="A2" s="3" t="s">
        <v>5</v>
      </c>
      <c r="B2" s="3" t="s">
        <v>6</v>
      </c>
    </row>
    <row r="3">
      <c r="A3" s="3" t="s">
        <v>7</v>
      </c>
      <c r="B3" s="3" t="s">
        <v>8</v>
      </c>
    </row>
    <row r="4">
      <c r="A4" s="3" t="s">
        <v>9</v>
      </c>
      <c r="B4" s="3" t="s">
        <v>10</v>
      </c>
    </row>
    <row r="5">
      <c r="A5" s="3" t="s">
        <v>11</v>
      </c>
      <c r="B5" s="3" t="s">
        <v>12</v>
      </c>
    </row>
    <row r="6">
      <c r="A6" s="3" t="s">
        <v>13</v>
      </c>
      <c r="B6" s="3" t="s">
        <v>8</v>
      </c>
    </row>
    <row r="7">
      <c r="A7" s="3" t="s">
        <v>14</v>
      </c>
      <c r="B7" s="3" t="s">
        <v>15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5" t="str">
        <f>IF(B2&gt;0,"MAX WEEK",IF(B3&gt;0,"MAX WEEK",if(B4&gt;0,"MAX WEEK","")))</f>
        <v>MAX WEEK</v>
      </c>
      <c r="C1" s="6" t="str">
        <f>IF(C2&gt;0,"WEEK 1",IF(C3&gt;0,"WEEK 1",if(C4&gt;0,"WEEK 1","")))</f>
        <v>WEEK 1</v>
      </c>
      <c r="D1" s="6" t="str">
        <f>IF(D2&gt;0,"WEEK 2",IF(D3&gt;0,"WEEK 2",if(D4&gt;0,"WEEK 2","")))</f>
        <v>WEEK 2</v>
      </c>
      <c r="E1" s="6" t="str">
        <f>IF(E2&gt;0,"WEEK 4",IF(E3&gt;0,"WEEK 4",if(E4&gt;0,"WEEK 4","")))</f>
        <v>WEEK 4</v>
      </c>
      <c r="F1" s="6" t="str">
        <f>IF(F2&gt;0,"WEEK 5",IF(F3&gt;0,"WEEK 5",if(F4&gt;0,"WEEK 5","")))</f>
        <v/>
      </c>
      <c r="G1" s="6" t="str">
        <f>IF(G2&gt;0,"WEEK 6",IF(G3&gt;0,"WEEK 6",if(G4&gt;0,"WEEK 6","")))</f>
        <v/>
      </c>
      <c r="H1" s="6" t="str">
        <f>IF(H2&gt;0,"WEEK 7",IF(H3&gt;0,"WEEK 7",if(H4&gt;0,"WEEK 7","")))</f>
        <v/>
      </c>
      <c r="I1" s="6" t="str">
        <f>IF(I2&gt;0,"WEEK 8",IF(I3&gt;0,"WEEK 8",if(I4&gt;0,"WEEK 8","")))</f>
        <v/>
      </c>
      <c r="J1" s="6" t="str">
        <f>IF(J2&gt;0,"WEEK 9",IF(J3&gt;0,"WEEK 9",if(J4&gt;0,"WEEK 9","")))</f>
        <v/>
      </c>
      <c r="K1" s="6" t="str">
        <f>IF(K2&gt;0,"WEEK 10",IF(K3&gt;0,"WEEK 10",if(K4&gt;0,"WEEK 10","")))</f>
        <v/>
      </c>
      <c r="L1" s="6" t="str">
        <f>IF(L2&gt;0,"WEEK 11",IF(L3&gt;0,"WEEK 11",if(L4&gt;0,"WEEK 11","")))</f>
        <v/>
      </c>
      <c r="M1" s="6" t="str">
        <f>IF(M2&gt;0,"WEEK 12",IF(M3&gt;0,"WEEK 12",if(M4&gt;0,"WEEK 12","")))</f>
        <v/>
      </c>
      <c r="N1" s="7" t="str">
        <f>IF(N2&gt;0,"WEEK 12","")</f>
        <v/>
      </c>
      <c r="O1" s="7" t="str">
        <f>IF(O2&gt;0,"WEEK 13","")</f>
        <v/>
      </c>
      <c r="P1" s="7" t="str">
        <f>IF(P2&gt;0,"WEEK 14","")</f>
        <v/>
      </c>
      <c r="Q1" s="7" t="str">
        <f>IF(Q2&gt;0,"WEEK 15","")</f>
        <v/>
      </c>
      <c r="R1" s="7" t="str">
        <f>IF(R2&gt;0,"WEEK 16","")</f>
        <v/>
      </c>
      <c r="S1" s="7" t="str">
        <f>IF(S2&gt;0,"WEEK 17","")</f>
        <v/>
      </c>
      <c r="T1" s="7" t="str">
        <f>IF(T2&gt;0,"WEEK 18","")</f>
        <v/>
      </c>
      <c r="U1" s="7" t="str">
        <f>IF(U2&gt;0,"WEEK 19","")</f>
        <v/>
      </c>
      <c r="V1" s="7" t="str">
        <f>IF(V2&gt;0,"WEEK 20","")</f>
        <v/>
      </c>
      <c r="W1" s="7" t="str">
        <f>IF(W2&gt;0,"WEEK 21","")</f>
        <v/>
      </c>
      <c r="X1" s="7" t="str">
        <f>IF(X2&gt;0,"WEEK 22","")</f>
        <v/>
      </c>
      <c r="Y1" s="7" t="str">
        <f>IF(Y2&gt;0,"WEEK 23","")</f>
        <v/>
      </c>
      <c r="Z1" s="7" t="str">
        <f>IF(Z2&gt;0,"WEEK 24","")</f>
        <v/>
      </c>
      <c r="AA1" s="7" t="str">
        <f>IF(AA2&gt;0,"WEEK 25","")</f>
        <v/>
      </c>
      <c r="AB1" s="7" t="str">
        <f>IF(AB2&gt;0,"WEEK 26","")</f>
        <v/>
      </c>
      <c r="AC1" s="7" t="str">
        <f>IF(AC2&gt;0,"WEEK 27","")</f>
        <v/>
      </c>
      <c r="AD1" s="7" t="str">
        <f>IF(AD2&gt;0,"WEEK 28","")</f>
        <v/>
      </c>
      <c r="AE1" s="7" t="str">
        <f>IF(AE2&gt;0,"WEEK 29","")</f>
        <v/>
      </c>
      <c r="AF1" s="7" t="str">
        <f>IF(AF2&gt;0,"WEEK 30","")</f>
        <v/>
      </c>
      <c r="AG1" s="7" t="str">
        <f>IF(AG2&gt;0,"WEEK 31","")</f>
        <v/>
      </c>
      <c r="AH1" s="7" t="str">
        <f>IF(AH2&gt;0,"WEEK 32","")</f>
        <v/>
      </c>
      <c r="AI1" s="7" t="str">
        <f>IF(AI2&gt;0,"WEEK 33","")</f>
        <v/>
      </c>
      <c r="AJ1" s="7" t="str">
        <f>IF(AJ2&gt;0,"WEEK 34","")</f>
        <v/>
      </c>
      <c r="AK1" s="7" t="str">
        <f>IF(AK2&gt;0,"WEEK 35","")</f>
        <v/>
      </c>
      <c r="AL1" s="7" t="str">
        <f>IF(AL2&gt;0,"WEEK 36","")</f>
        <v/>
      </c>
      <c r="AM1" s="7" t="str">
        <f>IF(AM2&gt;0,"WEEK 37","")</f>
        <v/>
      </c>
      <c r="AN1" s="7" t="str">
        <f>IF(AN2&gt;0,"WEEK 38","")</f>
        <v/>
      </c>
      <c r="AO1" s="7" t="str">
        <f>IF(AO2&gt;0,"WEEK 39","")</f>
        <v/>
      </c>
      <c r="AP1" s="7" t="str">
        <f>IF(AP2&gt;0,"WEEK 40","")</f>
        <v/>
      </c>
      <c r="AQ1" s="7" t="str">
        <f>IF(AQ2&gt;0,"WEEK 41","")</f>
        <v/>
      </c>
      <c r="AR1" s="7" t="str">
        <f>IF(AR2&gt;0,"WEEK 42","")</f>
        <v/>
      </c>
      <c r="AS1" s="7" t="str">
        <f>IF(AS2&gt;0,"WEEK 43","")</f>
        <v/>
      </c>
      <c r="AT1" s="7" t="str">
        <f>IF(AT2&gt;0,"WEEK 44","")</f>
        <v/>
      </c>
      <c r="AU1" s="7" t="str">
        <f>IF(AU2&gt;0,"WEEK 45","")</f>
        <v/>
      </c>
      <c r="AV1" s="7" t="str">
        <f>IF(AV2&gt;0,"WEEK 46","")</f>
        <v/>
      </c>
      <c r="AW1" s="7" t="str">
        <f>IF(AW2&gt;0,"WEEK 47","")</f>
        <v/>
      </c>
      <c r="AX1" s="7" t="str">
        <f>IF(AX2&gt;0,"WEEK 48","")</f>
        <v/>
      </c>
      <c r="AY1" s="7" t="str">
        <f>IF(AY2&gt;0,"WEEK 49","")</f>
        <v/>
      </c>
      <c r="AZ1" s="7" t="str">
        <f>IF(AZ2&gt;0,"WEEK 50","")</f>
        <v/>
      </c>
      <c r="BA1" s="7" t="str">
        <f>IF(BA2&gt;0,"WEEK 51","")</f>
        <v/>
      </c>
      <c r="BB1" s="7" t="str">
        <f>IF(BB2&gt;0,"WEEK 52","")</f>
        <v/>
      </c>
      <c r="BC1" s="7"/>
      <c r="BD1" s="7"/>
      <c r="BE1" s="7"/>
    </row>
    <row r="2">
      <c r="A2" s="3" t="s">
        <v>16</v>
      </c>
      <c r="B2">
        <f>'WEEK 1 '!P20</f>
        <v>75</v>
      </c>
      <c r="C2" s="3">
        <f>'WEEK 1 '!P30</f>
        <v>55</v>
      </c>
      <c r="D2" s="3">
        <f>'WEEK 2'!B31</f>
        <v>55</v>
      </c>
      <c r="E2" s="3">
        <f>'WEEK 4 Master Sheet '!P31</f>
        <v>75</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row>
    <row r="3">
      <c r="A3" s="3" t="s">
        <v>17</v>
      </c>
      <c r="B3" s="7" t="str">
        <f>'WEEK 1 '!I20</f>
        <v/>
      </c>
      <c r="C3" s="3" t="str">
        <f>'WEEK 1 '!I31</f>
        <v/>
      </c>
      <c r="D3" s="3" t="str">
        <f>'WEEK 2'!I31</f>
        <v/>
      </c>
      <c r="E3" s="3" t="str">
        <f>'WEEK 4 Master Sheet '!I31</f>
        <v/>
      </c>
      <c r="F3" s="6"/>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row>
    <row r="4">
      <c r="A4" s="3" t="s">
        <v>18</v>
      </c>
      <c r="B4">
        <f>'WEEK 1 '!B20</f>
        <v>100</v>
      </c>
      <c r="C4" s="3">
        <f>'WEEK 1 '!B31</f>
        <v>185</v>
      </c>
      <c r="D4" s="3"/>
      <c r="E4" s="3">
        <f>'WEEK 4 Master Sheet '!B31</f>
        <v>80</v>
      </c>
    </row>
    <row r="5">
      <c r="B5" s="3"/>
      <c r="C5" s="6"/>
      <c r="D5" s="6"/>
      <c r="E5" s="6"/>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row>
    <row r="10">
      <c r="B10" s="8" t="str">
        <f>IF(B11&gt;0,"MAX WEEK",IF(B12&gt;0,"MAX WEEK",if(B13&gt;0,"MAX WEEK","")))</f>
        <v>MAX WEEK</v>
      </c>
      <c r="C10" s="6" t="str">
        <f>IF(C11&gt;0,"WEEK 1",IF(C12&gt;0,"WEEK 1",if(C13&gt;0,"WEEK 1","")))</f>
        <v>WEEK 1</v>
      </c>
      <c r="D10" s="6" t="str">
        <f>IF(D11&gt;0,"WEEK 2",IF(D12&gt;0,"WEEK 2",if(D13&gt;0,"WEEK 2","")))</f>
        <v/>
      </c>
      <c r="E10" s="6" t="str">
        <f>IF(E11&gt;0,"WEEK 3",IF(E12&gt;0,"WEEK 3",if(E13&gt;0,"WEEK 3","")))</f>
        <v>WEEK 3</v>
      </c>
      <c r="F10" s="6" t="str">
        <f>IF(F11&gt;0,"WEEK 5",IF(F12&gt;0,"WEEK 5",if(F13&gt;0,"WEEK 5","")))</f>
        <v/>
      </c>
      <c r="G10" s="6" t="str">
        <f>IF(G11&gt;0,"WEEK 6",IF(G12&gt;0,"WEEK 6",if(G13&gt;0,"WEEK 6","")))</f>
        <v/>
      </c>
      <c r="H10" s="6" t="str">
        <f>IF(H11&gt;0,"WEEK 7",IF(H12&gt;0,"WEEK 7",if(H13&gt;0,"WEEK 7","")))</f>
        <v/>
      </c>
      <c r="I10" s="6" t="str">
        <f>IF(J11&gt;0,"WEEK 9",IF(J12&gt;0,"WEEK 9",if(J13&gt;0,"WEEK 9","")))</f>
        <v/>
      </c>
      <c r="J10" s="6" t="str">
        <f>IF(K11&gt;0,"WEEK 10",IF(K12&gt;0,"WEEK 10",if(K13&gt;0,"WEEK 10","")))</f>
        <v/>
      </c>
      <c r="K10" s="6" t="str">
        <f>IF(M11&gt;0,"WEEK 11",IF(M12&gt;0,"WEEK 11",if(M13&gt;0,"WEEK 11","")))</f>
        <v/>
      </c>
    </row>
    <row r="11">
      <c r="A11" s="3" t="s">
        <v>19</v>
      </c>
      <c r="B11">
        <f>'WEEK 1 '!B42</f>
        <v>255</v>
      </c>
      <c r="C11" s="3">
        <f>'WEEK 1 '!B54</f>
        <v>260</v>
      </c>
      <c r="D11" s="3"/>
      <c r="E11" s="3"/>
    </row>
    <row r="12">
      <c r="A12" s="3" t="s">
        <v>20</v>
      </c>
      <c r="B12">
        <f>'WEEK 1 '!B66</f>
        <v>60</v>
      </c>
      <c r="C12" s="3">
        <f>'WEEK 1 '!B66</f>
        <v>60</v>
      </c>
      <c r="D12" s="3"/>
      <c r="E12" s="3">
        <f>'WEEK 3 '!B50</f>
        <v>55</v>
      </c>
    </row>
    <row r="13">
      <c r="A13" s="3" t="s">
        <v>21</v>
      </c>
      <c r="B13">
        <f>'WEEK 1 '!B58</f>
        <v>205</v>
      </c>
      <c r="D13" s="3">
        <f>'WEEK 2'!B56</f>
        <v>0</v>
      </c>
      <c r="E13" s="3"/>
    </row>
    <row r="20">
      <c r="B20" s="5" t="str">
        <f>IF(B21&gt;0,"MAX WEEK",IF(B22&gt;0,"MAX WEEK",if(B23&gt;0,"MAX WEEK","")))</f>
        <v>MAX WEEK</v>
      </c>
      <c r="C20" s="6" t="str">
        <f>IF(C21&gt;0,"WEEK 1",IF(C22&gt;0,"WEEK 1",if(C23&gt;0,"WEEK 1","")))</f>
        <v>WEEK 1</v>
      </c>
      <c r="D20" s="6" t="str">
        <f>IF(D21&gt;0,"WEEK 2",IF(D22&gt;0,"WEEK 2",if(D23&gt;0,"WEEK 2","")))</f>
        <v>WEEK 2</v>
      </c>
      <c r="E20" s="6" t="str">
        <f>IF(E21&gt;0,"WEEK 3",IF(E22&gt;0,"WEEK 3",if(E23&gt;0,"WEEK 3","")))</f>
        <v/>
      </c>
      <c r="F20" s="6" t="str">
        <f>IF(F21&gt;0,"WEEK 5",IF(F22&gt;0,"WEEK 5",if(F23&gt;0,"WEEK 5","")))</f>
        <v/>
      </c>
      <c r="G20" s="6" t="str">
        <f>IF(G21&gt;0,"WEEK 6",IF(G22&gt;0,"WEEK 6",if(G23&gt;0,"WEEK 6","")))</f>
        <v/>
      </c>
      <c r="H20" s="6" t="str">
        <f>IF(H21&gt;0,"WEEK 7",IF(H22&gt;0,"WEEK 7",if(H23&gt;0,"WEEK 7","")))</f>
        <v/>
      </c>
      <c r="I20" s="6" t="str">
        <f>IF(I21&gt;0,"WEEK 8",IF(I22&gt;0,"WEEK 8",if(I23&gt;0,"WEEK 8","")))</f>
        <v/>
      </c>
      <c r="J20" s="6" t="str">
        <f>IF(J21&gt;0,"WEEK 9",IF(J22&gt;0,"WEEK 9",if(J23&gt;0,"WEEK 9","")))</f>
        <v/>
      </c>
      <c r="K20" s="6" t="str">
        <f>IF(K21&gt;0,"WEEK 10",IF(K22&gt;0,"WEEK 10",if(K23&gt;0,"WEEK 10","")))</f>
        <v/>
      </c>
      <c r="L20" s="6" t="str">
        <f>IF(L21&gt;0,"WEEK 11",IF(L22&gt;0,"WEEK 11",if(L23&gt;0,"WEEK 11","")))</f>
        <v/>
      </c>
      <c r="M20" s="6" t="str">
        <f>IF(M21&gt;0,"WEEK 12",IF(M22&gt;0,"WEEK 12",if(M23&gt;0,"WEEK 12","")))</f>
        <v/>
      </c>
    </row>
    <row r="21">
      <c r="A21" s="3" t="s">
        <v>22</v>
      </c>
      <c r="B21">
        <f>'WEEK 2'!B87</f>
        <v>240</v>
      </c>
      <c r="C21" s="3">
        <v>10.0</v>
      </c>
      <c r="D21" s="3">
        <v>14.0</v>
      </c>
      <c r="E21" s="3"/>
      <c r="F21" s="3"/>
      <c r="G21" s="3"/>
      <c r="H21" s="3"/>
      <c r="I21" s="3"/>
      <c r="J21" s="3"/>
      <c r="K21" s="3"/>
      <c r="L21" s="3"/>
      <c r="M21" s="3"/>
    </row>
    <row r="22">
      <c r="A22" s="3" t="s">
        <v>23</v>
      </c>
      <c r="B22" t="str">
        <f>'WEEK 3 '!B86</f>
        <v/>
      </c>
      <c r="C22" s="3"/>
      <c r="D22" s="3"/>
      <c r="E22" s="3" t="str">
        <f>'WEEK 3 '!B86</f>
        <v/>
      </c>
      <c r="F22" s="7"/>
      <c r="G22" s="7"/>
      <c r="H22" s="7"/>
      <c r="I22" s="7"/>
      <c r="J22" s="7"/>
      <c r="K22" s="7"/>
      <c r="L22" s="7"/>
      <c r="M22" s="7"/>
    </row>
    <row r="23">
      <c r="A23" s="3" t="s">
        <v>24</v>
      </c>
      <c r="C23" s="3"/>
      <c r="D23" s="3"/>
      <c r="E23" s="3"/>
    </row>
    <row r="30">
      <c r="B30" s="5" t="str">
        <f>IF(B31&gt;0,"MAX WEEK",IF(B32&gt;0,"MAX WEEK",if(B33&gt;0,"MAX WEEK","")))</f>
        <v>MAX WEEK</v>
      </c>
      <c r="C30" s="6" t="str">
        <f>IF(C31&gt;0,"WEEK 1",IF(C32&gt;0,"WEEK 1",if(C33&gt;0,"WEEK 1","")))</f>
        <v>WEEK 1</v>
      </c>
      <c r="D30" s="6" t="str">
        <f>IF(D31&gt;0,"WEEK 2",IF(D32&gt;0,"WEEK 2",if(D33&gt;0,"WEEK 2","")))</f>
        <v>WEEK 2</v>
      </c>
      <c r="E30" s="6" t="str">
        <f>IF(E31&gt;0,"WEEK 4",IF(E32&gt;0,"WEEK 4",if(E33&gt;0,"WEEK 4","")))</f>
        <v>WEEK 4</v>
      </c>
      <c r="F30" s="6" t="str">
        <f>IF(F31&gt;0,"WEEK 5",IF(F32&gt;0,"WEEK 5",if(F33&gt;0,"WEEK 5","")))</f>
        <v/>
      </c>
      <c r="G30" s="6" t="str">
        <f>IF(G31&gt;0,"WEEK 6",IF(G32&gt;0,"WEEK 6",if(G33&gt;0,"WEEK 6","")))</f>
        <v/>
      </c>
      <c r="H30" s="6" t="str">
        <f>IF(H31&gt;0,"WEEK 7",IF(H32&gt;0,"WEEK 7",if(H33&gt;0,"WEEK 7","")))</f>
        <v/>
      </c>
      <c r="I30" s="6" t="str">
        <f>IF(I31&gt;0,"WEEK 8",IF(I32&gt;0,"WEEK 8",if(I33&gt;0,"WEEK 8","")))</f>
        <v/>
      </c>
      <c r="J30" s="6" t="str">
        <f>IF(J31&gt;0,"WEEK 9",IF(J32&gt;0,"WEEK 9",if(J33&gt;0,"WEEK 9","")))</f>
        <v/>
      </c>
      <c r="K30" s="6" t="str">
        <f>IF(K31&gt;0,"WEEK 10",IF(K32&gt;0,"WEEK 10",if(K33&gt;0,"WEEK 10","")))</f>
        <v/>
      </c>
      <c r="L30" s="6" t="str">
        <f>IF(L31&gt;0,"WEEK 11",IF(L32&gt;0,"WEEK 11",if(L33&gt;0,"WEEK 11","")))</f>
        <v/>
      </c>
      <c r="M30" s="6" t="str">
        <f>IF(M31&gt;0,"WEEK 12",IF(M32&gt;0,"WEEK 12",if(M33&gt;0,"WEEK 12","")))</f>
        <v/>
      </c>
    </row>
    <row r="31">
      <c r="A31" s="3" t="s">
        <v>25</v>
      </c>
      <c r="B31">
        <f>'WEEK 1 '!B114</f>
        <v>70</v>
      </c>
      <c r="C31" s="3">
        <v>10.0</v>
      </c>
      <c r="D31" s="3">
        <v>14.0</v>
      </c>
      <c r="E31" s="3"/>
      <c r="F31" s="3"/>
      <c r="G31" s="3"/>
      <c r="H31" s="3"/>
      <c r="I31" s="3"/>
      <c r="J31" s="3"/>
      <c r="K31" s="3"/>
      <c r="L31" s="3"/>
      <c r="M31" s="3"/>
    </row>
    <row r="32">
      <c r="A32" s="3" t="s">
        <v>26</v>
      </c>
      <c r="C32" s="3">
        <v>5.0</v>
      </c>
      <c r="D32" s="3">
        <v>8.0</v>
      </c>
      <c r="E32" s="3">
        <v>13.0</v>
      </c>
      <c r="F32" s="9"/>
      <c r="G32" s="7"/>
      <c r="H32" s="7"/>
      <c r="I32" s="7"/>
      <c r="J32" s="7"/>
      <c r="K32" s="7"/>
      <c r="L32" s="7"/>
      <c r="M32" s="7"/>
    </row>
    <row r="33">
      <c r="A33" s="3"/>
      <c r="C33" s="3"/>
      <c r="D33" s="3"/>
      <c r="E33" s="3"/>
    </row>
    <row r="35">
      <c r="B35" s="5" t="str">
        <f>IF(B36&gt;0,"MAX WEEK",IF(B37&gt;0,"MAX WEEK",if(B38&gt;0,"MAX WEEK","")))</f>
        <v>MAX WEEK</v>
      </c>
      <c r="C35" s="6" t="str">
        <f>IF(C36&gt;0,"WEEK 1",IF(C37&gt;0,"WEEK 1",if(C38&gt;0,"WEEK 1","")))</f>
        <v/>
      </c>
      <c r="D35" s="6" t="str">
        <f>IF(D36&gt;0,"WEEK 2",IF(D37&gt;0,"WEEK 2",if(D38&gt;0,"WEEK 2","")))</f>
        <v/>
      </c>
      <c r="E35" s="6" t="str">
        <f>IF(E36&gt;0,"WEEK 4",IF(E37&gt;0,"WEEK 4",if(E38&gt;0,"WEEK 4","")))</f>
        <v>#REF!</v>
      </c>
      <c r="F35" s="6" t="str">
        <f>IF(F36&gt;0,"WEEK 5",IF(F37&gt;0,"WEEK 5",if(F38&gt;0,"WEEK 5","")))</f>
        <v/>
      </c>
      <c r="G35" s="6" t="str">
        <f>IF(G36&gt;0,"WEEK 6",IF(G37&gt;0,"WEEK 6",if(G38&gt;0,"WEEK 6","")))</f>
        <v/>
      </c>
      <c r="H35" s="6" t="str">
        <f>IF(H36&gt;0,"WEEK 7",IF(H37&gt;0,"WEEK 7",if(H38&gt;0,"WEEK 7","")))</f>
        <v/>
      </c>
      <c r="I35" s="6" t="str">
        <f>IF(I36&gt;0,"WEEK 8",IF(I37&gt;0,"WEEK 8",if(I38&gt;0,"WEEK 8","")))</f>
        <v/>
      </c>
      <c r="J35" s="6" t="str">
        <f>IF(J36&gt;0,"WEEK 9",IF(J37&gt;0,"WEEK 9",if(J38&gt;0,"WEEK 9","")))</f>
        <v/>
      </c>
      <c r="K35" s="6" t="str">
        <f>IF(K36&gt;0,"WEEK 10",IF(K37&gt;0,"WEEK 10",if(K38&gt;0,"WEEK 10","")))</f>
        <v/>
      </c>
      <c r="L35" s="6" t="str">
        <f>IF(L36&gt;0,"WEEK 11",IF(L37&gt;0,"WEEK 11",if(L38&gt;0,"WEEK 11","")))</f>
        <v/>
      </c>
      <c r="M35" s="6" t="str">
        <f>IF(M36&gt;0,"WEEK 12",IF(M37&gt;0,"WEEK 12",if(M38&gt;0,"WEEK 12","")))</f>
        <v/>
      </c>
    </row>
    <row r="36">
      <c r="A36" s="3" t="s">
        <v>27</v>
      </c>
      <c r="B36">
        <f>'DETERMINING MAX WEEK'!E193</f>
        <v>40</v>
      </c>
      <c r="C36" s="3"/>
      <c r="D36" s="3"/>
      <c r="E36" s="3" t="str">
        <f>#REF!</f>
        <v>#REF!</v>
      </c>
      <c r="F36" s="3"/>
      <c r="G36" s="3"/>
      <c r="H36" s="3"/>
      <c r="I36" s="3"/>
      <c r="J36" s="3"/>
      <c r="K36" s="3"/>
      <c r="L36" s="3"/>
      <c r="M36" s="3"/>
    </row>
    <row r="37">
      <c r="A37" s="3" t="s">
        <v>28</v>
      </c>
      <c r="C37" s="3"/>
      <c r="D37" s="3" t="str">
        <f>'WEEK 2'!I153</f>
        <v/>
      </c>
      <c r="E37" s="3"/>
      <c r="F37" s="7"/>
      <c r="G37" s="7"/>
      <c r="H37" s="7"/>
      <c r="I37" s="7"/>
      <c r="J37" s="7"/>
      <c r="K37" s="7"/>
      <c r="L37" s="7"/>
      <c r="M37" s="7"/>
    </row>
    <row r="38">
      <c r="A38" s="3" t="s">
        <v>29</v>
      </c>
      <c r="C38" s="3" t="str">
        <f>'WEEK 1 '!B166</f>
        <v/>
      </c>
      <c r="D38" s="3" t="str">
        <f>'WEEK 2'!B158</f>
        <v/>
      </c>
      <c r="E38" s="3"/>
    </row>
    <row r="42">
      <c r="B42" s="5" t="str">
        <f>IF(B43&gt;0,"MAX WEEK",IF(B44&gt;0,"MAX WEEK",if(B45&gt;0,"MAX WEEK","")))</f>
        <v>MAX WEEK</v>
      </c>
      <c r="C42" s="6" t="str">
        <f>IF(C43&gt;0,"WEEK 1",IF(C44&gt;0,"WEEK 1",if(C45&gt;0,"WEEK 1","")))</f>
        <v>#REF!</v>
      </c>
      <c r="D42" s="6" t="str">
        <f>IF(D43&gt;0,"WEEK 2",IF(D44&gt;0,"WEEK 2",if(D45&gt;0,"WEEK 2","")))</f>
        <v/>
      </c>
      <c r="E42" s="6" t="str">
        <f>IF(E43&gt;0,"WEEK 3",IF(E44&gt;0,"WEEK 3",if(E45&gt;0,"WEEK 3","")))</f>
        <v>#REF!</v>
      </c>
      <c r="F42" s="6" t="str">
        <f>IF(F43&gt;0,"WEEK 5",IF(F44&gt;0,"WEEK 5",if(F45&gt;0,"WEEK 5","")))</f>
        <v/>
      </c>
      <c r="G42" s="6" t="str">
        <f>IF(G43&gt;0,"WEEK 6",IF(G44&gt;0,"WEEK 6",if(G45&gt;0,"WEEK 6","")))</f>
        <v/>
      </c>
      <c r="H42" s="6" t="str">
        <f>IF(H43&gt;0,"WEEK 7",IF(H44&gt;0,"WEEK 7",if(H45&gt;0,"WEEK 7","")))</f>
        <v/>
      </c>
      <c r="I42" s="6" t="str">
        <f>IF(I43&gt;0,"WEEK 8",IF(I44&gt;0,"WEEK 8",if(I45&gt;0,"WEEK 8","")))</f>
        <v/>
      </c>
      <c r="J42" s="6" t="str">
        <f>IF(J43&gt;0,"WEEK 9",IF(J44&gt;0,"WEEK 9",if(J45&gt;0,"WEEK 9","")))</f>
        <v/>
      </c>
      <c r="K42" s="6" t="str">
        <f>IF(K43&gt;0,"WEEK 10",IF(K44&gt;0,"WEEK 10",if(K45&gt;0,"WEEK 10","")))</f>
        <v/>
      </c>
      <c r="L42" s="6" t="str">
        <f>IF(L43&gt;0,"WEEK 11",IF(L44&gt;0,"WEEK 11",if(L45&gt;0,"WEEK 11","")))</f>
        <v/>
      </c>
      <c r="M42" s="6" t="str">
        <f>IF(M43&gt;0,"WEEK 12",IF(M44&gt;0,"WEEK 12",if(M45&gt;0,"WEEK 12","")))</f>
        <v/>
      </c>
    </row>
    <row r="43">
      <c r="A43" s="3" t="s">
        <v>30</v>
      </c>
      <c r="B43">
        <f>'WEEK 1 '!B145</f>
        <v>100</v>
      </c>
      <c r="C43" s="3" t="str">
        <f>#REF!</f>
        <v>#REF!</v>
      </c>
      <c r="D43" s="3"/>
      <c r="E43" s="3"/>
      <c r="F43" s="3"/>
      <c r="G43" s="3"/>
      <c r="H43" s="3"/>
      <c r="I43" s="3"/>
      <c r="J43" s="3"/>
      <c r="K43" s="3"/>
      <c r="L43" s="3"/>
      <c r="M43" s="3"/>
    </row>
    <row r="44">
      <c r="A44" s="3" t="s">
        <v>31</v>
      </c>
      <c r="C44" s="3"/>
      <c r="D44" s="3"/>
      <c r="E44" s="3" t="str">
        <f>#REF!</f>
        <v>#REF!</v>
      </c>
      <c r="F44" s="7"/>
      <c r="G44" s="7"/>
      <c r="H44" s="7"/>
      <c r="I44" s="7"/>
      <c r="J44" s="7"/>
      <c r="K44" s="7"/>
      <c r="L44" s="7"/>
      <c r="M44" s="7"/>
    </row>
    <row r="45">
      <c r="A45" s="3"/>
      <c r="C45" s="3"/>
      <c r="D45" s="3"/>
      <c r="E45"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row>
    <row r="8">
      <c r="A8" s="11"/>
      <c r="B8" s="11"/>
      <c r="C8" s="11"/>
      <c r="D8" s="11"/>
      <c r="E8" s="11"/>
      <c r="F8" s="11"/>
    </row>
    <row r="9">
      <c r="A9" s="12" t="s">
        <v>32</v>
      </c>
      <c r="B9" s="13"/>
      <c r="C9" s="13"/>
      <c r="D9" s="13"/>
      <c r="E9" s="13"/>
      <c r="F9" s="14"/>
    </row>
    <row r="10">
      <c r="A10" s="15" t="str">
        <f>HYPERLINK("https://goo.gl/forms/3ibooB993Hi7SS2d2","PRESS TO RECORD BODY WEIGHT")</f>
        <v>PRESS TO RECORD BODY WEIGHT</v>
      </c>
      <c r="B10" s="16"/>
      <c r="C10" s="16"/>
      <c r="D10" s="16"/>
      <c r="E10" s="16"/>
      <c r="F10" s="17"/>
    </row>
    <row r="11">
      <c r="A11" s="18"/>
      <c r="B11" s="13"/>
      <c r="C11" s="13"/>
      <c r="D11" s="13"/>
      <c r="E11" s="13"/>
      <c r="F11" s="14"/>
    </row>
    <row r="12">
      <c r="A12" s="19" t="s">
        <v>33</v>
      </c>
      <c r="B12" s="20"/>
      <c r="C12" s="20"/>
      <c r="D12" s="20"/>
      <c r="E12" s="20"/>
      <c r="F12" s="21"/>
    </row>
    <row r="13">
      <c r="A13" s="22" t="s">
        <v>34</v>
      </c>
      <c r="B13" s="20"/>
      <c r="C13" s="20"/>
      <c r="D13" s="20"/>
      <c r="E13" s="20"/>
      <c r="F13" s="21"/>
    </row>
    <row r="14">
      <c r="A14" s="23"/>
    </row>
    <row r="15">
      <c r="A15" s="24" t="s">
        <v>35</v>
      </c>
      <c r="B15" s="25"/>
      <c r="C15" s="25"/>
      <c r="D15" s="25"/>
      <c r="E15" s="25"/>
      <c r="F15" s="26"/>
    </row>
    <row r="16">
      <c r="A16" s="27" t="s">
        <v>36</v>
      </c>
      <c r="F16" s="28"/>
    </row>
    <row r="17">
      <c r="A17" s="29" t="s">
        <v>37</v>
      </c>
      <c r="B17" s="30"/>
      <c r="C17" s="30"/>
      <c r="D17" s="30"/>
      <c r="E17" s="30"/>
      <c r="F17" s="31"/>
    </row>
    <row r="18">
      <c r="A18" s="32" t="s">
        <v>38</v>
      </c>
      <c r="B18" s="33"/>
      <c r="C18" s="33"/>
      <c r="D18" s="33"/>
      <c r="E18" s="33"/>
      <c r="F18" s="34"/>
    </row>
    <row r="19">
      <c r="A19" s="23"/>
    </row>
    <row r="21">
      <c r="A21" s="35" t="s">
        <v>39</v>
      </c>
      <c r="B21" s="36"/>
      <c r="C21" s="36"/>
      <c r="D21" s="36"/>
      <c r="E21" s="36"/>
      <c r="F21" s="37"/>
    </row>
    <row r="22">
      <c r="A22" s="38"/>
      <c r="F22" s="39"/>
    </row>
    <row r="23">
      <c r="A23" s="40" t="s">
        <v>40</v>
      </c>
      <c r="B23" s="25"/>
      <c r="C23" s="41">
        <v>100.0</v>
      </c>
      <c r="D23" s="36"/>
      <c r="E23" s="36"/>
      <c r="F23" s="37"/>
    </row>
    <row r="24">
      <c r="A24" s="42" t="s">
        <v>41</v>
      </c>
      <c r="B24" s="36"/>
      <c r="C24" s="36"/>
      <c r="D24" s="36"/>
      <c r="E24" s="36"/>
      <c r="F24" s="37"/>
    </row>
    <row r="25">
      <c r="A25" s="43" t="s">
        <v>42</v>
      </c>
      <c r="B25" s="36"/>
      <c r="C25" s="37"/>
      <c r="D25" s="44" t="s">
        <v>43</v>
      </c>
      <c r="E25" s="36"/>
      <c r="F25" s="37"/>
    </row>
    <row r="26">
      <c r="A26" s="45" t="s">
        <v>44</v>
      </c>
      <c r="B26" s="11"/>
      <c r="C26" s="46"/>
      <c r="D26" s="47" t="s">
        <v>45</v>
      </c>
      <c r="E26" s="11"/>
      <c r="F26" s="46"/>
    </row>
    <row r="27">
      <c r="A27" s="48" t="s">
        <v>46</v>
      </c>
      <c r="B27" s="11"/>
      <c r="C27" s="46"/>
      <c r="D27" s="49"/>
      <c r="E27" s="11"/>
      <c r="F27" s="46"/>
    </row>
    <row r="29">
      <c r="A29" s="50" t="s">
        <v>47</v>
      </c>
      <c r="B29" s="36"/>
      <c r="C29" s="36"/>
      <c r="D29" s="36"/>
      <c r="E29" s="36"/>
      <c r="F29" s="37"/>
    </row>
    <row r="32">
      <c r="A32" s="51" t="s">
        <v>48</v>
      </c>
      <c r="B32" s="36"/>
      <c r="C32" s="36"/>
      <c r="D32" s="36"/>
      <c r="E32" s="36"/>
      <c r="F32" s="37"/>
    </row>
    <row r="33">
      <c r="A33" s="52" t="str">
        <f>HYPERLINK("https://youtu.be/ujVN-A0Z-ic","1. DUMBBELL INCLINE PRESS")</f>
        <v>1. DUMBBELL INCLINE PRESS</v>
      </c>
      <c r="B33" s="53"/>
      <c r="C33" s="53"/>
      <c r="D33" s="53"/>
      <c r="E33" s="53"/>
      <c r="F33" s="54"/>
    </row>
    <row r="34">
      <c r="A34" s="55" t="s">
        <v>49</v>
      </c>
      <c r="B34" s="56">
        <f>IF((AND(A27="",C23&gt;=170)),25,IF((AND(A27="",C23&lt;170)),20,IF((AND(D27="",C23&gt;170)),15,12.5)))</f>
        <v>12.5</v>
      </c>
      <c r="C34" s="13"/>
      <c r="D34" s="13"/>
      <c r="E34" s="13"/>
      <c r="F34" s="57"/>
    </row>
    <row r="35">
      <c r="A35" s="58" t="s">
        <v>50</v>
      </c>
      <c r="B35" s="59" t="s">
        <v>51</v>
      </c>
      <c r="C35" s="59" t="s">
        <v>52</v>
      </c>
      <c r="D35" s="59" t="s">
        <v>53</v>
      </c>
      <c r="E35" s="60" t="s">
        <v>54</v>
      </c>
      <c r="F35" s="61" t="s">
        <v>55</v>
      </c>
    </row>
    <row r="36">
      <c r="A36" s="62">
        <v>1.0</v>
      </c>
      <c r="B36" s="63">
        <f>B34</f>
        <v>12.5</v>
      </c>
      <c r="C36" s="64" t="s">
        <v>56</v>
      </c>
      <c r="D36" s="65" t="s">
        <v>57</v>
      </c>
      <c r="E36" s="66"/>
      <c r="F36" s="67">
        <v>10.0</v>
      </c>
    </row>
    <row r="37">
      <c r="A37" s="62">
        <v>2.0</v>
      </c>
      <c r="B37" s="63">
        <f>IF(F36&lt;10,MROUND(B36*0.85,2.5),B36)</f>
        <v>12.5</v>
      </c>
      <c r="C37" s="64" t="s">
        <v>56</v>
      </c>
      <c r="D37" s="65" t="s">
        <v>57</v>
      </c>
      <c r="E37" s="66"/>
      <c r="F37" s="67">
        <v>10.0</v>
      </c>
    </row>
    <row r="38">
      <c r="A38" s="68">
        <v>3.0</v>
      </c>
      <c r="B38" s="69">
        <f>IF(F37&lt;10,MROUND(B37*0.8,2.5),B37)</f>
        <v>12.5</v>
      </c>
      <c r="C38" s="70" t="s">
        <v>56</v>
      </c>
      <c r="D38" s="71" t="s">
        <v>57</v>
      </c>
      <c r="E38" s="72"/>
      <c r="F38" s="67">
        <v>10.0</v>
      </c>
    </row>
    <row r="41">
      <c r="A41" s="73" t="str">
        <f>HYPERLINK("https://www.youtube.com/watch?v=PnaDzYh2axA","2. LAT PULL DOWN")</f>
        <v>2. LAT PULL DOWN</v>
      </c>
      <c r="B41" s="53"/>
      <c r="C41" s="53"/>
      <c r="D41" s="53"/>
      <c r="E41" s="53"/>
      <c r="F41" s="54"/>
    </row>
    <row r="42">
      <c r="A42" s="55" t="s">
        <v>49</v>
      </c>
      <c r="B42" s="56">
        <f>IF((AND(A27="",C23&gt;=170)),35,IF((AND(A27="",C23&lt;170)),20,IF((AND(D27="",C23&gt;170)),30,25)))</f>
        <v>25</v>
      </c>
      <c r="C42" s="13"/>
      <c r="D42" s="13"/>
      <c r="E42" s="13"/>
      <c r="F42" s="57"/>
    </row>
    <row r="43">
      <c r="A43" s="58" t="s">
        <v>50</v>
      </c>
      <c r="B43" s="59" t="s">
        <v>51</v>
      </c>
      <c r="C43" s="59" t="s">
        <v>52</v>
      </c>
      <c r="D43" s="59" t="s">
        <v>53</v>
      </c>
      <c r="E43" s="60" t="s">
        <v>54</v>
      </c>
      <c r="F43" s="61" t="s">
        <v>55</v>
      </c>
    </row>
    <row r="44">
      <c r="A44" s="62">
        <v>1.0</v>
      </c>
      <c r="B44" s="63">
        <f>B42</f>
        <v>25</v>
      </c>
      <c r="C44" s="64" t="s">
        <v>56</v>
      </c>
      <c r="D44" s="65" t="s">
        <v>57</v>
      </c>
      <c r="E44" s="66"/>
      <c r="F44" s="67">
        <v>12.0</v>
      </c>
    </row>
    <row r="45">
      <c r="A45" s="62">
        <v>2.0</v>
      </c>
      <c r="B45" s="63">
        <f t="shared" ref="B45:B46" si="1">IF(F44&lt;10,MROUND(B44*0.8,5),B44)</f>
        <v>25</v>
      </c>
      <c r="C45" s="64" t="s">
        <v>56</v>
      </c>
      <c r="D45" s="65" t="s">
        <v>57</v>
      </c>
      <c r="E45" s="66"/>
      <c r="F45" s="67">
        <v>12.0</v>
      </c>
    </row>
    <row r="46">
      <c r="A46" s="68">
        <v>3.0</v>
      </c>
      <c r="B46" s="69">
        <f t="shared" si="1"/>
        <v>25</v>
      </c>
      <c r="C46" s="70" t="s">
        <v>56</v>
      </c>
      <c r="D46" s="71" t="s">
        <v>57</v>
      </c>
      <c r="E46" s="72"/>
      <c r="F46" s="67">
        <v>12.0</v>
      </c>
    </row>
    <row r="49">
      <c r="A49" s="74" t="str">
        <f>HYPERLINK("https://www.youtube.com/watch?v=Yke__29qVfo","3. TRICEPS PUSHDOWN (STRAIGHT BAR)")</f>
        <v>3. TRICEPS PUSHDOWN (STRAIGHT BAR)</v>
      </c>
      <c r="B49" s="53"/>
      <c r="C49" s="53"/>
      <c r="D49" s="53"/>
      <c r="E49" s="53"/>
      <c r="F49" s="54"/>
    </row>
    <row r="50">
      <c r="A50" s="55" t="s">
        <v>49</v>
      </c>
      <c r="B50" s="56">
        <f>IF((AND(A27="",C23&gt;=170)),15,IF((AND(A27="",C23&lt;170)),10,IF((AND(D27="",C23&gt;170)),12.5,10)))</f>
        <v>10</v>
      </c>
      <c r="C50" s="13"/>
      <c r="D50" s="13"/>
      <c r="E50" s="13"/>
      <c r="F50" s="57"/>
    </row>
    <row r="51">
      <c r="A51" s="58" t="s">
        <v>50</v>
      </c>
      <c r="B51" s="59" t="s">
        <v>51</v>
      </c>
      <c r="C51" s="59" t="s">
        <v>52</v>
      </c>
      <c r="D51" s="59" t="s">
        <v>53</v>
      </c>
      <c r="E51" s="60" t="s">
        <v>54</v>
      </c>
      <c r="F51" s="61" t="s">
        <v>55</v>
      </c>
    </row>
    <row r="52">
      <c r="A52" s="62">
        <v>1.0</v>
      </c>
      <c r="B52" s="63">
        <f>B50</f>
        <v>10</v>
      </c>
      <c r="C52" s="64" t="s">
        <v>56</v>
      </c>
      <c r="D52" s="65" t="s">
        <v>57</v>
      </c>
      <c r="E52" s="66"/>
      <c r="F52" s="67">
        <v>5.0</v>
      </c>
    </row>
    <row r="53">
      <c r="A53" s="62">
        <v>2.0</v>
      </c>
      <c r="B53" s="63">
        <f t="shared" ref="B53:B54" si="2">IF(F52&lt;10,MROUND(B52*0.8,2.5),B52)</f>
        <v>7.5</v>
      </c>
      <c r="C53" s="64" t="s">
        <v>56</v>
      </c>
      <c r="D53" s="65" t="s">
        <v>57</v>
      </c>
      <c r="E53" s="66"/>
      <c r="F53" s="67">
        <v>12.0</v>
      </c>
    </row>
    <row r="54">
      <c r="A54" s="68">
        <v>3.0</v>
      </c>
      <c r="B54" s="69">
        <f t="shared" si="2"/>
        <v>7.5</v>
      </c>
      <c r="C54" s="70" t="s">
        <v>56</v>
      </c>
      <c r="D54" s="71" t="s">
        <v>57</v>
      </c>
      <c r="E54" s="72"/>
      <c r="F54" s="67"/>
    </row>
    <row r="57">
      <c r="A57" s="75" t="str">
        <f>HYPERLINK("https://www.youtube.com/watch?v=9IqvmIhFxtY","4. BICEP CABLE CURL")</f>
        <v>4. BICEP CABLE CURL</v>
      </c>
      <c r="B57" s="53"/>
      <c r="C57" s="53"/>
      <c r="D57" s="53"/>
      <c r="E57" s="53"/>
      <c r="F57" s="54"/>
    </row>
    <row r="58">
      <c r="A58" s="55" t="s">
        <v>49</v>
      </c>
      <c r="B58" s="76">
        <f>IF((AND(A27="",C23&gt;=170)),20,IF((AND(A27="",C23&lt;170)),15,IF((AND(D27="",C23&gt;170)),12.5,10)))</f>
        <v>10</v>
      </c>
      <c r="C58" s="13"/>
      <c r="D58" s="13"/>
      <c r="E58" s="13"/>
      <c r="F58" s="57"/>
    </row>
    <row r="59">
      <c r="A59" s="77" t="s">
        <v>50</v>
      </c>
      <c r="B59" s="78" t="s">
        <v>51</v>
      </c>
      <c r="C59" s="79" t="s">
        <v>52</v>
      </c>
      <c r="D59" s="78" t="s">
        <v>53</v>
      </c>
      <c r="E59" s="80" t="s">
        <v>54</v>
      </c>
      <c r="F59" s="61" t="s">
        <v>55</v>
      </c>
    </row>
    <row r="60">
      <c r="A60" s="81">
        <v>1.0</v>
      </c>
      <c r="B60" s="82">
        <f>B58</f>
        <v>10</v>
      </c>
      <c r="C60" s="64" t="s">
        <v>56</v>
      </c>
      <c r="D60" s="83" t="s">
        <v>58</v>
      </c>
      <c r="E60" s="84" t="str">
        <f>IF('WEEK 1 '!B54=B60,'WEEK 1 '!F54,"")</f>
        <v/>
      </c>
      <c r="F60" s="85">
        <v>10.0</v>
      </c>
    </row>
    <row r="61">
      <c r="A61" s="81">
        <v>2.0</v>
      </c>
      <c r="B61" s="82">
        <f t="shared" ref="B61:B62" si="3">IF(F60&lt;10,MROUND(B60*0.85,5),B60)</f>
        <v>10</v>
      </c>
      <c r="C61" s="64" t="s">
        <v>56</v>
      </c>
      <c r="D61" s="83" t="s">
        <v>58</v>
      </c>
      <c r="E61" s="84" t="str">
        <f>IF('WEEK 1 '!B55=B61,'WEEK 1 '!F55,"")</f>
        <v/>
      </c>
      <c r="F61" s="85">
        <v>10.0</v>
      </c>
    </row>
    <row r="62">
      <c r="A62" s="86">
        <v>3.0</v>
      </c>
      <c r="B62" s="87">
        <f t="shared" si="3"/>
        <v>10</v>
      </c>
      <c r="C62" s="70" t="s">
        <v>56</v>
      </c>
      <c r="D62" s="88" t="s">
        <v>58</v>
      </c>
      <c r="E62" s="89" t="str">
        <f>IF('WEEK 1 '!B56=B62,'WEEK 1 '!F56,"")</f>
        <v/>
      </c>
      <c r="F62" s="85">
        <v>10.0</v>
      </c>
    </row>
    <row r="65">
      <c r="A65" s="50" t="s">
        <v>59</v>
      </c>
      <c r="B65" s="36"/>
      <c r="C65" s="36"/>
      <c r="D65" s="36"/>
      <c r="E65" s="36"/>
      <c r="F65" s="37"/>
    </row>
    <row r="68">
      <c r="A68" s="51" t="s">
        <v>60</v>
      </c>
      <c r="B68" s="36"/>
      <c r="C68" s="36"/>
      <c r="D68" s="36"/>
      <c r="E68" s="36"/>
      <c r="F68" s="37"/>
    </row>
    <row r="69">
      <c r="A69" s="52" t="str">
        <f>HYPERLINK("https://youtu.be/ujVN-A0Z-ic","1. DUMBBELL INCLINE PRESS")</f>
        <v>1. DUMBBELL INCLINE PRESS</v>
      </c>
      <c r="B69" s="53"/>
      <c r="C69" s="53"/>
      <c r="D69" s="53"/>
      <c r="E69" s="53"/>
      <c r="F69" s="54"/>
    </row>
    <row r="70">
      <c r="A70" s="55" t="s">
        <v>49</v>
      </c>
      <c r="B70" s="90">
        <f>IF(B36=B38,B36+2.5,IF(B36&lt;=9,MROUND(B36*0.95,5),B37))</f>
        <v>15</v>
      </c>
      <c r="C70" s="13"/>
      <c r="D70" s="13"/>
      <c r="E70" s="13"/>
      <c r="F70" s="57"/>
    </row>
    <row r="71">
      <c r="A71" s="58" t="s">
        <v>50</v>
      </c>
      <c r="B71" s="59" t="s">
        <v>51</v>
      </c>
      <c r="C71" s="59" t="s">
        <v>52</v>
      </c>
      <c r="D71" s="59" t="s">
        <v>53</v>
      </c>
      <c r="E71" s="60" t="s">
        <v>54</v>
      </c>
      <c r="F71" s="61" t="s">
        <v>55</v>
      </c>
    </row>
    <row r="72">
      <c r="A72" s="62">
        <v>1.0</v>
      </c>
      <c r="B72" s="63">
        <f>B70</f>
        <v>15</v>
      </c>
      <c r="C72" s="64" t="s">
        <v>56</v>
      </c>
      <c r="D72" s="65" t="s">
        <v>57</v>
      </c>
      <c r="E72" s="66"/>
      <c r="F72" s="67">
        <v>10.0</v>
      </c>
    </row>
    <row r="73">
      <c r="A73" s="62">
        <v>2.0</v>
      </c>
      <c r="B73" s="63">
        <f t="shared" ref="B73:B74" si="4">IF(F72&lt;10,MROUND(B72*0.8,2.5),B72)</f>
        <v>15</v>
      </c>
      <c r="C73" s="64" t="s">
        <v>56</v>
      </c>
      <c r="D73" s="65" t="s">
        <v>57</v>
      </c>
      <c r="E73" s="66"/>
      <c r="F73" s="67">
        <v>10.0</v>
      </c>
    </row>
    <row r="74">
      <c r="A74" s="68">
        <v>3.0</v>
      </c>
      <c r="B74" s="69">
        <f t="shared" si="4"/>
        <v>15</v>
      </c>
      <c r="C74" s="70" t="s">
        <v>56</v>
      </c>
      <c r="D74" s="71" t="s">
        <v>57</v>
      </c>
      <c r="E74" s="72"/>
      <c r="F74" s="67">
        <v>10.0</v>
      </c>
    </row>
    <row r="77">
      <c r="A77" s="73" t="str">
        <f>HYPERLINK("https://www.youtube.com/watch?v=PnaDzYh2axA","2. LAT PULL DOWN")</f>
        <v>2. LAT PULL DOWN</v>
      </c>
      <c r="B77" s="53"/>
      <c r="C77" s="53"/>
      <c r="D77" s="53"/>
      <c r="E77" s="53"/>
      <c r="F77" s="54"/>
    </row>
    <row r="78">
      <c r="A78" s="55" t="s">
        <v>49</v>
      </c>
      <c r="B78" s="90">
        <f>IF(B44=B46,B44+5,IF(B44&lt;=9,MROUND(B44*0.95,5),B45))</f>
        <v>30</v>
      </c>
      <c r="C78" s="13"/>
      <c r="D78" s="13"/>
      <c r="E78" s="13"/>
      <c r="F78" s="57"/>
    </row>
    <row r="79">
      <c r="A79" s="58" t="s">
        <v>50</v>
      </c>
      <c r="B79" s="59" t="s">
        <v>51</v>
      </c>
      <c r="C79" s="59" t="s">
        <v>52</v>
      </c>
      <c r="D79" s="59" t="s">
        <v>53</v>
      </c>
      <c r="E79" s="60" t="s">
        <v>54</v>
      </c>
      <c r="F79" s="61" t="s">
        <v>55</v>
      </c>
    </row>
    <row r="80">
      <c r="A80" s="62">
        <v>1.0</v>
      </c>
      <c r="B80" s="63">
        <f>B78</f>
        <v>30</v>
      </c>
      <c r="C80" s="64" t="s">
        <v>56</v>
      </c>
      <c r="D80" s="65" t="s">
        <v>57</v>
      </c>
      <c r="E80" s="66"/>
      <c r="F80" s="67">
        <v>10.0</v>
      </c>
    </row>
    <row r="81">
      <c r="A81" s="62">
        <v>2.0</v>
      </c>
      <c r="B81" s="63">
        <f t="shared" ref="B81:B82" si="5">IF(F80&lt;10,MROUND(B80*0.8,5),B80)</f>
        <v>30</v>
      </c>
      <c r="C81" s="64" t="s">
        <v>56</v>
      </c>
      <c r="D81" s="65" t="s">
        <v>57</v>
      </c>
      <c r="E81" s="66"/>
      <c r="F81" s="67">
        <v>10.0</v>
      </c>
    </row>
    <row r="82">
      <c r="A82" s="68">
        <v>3.0</v>
      </c>
      <c r="B82" s="69">
        <f t="shared" si="5"/>
        <v>30</v>
      </c>
      <c r="C82" s="70" t="s">
        <v>56</v>
      </c>
      <c r="D82" s="71" t="s">
        <v>57</v>
      </c>
      <c r="E82" s="72"/>
      <c r="F82" s="67">
        <v>10.0</v>
      </c>
    </row>
    <row r="85">
      <c r="A85" s="74" t="str">
        <f>HYPERLINK("https://www.youtube.com/watch?v=Yke__29qVfo","3. TRICEPS PUSHDOWN (STRAIGHT BAR)")</f>
        <v>3. TRICEPS PUSHDOWN (STRAIGHT BAR)</v>
      </c>
      <c r="B85" s="53"/>
      <c r="C85" s="53"/>
      <c r="D85" s="53"/>
      <c r="E85" s="53"/>
      <c r="F85" s="54"/>
    </row>
    <row r="86">
      <c r="A86" s="55" t="s">
        <v>49</v>
      </c>
      <c r="B86" s="90">
        <f>IF(B52=B54,B52+5,IF(B52&lt;=9,MROUND(B52*0.95,5),B53))</f>
        <v>7.5</v>
      </c>
      <c r="C86" s="13"/>
      <c r="D86" s="13"/>
      <c r="E86" s="13"/>
      <c r="F86" s="57"/>
    </row>
    <row r="87">
      <c r="A87" s="58" t="s">
        <v>50</v>
      </c>
      <c r="B87" s="59" t="s">
        <v>51</v>
      </c>
      <c r="C87" s="59" t="s">
        <v>52</v>
      </c>
      <c r="D87" s="59" t="s">
        <v>53</v>
      </c>
      <c r="E87" s="60" t="s">
        <v>54</v>
      </c>
      <c r="F87" s="61" t="s">
        <v>55</v>
      </c>
    </row>
    <row r="88">
      <c r="A88" s="62">
        <v>1.0</v>
      </c>
      <c r="B88" s="63">
        <f>B86</f>
        <v>7.5</v>
      </c>
      <c r="C88" s="64" t="s">
        <v>56</v>
      </c>
      <c r="D88" s="65" t="s">
        <v>57</v>
      </c>
      <c r="E88" s="66"/>
      <c r="F88" s="67">
        <v>10.0</v>
      </c>
    </row>
    <row r="89">
      <c r="A89" s="62">
        <v>2.0</v>
      </c>
      <c r="B89" s="63">
        <f t="shared" ref="B89:B90" si="6">IF(F88&lt;10,MROUND(B88*0.8,2.5),B88)</f>
        <v>7.5</v>
      </c>
      <c r="C89" s="64" t="s">
        <v>56</v>
      </c>
      <c r="D89" s="65" t="s">
        <v>57</v>
      </c>
      <c r="E89" s="66"/>
      <c r="F89" s="67">
        <v>10.0</v>
      </c>
    </row>
    <row r="90">
      <c r="A90" s="68">
        <v>3.0</v>
      </c>
      <c r="B90" s="69">
        <f t="shared" si="6"/>
        <v>7.5</v>
      </c>
      <c r="C90" s="70" t="s">
        <v>56</v>
      </c>
      <c r="D90" s="71" t="s">
        <v>57</v>
      </c>
      <c r="E90" s="72"/>
      <c r="F90" s="67">
        <v>10.0</v>
      </c>
    </row>
    <row r="93">
      <c r="A93" s="75" t="str">
        <f>HYPERLINK("https://www.youtube.com/watch?v=9IqvmIhFxtY","4. BICEP CABLE CURL")</f>
        <v>4. BICEP CABLE CURL</v>
      </c>
      <c r="B93" s="53"/>
      <c r="C93" s="53"/>
      <c r="D93" s="53"/>
      <c r="E93" s="53"/>
      <c r="F93" s="54"/>
    </row>
    <row r="94">
      <c r="A94" s="55" t="s">
        <v>49</v>
      </c>
      <c r="B94" s="90">
        <f>IF(B60=B62,B60+5,IF(B60&lt;=9,MROUND(B60*0.95,5),B61))</f>
        <v>15</v>
      </c>
      <c r="C94" s="13"/>
      <c r="D94" s="13"/>
      <c r="E94" s="13"/>
      <c r="F94" s="57"/>
    </row>
    <row r="95">
      <c r="A95" s="77" t="s">
        <v>50</v>
      </c>
      <c r="B95" s="78" t="s">
        <v>51</v>
      </c>
      <c r="C95" s="79" t="s">
        <v>52</v>
      </c>
      <c r="D95" s="78" t="s">
        <v>53</v>
      </c>
      <c r="E95" s="80" t="s">
        <v>54</v>
      </c>
      <c r="F95" s="61" t="s">
        <v>55</v>
      </c>
    </row>
    <row r="96">
      <c r="A96" s="81">
        <v>1.0</v>
      </c>
      <c r="B96" s="82">
        <f>B94</f>
        <v>15</v>
      </c>
      <c r="C96" s="64" t="s">
        <v>56</v>
      </c>
      <c r="D96" s="83" t="s">
        <v>58</v>
      </c>
      <c r="E96" s="84" t="str">
        <f>IF('WEEK 1 '!B90=B96,'WEEK 1 '!F90,"")</f>
        <v/>
      </c>
      <c r="F96" s="85">
        <v>10.0</v>
      </c>
    </row>
    <row r="97">
      <c r="A97" s="81">
        <v>2.0</v>
      </c>
      <c r="B97" s="82">
        <f t="shared" ref="B97:B98" si="7">IF(F96&lt;10,MROUND(B96*0.8,5),B96)</f>
        <v>15</v>
      </c>
      <c r="C97" s="64" t="s">
        <v>56</v>
      </c>
      <c r="D97" s="83" t="s">
        <v>58</v>
      </c>
      <c r="E97" s="84" t="str">
        <f>IF('WEEK 1 '!B91=B97,'WEEK 1 '!F91,"")</f>
        <v/>
      </c>
      <c r="F97" s="85">
        <v>10.0</v>
      </c>
    </row>
    <row r="98">
      <c r="A98" s="86">
        <v>3.0</v>
      </c>
      <c r="B98" s="87">
        <f t="shared" si="7"/>
        <v>15</v>
      </c>
      <c r="C98" s="70" t="s">
        <v>56</v>
      </c>
      <c r="D98" s="88" t="s">
        <v>58</v>
      </c>
      <c r="E98" s="89" t="str">
        <f>IF('WEEK 1 '!B92=B98,'WEEK 1 '!F92,"")</f>
        <v/>
      </c>
      <c r="F98" s="85">
        <v>10.0</v>
      </c>
    </row>
    <row r="101">
      <c r="A101" s="73" t="str">
        <f>HYPERLINK("https://www.youtube.com/watch?v=dVterVQksD4","5. LEG PRESS")</f>
        <v>5. LEG PRESS</v>
      </c>
      <c r="B101" s="53"/>
      <c r="C101" s="53"/>
      <c r="D101" s="53"/>
      <c r="E101" s="53"/>
      <c r="F101" s="54"/>
    </row>
    <row r="102">
      <c r="A102" s="55" t="s">
        <v>49</v>
      </c>
      <c r="B102" s="56">
        <f>IF((AND(A27="",C23&gt;=170)),70,IF((AND(A27="",C23&lt;170)),60,IF((AND(D27="",C23&gt;170)),55,50)))</f>
        <v>50</v>
      </c>
      <c r="C102" s="13"/>
      <c r="D102" s="13"/>
      <c r="E102" s="13"/>
      <c r="F102" s="57"/>
    </row>
    <row r="103">
      <c r="A103" s="77" t="s">
        <v>50</v>
      </c>
      <c r="B103" s="78" t="s">
        <v>51</v>
      </c>
      <c r="C103" s="79" t="s">
        <v>52</v>
      </c>
      <c r="D103" s="78" t="s">
        <v>53</v>
      </c>
      <c r="E103" s="80" t="s">
        <v>54</v>
      </c>
      <c r="F103" s="61" t="s">
        <v>55</v>
      </c>
    </row>
    <row r="104">
      <c r="A104" s="81">
        <v>1.0</v>
      </c>
      <c r="B104" s="82">
        <f>B102</f>
        <v>50</v>
      </c>
      <c r="C104" s="64" t="s">
        <v>61</v>
      </c>
      <c r="D104" s="83" t="s">
        <v>58</v>
      </c>
      <c r="E104" s="84" t="str">
        <f>IF('WEEK 1 '!B98=B104,'WEEK 1 '!F98,"")</f>
        <v/>
      </c>
      <c r="F104" s="85">
        <v>10.0</v>
      </c>
    </row>
    <row r="105">
      <c r="A105" s="81">
        <v>2.0</v>
      </c>
      <c r="B105" s="82">
        <f t="shared" ref="B105:B106" si="8">IF(F104&lt;10,MROUND(B104*0.8,5),B104)</f>
        <v>50</v>
      </c>
      <c r="C105" s="64" t="s">
        <v>61</v>
      </c>
      <c r="D105" s="83" t="s">
        <v>58</v>
      </c>
      <c r="E105" s="84" t="str">
        <f>IF('WEEK 1 '!B99=B105,'WEEK 1 '!F99,"")</f>
        <v/>
      </c>
      <c r="F105" s="85">
        <v>10.0</v>
      </c>
    </row>
    <row r="106">
      <c r="A106" s="86">
        <v>3.0</v>
      </c>
      <c r="B106" s="87">
        <f t="shared" si="8"/>
        <v>50</v>
      </c>
      <c r="C106" s="70" t="s">
        <v>61</v>
      </c>
      <c r="D106" s="88" t="s">
        <v>58</v>
      </c>
      <c r="E106" s="89" t="str">
        <f>IF('WEEK 1 '!B100=B106,'WEEK 1 '!F100,"")</f>
        <v/>
      </c>
      <c r="F106" s="85">
        <v>10.0</v>
      </c>
    </row>
    <row r="109">
      <c r="A109" s="50" t="s">
        <v>62</v>
      </c>
      <c r="B109" s="36"/>
      <c r="C109" s="36"/>
      <c r="D109" s="36"/>
      <c r="E109" s="36"/>
      <c r="F109" s="37"/>
    </row>
    <row r="112">
      <c r="A112" s="51" t="s">
        <v>63</v>
      </c>
      <c r="B112" s="36"/>
      <c r="C112" s="36"/>
      <c r="D112" s="36"/>
      <c r="E112" s="36"/>
      <c r="F112" s="37"/>
    </row>
    <row r="113">
      <c r="A113" s="73" t="str">
        <f>HYPERLINK("https://www.youtube.com/watch?v=dVterVQksD4","1. LEG PRESS")</f>
        <v>1. LEG PRESS</v>
      </c>
      <c r="B113" s="53"/>
      <c r="C113" s="53"/>
      <c r="D113" s="53"/>
      <c r="E113" s="53"/>
      <c r="F113" s="54"/>
    </row>
    <row r="114">
      <c r="A114" s="55" t="s">
        <v>49</v>
      </c>
      <c r="B114" s="90">
        <f>IF(B104=B106,B104+15,IF(B104&lt;=9,MROUND(B104*0.95,5),B105))</f>
        <v>65</v>
      </c>
      <c r="C114" s="13"/>
      <c r="D114" s="13"/>
      <c r="E114" s="13"/>
      <c r="F114" s="57"/>
    </row>
    <row r="115">
      <c r="A115" s="77" t="s">
        <v>50</v>
      </c>
      <c r="B115" s="78" t="s">
        <v>51</v>
      </c>
      <c r="C115" s="79" t="s">
        <v>52</v>
      </c>
      <c r="D115" s="78" t="s">
        <v>53</v>
      </c>
      <c r="E115" s="80" t="s">
        <v>54</v>
      </c>
      <c r="F115" s="61" t="s">
        <v>55</v>
      </c>
    </row>
    <row r="116">
      <c r="A116" s="81">
        <v>1.0</v>
      </c>
      <c r="B116" s="82">
        <f>B114</f>
        <v>65</v>
      </c>
      <c r="C116" s="64" t="s">
        <v>64</v>
      </c>
      <c r="D116" s="83" t="s">
        <v>58</v>
      </c>
      <c r="E116" s="84" t="str">
        <f>IF('WEEK 1 '!B110=B116,'WEEK 1 '!F110,"")</f>
        <v/>
      </c>
      <c r="F116" s="85">
        <v>10.0</v>
      </c>
    </row>
    <row r="117">
      <c r="A117" s="81">
        <v>2.0</v>
      </c>
      <c r="B117" s="82">
        <f t="shared" ref="B117:B120" si="9">IF(F116&lt;15,MROUND(B116*0.95,5),B116)</f>
        <v>60</v>
      </c>
      <c r="C117" s="64" t="s">
        <v>64</v>
      </c>
      <c r="D117" s="83" t="s">
        <v>58</v>
      </c>
      <c r="E117" s="84" t="str">
        <f>IF('WEEK 1 '!B111=B117,'WEEK 1 '!F111,"")</f>
        <v/>
      </c>
      <c r="F117" s="85">
        <v>10.0</v>
      </c>
    </row>
    <row r="118">
      <c r="A118" s="81">
        <v>3.0</v>
      </c>
      <c r="B118" s="82">
        <f t="shared" si="9"/>
        <v>55</v>
      </c>
      <c r="C118" s="64" t="s">
        <v>64</v>
      </c>
      <c r="D118" s="83" t="s">
        <v>58</v>
      </c>
      <c r="E118" s="84" t="str">
        <f>IF('WEEK 1 '!B112=B118,'WEEK 1 '!F112,"")</f>
        <v/>
      </c>
      <c r="F118" s="85">
        <v>10.0</v>
      </c>
    </row>
    <row r="119">
      <c r="A119" s="91">
        <v>4.0</v>
      </c>
      <c r="B119" s="82">
        <f t="shared" si="9"/>
        <v>50</v>
      </c>
      <c r="C119" s="64" t="s">
        <v>64</v>
      </c>
      <c r="D119" s="83" t="s">
        <v>58</v>
      </c>
      <c r="E119" s="84" t="str">
        <f>IF('WEEK 1 '!B113=B119,'WEEK 1 '!F113,"")</f>
        <v/>
      </c>
      <c r="F119" s="85">
        <v>10.0</v>
      </c>
    </row>
    <row r="120">
      <c r="A120" s="92">
        <v>5.0</v>
      </c>
      <c r="B120" s="87">
        <f t="shared" si="9"/>
        <v>50</v>
      </c>
      <c r="C120" s="70" t="s">
        <v>64</v>
      </c>
      <c r="D120" s="88" t="s">
        <v>58</v>
      </c>
      <c r="E120" s="89" t="str">
        <f>IF('WEEK 1 '!B114=B120,'WEEK 1 '!F114,"")</f>
        <v/>
      </c>
      <c r="F120" s="85">
        <v>10.0</v>
      </c>
    </row>
    <row r="123">
      <c r="A123" s="93" t="str">
        <f>HYPERLINK("https://youtu.be/NZ9KiFtbiMs","2. LEG EXTENSION")</f>
        <v>2. LEG EXTENSION</v>
      </c>
      <c r="B123" s="53"/>
      <c r="C123" s="53"/>
      <c r="D123" s="53"/>
      <c r="E123" s="53"/>
      <c r="F123" s="54"/>
    </row>
    <row r="124">
      <c r="A124" s="55" t="s">
        <v>49</v>
      </c>
      <c r="B124" s="94">
        <f>IF((AND(A27="",C23&gt;=170)),40,IF((AND(A27="",C23&lt;170)),35,IF((AND(D27="",C23&gt;170)),35,30)))</f>
        <v>30</v>
      </c>
      <c r="C124" s="20"/>
      <c r="D124" s="20"/>
      <c r="E124" s="20"/>
      <c r="F124" s="95"/>
    </row>
    <row r="125">
      <c r="A125" s="96" t="s">
        <v>50</v>
      </c>
      <c r="B125" s="97" t="s">
        <v>51</v>
      </c>
      <c r="C125" s="97" t="s">
        <v>52</v>
      </c>
      <c r="D125" s="97" t="s">
        <v>53</v>
      </c>
      <c r="E125" s="98" t="s">
        <v>54</v>
      </c>
      <c r="F125" s="61" t="s">
        <v>55</v>
      </c>
    </row>
    <row r="126">
      <c r="A126" s="62">
        <v>1.0</v>
      </c>
      <c r="B126" s="99">
        <f>B124</f>
        <v>30</v>
      </c>
      <c r="C126" s="64">
        <v>10.0</v>
      </c>
      <c r="D126" s="83" t="s">
        <v>57</v>
      </c>
      <c r="E126" s="100"/>
      <c r="F126" s="85">
        <v>10.0</v>
      </c>
    </row>
    <row r="127">
      <c r="A127" s="62">
        <v>2.0</v>
      </c>
      <c r="B127" s="99">
        <f t="shared" ref="B127:B128" si="10">IF(F126&lt;10,MROUND(B126*0.8,5),B126)</f>
        <v>30</v>
      </c>
      <c r="C127" s="64">
        <v>10.0</v>
      </c>
      <c r="D127" s="83" t="s">
        <v>57</v>
      </c>
      <c r="E127" s="100"/>
      <c r="F127" s="85">
        <v>10.0</v>
      </c>
    </row>
    <row r="128">
      <c r="A128" s="68">
        <v>3.0</v>
      </c>
      <c r="B128" s="101">
        <f t="shared" si="10"/>
        <v>30</v>
      </c>
      <c r="C128" s="70">
        <v>10.0</v>
      </c>
      <c r="D128" s="88" t="s">
        <v>57</v>
      </c>
      <c r="E128" s="102"/>
      <c r="F128" s="85">
        <v>10.0</v>
      </c>
    </row>
    <row r="129">
      <c r="A129" s="103"/>
    </row>
    <row r="131">
      <c r="A131" s="73" t="str">
        <f>HYPERLINK("https://youtu.be/XepOfsnGFJg","3. LEG CURL")</f>
        <v>3. LEG CURL</v>
      </c>
      <c r="B131" s="53"/>
      <c r="C131" s="53"/>
      <c r="D131" s="53"/>
      <c r="E131" s="53"/>
      <c r="F131" s="54"/>
    </row>
    <row r="132">
      <c r="A132" s="55" t="s">
        <v>49</v>
      </c>
      <c r="B132" s="94">
        <f>IF((AND(A27="",C23&gt;=170)),40,IF((AND(A27="",C23&lt;170)),35,IF((AND(D27="",C23&gt;170)),35,30)))</f>
        <v>30</v>
      </c>
      <c r="C132" s="20"/>
      <c r="D132" s="20"/>
      <c r="E132" s="20"/>
      <c r="F132" s="95"/>
    </row>
    <row r="133">
      <c r="A133" s="96" t="s">
        <v>50</v>
      </c>
      <c r="B133" s="97" t="s">
        <v>51</v>
      </c>
      <c r="C133" s="97" t="s">
        <v>52</v>
      </c>
      <c r="D133" s="97" t="s">
        <v>53</v>
      </c>
      <c r="E133" s="98" t="s">
        <v>54</v>
      </c>
      <c r="F133" s="61" t="s">
        <v>55</v>
      </c>
    </row>
    <row r="134">
      <c r="A134" s="62">
        <v>1.0</v>
      </c>
      <c r="B134" s="99">
        <f>B132</f>
        <v>30</v>
      </c>
      <c r="C134" s="104" t="s">
        <v>65</v>
      </c>
      <c r="D134" s="83" t="s">
        <v>57</v>
      </c>
      <c r="E134" s="100"/>
      <c r="F134" s="85">
        <v>10.0</v>
      </c>
    </row>
    <row r="135">
      <c r="A135" s="62">
        <v>2.0</v>
      </c>
      <c r="B135" s="99">
        <f t="shared" ref="B135:B136" si="11">IF(F134&lt;10,MROUND(B134*0.8,5),B134)</f>
        <v>30</v>
      </c>
      <c r="C135" s="104" t="s">
        <v>65</v>
      </c>
      <c r="D135" s="83" t="s">
        <v>57</v>
      </c>
      <c r="E135" s="100"/>
      <c r="F135" s="85">
        <v>10.0</v>
      </c>
    </row>
    <row r="136">
      <c r="A136" s="68">
        <v>3.0</v>
      </c>
      <c r="B136" s="101">
        <f t="shared" si="11"/>
        <v>30</v>
      </c>
      <c r="C136" s="105" t="s">
        <v>65</v>
      </c>
      <c r="D136" s="88" t="s">
        <v>57</v>
      </c>
      <c r="E136" s="102"/>
      <c r="F136" s="85">
        <v>10.0</v>
      </c>
    </row>
    <row r="139">
      <c r="A139" s="52" t="str">
        <f>HYPERLINK("https://youtu.be/ujVN-A0Z-ic","4. DUMBBELL INCLINE PRESS")</f>
        <v>4. DUMBBELL INCLINE PRESS</v>
      </c>
      <c r="B139" s="53"/>
      <c r="C139" s="53"/>
      <c r="D139" s="53"/>
      <c r="E139" s="53"/>
      <c r="F139" s="54"/>
    </row>
    <row r="140">
      <c r="A140" s="55" t="s">
        <v>49</v>
      </c>
      <c r="B140" s="90">
        <f>IF(B72=B74,B72+2.5,IF(B72&lt;=9,MROUND(B72*0.95,5),MROUND(B72*0.85,2.5)))</f>
        <v>17.5</v>
      </c>
      <c r="C140" s="13"/>
      <c r="D140" s="13"/>
      <c r="E140" s="13"/>
      <c r="F140" s="57"/>
    </row>
    <row r="141">
      <c r="A141" s="58" t="s">
        <v>50</v>
      </c>
      <c r="B141" s="59" t="s">
        <v>51</v>
      </c>
      <c r="C141" s="59" t="s">
        <v>52</v>
      </c>
      <c r="D141" s="59" t="s">
        <v>53</v>
      </c>
      <c r="E141" s="60" t="s">
        <v>54</v>
      </c>
      <c r="F141" s="61" t="s">
        <v>55</v>
      </c>
    </row>
    <row r="142">
      <c r="A142" s="62">
        <v>1.0</v>
      </c>
      <c r="B142" s="63">
        <f>B140</f>
        <v>17.5</v>
      </c>
      <c r="C142" s="64" t="s">
        <v>61</v>
      </c>
      <c r="D142" s="65" t="s">
        <v>57</v>
      </c>
      <c r="E142" s="66"/>
      <c r="F142" s="67">
        <v>10.0</v>
      </c>
    </row>
    <row r="143">
      <c r="A143" s="62">
        <v>2.0</v>
      </c>
      <c r="B143" s="63">
        <f t="shared" ref="B143:B144" si="12">IF(F142&lt;10,MROUND(B142*0.8,2.5),B142)</f>
        <v>17.5</v>
      </c>
      <c r="C143" s="64" t="s">
        <v>61</v>
      </c>
      <c r="D143" s="65" t="s">
        <v>57</v>
      </c>
      <c r="E143" s="66"/>
      <c r="F143" s="67">
        <v>10.0</v>
      </c>
    </row>
    <row r="144">
      <c r="A144" s="68">
        <v>3.0</v>
      </c>
      <c r="B144" s="69">
        <f t="shared" si="12"/>
        <v>17.5</v>
      </c>
      <c r="C144" s="70" t="s">
        <v>61</v>
      </c>
      <c r="D144" s="71" t="s">
        <v>57</v>
      </c>
      <c r="E144" s="72"/>
      <c r="F144" s="67">
        <v>10.0</v>
      </c>
    </row>
    <row r="147">
      <c r="A147" s="73" t="str">
        <f>HYPERLINK("https://www.youtube.com/watch?v=PnaDzYh2axA","5. LAT PULL DOWN")</f>
        <v>5. LAT PULL DOWN</v>
      </c>
      <c r="B147" s="53"/>
      <c r="C147" s="53"/>
      <c r="D147" s="53"/>
      <c r="E147" s="53"/>
      <c r="F147" s="54"/>
    </row>
    <row r="148">
      <c r="A148" s="55" t="s">
        <v>49</v>
      </c>
      <c r="B148" s="90">
        <f>IF(B80=B82,B80+15,IF(B80&lt;=9,MROUND(B80*0.95,5),MROUND(B80*0.85,5)))</f>
        <v>45</v>
      </c>
      <c r="C148" s="13"/>
      <c r="D148" s="13"/>
      <c r="E148" s="13"/>
      <c r="F148" s="57"/>
    </row>
    <row r="149">
      <c r="A149" s="58" t="s">
        <v>50</v>
      </c>
      <c r="B149" s="59" t="s">
        <v>51</v>
      </c>
      <c r="C149" s="59" t="s">
        <v>52</v>
      </c>
      <c r="D149" s="59" t="s">
        <v>53</v>
      </c>
      <c r="E149" s="60" t="s">
        <v>54</v>
      </c>
      <c r="F149" s="61" t="s">
        <v>55</v>
      </c>
    </row>
    <row r="150">
      <c r="A150" s="62">
        <v>1.0</v>
      </c>
      <c r="B150" s="63">
        <f>B148</f>
        <v>45</v>
      </c>
      <c r="C150" s="64" t="s">
        <v>56</v>
      </c>
      <c r="D150" s="65" t="s">
        <v>57</v>
      </c>
      <c r="E150" s="66"/>
      <c r="F150" s="67">
        <v>10.0</v>
      </c>
    </row>
    <row r="151">
      <c r="A151" s="62">
        <v>2.0</v>
      </c>
      <c r="B151" s="63">
        <f t="shared" ref="B151:B152" si="13">IF(F150&lt;10,MROUND(B150*0.8,5),B150)</f>
        <v>45</v>
      </c>
      <c r="C151" s="64" t="s">
        <v>56</v>
      </c>
      <c r="D151" s="65" t="s">
        <v>57</v>
      </c>
      <c r="E151" s="66"/>
      <c r="F151" s="67">
        <v>10.0</v>
      </c>
    </row>
    <row r="152">
      <c r="A152" s="68">
        <v>3.0</v>
      </c>
      <c r="B152" s="69">
        <f t="shared" si="13"/>
        <v>45</v>
      </c>
      <c r="C152" s="70" t="s">
        <v>56</v>
      </c>
      <c r="D152" s="71" t="s">
        <v>57</v>
      </c>
      <c r="E152" s="72"/>
      <c r="F152" s="67">
        <v>10.0</v>
      </c>
    </row>
    <row r="155">
      <c r="A155" s="106" t="s">
        <v>66</v>
      </c>
      <c r="B155" s="36"/>
      <c r="C155" s="36"/>
      <c r="D155" s="36"/>
      <c r="E155" s="36"/>
      <c r="F155" s="37"/>
    </row>
    <row r="156">
      <c r="A156" s="103"/>
    </row>
    <row r="157">
      <c r="A157" s="107" t="str">
        <f>HYPERLINK("https://www.amazon.com/30-Minute-Body-Investment-Champion/dp/0692791892/ref=sr_1_1?ie=UTF8&amp;qid=1490447969&amp;sr=8-1&amp;keywords=30+minute+body","WANT TO LEARN MORE?")</f>
        <v>WANT TO LEARN MORE?</v>
      </c>
      <c r="B157" s="36"/>
      <c r="C157" s="36"/>
      <c r="D157" s="36"/>
      <c r="E157" s="36"/>
      <c r="F157" s="37"/>
    </row>
    <row r="158">
      <c r="A158" s="108"/>
    </row>
    <row r="159">
      <c r="A159" s="109"/>
      <c r="B159" s="110"/>
      <c r="C159" s="111" t="s">
        <v>67</v>
      </c>
      <c r="D159" s="36"/>
      <c r="E159" s="36"/>
      <c r="F159" s="37"/>
    </row>
  </sheetData>
  <mergeCells count="78">
    <mergeCell ref="A93:F93"/>
    <mergeCell ref="B94:F94"/>
    <mergeCell ref="A99:F100"/>
    <mergeCell ref="A101:F101"/>
    <mergeCell ref="B102:F102"/>
    <mergeCell ref="A107:F108"/>
    <mergeCell ref="A109:F109"/>
    <mergeCell ref="A110:F111"/>
    <mergeCell ref="A112:F112"/>
    <mergeCell ref="A113:F113"/>
    <mergeCell ref="B114:F114"/>
    <mergeCell ref="A121:F122"/>
    <mergeCell ref="A123:F123"/>
    <mergeCell ref="B124:F124"/>
    <mergeCell ref="A147:F147"/>
    <mergeCell ref="B148:F148"/>
    <mergeCell ref="A153:F154"/>
    <mergeCell ref="A155:F155"/>
    <mergeCell ref="A156:F156"/>
    <mergeCell ref="A157:F157"/>
    <mergeCell ref="A158:F158"/>
    <mergeCell ref="C159:F159"/>
    <mergeCell ref="A129:F130"/>
    <mergeCell ref="A131:F131"/>
    <mergeCell ref="B132:F132"/>
    <mergeCell ref="A137:F138"/>
    <mergeCell ref="A139:F139"/>
    <mergeCell ref="B140:F140"/>
    <mergeCell ref="A145:F146"/>
    <mergeCell ref="A1:F8"/>
    <mergeCell ref="A9:F9"/>
    <mergeCell ref="A10:F11"/>
    <mergeCell ref="A12:F12"/>
    <mergeCell ref="A13:F13"/>
    <mergeCell ref="A14:F14"/>
    <mergeCell ref="A15:F15"/>
    <mergeCell ref="A16:F16"/>
    <mergeCell ref="A18:F18"/>
    <mergeCell ref="A19:F20"/>
    <mergeCell ref="A21:F21"/>
    <mergeCell ref="A22:F22"/>
    <mergeCell ref="A23:B23"/>
    <mergeCell ref="C23:F23"/>
    <mergeCell ref="A24:F24"/>
    <mergeCell ref="A25:C25"/>
    <mergeCell ref="D25:F25"/>
    <mergeCell ref="A26:C26"/>
    <mergeCell ref="D26:F26"/>
    <mergeCell ref="A27:C27"/>
    <mergeCell ref="D27:F27"/>
    <mergeCell ref="A28:F28"/>
    <mergeCell ref="A29:F29"/>
    <mergeCell ref="A30:F31"/>
    <mergeCell ref="A32:F32"/>
    <mergeCell ref="A33:F33"/>
    <mergeCell ref="B34:F34"/>
    <mergeCell ref="A39:F40"/>
    <mergeCell ref="A41:F41"/>
    <mergeCell ref="B42:F42"/>
    <mergeCell ref="A47:F48"/>
    <mergeCell ref="A49:F49"/>
    <mergeCell ref="B50:F50"/>
    <mergeCell ref="A55:F56"/>
    <mergeCell ref="A57:F57"/>
    <mergeCell ref="B58:F58"/>
    <mergeCell ref="A63:F64"/>
    <mergeCell ref="A65:F65"/>
    <mergeCell ref="A66:F67"/>
    <mergeCell ref="A68:F68"/>
    <mergeCell ref="A69:F69"/>
    <mergeCell ref="B70:F70"/>
    <mergeCell ref="A75:F76"/>
    <mergeCell ref="A77:F77"/>
    <mergeCell ref="B78:F78"/>
    <mergeCell ref="A83:F84"/>
    <mergeCell ref="A85:F85"/>
    <mergeCell ref="B86:F86"/>
    <mergeCell ref="A91:F92"/>
  </mergeCells>
  <dataValidations>
    <dataValidation type="decimal" operator="greaterThan" allowBlank="1" showDropDown="1" showErrorMessage="1" sqref="F17 F36:F38 F44:F46 F52:F54 F60:F62 F72:F74 F80:F82 F88:F90 F96:F98 F104:F106 F116:F120 F126:F128 F134:F136 F142:F144 F150:F152">
      <formula1>0.0</formula1>
    </dataValidation>
    <dataValidation type="decimal" operator="greaterThan" allowBlank="1" showDropDown="1" showInputMessage="1" prompt="weight In Lbs" sqref="C23">
      <formula1>0.0</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row>
    <row r="8">
      <c r="A8" s="11"/>
      <c r="B8" s="11"/>
      <c r="C8" s="11"/>
      <c r="D8" s="11"/>
      <c r="E8" s="11"/>
      <c r="F8" s="11"/>
    </row>
    <row r="9">
      <c r="A9" s="12" t="s">
        <v>68</v>
      </c>
      <c r="B9" s="13"/>
      <c r="C9" s="13"/>
      <c r="D9" s="13"/>
      <c r="E9" s="13"/>
      <c r="F9" s="14"/>
    </row>
    <row r="10">
      <c r="A10" s="15" t="str">
        <f>HYPERLINK("https://goo.gl/forms/3ibooB993Hi7SS2d2","PRESS TO RECORD BODY WEIGHT")</f>
        <v>PRESS TO RECORD BODY WEIGHT</v>
      </c>
      <c r="B10" s="16"/>
      <c r="C10" s="16"/>
      <c r="D10" s="16"/>
      <c r="E10" s="16"/>
      <c r="F10" s="17"/>
    </row>
    <row r="11">
      <c r="A11" s="18"/>
      <c r="B11" s="13"/>
      <c r="C11" s="13"/>
      <c r="D11" s="13"/>
      <c r="E11" s="13"/>
      <c r="F11" s="14"/>
    </row>
    <row r="12">
      <c r="A12" s="19" t="s">
        <v>69</v>
      </c>
      <c r="B12" s="20"/>
      <c r="C12" s="20"/>
      <c r="D12" s="20"/>
      <c r="E12" s="20"/>
      <c r="F12" s="21"/>
    </row>
    <row r="13">
      <c r="A13" s="22" t="s">
        <v>70</v>
      </c>
      <c r="B13" s="20"/>
      <c r="C13" s="20"/>
      <c r="D13" s="20"/>
      <c r="E13" s="20"/>
      <c r="F13" s="21"/>
    </row>
    <row r="14">
      <c r="A14" s="23"/>
    </row>
    <row r="15">
      <c r="A15" s="24" t="s">
        <v>35</v>
      </c>
      <c r="B15" s="25"/>
      <c r="C15" s="25"/>
      <c r="D15" s="25"/>
      <c r="E15" s="25"/>
      <c r="F15" s="26"/>
    </row>
    <row r="16">
      <c r="A16" s="27" t="s">
        <v>71</v>
      </c>
      <c r="F16" s="28"/>
    </row>
    <row r="17">
      <c r="A17" s="29" t="s">
        <v>72</v>
      </c>
      <c r="B17" s="30"/>
      <c r="C17" s="30"/>
      <c r="D17" s="30"/>
      <c r="E17" s="30"/>
      <c r="F17" s="31"/>
    </row>
    <row r="18">
      <c r="A18" s="32" t="s">
        <v>38</v>
      </c>
      <c r="B18" s="33"/>
      <c r="C18" s="33"/>
      <c r="D18" s="33"/>
      <c r="E18" s="33"/>
      <c r="F18" s="34"/>
    </row>
    <row r="19">
      <c r="A19" s="23"/>
    </row>
    <row r="21">
      <c r="A21" s="35" t="s">
        <v>39</v>
      </c>
      <c r="B21" s="36"/>
      <c r="C21" s="36"/>
      <c r="D21" s="36"/>
      <c r="E21" s="36"/>
      <c r="F21" s="37"/>
    </row>
    <row r="22">
      <c r="A22" s="38"/>
    </row>
    <row r="23">
      <c r="A23" s="50" t="s">
        <v>47</v>
      </c>
      <c r="B23" s="36"/>
      <c r="C23" s="36"/>
      <c r="D23" s="36"/>
      <c r="E23" s="36"/>
      <c r="F23" s="37"/>
    </row>
    <row r="26">
      <c r="A26" s="51" t="s">
        <v>48</v>
      </c>
      <c r="B26" s="36"/>
      <c r="C26" s="36"/>
      <c r="D26" s="36"/>
      <c r="E26" s="36"/>
      <c r="F26" s="37"/>
    </row>
    <row r="27">
      <c r="A27" s="52" t="str">
        <f>HYPERLINK("https://youtu.be/ujVN-A0Z-ic","1. DUMBBELL INCLINE PRESS")</f>
        <v>1. DUMBBELL INCLINE PRESS</v>
      </c>
      <c r="B27" s="53"/>
      <c r="C27" s="53"/>
      <c r="D27" s="53"/>
      <c r="E27" s="53"/>
      <c r="F27" s="54"/>
    </row>
    <row r="28">
      <c r="A28" s="55" t="s">
        <v>49</v>
      </c>
      <c r="B28" s="90">
        <f>IF('Pre Workout 1'!B142='Pre Workout 1'!B144,'Pre Workout 1'!B142+2.5,IF('Pre Workout 1'!F142&lt;=9,MROUND('Pre Workout 1'!B142*0.95,5),MROUND('Pre Workout 1'!B142*0.85,2.5)))</f>
        <v>20</v>
      </c>
      <c r="C28" s="13"/>
      <c r="D28" s="13"/>
      <c r="E28" s="13"/>
      <c r="F28" s="57"/>
    </row>
    <row r="29">
      <c r="A29" s="58" t="s">
        <v>50</v>
      </c>
      <c r="B29" s="59" t="s">
        <v>51</v>
      </c>
      <c r="C29" s="59" t="s">
        <v>52</v>
      </c>
      <c r="D29" s="59" t="s">
        <v>53</v>
      </c>
      <c r="E29" s="60" t="s">
        <v>54</v>
      </c>
      <c r="F29" s="61" t="s">
        <v>55</v>
      </c>
    </row>
    <row r="30">
      <c r="A30" s="62">
        <v>1.0</v>
      </c>
      <c r="B30" s="63">
        <f>B28</f>
        <v>20</v>
      </c>
      <c r="C30" s="64" t="s">
        <v>73</v>
      </c>
      <c r="D30" s="65" t="s">
        <v>57</v>
      </c>
      <c r="E30" s="66"/>
      <c r="F30" s="67"/>
    </row>
    <row r="31">
      <c r="A31" s="62">
        <v>2.0</v>
      </c>
      <c r="B31" s="63">
        <f>IF(F30&lt;10,MROUND(B30*0.85,2.5),B30)</f>
        <v>17.5</v>
      </c>
      <c r="C31" s="64" t="s">
        <v>73</v>
      </c>
      <c r="D31" s="65" t="s">
        <v>57</v>
      </c>
      <c r="E31" s="66"/>
      <c r="F31" s="67"/>
    </row>
    <row r="32">
      <c r="A32" s="68">
        <v>3.0</v>
      </c>
      <c r="B32" s="69">
        <f>IF(F31&lt;10,MROUND(B31*0.8,2.5),B31)</f>
        <v>15</v>
      </c>
      <c r="C32" s="70" t="s">
        <v>73</v>
      </c>
      <c r="D32" s="71" t="s">
        <v>57</v>
      </c>
      <c r="E32" s="72"/>
      <c r="F32" s="67"/>
    </row>
    <row r="35">
      <c r="A35" s="73" t="str">
        <f>HYPERLINK("https://www.youtube.com/watch?v=PnaDzYh2axA","2. LAT PULL DOWN")</f>
        <v>2. LAT PULL DOWN</v>
      </c>
      <c r="B35" s="53"/>
      <c r="C35" s="53"/>
      <c r="D35" s="53"/>
      <c r="E35" s="53"/>
      <c r="F35" s="54"/>
    </row>
    <row r="36">
      <c r="A36" s="55" t="s">
        <v>49</v>
      </c>
      <c r="B36" s="90">
        <f>IF('Pre Workout 1'!B150='Pre Workout 1'!B152,'Pre Workout 1'!B150+15,IF('Pre Workout 1'!F150&lt;=9,MROUND('Pre Workout 1'!B150*0.95,5),MROUND('Pre Workout 1'!B150*0.85,2.5)))</f>
        <v>60</v>
      </c>
      <c r="C36" s="13"/>
      <c r="D36" s="13"/>
      <c r="E36" s="13"/>
      <c r="F36" s="57"/>
    </row>
    <row r="37">
      <c r="A37" s="58" t="s">
        <v>50</v>
      </c>
      <c r="B37" s="59" t="s">
        <v>51</v>
      </c>
      <c r="C37" s="59" t="s">
        <v>52</v>
      </c>
      <c r="D37" s="59" t="s">
        <v>53</v>
      </c>
      <c r="E37" s="60" t="s">
        <v>54</v>
      </c>
      <c r="F37" s="61" t="s">
        <v>55</v>
      </c>
    </row>
    <row r="38">
      <c r="A38" s="62">
        <v>1.0</v>
      </c>
      <c r="B38" s="63">
        <f>B36</f>
        <v>60</v>
      </c>
      <c r="C38" s="64" t="s">
        <v>73</v>
      </c>
      <c r="D38" s="65" t="s">
        <v>57</v>
      </c>
      <c r="E38" s="66"/>
      <c r="F38" s="67"/>
    </row>
    <row r="39">
      <c r="A39" s="62">
        <v>2.0</v>
      </c>
      <c r="B39" s="63">
        <f t="shared" ref="B39:B40" si="1">IF(F38&lt;10,MROUND(B38*0.8,5),B38)</f>
        <v>50</v>
      </c>
      <c r="C39" s="64" t="s">
        <v>73</v>
      </c>
      <c r="D39" s="65" t="s">
        <v>57</v>
      </c>
      <c r="E39" s="66"/>
      <c r="F39" s="67"/>
    </row>
    <row r="40">
      <c r="A40" s="68">
        <v>3.0</v>
      </c>
      <c r="B40" s="69">
        <f t="shared" si="1"/>
        <v>40</v>
      </c>
      <c r="C40" s="70" t="s">
        <v>73</v>
      </c>
      <c r="D40" s="71" t="s">
        <v>57</v>
      </c>
      <c r="E40" s="72"/>
      <c r="F40" s="67"/>
    </row>
    <row r="43">
      <c r="A43" s="73" t="str">
        <f>HYPERLINK("https://www.youtube.com/watch?v=9YH1YvZbiY0","3. MACHINE LOW ROW")</f>
        <v>3. MACHINE LOW ROW</v>
      </c>
      <c r="B43" s="53"/>
      <c r="C43" s="53"/>
      <c r="D43" s="53"/>
      <c r="E43" s="53"/>
      <c r="F43" s="54"/>
    </row>
    <row r="44">
      <c r="A44" s="55" t="s">
        <v>49</v>
      </c>
      <c r="B44" s="56">
        <f>IF((AND(A27="",C23&gt;=145)),40,IF((AND(A27="",C23&lt;145)),35,IF((AND(D27="",C23&gt;145)),35,30)))</f>
        <v>30</v>
      </c>
      <c r="C44" s="13"/>
      <c r="D44" s="13"/>
      <c r="E44" s="13"/>
      <c r="F44" s="57"/>
    </row>
    <row r="45">
      <c r="A45" s="58" t="s">
        <v>50</v>
      </c>
      <c r="B45" s="59" t="s">
        <v>51</v>
      </c>
      <c r="C45" s="59" t="s">
        <v>52</v>
      </c>
      <c r="D45" s="59" t="s">
        <v>53</v>
      </c>
      <c r="E45" s="60" t="s">
        <v>54</v>
      </c>
      <c r="F45" s="61" t="s">
        <v>55</v>
      </c>
    </row>
    <row r="46">
      <c r="A46" s="62">
        <v>1.0</v>
      </c>
      <c r="B46" s="63">
        <f>B44</f>
        <v>30</v>
      </c>
      <c r="C46" s="64" t="s">
        <v>73</v>
      </c>
      <c r="D46" s="65" t="s">
        <v>57</v>
      </c>
      <c r="E46" s="66"/>
      <c r="F46" s="67"/>
    </row>
    <row r="47">
      <c r="A47" s="62">
        <v>2.0</v>
      </c>
      <c r="B47" s="63">
        <f t="shared" ref="B47:B48" si="2">IF(F46&lt;10,MROUND(B46*0.8,5),B46)</f>
        <v>25</v>
      </c>
      <c r="C47" s="64" t="s">
        <v>73</v>
      </c>
      <c r="D47" s="65" t="s">
        <v>57</v>
      </c>
      <c r="E47" s="66"/>
      <c r="F47" s="67"/>
    </row>
    <row r="48">
      <c r="A48" s="68">
        <v>3.0</v>
      </c>
      <c r="B48" s="69">
        <f t="shared" si="2"/>
        <v>20</v>
      </c>
      <c r="C48" s="70" t="s">
        <v>73</v>
      </c>
      <c r="D48" s="71" t="s">
        <v>57</v>
      </c>
      <c r="E48" s="72"/>
      <c r="F48" s="67"/>
    </row>
    <row r="51">
      <c r="A51" s="74" t="str">
        <f>HYPERLINK("https://www.youtube.com/watch?v=Yke__29qVfo","4. TRICEPS PUSHDOWN (STRAIGHT BAR)")</f>
        <v>4. TRICEPS PUSHDOWN (STRAIGHT BAR)</v>
      </c>
      <c r="B51" s="53"/>
      <c r="C51" s="53"/>
      <c r="D51" s="53"/>
      <c r="E51" s="53"/>
      <c r="F51" s="54"/>
    </row>
    <row r="52">
      <c r="A52" s="55" t="s">
        <v>49</v>
      </c>
      <c r="B52" s="56">
        <f>'Pre Workout 1'!B86</f>
        <v>7.5</v>
      </c>
      <c r="C52" s="13"/>
      <c r="D52" s="13"/>
      <c r="E52" s="13"/>
      <c r="F52" s="57"/>
    </row>
    <row r="53">
      <c r="A53" s="58" t="s">
        <v>50</v>
      </c>
      <c r="B53" s="59" t="s">
        <v>51</v>
      </c>
      <c r="C53" s="59" t="s">
        <v>52</v>
      </c>
      <c r="D53" s="59" t="s">
        <v>53</v>
      </c>
      <c r="E53" s="60" t="s">
        <v>54</v>
      </c>
      <c r="F53" s="61" t="s">
        <v>55</v>
      </c>
    </row>
    <row r="54">
      <c r="A54" s="62">
        <v>1.0</v>
      </c>
      <c r="B54" s="63">
        <f>B52</f>
        <v>7.5</v>
      </c>
      <c r="C54" s="64" t="s">
        <v>56</v>
      </c>
      <c r="D54" s="65" t="s">
        <v>57</v>
      </c>
      <c r="E54" s="66"/>
      <c r="F54" s="67"/>
    </row>
    <row r="55">
      <c r="A55" s="62">
        <v>2.0</v>
      </c>
      <c r="B55" s="63">
        <f t="shared" ref="B55:B56" si="3">IF(F54&lt;10,MROUND(B54*0.8,2.5),B54)</f>
        <v>5</v>
      </c>
      <c r="C55" s="64" t="s">
        <v>56</v>
      </c>
      <c r="D55" s="65" t="s">
        <v>57</v>
      </c>
      <c r="E55" s="66"/>
      <c r="F55" s="67"/>
    </row>
    <row r="56">
      <c r="A56" s="68">
        <v>3.0</v>
      </c>
      <c r="B56" s="69">
        <f t="shared" si="3"/>
        <v>5</v>
      </c>
      <c r="C56" s="70" t="s">
        <v>56</v>
      </c>
      <c r="D56" s="71" t="s">
        <v>57</v>
      </c>
      <c r="E56" s="72"/>
      <c r="F56" s="67"/>
    </row>
    <row r="59">
      <c r="A59" s="75" t="str">
        <f>HYPERLINK("https://www.youtube.com/watch?v=9IqvmIhFxtY","5. BICEP CABLE CURL")</f>
        <v>5. BICEP CABLE CURL</v>
      </c>
      <c r="B59" s="53"/>
      <c r="C59" s="53"/>
      <c r="D59" s="53"/>
      <c r="E59" s="53"/>
      <c r="F59" s="54"/>
    </row>
    <row r="60">
      <c r="A60" s="55" t="s">
        <v>49</v>
      </c>
      <c r="B60" s="90">
        <f>IF('Pre Workout 1'!B96='Pre Workout 1'!B98,'Pre Workout 1'!B96+5,IF('Pre Workout 1'!F96&lt;=9,MROUND('Pre Workout 1'!B96*0.95,5),MROUND('Pre Workout 1'!B96*0.85,2.5)))</f>
        <v>20</v>
      </c>
      <c r="C60" s="13"/>
      <c r="D60" s="13"/>
      <c r="E60" s="13"/>
      <c r="F60" s="57"/>
    </row>
    <row r="61">
      <c r="A61" s="77" t="s">
        <v>50</v>
      </c>
      <c r="B61" s="78" t="s">
        <v>51</v>
      </c>
      <c r="C61" s="79" t="s">
        <v>52</v>
      </c>
      <c r="D61" s="78" t="s">
        <v>53</v>
      </c>
      <c r="E61" s="80" t="s">
        <v>54</v>
      </c>
      <c r="F61" s="61" t="s">
        <v>55</v>
      </c>
    </row>
    <row r="62">
      <c r="A62" s="81">
        <v>1.0</v>
      </c>
      <c r="B62" s="82">
        <f>B60</f>
        <v>20</v>
      </c>
      <c r="C62" s="64" t="s">
        <v>56</v>
      </c>
      <c r="D62" s="83" t="s">
        <v>58</v>
      </c>
      <c r="E62" s="84" t="str">
        <f>IF('WEEK 1 '!B54=B62,'WEEK 1 '!F54,"")</f>
        <v/>
      </c>
      <c r="F62" s="85"/>
    </row>
    <row r="63">
      <c r="A63" s="81">
        <v>2.0</v>
      </c>
      <c r="B63" s="82">
        <f t="shared" ref="B63:B64" si="4">IF(F62&lt;10,MROUND(B62*0.85,5),B62)</f>
        <v>15</v>
      </c>
      <c r="C63" s="64" t="s">
        <v>56</v>
      </c>
      <c r="D63" s="83" t="s">
        <v>58</v>
      </c>
      <c r="E63" s="84" t="str">
        <f>IF('WEEK 1 '!B55=B63,'WEEK 1 '!F55,"")</f>
        <v/>
      </c>
      <c r="F63" s="85"/>
    </row>
    <row r="64">
      <c r="A64" s="86">
        <v>3.0</v>
      </c>
      <c r="B64" s="87">
        <f t="shared" si="4"/>
        <v>15</v>
      </c>
      <c r="C64" s="70" t="s">
        <v>56</v>
      </c>
      <c r="D64" s="88" t="s">
        <v>58</v>
      </c>
      <c r="E64" s="89" t="str">
        <f>IF('WEEK 1 '!B56=B64,'WEEK 1 '!F56,"")</f>
        <v/>
      </c>
      <c r="F64" s="85"/>
    </row>
    <row r="67">
      <c r="A67" s="50" t="s">
        <v>59</v>
      </c>
      <c r="B67" s="36"/>
      <c r="C67" s="36"/>
      <c r="D67" s="36"/>
      <c r="E67" s="36"/>
      <c r="F67" s="37"/>
    </row>
    <row r="70">
      <c r="A70" s="51" t="s">
        <v>74</v>
      </c>
      <c r="B70" s="36"/>
      <c r="C70" s="36"/>
      <c r="D70" s="36"/>
      <c r="E70" s="36"/>
      <c r="F70" s="37"/>
    </row>
    <row r="71">
      <c r="A71" s="112" t="str">
        <f>HYPERLINK("https://www.youtube.com/watch?v=rmxOkkd2hUk","1. SHOULDER PRESS")</f>
        <v>1. SHOULDER PRESS</v>
      </c>
      <c r="B71" s="13"/>
      <c r="C71" s="13"/>
      <c r="D71" s="13"/>
      <c r="E71" s="13"/>
      <c r="F71" s="57"/>
    </row>
    <row r="72">
      <c r="A72" s="55" t="s">
        <v>49</v>
      </c>
      <c r="B72" s="56">
        <f>IF((AND(A27="",C23&gt;=145)),12.5,IF((AND(A27="",C23&lt;145)),10,IF((AND(D27="",C23&gt;145)),10,10)))</f>
        <v>10</v>
      </c>
      <c r="C72" s="13"/>
      <c r="D72" s="13"/>
      <c r="E72" s="13"/>
      <c r="F72" s="57"/>
    </row>
    <row r="73">
      <c r="A73" s="58" t="s">
        <v>50</v>
      </c>
      <c r="B73" s="59" t="s">
        <v>51</v>
      </c>
      <c r="C73" s="59" t="s">
        <v>52</v>
      </c>
      <c r="D73" s="59" t="s">
        <v>53</v>
      </c>
      <c r="E73" s="60" t="s">
        <v>54</v>
      </c>
      <c r="F73" s="61" t="s">
        <v>55</v>
      </c>
    </row>
    <row r="74">
      <c r="A74" s="62">
        <v>1.0</v>
      </c>
      <c r="B74" s="63">
        <f>B72</f>
        <v>10</v>
      </c>
      <c r="C74" s="64" t="s">
        <v>56</v>
      </c>
      <c r="D74" s="65" t="s">
        <v>57</v>
      </c>
      <c r="E74" s="66"/>
      <c r="F74" s="67"/>
    </row>
    <row r="75">
      <c r="A75" s="62">
        <v>2.0</v>
      </c>
      <c r="B75" s="63">
        <f>IF(F74&lt;10,MROUND(B74*0.85,2.5),B74)</f>
        <v>7.5</v>
      </c>
      <c r="C75" s="64" t="s">
        <v>56</v>
      </c>
      <c r="D75" s="65" t="s">
        <v>57</v>
      </c>
      <c r="E75" s="66"/>
      <c r="F75" s="67"/>
    </row>
    <row r="76">
      <c r="A76" s="68">
        <v>3.0</v>
      </c>
      <c r="B76" s="69">
        <f>IF(F75&lt;10,MROUND(B75*0.8,2.5),B75)</f>
        <v>5</v>
      </c>
      <c r="C76" s="70" t="s">
        <v>56</v>
      </c>
      <c r="D76" s="71" t="s">
        <v>57</v>
      </c>
      <c r="E76" s="72"/>
      <c r="F76" s="67"/>
    </row>
    <row r="79">
      <c r="A79" s="74" t="str">
        <f>HYPERLINK("https://youtu.be/0BaHgGyCFJY","2. MACHINE REAR DELT FLYS ")</f>
        <v>2. MACHINE REAR DELT FLYS </v>
      </c>
      <c r="B79" s="53"/>
      <c r="C79" s="53"/>
      <c r="D79" s="53"/>
      <c r="E79" s="53"/>
      <c r="F79" s="54"/>
    </row>
    <row r="80">
      <c r="A80" s="55" t="s">
        <v>49</v>
      </c>
      <c r="B80" s="56">
        <f>IF((AND(A27="",C23&gt;=145)),30,IF((AND(A27="",C23&lt;145)),25,IF((AND(D27="",C23&gt;145)),22.5,20)))</f>
        <v>20</v>
      </c>
      <c r="C80" s="13"/>
      <c r="D80" s="13"/>
      <c r="E80" s="13"/>
      <c r="F80" s="57"/>
    </row>
    <row r="81">
      <c r="A81" s="58" t="s">
        <v>50</v>
      </c>
      <c r="B81" s="59" t="s">
        <v>51</v>
      </c>
      <c r="C81" s="59" t="s">
        <v>52</v>
      </c>
      <c r="D81" s="59" t="s">
        <v>53</v>
      </c>
      <c r="E81" s="60" t="s">
        <v>54</v>
      </c>
      <c r="F81" s="61" t="s">
        <v>55</v>
      </c>
    </row>
    <row r="82">
      <c r="A82" s="62">
        <v>1.0</v>
      </c>
      <c r="B82" s="63">
        <f>B80</f>
        <v>20</v>
      </c>
      <c r="C82" s="64" t="s">
        <v>56</v>
      </c>
      <c r="D82" s="65" t="s">
        <v>57</v>
      </c>
      <c r="E82" s="66"/>
      <c r="F82" s="67"/>
    </row>
    <row r="83">
      <c r="A83" s="62">
        <v>2.0</v>
      </c>
      <c r="B83" s="63">
        <f t="shared" ref="B83:B84" si="5">IF(F82&lt;10,MROUND(B82*0.85,5),B82)</f>
        <v>15</v>
      </c>
      <c r="C83" s="64" t="s">
        <v>56</v>
      </c>
      <c r="D83" s="65" t="s">
        <v>57</v>
      </c>
      <c r="E83" s="66"/>
      <c r="F83" s="67"/>
    </row>
    <row r="84">
      <c r="A84" s="68">
        <v>3.0</v>
      </c>
      <c r="B84" s="69">
        <f t="shared" si="5"/>
        <v>15</v>
      </c>
      <c r="C84" s="70" t="s">
        <v>56</v>
      </c>
      <c r="D84" s="71" t="s">
        <v>57</v>
      </c>
      <c r="E84" s="72"/>
      <c r="F84" s="67"/>
    </row>
    <row r="87">
      <c r="A87" s="74" t="str">
        <f>HYPERLINK("https://www.youtube.com/watch?v=Yke__29qVfo","3. TRICEPS PUSHDOWN (STRAIGHT BAR)")</f>
        <v>3. TRICEPS PUSHDOWN (STRAIGHT BAR)</v>
      </c>
      <c r="B87" s="53"/>
      <c r="C87" s="53"/>
      <c r="D87" s="53"/>
      <c r="E87" s="53"/>
      <c r="F87" s="54"/>
    </row>
    <row r="88">
      <c r="A88" s="55" t="s">
        <v>49</v>
      </c>
      <c r="B88" s="56">
        <f>B52</f>
        <v>7.5</v>
      </c>
      <c r="C88" s="13"/>
      <c r="D88" s="13"/>
      <c r="E88" s="13"/>
      <c r="F88" s="57"/>
    </row>
    <row r="89">
      <c r="A89" s="58" t="s">
        <v>50</v>
      </c>
      <c r="B89" s="59" t="s">
        <v>51</v>
      </c>
      <c r="C89" s="59" t="s">
        <v>52</v>
      </c>
      <c r="D89" s="59" t="s">
        <v>53</v>
      </c>
      <c r="E89" s="60" t="s">
        <v>54</v>
      </c>
      <c r="F89" s="61" t="s">
        <v>55</v>
      </c>
    </row>
    <row r="90">
      <c r="A90" s="62">
        <v>1.0</v>
      </c>
      <c r="B90" s="63">
        <f>B88</f>
        <v>7.5</v>
      </c>
      <c r="C90" s="64" t="s">
        <v>56</v>
      </c>
      <c r="D90" s="65" t="s">
        <v>57</v>
      </c>
      <c r="E90" s="66"/>
      <c r="F90" s="67"/>
    </row>
    <row r="91">
      <c r="A91" s="62">
        <v>2.0</v>
      </c>
      <c r="B91" s="63">
        <f t="shared" ref="B91:B92" si="6">IF(F90&lt;10,MROUND(B90*0.85,5),B90)</f>
        <v>5</v>
      </c>
      <c r="C91" s="64" t="s">
        <v>56</v>
      </c>
      <c r="D91" s="65" t="s">
        <v>57</v>
      </c>
      <c r="E91" s="66"/>
      <c r="F91" s="67"/>
    </row>
    <row r="92">
      <c r="A92" s="68">
        <v>3.0</v>
      </c>
      <c r="B92" s="69">
        <f t="shared" si="6"/>
        <v>5</v>
      </c>
      <c r="C92" s="70" t="s">
        <v>56</v>
      </c>
      <c r="D92" s="71" t="s">
        <v>57</v>
      </c>
      <c r="E92" s="72"/>
      <c r="F92" s="67"/>
    </row>
    <row r="95">
      <c r="A95" s="113" t="str">
        <f>HYPERLINK("https://www.youtube.com/watch?v=TorWpKwLCSg","4. ALTERNATING BICEP CURLS ")</f>
        <v>4. ALTERNATING BICEP CURLS </v>
      </c>
      <c r="B95" s="53"/>
      <c r="C95" s="53"/>
      <c r="D95" s="53"/>
      <c r="E95" s="53"/>
      <c r="F95" s="54"/>
    </row>
    <row r="96">
      <c r="A96" s="55" t="s">
        <v>49</v>
      </c>
      <c r="B96" s="56">
        <f>IF((AND(A27="",C23&gt;=145)),12.5,IF((AND(A27="",C23&lt;145)),10,IF((AND(D27="",C23&gt;145)),7.5,5)))</f>
        <v>5</v>
      </c>
      <c r="C96" s="13"/>
      <c r="D96" s="13"/>
      <c r="E96" s="13"/>
      <c r="F96" s="57"/>
    </row>
    <row r="97">
      <c r="A97" s="77" t="s">
        <v>50</v>
      </c>
      <c r="B97" s="78" t="s">
        <v>51</v>
      </c>
      <c r="C97" s="79" t="s">
        <v>52</v>
      </c>
      <c r="D97" s="78" t="s">
        <v>53</v>
      </c>
      <c r="E97" s="80" t="s">
        <v>54</v>
      </c>
      <c r="F97" s="61" t="s">
        <v>55</v>
      </c>
    </row>
    <row r="98">
      <c r="A98" s="81">
        <v>1.0</v>
      </c>
      <c r="B98" s="82">
        <f>B96</f>
        <v>5</v>
      </c>
      <c r="C98" s="64" t="s">
        <v>56</v>
      </c>
      <c r="D98" s="83" t="s">
        <v>58</v>
      </c>
      <c r="E98" s="84" t="str">
        <f>IF('WEEK 1 '!B90=B98,'WEEK 1 '!F90,"")</f>
        <v/>
      </c>
      <c r="F98" s="85"/>
    </row>
    <row r="99">
      <c r="A99" s="81">
        <v>2.0</v>
      </c>
      <c r="B99" s="82">
        <f>IF(F98&lt;10,MROUND(B98*0.85,2.5),B98)</f>
        <v>5</v>
      </c>
      <c r="C99" s="64" t="s">
        <v>56</v>
      </c>
      <c r="D99" s="83" t="s">
        <v>58</v>
      </c>
      <c r="E99" s="84" t="str">
        <f>IF('WEEK 1 '!B91=B99,'WEEK 1 '!F91,"")</f>
        <v/>
      </c>
      <c r="F99" s="85"/>
    </row>
    <row r="100">
      <c r="A100" s="86">
        <v>3.0</v>
      </c>
      <c r="B100" s="87">
        <f>IF(F99&lt;10,MROUND(B99*0.8,2.5),B99)</f>
        <v>5</v>
      </c>
      <c r="C100" s="70" t="s">
        <v>56</v>
      </c>
      <c r="D100" s="88" t="s">
        <v>58</v>
      </c>
      <c r="E100" s="89" t="str">
        <f>IF('WEEK 1 '!B92=B100,'WEEK 1 '!F92,"")</f>
        <v/>
      </c>
      <c r="F100" s="85"/>
    </row>
    <row r="103">
      <c r="A103" s="73" t="str">
        <f>HYPERLINK("https://www.youtube.com/watch?v=dVterVQksD4","5. LEG PRESS")</f>
        <v>5. LEG PRESS</v>
      </c>
      <c r="B103" s="53"/>
      <c r="C103" s="53"/>
      <c r="D103" s="53"/>
      <c r="E103" s="53"/>
      <c r="F103" s="54"/>
    </row>
    <row r="104">
      <c r="A104" s="55" t="s">
        <v>49</v>
      </c>
      <c r="B104" s="56">
        <f>'Pre Workout 1'!B114-15</f>
        <v>50</v>
      </c>
      <c r="C104" s="13"/>
      <c r="D104" s="13"/>
      <c r="E104" s="13"/>
      <c r="F104" s="57"/>
    </row>
    <row r="105">
      <c r="A105" s="77" t="s">
        <v>50</v>
      </c>
      <c r="B105" s="78" t="s">
        <v>51</v>
      </c>
      <c r="C105" s="79" t="s">
        <v>52</v>
      </c>
      <c r="D105" s="78" t="s">
        <v>53</v>
      </c>
      <c r="E105" s="80" t="s">
        <v>54</v>
      </c>
      <c r="F105" s="61" t="s">
        <v>55</v>
      </c>
    </row>
    <row r="106">
      <c r="A106" s="81">
        <v>1.0</v>
      </c>
      <c r="B106" s="82">
        <f>B104</f>
        <v>50</v>
      </c>
      <c r="C106" s="64" t="s">
        <v>61</v>
      </c>
      <c r="D106" s="83" t="s">
        <v>58</v>
      </c>
      <c r="E106" s="84" t="str">
        <f>IF('WEEK 1 '!B98=B106,'WEEK 1 '!F98,"")</f>
        <v/>
      </c>
      <c r="F106" s="85"/>
    </row>
    <row r="107">
      <c r="A107" s="81">
        <v>2.0</v>
      </c>
      <c r="B107" s="82">
        <f>IF(F106&lt;10,MROUND(B106*0.85,5),B106)</f>
        <v>45</v>
      </c>
      <c r="C107" s="64" t="s">
        <v>61</v>
      </c>
      <c r="D107" s="83" t="s">
        <v>58</v>
      </c>
      <c r="E107" s="84" t="str">
        <f>IF('WEEK 1 '!B99=B107,'WEEK 1 '!F99,"")</f>
        <v/>
      </c>
      <c r="F107" s="85"/>
    </row>
    <row r="108">
      <c r="A108" s="86">
        <v>3.0</v>
      </c>
      <c r="B108" s="87">
        <f>IF(F107&lt;10,MROUND(B107*0.8,5),B107)</f>
        <v>35</v>
      </c>
      <c r="C108" s="70" t="s">
        <v>61</v>
      </c>
      <c r="D108" s="88" t="s">
        <v>58</v>
      </c>
      <c r="E108" s="89" t="str">
        <f>IF('WEEK 1 '!B100=B108,'WEEK 1 '!F100,"")</f>
        <v/>
      </c>
      <c r="F108" s="85"/>
    </row>
    <row r="111">
      <c r="A111" s="50" t="s">
        <v>62</v>
      </c>
      <c r="B111" s="36"/>
      <c r="C111" s="36"/>
      <c r="D111" s="36"/>
      <c r="E111" s="36"/>
      <c r="F111" s="37"/>
    </row>
    <row r="114">
      <c r="A114" s="51" t="s">
        <v>63</v>
      </c>
      <c r="B114" s="36"/>
      <c r="C114" s="36"/>
      <c r="D114" s="36"/>
      <c r="E114" s="36"/>
      <c r="F114" s="37"/>
    </row>
    <row r="115">
      <c r="A115" s="73" t="str">
        <f>HYPERLINK("https://www.youtube.com/watch?v=dVterVQksD4","1. LEG PRESS")</f>
        <v>1. LEG PRESS</v>
      </c>
      <c r="B115" s="53"/>
      <c r="C115" s="53"/>
      <c r="D115" s="53"/>
      <c r="E115" s="53"/>
      <c r="F115" s="54"/>
    </row>
    <row r="116">
      <c r="A116" s="55" t="s">
        <v>49</v>
      </c>
      <c r="B116" s="56">
        <v>80.0</v>
      </c>
      <c r="C116" s="13"/>
      <c r="D116" s="13"/>
      <c r="E116" s="13"/>
      <c r="F116" s="57"/>
    </row>
    <row r="117">
      <c r="A117" s="77" t="s">
        <v>50</v>
      </c>
      <c r="B117" s="78" t="s">
        <v>51</v>
      </c>
      <c r="C117" s="79" t="s">
        <v>52</v>
      </c>
      <c r="D117" s="78" t="s">
        <v>53</v>
      </c>
      <c r="E117" s="80" t="s">
        <v>54</v>
      </c>
      <c r="F117" s="61" t="s">
        <v>55</v>
      </c>
    </row>
    <row r="118">
      <c r="A118" s="81">
        <v>1.0</v>
      </c>
      <c r="B118" s="82">
        <f>B116-5</f>
        <v>75</v>
      </c>
      <c r="C118" s="64" t="s">
        <v>75</v>
      </c>
      <c r="D118" s="83" t="s">
        <v>58</v>
      </c>
      <c r="E118" s="84" t="str">
        <f>IF('WEEK 1 '!B110=B118,'WEEK 1 '!F110,"")</f>
        <v/>
      </c>
      <c r="F118" s="85">
        <v>12.0</v>
      </c>
    </row>
    <row r="119">
      <c r="A119" s="81">
        <v>2.0</v>
      </c>
      <c r="B119" s="82">
        <f t="shared" ref="B119:B122" si="7">IF(F118&lt;15,MROUND(B118*0.85,5),B118)</f>
        <v>65</v>
      </c>
      <c r="C119" s="64" t="s">
        <v>75</v>
      </c>
      <c r="D119" s="83" t="s">
        <v>58</v>
      </c>
      <c r="E119" s="84" t="str">
        <f>IF('WEEK 1 '!B111=B119,'WEEK 1 '!F111,"")</f>
        <v/>
      </c>
      <c r="F119" s="85">
        <v>30.0</v>
      </c>
    </row>
    <row r="120">
      <c r="A120" s="81">
        <v>3.0</v>
      </c>
      <c r="B120" s="82">
        <f t="shared" si="7"/>
        <v>65</v>
      </c>
      <c r="C120" s="64" t="s">
        <v>75</v>
      </c>
      <c r="D120" s="83" t="s">
        <v>58</v>
      </c>
      <c r="E120" s="84" t="str">
        <f>IF('WEEK 1 '!B112=B120,'WEEK 1 '!F112,"")</f>
        <v/>
      </c>
      <c r="F120" s="114">
        <v>25.0</v>
      </c>
    </row>
    <row r="121">
      <c r="A121" s="91">
        <v>4.0</v>
      </c>
      <c r="B121" s="82">
        <f t="shared" si="7"/>
        <v>65</v>
      </c>
      <c r="C121" s="64" t="s">
        <v>75</v>
      </c>
      <c r="D121" s="83" t="s">
        <v>58</v>
      </c>
      <c r="E121" s="84" t="str">
        <f>IF('WEEK 1 '!B113=B121,'WEEK 1 '!F113,"")</f>
        <v/>
      </c>
      <c r="F121" s="115">
        <v>12.0</v>
      </c>
    </row>
    <row r="122">
      <c r="A122" s="92">
        <v>5.0</v>
      </c>
      <c r="B122" s="87">
        <f t="shared" si="7"/>
        <v>55</v>
      </c>
      <c r="C122" s="70" t="s">
        <v>75</v>
      </c>
      <c r="D122" s="88" t="s">
        <v>58</v>
      </c>
      <c r="E122" s="89" t="str">
        <f>IF('WEEK 1 '!B114=B122,'WEEK 1 '!F114,"")</f>
        <v/>
      </c>
      <c r="F122" s="116"/>
    </row>
    <row r="125">
      <c r="A125" s="93" t="str">
        <f>HYPERLINK("https://youtu.be/NZ9KiFtbiMs","2. LEG EXTENSION")</f>
        <v>2. LEG EXTENSION</v>
      </c>
      <c r="B125" s="53"/>
      <c r="C125" s="53"/>
      <c r="D125" s="53"/>
      <c r="E125" s="53"/>
      <c r="F125" s="54"/>
    </row>
    <row r="126">
      <c r="A126" s="55" t="s">
        <v>49</v>
      </c>
      <c r="B126" s="90">
        <f>IF('Pre Workout 1'!B126='Pre Workout 1'!B128,'Pre Workout 1'!B126+5,IF('Pre Workout 1'!F126&lt;=9,MROUND('Pre Workout 1'!B126*0.95,5),MROUND('Pre Workout 1'!B126*0.85,5)))</f>
        <v>35</v>
      </c>
      <c r="C126" s="13"/>
      <c r="D126" s="13"/>
      <c r="E126" s="13"/>
      <c r="F126" s="57"/>
    </row>
    <row r="127">
      <c r="A127" s="96" t="s">
        <v>50</v>
      </c>
      <c r="B127" s="97" t="s">
        <v>51</v>
      </c>
      <c r="C127" s="97" t="s">
        <v>52</v>
      </c>
      <c r="D127" s="97" t="s">
        <v>53</v>
      </c>
      <c r="E127" s="98" t="s">
        <v>54</v>
      </c>
      <c r="F127" s="61" t="s">
        <v>55</v>
      </c>
    </row>
    <row r="128">
      <c r="A128" s="62">
        <v>1.0</v>
      </c>
      <c r="B128" s="99">
        <f>B126</f>
        <v>35</v>
      </c>
      <c r="C128" s="64" t="s">
        <v>61</v>
      </c>
      <c r="D128" s="83" t="s">
        <v>57</v>
      </c>
      <c r="E128" s="100"/>
      <c r="F128" s="85"/>
    </row>
    <row r="129">
      <c r="A129" s="62">
        <v>2.0</v>
      </c>
      <c r="B129" s="99">
        <f>IF(F128&lt;10,MROUND(B128*0.85,5),B128)</f>
        <v>30</v>
      </c>
      <c r="C129" s="64" t="s">
        <v>61</v>
      </c>
      <c r="D129" s="83" t="s">
        <v>57</v>
      </c>
      <c r="E129" s="100"/>
      <c r="F129" s="85"/>
    </row>
    <row r="130">
      <c r="A130" s="68">
        <v>3.0</v>
      </c>
      <c r="B130" s="101">
        <f>IF(F129&lt;10,MROUND(B129*0.8,5),B129)</f>
        <v>25</v>
      </c>
      <c r="C130" s="70" t="s">
        <v>61</v>
      </c>
      <c r="D130" s="88" t="s">
        <v>57</v>
      </c>
      <c r="E130" s="102"/>
      <c r="F130" s="85"/>
    </row>
    <row r="131">
      <c r="A131" s="103"/>
    </row>
    <row r="133">
      <c r="A133" s="73" t="str">
        <f>HYPERLINK("https://youtu.be/XepOfsnGFJg","3. LEG CURL")</f>
        <v>3. LEG CURL</v>
      </c>
      <c r="B133" s="53"/>
      <c r="C133" s="53"/>
      <c r="D133" s="53"/>
      <c r="E133" s="53"/>
      <c r="F133" s="54"/>
    </row>
    <row r="134">
      <c r="A134" s="55" t="s">
        <v>49</v>
      </c>
      <c r="B134" s="90">
        <f>IF('Pre Workout 1'!B134='Pre Workout 1'!B136,'Pre Workout 1'!B134+5,IF('Pre Workout 1'!F134&lt;=9,MROUND('Pre Workout 1'!B134*0.95,5),MROUND('Pre Workout 1'!B134*0.85,5)))</f>
        <v>35</v>
      </c>
      <c r="C134" s="13"/>
      <c r="D134" s="13"/>
      <c r="E134" s="13"/>
      <c r="F134" s="57"/>
    </row>
    <row r="135">
      <c r="A135" s="96" t="s">
        <v>50</v>
      </c>
      <c r="B135" s="97" t="s">
        <v>51</v>
      </c>
      <c r="C135" s="97" t="s">
        <v>52</v>
      </c>
      <c r="D135" s="97" t="s">
        <v>53</v>
      </c>
      <c r="E135" s="98" t="s">
        <v>54</v>
      </c>
      <c r="F135" s="61" t="s">
        <v>55</v>
      </c>
    </row>
    <row r="136">
      <c r="A136" s="62">
        <v>1.0</v>
      </c>
      <c r="B136" s="99">
        <f>B134</f>
        <v>35</v>
      </c>
      <c r="C136" s="64" t="s">
        <v>61</v>
      </c>
      <c r="D136" s="83" t="s">
        <v>57</v>
      </c>
      <c r="E136" s="100"/>
      <c r="F136" s="85"/>
    </row>
    <row r="137">
      <c r="A137" s="62">
        <v>2.0</v>
      </c>
      <c r="B137" s="99">
        <f>IF(F136&lt;10,MROUND(B136*0.85,5),B136)</f>
        <v>30</v>
      </c>
      <c r="C137" s="64" t="s">
        <v>61</v>
      </c>
      <c r="D137" s="83" t="s">
        <v>57</v>
      </c>
      <c r="E137" s="100"/>
      <c r="F137" s="85"/>
    </row>
    <row r="138">
      <c r="A138" s="68">
        <v>3.0</v>
      </c>
      <c r="B138" s="101">
        <f>IF(F137&lt;10,MROUND(B137*0.8,5),B137)</f>
        <v>25</v>
      </c>
      <c r="C138" s="70" t="s">
        <v>61</v>
      </c>
      <c r="D138" s="88" t="s">
        <v>57</v>
      </c>
      <c r="E138" s="102"/>
      <c r="F138" s="85"/>
    </row>
    <row r="141">
      <c r="A141" s="106" t="s">
        <v>66</v>
      </c>
      <c r="B141" s="36"/>
      <c r="C141" s="36"/>
      <c r="D141" s="36"/>
      <c r="E141" s="36"/>
      <c r="F141" s="37"/>
    </row>
    <row r="142">
      <c r="A142" s="103"/>
    </row>
    <row r="143">
      <c r="A143" s="107" t="str">
        <f>HYPERLINK("https://www.amazon.com/30-Minute-Body-Investment-Champion/dp/0692791892/ref=sr_1_1?ie=UTF8&amp;qid=1490447969&amp;sr=8-1&amp;keywords=30+minute+body","WANT TO LEARN MORE?")</f>
        <v>WANT TO LEARN MORE?</v>
      </c>
      <c r="B143" s="36"/>
      <c r="C143" s="36"/>
      <c r="D143" s="36"/>
      <c r="E143" s="36"/>
      <c r="F143" s="37"/>
    </row>
    <row r="144">
      <c r="A144" s="108"/>
    </row>
    <row r="145">
      <c r="A145" s="109"/>
      <c r="B145" s="110"/>
      <c r="C145" s="111" t="s">
        <v>67</v>
      </c>
      <c r="D145" s="36"/>
      <c r="E145" s="36"/>
      <c r="F145" s="37"/>
    </row>
  </sheetData>
  <mergeCells count="64">
    <mergeCell ref="A133:F133"/>
    <mergeCell ref="B134:F134"/>
    <mergeCell ref="A139:F140"/>
    <mergeCell ref="A141:F141"/>
    <mergeCell ref="A142:F142"/>
    <mergeCell ref="A143:F143"/>
    <mergeCell ref="A144:F144"/>
    <mergeCell ref="C145:F145"/>
    <mergeCell ref="A114:F114"/>
    <mergeCell ref="A115:F115"/>
    <mergeCell ref="B116:F116"/>
    <mergeCell ref="A123:F124"/>
    <mergeCell ref="A125:F125"/>
    <mergeCell ref="B126:F126"/>
    <mergeCell ref="A131:F132"/>
    <mergeCell ref="A1:F8"/>
    <mergeCell ref="A9:F9"/>
    <mergeCell ref="A10:F11"/>
    <mergeCell ref="A12:F12"/>
    <mergeCell ref="A13:F13"/>
    <mergeCell ref="A14:F14"/>
    <mergeCell ref="A15:F15"/>
    <mergeCell ref="A16:F16"/>
    <mergeCell ref="A18:F18"/>
    <mergeCell ref="A19:F20"/>
    <mergeCell ref="A21:F21"/>
    <mergeCell ref="A22:F22"/>
    <mergeCell ref="A23:F23"/>
    <mergeCell ref="A24:F25"/>
    <mergeCell ref="A26:F26"/>
    <mergeCell ref="A27:F27"/>
    <mergeCell ref="B28:F28"/>
    <mergeCell ref="A33:F34"/>
    <mergeCell ref="A35:F35"/>
    <mergeCell ref="B36:F36"/>
    <mergeCell ref="A41:F42"/>
    <mergeCell ref="A43:F43"/>
    <mergeCell ref="B44:F44"/>
    <mergeCell ref="A51:F51"/>
    <mergeCell ref="B52:F52"/>
    <mergeCell ref="A57:F58"/>
    <mergeCell ref="A59:F59"/>
    <mergeCell ref="B60:F60"/>
    <mergeCell ref="A65:F66"/>
    <mergeCell ref="A67:F67"/>
    <mergeCell ref="A68:F69"/>
    <mergeCell ref="A70:F70"/>
    <mergeCell ref="A71:F71"/>
    <mergeCell ref="B72:F72"/>
    <mergeCell ref="A77:F78"/>
    <mergeCell ref="A79:F79"/>
    <mergeCell ref="B80:F80"/>
    <mergeCell ref="A85:F86"/>
    <mergeCell ref="A87:F87"/>
    <mergeCell ref="B88:F88"/>
    <mergeCell ref="A93:F94"/>
    <mergeCell ref="A95:F95"/>
    <mergeCell ref="B96:F96"/>
    <mergeCell ref="A101:F102"/>
    <mergeCell ref="A103:F103"/>
    <mergeCell ref="B104:F104"/>
    <mergeCell ref="A109:F110"/>
    <mergeCell ref="A111:F111"/>
    <mergeCell ref="A112:F113"/>
  </mergeCells>
  <dataValidations>
    <dataValidation type="decimal" operator="greaterThan" allowBlank="1" showDropDown="1" showErrorMessage="1" sqref="F17 F30:F32 F38:F40 F46:F50 F54:F56 F62:F64 F74:F76 F82:F84 F90:F92 F98:F100 F106:F108 F118:F122 F128:F130 F136:F138">
      <formula1>0.0</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row>
    <row r="17">
      <c r="H17" s="117" t="s">
        <v>76</v>
      </c>
      <c r="I17" s="118">
        <f>MAX('Weight Log'!C2:C19)-MIN('Weight Log'!C2:C19)</f>
        <v>0</v>
      </c>
      <c r="J17" s="119" t="s">
        <v>77</v>
      </c>
    </row>
    <row r="18">
      <c r="H18" s="120"/>
      <c r="J18" s="39"/>
    </row>
    <row r="19">
      <c r="H19" s="18"/>
      <c r="I19" s="13"/>
      <c r="J19" s="14"/>
    </row>
    <row r="39">
      <c r="A39" s="121" t="str">
        <f>'WORK ANALYTICS'!A2</f>
        <v>DB INCLINE PRESS</v>
      </c>
      <c r="B39" s="20"/>
      <c r="C39" s="21"/>
      <c r="D39" s="122" t="str">
        <f>'WORK ANALYTICS'!A3</f>
        <v>Machine Press</v>
      </c>
      <c r="E39" s="20"/>
      <c r="F39" s="21"/>
      <c r="G39" s="123" t="str">
        <f>'WORK ANALYTICS'!A4</f>
        <v>Bench Press</v>
      </c>
      <c r="H39" s="20"/>
      <c r="I39" s="20"/>
      <c r="J39" s="21"/>
    </row>
    <row r="40">
      <c r="A40" s="124" t="str">
        <f>IF(B40&gt;0,"INCREASE OF",IF(B40=0,"NO PROGRESS","DECREASE OF"))</f>
        <v>INCREASE OF</v>
      </c>
      <c r="B40" s="125">
        <f>MAX('WORK ANALYTICS'!C2:M2)-MIN('WORK ANALYTICS'!C2:M2)</f>
        <v>20</v>
      </c>
      <c r="C40" s="126" t="s">
        <v>77</v>
      </c>
      <c r="D40" s="124" t="str">
        <f>IF(E40&gt;0,"INCREASE OF",IF(E40=0,"NO PROGRESS","DECREASE OF"))</f>
        <v>NO PROGRESS</v>
      </c>
      <c r="E40" s="127">
        <f>MAX('WORK ANALYTICS'!C3:M3)-MIN('WORK ANALYTICS'!C3:M3)</f>
        <v>0</v>
      </c>
      <c r="F40" s="126" t="s">
        <v>77</v>
      </c>
      <c r="G40" s="124" t="str">
        <f>IF(H40&gt;0,"INCREASE OF",IF(H40=0,"NO PROGRESS","DECREASE OF"))</f>
        <v>INCREASE OF</v>
      </c>
      <c r="H40" s="128">
        <f>MAX('WORK ANALYTICS'!C4:M4)-MIN('WORK ANALYTICS'!C4:M4)</f>
        <v>105</v>
      </c>
      <c r="I40" s="129" t="s">
        <v>77</v>
      </c>
      <c r="J40" s="130"/>
    </row>
    <row r="61">
      <c r="A61" s="131" t="str">
        <f>'WORK ANALYTICS'!A11</f>
        <v>LAT PULL DOWN</v>
      </c>
      <c r="B61" s="20"/>
      <c r="C61" s="21"/>
      <c r="D61" s="132" t="str">
        <f>'WORK ANALYTICS'!A12</f>
        <v>HIGH ROW</v>
      </c>
      <c r="E61" s="20"/>
      <c r="F61" s="21"/>
      <c r="G61" s="133" t="str">
        <f>'WORK ANALYTICS'!A13</f>
        <v>LOW ROW</v>
      </c>
      <c r="H61" s="20"/>
      <c r="I61" s="20"/>
      <c r="J61" s="21"/>
    </row>
    <row r="62">
      <c r="A62" s="124" t="str">
        <f>IF(B62&gt;0,"INCREASE OF",IF(B62=0,"NO PROGRESS","DECREASE OF"))</f>
        <v>INCREASE OF</v>
      </c>
      <c r="B62" s="134">
        <f>MAX('WORK ANALYTICS'!B11:M11)-MIN('WORK ANALYTICS'!B11:M11)</f>
        <v>5</v>
      </c>
      <c r="C62" s="126" t="s">
        <v>77</v>
      </c>
      <c r="D62" s="124" t="str">
        <f>IF(E62&gt;0,"INCREASE OF",IF(E62=0,"NO PROGRESS","DECREASE OF"))</f>
        <v>NO PROGRESS</v>
      </c>
      <c r="E62" s="135">
        <f>MAX('WORK ANALYTICS'!B12)-MIN('WORK ANALYTICS'!B12)</f>
        <v>0</v>
      </c>
      <c r="F62" s="126" t="s">
        <v>77</v>
      </c>
      <c r="G62" s="124" t="str">
        <f>IF(H62&gt;0,"INCREASE OF",IF(H62=0,"NO PROGRESS","DECREASE OF"))</f>
        <v>NO PROGRESS</v>
      </c>
      <c r="H62" s="136">
        <f>MAX('WORK ANALYTICS'!B13)-MIN('WORK ANALYTICS'!B13)</f>
        <v>0</v>
      </c>
      <c r="I62" s="129" t="s">
        <v>77</v>
      </c>
      <c r="J62" s="130"/>
    </row>
    <row r="82">
      <c r="A82" s="137" t="s">
        <v>22</v>
      </c>
      <c r="B82" s="20"/>
      <c r="C82" s="20"/>
      <c r="D82" s="138" t="s">
        <v>23</v>
      </c>
      <c r="E82" s="20"/>
      <c r="F82" s="20"/>
      <c r="G82" s="139" t="s">
        <v>24</v>
      </c>
      <c r="H82" s="20"/>
      <c r="I82" s="20"/>
      <c r="J82" s="20"/>
    </row>
    <row r="83">
      <c r="A83" s="124" t="str">
        <f>IF(B83&gt;0,"INCREASE OF",IF(B83=0,"NO PROGRESS","DECREASE OF"))</f>
        <v>INCREASE OF</v>
      </c>
      <c r="B83" s="125">
        <f>MAX('WORK ANALYTICS'!C21:M21)-MIN('WORK ANALYTICS'!C21:M21)</f>
        <v>4</v>
      </c>
      <c r="C83" s="126" t="s">
        <v>77</v>
      </c>
      <c r="D83" s="124" t="str">
        <f>IF(E83&gt;0,"INCREASE OF",IF(E83=0,"NO PROGRESS","DECREASE OF"))</f>
        <v>NO PROGRESS</v>
      </c>
      <c r="E83" s="127">
        <f>MAX('WORK ANALYTICS'!C22:M22)-MIN('WORK ANALYTICS'!C22:M22)</f>
        <v>0</v>
      </c>
      <c r="F83" s="126" t="s">
        <v>77</v>
      </c>
      <c r="G83" s="124" t="str">
        <f>IF(H83&gt;0,"INCREASE OF",IF(H83=0,"NO PROGRESS","DECREASE OF"))</f>
        <v>NO PROGRESS</v>
      </c>
      <c r="H83" s="128">
        <f>MAX('WORK ANALYTICS'!C23:M23)-MIN('WORK ANALYTICS'!C23:M23)</f>
        <v>0</v>
      </c>
      <c r="I83" s="129" t="s">
        <v>77</v>
      </c>
      <c r="J83" s="130"/>
    </row>
    <row r="103">
      <c r="B103" s="131" t="str">
        <f>'WORK ANALYTICS'!A31</f>
        <v>DB SHOULDER PRESS</v>
      </c>
      <c r="C103" s="20"/>
      <c r="D103" s="20"/>
      <c r="E103" s="20"/>
      <c r="F103" s="132" t="str">
        <f>'WORK ANALYTICS'!A32</f>
        <v>MACHINE SHOULDER PRESS</v>
      </c>
      <c r="G103" s="20"/>
      <c r="H103" s="20"/>
      <c r="I103" s="20"/>
    </row>
    <row r="104">
      <c r="B104" s="124" t="str">
        <f>IF(D104&gt;0,"INCREASE OF",IF(D104=0,"NO PROGRESS","DECREASE OF"))</f>
        <v>INCREASE OF</v>
      </c>
      <c r="C104" s="33"/>
      <c r="D104" s="134">
        <f>MAX('WORK ANALYTICS'!C31:M31)-MIN('WORK ANALYTICS'!C31:M31)</f>
        <v>4</v>
      </c>
      <c r="E104" s="126" t="s">
        <v>77</v>
      </c>
      <c r="F104" s="124" t="str">
        <f>IF(G104&gt;0,"INCREASE OF",IF(G104=0,"NO PROGRESS","DECREASE OF"))</f>
        <v>INCREASE OF</v>
      </c>
      <c r="G104" s="135">
        <f>MAX('WORK ANALYTICS'!C32:M32)-MIN('WORK ANALYTICS'!C32:M32)</f>
        <v>8</v>
      </c>
      <c r="H104" s="129" t="s">
        <v>77</v>
      </c>
      <c r="I104" s="130"/>
    </row>
    <row r="124">
      <c r="A124" s="140" t="str">
        <f>'WORK ANALYTICS'!A36</f>
        <v>ALTERNATING CURLS</v>
      </c>
      <c r="B124" s="20"/>
      <c r="C124" s="20"/>
      <c r="D124" s="138" t="str">
        <f>'WORK ANALYTICS'!A37</f>
        <v>BAR CURLS</v>
      </c>
      <c r="E124" s="20"/>
      <c r="F124" s="20"/>
      <c r="G124" s="139" t="str">
        <f>'WORK ANALYTICS'!A38</f>
        <v>MACHINE CURLS</v>
      </c>
      <c r="H124" s="20"/>
      <c r="I124" s="20"/>
      <c r="J124" s="20"/>
    </row>
    <row r="125">
      <c r="A125" s="124" t="str">
        <f>IF(B125&gt;0,"INCREASE OF",IF(B125=0,"NO PROGRESS","DECREASE OF"))</f>
        <v>#REF!</v>
      </c>
      <c r="B125" s="125" t="str">
        <f>MAX('WORK ANALYTICS'!C36:M36)-MIN('WORK ANALYTICS'!C36:M36)</f>
        <v>#REF!</v>
      </c>
      <c r="C125" s="126" t="s">
        <v>77</v>
      </c>
      <c r="D125" s="124" t="str">
        <f>IF(E125&gt;0,"INCREASE OF",IF(E125=0,"NO PROGRESS","DECREASE OF"))</f>
        <v>NO PROGRESS</v>
      </c>
      <c r="E125" s="127">
        <f>MAX('WORK ANALYTICS'!C37:M37)-MIN('WORK ANALYTICS'!C37:M37)</f>
        <v>0</v>
      </c>
      <c r="F125" s="126" t="s">
        <v>77</v>
      </c>
      <c r="G125" s="124" t="str">
        <f>IF(H125&gt;0,"INCREASE OF",IF(H125=0,"NO PROGRESS","DECREASE OF"))</f>
        <v>NO PROGRESS</v>
      </c>
      <c r="H125" s="128">
        <f>MAX('WORK ANALYTICS'!C38:M38)-MIN('WORK ANALYTICS'!C38:M38)</f>
        <v>0</v>
      </c>
      <c r="I125" s="129" t="s">
        <v>77</v>
      </c>
      <c r="J125" s="130"/>
    </row>
    <row r="145">
      <c r="A145" s="10"/>
      <c r="C145" s="131" t="str">
        <f>'WORK ANALYTICS'!A43</f>
        <v>MACHINE PRESS</v>
      </c>
      <c r="D145" s="20"/>
      <c r="E145" s="20"/>
      <c r="F145" s="132" t="str">
        <f>'WORK ANALYTICS'!A44</f>
        <v>OVERHEAD EXTENSION</v>
      </c>
      <c r="G145" s="20"/>
      <c r="H145" s="20"/>
      <c r="I145" s="10"/>
    </row>
    <row r="146">
      <c r="A146" s="11"/>
      <c r="B146" s="11"/>
      <c r="C146" s="124" t="str">
        <f>IF(D146&gt;0,"INCREASE OF",IF(D146=0,"NO PROGRESS","DECREASE OF"))</f>
        <v>#REF!</v>
      </c>
      <c r="D146" s="134" t="str">
        <f>MAX('WORK ANALYTICS'!C43:M43)-MIN('WORK ANALYTICS'!C43:M43)</f>
        <v>#REF!</v>
      </c>
      <c r="E146" s="126" t="s">
        <v>77</v>
      </c>
      <c r="F146" s="124" t="str">
        <f>IF(G146&gt;0,"INCREASE OF",IF(G146=0,"NO PROGRESS","DECREASE OF"))</f>
        <v>#REF!</v>
      </c>
      <c r="G146" s="135" t="str">
        <f>MAX('WORK ANALYTICS'!C44:M44)-MIN('WORK ANALYTICS'!C44:M44)</f>
        <v>#REF!</v>
      </c>
      <c r="H146" s="126" t="s">
        <v>77</v>
      </c>
      <c r="I146" s="11"/>
      <c r="J146" s="11"/>
    </row>
  </sheetData>
  <mergeCells count="39">
    <mergeCell ref="A1:J16"/>
    <mergeCell ref="A17:G19"/>
    <mergeCell ref="H17:H19"/>
    <mergeCell ref="I17:I19"/>
    <mergeCell ref="J17:J19"/>
    <mergeCell ref="A20:J21"/>
    <mergeCell ref="A23:J24"/>
    <mergeCell ref="A39:C39"/>
    <mergeCell ref="D39:F39"/>
    <mergeCell ref="G39:J39"/>
    <mergeCell ref="I40:J40"/>
    <mergeCell ref="A41:J42"/>
    <mergeCell ref="A43:J60"/>
    <mergeCell ref="A61:C61"/>
    <mergeCell ref="D61:F61"/>
    <mergeCell ref="G61:J61"/>
    <mergeCell ref="I62:J62"/>
    <mergeCell ref="A63:J65"/>
    <mergeCell ref="A82:C82"/>
    <mergeCell ref="D82:F82"/>
    <mergeCell ref="G82:J82"/>
    <mergeCell ref="I83:J83"/>
    <mergeCell ref="A84:J85"/>
    <mergeCell ref="A103:A104"/>
    <mergeCell ref="B103:E103"/>
    <mergeCell ref="F103:I103"/>
    <mergeCell ref="J103:J104"/>
    <mergeCell ref="B104:C104"/>
    <mergeCell ref="A145:B146"/>
    <mergeCell ref="C145:E145"/>
    <mergeCell ref="F145:H145"/>
    <mergeCell ref="I145:J146"/>
    <mergeCell ref="H104:I104"/>
    <mergeCell ref="A105:J108"/>
    <mergeCell ref="A124:C124"/>
    <mergeCell ref="D124:F124"/>
    <mergeCell ref="G124:J124"/>
    <mergeCell ref="I125:J125"/>
    <mergeCell ref="A126:J12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1"/>
    </row>
    <row r="8">
      <c r="A8" s="142" t="s">
        <v>78</v>
      </c>
      <c r="B8" s="53"/>
      <c r="C8" s="53"/>
      <c r="D8" s="53"/>
      <c r="E8" s="54"/>
      <c r="F8" s="143"/>
      <c r="G8" s="144"/>
      <c r="I8" s="24" t="s">
        <v>35</v>
      </c>
      <c r="J8" s="25"/>
      <c r="K8" s="25"/>
      <c r="L8" s="25"/>
      <c r="M8" s="25"/>
      <c r="N8" s="26"/>
      <c r="O8" s="144"/>
    </row>
    <row r="9">
      <c r="A9" s="145" t="s">
        <v>79</v>
      </c>
      <c r="B9" s="20"/>
      <c r="C9" s="20"/>
      <c r="D9" s="20"/>
      <c r="E9" s="95"/>
      <c r="F9" s="146"/>
      <c r="I9" s="147" t="s">
        <v>80</v>
      </c>
      <c r="N9" s="28"/>
    </row>
    <row r="10">
      <c r="A10" s="148" t="s">
        <v>81</v>
      </c>
      <c r="B10" s="20"/>
      <c r="C10" s="20"/>
      <c r="D10" s="20"/>
      <c r="E10" s="95"/>
      <c r="F10" s="143"/>
      <c r="I10" s="29" t="s">
        <v>82</v>
      </c>
      <c r="J10" s="30"/>
      <c r="K10" s="30"/>
      <c r="L10" s="30"/>
      <c r="M10" s="30"/>
      <c r="N10" s="31"/>
    </row>
    <row r="11">
      <c r="A11" s="149" t="s">
        <v>69</v>
      </c>
      <c r="B11" s="33"/>
      <c r="C11" s="33"/>
      <c r="D11" s="33"/>
      <c r="E11" s="34"/>
      <c r="F11" s="150"/>
      <c r="I11" s="144"/>
    </row>
    <row r="12">
      <c r="A12" s="151" t="s">
        <v>83</v>
      </c>
      <c r="F12" s="151"/>
    </row>
    <row r="13">
      <c r="A13" s="152" t="s">
        <v>84</v>
      </c>
      <c r="B13" s="36"/>
      <c r="C13" s="36"/>
      <c r="D13" s="36"/>
      <c r="E13" s="37"/>
      <c r="F13" s="153"/>
    </row>
    <row r="14">
      <c r="A14" s="154"/>
      <c r="B14" s="154"/>
      <c r="C14" s="154"/>
      <c r="D14" s="154"/>
      <c r="E14" s="150"/>
      <c r="F14" s="150"/>
    </row>
    <row r="15">
      <c r="A15" s="155" t="s">
        <v>85</v>
      </c>
      <c r="B15" s="36"/>
      <c r="C15" s="36"/>
      <c r="D15" s="36"/>
      <c r="E15" s="37"/>
      <c r="F15" s="156"/>
    </row>
    <row r="16">
      <c r="A16" s="152" t="s">
        <v>86</v>
      </c>
      <c r="B16" s="36"/>
      <c r="C16" s="36"/>
      <c r="D16" s="36"/>
      <c r="E16" s="37"/>
      <c r="F16" s="153"/>
    </row>
    <row r="17">
      <c r="A17" s="157" t="str">
        <f>HYPERLINK("https://www.youtube.com/watch?v=qrv8cCA-WCY","WATCH- HOW TO MAX PROPERLY")</f>
        <v>WATCH- HOW TO MAX PROPERLY</v>
      </c>
      <c r="B17" s="36"/>
      <c r="C17" s="36"/>
      <c r="D17" s="36"/>
      <c r="E17" s="37"/>
      <c r="F17" s="158"/>
    </row>
    <row r="18">
      <c r="A18" s="159" t="s">
        <v>87</v>
      </c>
      <c r="B18" s="36"/>
      <c r="C18" s="36"/>
      <c r="D18" s="36"/>
      <c r="E18" s="37"/>
      <c r="F18" s="160"/>
      <c r="I18" s="161" t="str">
        <f>HYPERLINK("https://www.youtube.com/watch?v=ujVN-A0Z-ic","1. DUMBBELL INCLINE CHEST PRESS")</f>
        <v>1. DUMBBELL INCLINE CHEST PRESS</v>
      </c>
      <c r="J18" s="36"/>
      <c r="K18" s="36"/>
      <c r="L18" s="36"/>
      <c r="M18" s="37"/>
      <c r="N18" s="162"/>
      <c r="O18" s="159" t="s">
        <v>88</v>
      </c>
      <c r="P18" s="36"/>
      <c r="Q18" s="36"/>
      <c r="R18" s="36"/>
      <c r="S18" s="37"/>
    </row>
    <row r="19">
      <c r="A19" s="163" t="s">
        <v>50</v>
      </c>
      <c r="B19" s="164" t="s">
        <v>51</v>
      </c>
      <c r="C19" s="164" t="s">
        <v>52</v>
      </c>
      <c r="D19" s="165" t="s">
        <v>53</v>
      </c>
      <c r="E19" s="166" t="s">
        <v>55</v>
      </c>
      <c r="F19" s="167"/>
      <c r="I19" s="163" t="s">
        <v>50</v>
      </c>
      <c r="J19" s="163" t="s">
        <v>51</v>
      </c>
      <c r="K19" s="163" t="s">
        <v>52</v>
      </c>
      <c r="L19" s="168" t="s">
        <v>53</v>
      </c>
      <c r="M19" s="166" t="s">
        <v>55</v>
      </c>
      <c r="O19" s="163" t="s">
        <v>50</v>
      </c>
      <c r="P19" s="164" t="s">
        <v>51</v>
      </c>
      <c r="Q19" s="164" t="s">
        <v>52</v>
      </c>
      <c r="R19" s="165" t="s">
        <v>53</v>
      </c>
      <c r="S19" s="166" t="s">
        <v>55</v>
      </c>
    </row>
    <row r="20">
      <c r="A20" s="169">
        <v>1.0</v>
      </c>
      <c r="B20" s="170">
        <v>85.0</v>
      </c>
      <c r="C20" s="171">
        <v>1.0</v>
      </c>
      <c r="D20" s="172" t="s">
        <v>89</v>
      </c>
      <c r="E20" s="85"/>
      <c r="F20" s="173"/>
      <c r="I20" s="174">
        <v>1.0</v>
      </c>
      <c r="J20" s="170">
        <v>30.0</v>
      </c>
      <c r="K20" s="175">
        <v>4.0</v>
      </c>
      <c r="L20" s="172" t="s">
        <v>89</v>
      </c>
      <c r="M20" s="85"/>
      <c r="O20" s="169">
        <v>1.0</v>
      </c>
      <c r="P20" s="170">
        <v>85.0</v>
      </c>
      <c r="Q20" s="176">
        <v>4.0</v>
      </c>
      <c r="R20" s="172" t="s">
        <v>89</v>
      </c>
      <c r="S20" s="85"/>
    </row>
    <row r="21">
      <c r="A21" s="169">
        <v>2.0</v>
      </c>
      <c r="B21" s="170">
        <v>135.0</v>
      </c>
      <c r="C21" s="171">
        <v>1.0</v>
      </c>
      <c r="D21" s="172" t="s">
        <v>89</v>
      </c>
      <c r="E21" s="85"/>
      <c r="F21" s="173"/>
      <c r="I21" s="174">
        <v>2.0</v>
      </c>
      <c r="J21" s="170">
        <v>40.0</v>
      </c>
      <c r="K21" s="175">
        <v>4.0</v>
      </c>
      <c r="L21" s="172" t="s">
        <v>89</v>
      </c>
      <c r="M21" s="85"/>
      <c r="O21" s="169">
        <v>2.0</v>
      </c>
      <c r="P21" s="170">
        <v>135.0</v>
      </c>
      <c r="Q21" s="176">
        <v>4.0</v>
      </c>
      <c r="R21" s="172" t="s">
        <v>89</v>
      </c>
      <c r="S21" s="85"/>
    </row>
    <row r="22">
      <c r="A22" s="169">
        <v>3.0</v>
      </c>
      <c r="B22" s="170">
        <v>155.0</v>
      </c>
      <c r="C22" s="171">
        <v>1.0</v>
      </c>
      <c r="D22" s="172" t="s">
        <v>89</v>
      </c>
      <c r="E22" s="85"/>
      <c r="F22" s="173"/>
      <c r="I22" s="174">
        <v>3.0</v>
      </c>
      <c r="J22" s="170">
        <v>60.0</v>
      </c>
      <c r="K22" s="175">
        <v>4.0</v>
      </c>
      <c r="L22" s="172" t="s">
        <v>89</v>
      </c>
      <c r="M22" s="85"/>
      <c r="O22" s="169">
        <v>3.0</v>
      </c>
      <c r="P22" s="170">
        <v>155.0</v>
      </c>
      <c r="Q22" s="176">
        <v>4.0</v>
      </c>
      <c r="R22" s="172" t="s">
        <v>89</v>
      </c>
      <c r="S22" s="85"/>
    </row>
    <row r="23">
      <c r="A23" s="169">
        <v>4.0</v>
      </c>
      <c r="B23" s="170">
        <v>170.0</v>
      </c>
      <c r="C23" s="171">
        <v>1.0</v>
      </c>
      <c r="D23" s="172" t="s">
        <v>89</v>
      </c>
      <c r="E23" s="85"/>
      <c r="F23" s="173"/>
      <c r="I23" s="174">
        <v>4.0</v>
      </c>
      <c r="J23" s="170">
        <v>70.0</v>
      </c>
      <c r="K23" s="175">
        <v>4.0</v>
      </c>
      <c r="L23" s="172" t="s">
        <v>89</v>
      </c>
      <c r="M23" s="85"/>
      <c r="O23" s="169">
        <v>4.0</v>
      </c>
      <c r="P23" s="170">
        <v>170.0</v>
      </c>
      <c r="Q23" s="176">
        <v>4.0</v>
      </c>
      <c r="R23" s="172" t="s">
        <v>89</v>
      </c>
      <c r="S23" s="85"/>
    </row>
    <row r="24">
      <c r="A24" s="169">
        <v>5.0</v>
      </c>
      <c r="B24" s="170">
        <v>185.0</v>
      </c>
      <c r="C24" s="171">
        <v>1.0</v>
      </c>
      <c r="D24" s="172" t="s">
        <v>89</v>
      </c>
      <c r="E24" s="85"/>
      <c r="F24" s="173"/>
      <c r="I24" s="174">
        <v>5.0</v>
      </c>
      <c r="J24" s="170">
        <v>80.0</v>
      </c>
      <c r="K24" s="175">
        <v>4.0</v>
      </c>
      <c r="L24" s="172" t="s">
        <v>89</v>
      </c>
      <c r="M24" s="85"/>
      <c r="O24" s="169">
        <v>5.0</v>
      </c>
      <c r="P24" s="170">
        <v>185.0</v>
      </c>
      <c r="Q24" s="176">
        <v>4.0</v>
      </c>
      <c r="R24" s="172" t="s">
        <v>89</v>
      </c>
      <c r="S24" s="85"/>
    </row>
    <row r="25">
      <c r="A25" s="169">
        <v>6.0</v>
      </c>
      <c r="B25" s="170">
        <v>205.0</v>
      </c>
      <c r="C25" s="171">
        <v>1.0</v>
      </c>
      <c r="D25" s="172" t="s">
        <v>89</v>
      </c>
      <c r="E25" s="85"/>
      <c r="F25" s="173"/>
      <c r="I25" s="174">
        <v>6.0</v>
      </c>
      <c r="J25" s="170">
        <v>90.0</v>
      </c>
      <c r="K25" s="175">
        <v>4.0</v>
      </c>
      <c r="L25" s="172" t="s">
        <v>89</v>
      </c>
      <c r="M25" s="85"/>
      <c r="O25" s="169">
        <v>6.0</v>
      </c>
      <c r="P25" s="170">
        <v>205.0</v>
      </c>
      <c r="Q25" s="176">
        <v>4.0</v>
      </c>
      <c r="R25" s="172" t="s">
        <v>89</v>
      </c>
      <c r="S25" s="85"/>
    </row>
    <row r="26">
      <c r="A26" s="169">
        <v>7.0</v>
      </c>
      <c r="B26" s="170">
        <v>225.0</v>
      </c>
      <c r="C26" s="171">
        <v>1.0</v>
      </c>
      <c r="D26" s="172" t="s">
        <v>89</v>
      </c>
      <c r="E26" s="85"/>
      <c r="F26" s="173"/>
      <c r="I26" s="174">
        <v>7.0</v>
      </c>
      <c r="J26" s="170">
        <v>100.0</v>
      </c>
      <c r="K26" s="175">
        <v>4.0</v>
      </c>
      <c r="L26" s="172" t="s">
        <v>89</v>
      </c>
      <c r="M26" s="85"/>
      <c r="O26" s="169">
        <v>7.0</v>
      </c>
      <c r="P26" s="170">
        <v>225.0</v>
      </c>
      <c r="Q26" s="176">
        <v>4.0</v>
      </c>
      <c r="R26" s="172" t="s">
        <v>89</v>
      </c>
      <c r="S26" s="85"/>
    </row>
    <row r="27">
      <c r="A27" s="169">
        <v>8.0</v>
      </c>
      <c r="B27" s="170">
        <v>240.0</v>
      </c>
      <c r="C27" s="171">
        <v>1.0</v>
      </c>
      <c r="D27" s="172" t="s">
        <v>89</v>
      </c>
      <c r="E27" s="85"/>
      <c r="F27" s="173"/>
      <c r="I27" s="174">
        <v>8.0</v>
      </c>
      <c r="J27" s="170">
        <v>110.0</v>
      </c>
      <c r="K27" s="175">
        <v>4.0</v>
      </c>
      <c r="L27" s="172" t="s">
        <v>89</v>
      </c>
      <c r="M27" s="85"/>
      <c r="O27" s="169">
        <v>8.0</v>
      </c>
      <c r="P27" s="170">
        <v>240.0</v>
      </c>
      <c r="Q27" s="176">
        <v>4.0</v>
      </c>
      <c r="R27" s="172" t="s">
        <v>89</v>
      </c>
      <c r="S27" s="85"/>
    </row>
    <row r="28">
      <c r="A28" s="169">
        <v>9.0</v>
      </c>
      <c r="B28" s="170">
        <v>260.0</v>
      </c>
      <c r="C28" s="171">
        <v>1.0</v>
      </c>
      <c r="D28" s="172" t="s">
        <v>89</v>
      </c>
      <c r="E28" s="85"/>
      <c r="F28" s="173"/>
      <c r="I28" s="174">
        <v>9.0</v>
      </c>
      <c r="J28" s="170">
        <v>120.0</v>
      </c>
      <c r="K28" s="175">
        <v>4.0</v>
      </c>
      <c r="L28" s="172" t="s">
        <v>89</v>
      </c>
      <c r="M28" s="85"/>
      <c r="O28" s="169">
        <v>9.0</v>
      </c>
      <c r="P28" s="170">
        <v>260.0</v>
      </c>
      <c r="Q28" s="176">
        <v>4.0</v>
      </c>
      <c r="R28" s="172" t="s">
        <v>89</v>
      </c>
      <c r="S28" s="85"/>
    </row>
    <row r="29">
      <c r="A29" s="169">
        <v>10.0</v>
      </c>
      <c r="B29" s="170">
        <v>280.0</v>
      </c>
      <c r="C29" s="171">
        <v>1.0</v>
      </c>
      <c r="D29" s="172" t="s">
        <v>89</v>
      </c>
      <c r="E29" s="177"/>
      <c r="F29" s="178"/>
      <c r="I29" s="174">
        <v>10.0</v>
      </c>
      <c r="J29" s="170">
        <v>130.0</v>
      </c>
      <c r="K29" s="175">
        <v>4.0</v>
      </c>
      <c r="L29" s="172" t="s">
        <v>89</v>
      </c>
      <c r="M29" s="85"/>
      <c r="O29" s="169">
        <v>10.0</v>
      </c>
      <c r="P29" s="170">
        <v>280.0</v>
      </c>
      <c r="Q29" s="176">
        <v>4.0</v>
      </c>
      <c r="R29" s="172" t="s">
        <v>89</v>
      </c>
      <c r="S29" s="85"/>
    </row>
    <row r="30">
      <c r="A30" s="169">
        <v>11.0</v>
      </c>
      <c r="B30" s="170">
        <v>305.0</v>
      </c>
      <c r="C30" s="171">
        <v>1.0</v>
      </c>
      <c r="D30" s="172" t="s">
        <v>89</v>
      </c>
      <c r="E30" s="177"/>
      <c r="F30" s="178"/>
      <c r="I30" s="174">
        <v>11.0</v>
      </c>
      <c r="J30" s="170">
        <v>140.0</v>
      </c>
      <c r="K30" s="175">
        <v>4.0</v>
      </c>
      <c r="L30" s="172" t="s">
        <v>89</v>
      </c>
      <c r="M30" s="177"/>
      <c r="O30" s="169">
        <v>11.0</v>
      </c>
      <c r="P30" s="170">
        <v>305.0</v>
      </c>
      <c r="Q30" s="176">
        <v>4.0</v>
      </c>
      <c r="R30" s="172" t="s">
        <v>89</v>
      </c>
      <c r="S30" s="85"/>
    </row>
    <row r="31">
      <c r="A31" s="179" t="s">
        <v>90</v>
      </c>
      <c r="B31" s="20"/>
      <c r="C31" s="20"/>
      <c r="D31" s="21"/>
      <c r="E31" s="180">
        <v>245.0</v>
      </c>
      <c r="F31" s="181"/>
      <c r="I31" s="179" t="s">
        <v>90</v>
      </c>
      <c r="J31" s="20"/>
      <c r="K31" s="20"/>
      <c r="L31" s="21"/>
      <c r="M31" s="180"/>
      <c r="O31" s="179" t="s">
        <v>90</v>
      </c>
      <c r="P31" s="20"/>
      <c r="Q31" s="20"/>
      <c r="R31" s="21"/>
      <c r="S31" s="180"/>
    </row>
    <row r="32">
      <c r="A32" s="144"/>
      <c r="F32" s="144"/>
      <c r="G32" s="144"/>
    </row>
    <row r="33">
      <c r="A33" s="182" t="str">
        <f>HYPERLINK("https://www.youtube.com/watch?v=PnaDzYh2axA","2. Lat Pull Down")</f>
        <v>2. Lat Pull Down</v>
      </c>
      <c r="B33" s="36"/>
      <c r="C33" s="36"/>
      <c r="D33" s="36"/>
      <c r="E33" s="37"/>
      <c r="F33" s="183"/>
    </row>
    <row r="34">
      <c r="A34" s="184"/>
      <c r="B34" s="13"/>
      <c r="C34" s="13"/>
      <c r="D34" s="13"/>
      <c r="E34" s="13"/>
      <c r="F34" s="144"/>
    </row>
    <row r="35">
      <c r="A35" s="163" t="s">
        <v>91</v>
      </c>
      <c r="B35" s="164" t="s">
        <v>2</v>
      </c>
      <c r="C35" s="164" t="s">
        <v>92</v>
      </c>
      <c r="D35" s="165" t="s">
        <v>53</v>
      </c>
      <c r="E35" s="166" t="s">
        <v>55</v>
      </c>
      <c r="F35" s="167"/>
    </row>
    <row r="36">
      <c r="A36" s="185" t="s">
        <v>93</v>
      </c>
      <c r="B36" s="170">
        <v>70.0</v>
      </c>
      <c r="C36" s="176">
        <v>4.0</v>
      </c>
      <c r="D36" s="172" t="s">
        <v>89</v>
      </c>
      <c r="E36" s="85"/>
      <c r="F36" s="173"/>
    </row>
    <row r="37">
      <c r="A37" s="186" t="s">
        <v>94</v>
      </c>
      <c r="B37" s="170">
        <v>90.0</v>
      </c>
      <c r="C37" s="176">
        <v>4.0</v>
      </c>
      <c r="D37" s="172" t="s">
        <v>89</v>
      </c>
      <c r="E37" s="85"/>
      <c r="F37" s="173"/>
    </row>
    <row r="38">
      <c r="A38" s="186" t="s">
        <v>95</v>
      </c>
      <c r="B38" s="170">
        <v>110.0</v>
      </c>
      <c r="C38" s="176">
        <v>4.0</v>
      </c>
      <c r="D38" s="172" t="s">
        <v>89</v>
      </c>
      <c r="E38" s="85"/>
      <c r="F38" s="173"/>
    </row>
    <row r="39">
      <c r="A39" s="186" t="s">
        <v>96</v>
      </c>
      <c r="B39" s="170">
        <v>130.0</v>
      </c>
      <c r="C39" s="176">
        <v>4.0</v>
      </c>
      <c r="D39" s="172" t="s">
        <v>89</v>
      </c>
      <c r="E39" s="85"/>
      <c r="F39" s="173"/>
    </row>
    <row r="40">
      <c r="A40" s="186" t="s">
        <v>97</v>
      </c>
      <c r="B40" s="170">
        <v>160.0</v>
      </c>
      <c r="C40" s="176">
        <v>4.0</v>
      </c>
      <c r="D40" s="172" t="s">
        <v>89</v>
      </c>
      <c r="E40" s="85"/>
      <c r="F40" s="173"/>
    </row>
    <row r="41">
      <c r="A41" s="186" t="s">
        <v>98</v>
      </c>
      <c r="B41" s="170">
        <v>180.0</v>
      </c>
      <c r="C41" s="176">
        <v>4.0</v>
      </c>
      <c r="D41" s="172" t="s">
        <v>89</v>
      </c>
      <c r="E41" s="85"/>
      <c r="F41" s="173"/>
    </row>
    <row r="42">
      <c r="A42" s="186" t="s">
        <v>99</v>
      </c>
      <c r="B42" s="170">
        <v>200.0</v>
      </c>
      <c r="C42" s="176">
        <v>4.0</v>
      </c>
      <c r="D42" s="172" t="s">
        <v>89</v>
      </c>
      <c r="E42" s="85"/>
      <c r="F42" s="173"/>
    </row>
    <row r="43">
      <c r="A43" s="186" t="s">
        <v>100</v>
      </c>
      <c r="B43" s="170">
        <v>210.0</v>
      </c>
      <c r="C43" s="176">
        <v>4.0</v>
      </c>
      <c r="D43" s="172" t="s">
        <v>89</v>
      </c>
      <c r="E43" s="85"/>
      <c r="F43" s="173"/>
    </row>
    <row r="44">
      <c r="A44" s="186" t="s">
        <v>101</v>
      </c>
      <c r="B44" s="170">
        <v>220.0</v>
      </c>
      <c r="C44" s="176">
        <v>4.0</v>
      </c>
      <c r="D44" s="172" t="s">
        <v>89</v>
      </c>
      <c r="E44" s="85"/>
      <c r="F44" s="173"/>
    </row>
    <row r="45">
      <c r="A45" s="186" t="s">
        <v>102</v>
      </c>
      <c r="B45" s="170">
        <v>230.0</v>
      </c>
      <c r="C45" s="176">
        <v>4.0</v>
      </c>
      <c r="D45" s="172" t="s">
        <v>89</v>
      </c>
      <c r="E45" s="85"/>
      <c r="F45" s="173"/>
    </row>
    <row r="46">
      <c r="A46" s="186" t="s">
        <v>103</v>
      </c>
      <c r="B46" s="170">
        <v>240.0</v>
      </c>
      <c r="C46" s="176">
        <v>4.0</v>
      </c>
      <c r="D46" s="172" t="s">
        <v>89</v>
      </c>
      <c r="E46" s="177"/>
      <c r="F46" s="178"/>
    </row>
    <row r="47">
      <c r="A47" s="179" t="s">
        <v>90</v>
      </c>
      <c r="B47" s="20"/>
      <c r="C47" s="20"/>
      <c r="D47" s="21"/>
      <c r="E47" s="180">
        <v>250.0</v>
      </c>
      <c r="F47" s="181"/>
    </row>
    <row r="48">
      <c r="A48" s="144"/>
      <c r="F48" s="144"/>
    </row>
    <row r="49">
      <c r="F49" s="144"/>
    </row>
    <row r="50">
      <c r="A50" s="182" t="str">
        <f>HYPERLINK("https://www.youtube.com/watch?v=9YH1YvZbiY0","3. Machine Low Row")</f>
        <v>3. Machine Low Row</v>
      </c>
      <c r="B50" s="36"/>
      <c r="C50" s="36"/>
      <c r="D50" s="36"/>
      <c r="E50" s="37"/>
      <c r="F50" s="187"/>
    </row>
    <row r="51">
      <c r="A51" s="163" t="s">
        <v>50</v>
      </c>
      <c r="B51" s="164" t="s">
        <v>51</v>
      </c>
      <c r="C51" s="164" t="s">
        <v>52</v>
      </c>
      <c r="D51" s="165" t="s">
        <v>53</v>
      </c>
      <c r="E51" s="166" t="s">
        <v>55</v>
      </c>
      <c r="F51" s="167"/>
    </row>
    <row r="52">
      <c r="A52" s="185" t="s">
        <v>93</v>
      </c>
      <c r="B52" s="170">
        <v>70.0</v>
      </c>
      <c r="C52" s="176">
        <v>4.0</v>
      </c>
      <c r="D52" s="172" t="s">
        <v>89</v>
      </c>
      <c r="E52" s="85"/>
      <c r="F52" s="173"/>
    </row>
    <row r="53">
      <c r="A53" s="186" t="s">
        <v>94</v>
      </c>
      <c r="B53" s="170">
        <v>90.0</v>
      </c>
      <c r="C53" s="176">
        <v>4.0</v>
      </c>
      <c r="D53" s="172" t="s">
        <v>89</v>
      </c>
      <c r="E53" s="177"/>
      <c r="F53" s="178"/>
    </row>
    <row r="54">
      <c r="A54" s="186" t="s">
        <v>95</v>
      </c>
      <c r="B54" s="170">
        <v>110.0</v>
      </c>
      <c r="C54" s="176">
        <v>4.0</v>
      </c>
      <c r="D54" s="172" t="s">
        <v>89</v>
      </c>
      <c r="E54" s="177"/>
      <c r="F54" s="178"/>
    </row>
    <row r="55">
      <c r="A55" s="186" t="s">
        <v>96</v>
      </c>
      <c r="B55" s="170">
        <v>130.0</v>
      </c>
      <c r="C55" s="176">
        <v>4.0</v>
      </c>
      <c r="D55" s="172" t="s">
        <v>89</v>
      </c>
      <c r="E55" s="177"/>
      <c r="F55" s="178"/>
    </row>
    <row r="56">
      <c r="A56" s="186" t="s">
        <v>97</v>
      </c>
      <c r="B56" s="170">
        <v>160.0</v>
      </c>
      <c r="C56" s="176">
        <v>4.0</v>
      </c>
      <c r="D56" s="172" t="s">
        <v>89</v>
      </c>
      <c r="E56" s="177"/>
      <c r="F56" s="178"/>
    </row>
    <row r="57">
      <c r="A57" s="186" t="s">
        <v>98</v>
      </c>
      <c r="B57" s="170">
        <v>180.0</v>
      </c>
      <c r="C57" s="176">
        <v>4.0</v>
      </c>
      <c r="D57" s="172" t="s">
        <v>89</v>
      </c>
      <c r="E57" s="177"/>
      <c r="F57" s="178"/>
    </row>
    <row r="58">
      <c r="A58" s="186" t="s">
        <v>99</v>
      </c>
      <c r="B58" s="170">
        <v>200.0</v>
      </c>
      <c r="C58" s="176">
        <v>4.0</v>
      </c>
      <c r="D58" s="172" t="s">
        <v>89</v>
      </c>
      <c r="E58" s="177"/>
      <c r="F58" s="178"/>
    </row>
    <row r="59">
      <c r="A59" s="186" t="s">
        <v>100</v>
      </c>
      <c r="B59" s="170">
        <v>210.0</v>
      </c>
      <c r="C59" s="176">
        <v>4.0</v>
      </c>
      <c r="D59" s="172" t="s">
        <v>89</v>
      </c>
      <c r="E59" s="177"/>
      <c r="F59" s="178"/>
    </row>
    <row r="60">
      <c r="A60" s="186" t="s">
        <v>101</v>
      </c>
      <c r="B60" s="170">
        <v>220.0</v>
      </c>
      <c r="C60" s="176">
        <v>4.0</v>
      </c>
      <c r="D60" s="172" t="s">
        <v>89</v>
      </c>
      <c r="E60" s="177"/>
      <c r="F60" s="178"/>
    </row>
    <row r="61">
      <c r="A61" s="186" t="s">
        <v>102</v>
      </c>
      <c r="B61" s="170">
        <v>230.0</v>
      </c>
      <c r="C61" s="176">
        <v>4.0</v>
      </c>
      <c r="D61" s="172" t="s">
        <v>89</v>
      </c>
      <c r="E61" s="177"/>
      <c r="F61" s="178"/>
    </row>
    <row r="62">
      <c r="A62" s="186" t="s">
        <v>103</v>
      </c>
      <c r="B62" s="170">
        <v>240.0</v>
      </c>
      <c r="C62" s="176">
        <v>4.0</v>
      </c>
      <c r="D62" s="172" t="s">
        <v>89</v>
      </c>
      <c r="E62" s="177"/>
      <c r="F62" s="178"/>
    </row>
    <row r="63">
      <c r="A63" s="179" t="s">
        <v>90</v>
      </c>
      <c r="B63" s="20"/>
      <c r="C63" s="20"/>
      <c r="D63" s="21"/>
      <c r="E63" s="180">
        <v>205.0</v>
      </c>
      <c r="F63" s="181"/>
    </row>
    <row r="64">
      <c r="A64" s="188"/>
      <c r="F64" s="188"/>
    </row>
    <row r="65">
      <c r="F65" s="188"/>
    </row>
    <row r="66">
      <c r="A66" s="189" t="str">
        <f>HYPERLINK("https://www.youtube.com/watch?v=hMUUvL3FlkE","4. MACHINE HIGH ROW")</f>
        <v>4. MACHINE HIGH ROW</v>
      </c>
      <c r="B66" s="36"/>
      <c r="C66" s="36"/>
      <c r="D66" s="36"/>
      <c r="E66" s="37"/>
      <c r="F66" s="190"/>
    </row>
    <row r="67">
      <c r="A67" s="184"/>
      <c r="B67" s="13"/>
      <c r="C67" s="13"/>
      <c r="D67" s="13"/>
      <c r="E67" s="13"/>
      <c r="F67" s="144"/>
    </row>
    <row r="68">
      <c r="A68" s="163" t="s">
        <v>50</v>
      </c>
      <c r="B68" s="164" t="s">
        <v>51</v>
      </c>
      <c r="C68" s="164" t="s">
        <v>52</v>
      </c>
      <c r="D68" s="165" t="s">
        <v>53</v>
      </c>
      <c r="E68" s="166" t="s">
        <v>55</v>
      </c>
      <c r="F68" s="167"/>
    </row>
    <row r="69">
      <c r="A69" s="185" t="s">
        <v>93</v>
      </c>
      <c r="B69" s="191">
        <v>50.0</v>
      </c>
      <c r="C69" s="176">
        <v>4.0</v>
      </c>
      <c r="D69" s="172" t="s">
        <v>89</v>
      </c>
      <c r="E69" s="177"/>
      <c r="F69" s="178"/>
    </row>
    <row r="70">
      <c r="A70" s="186" t="s">
        <v>94</v>
      </c>
      <c r="B70" s="170">
        <f t="shared" ref="B70:B79" si="1">B69+5</f>
        <v>55</v>
      </c>
      <c r="C70" s="176">
        <v>4.0</v>
      </c>
      <c r="D70" s="172" t="s">
        <v>89</v>
      </c>
      <c r="E70" s="177"/>
      <c r="F70" s="178"/>
    </row>
    <row r="71">
      <c r="A71" s="186" t="s">
        <v>95</v>
      </c>
      <c r="B71" s="170">
        <f t="shared" si="1"/>
        <v>60</v>
      </c>
      <c r="C71" s="176">
        <v>4.0</v>
      </c>
      <c r="D71" s="172" t="s">
        <v>89</v>
      </c>
      <c r="E71" s="177"/>
      <c r="F71" s="178"/>
    </row>
    <row r="72">
      <c r="A72" s="186" t="s">
        <v>96</v>
      </c>
      <c r="B72" s="170">
        <f t="shared" si="1"/>
        <v>65</v>
      </c>
      <c r="C72" s="176">
        <v>4.0</v>
      </c>
      <c r="D72" s="172" t="s">
        <v>89</v>
      </c>
      <c r="E72" s="177"/>
      <c r="F72" s="178"/>
    </row>
    <row r="73">
      <c r="A73" s="186" t="s">
        <v>97</v>
      </c>
      <c r="B73" s="170">
        <f t="shared" si="1"/>
        <v>70</v>
      </c>
      <c r="C73" s="176">
        <v>4.0</v>
      </c>
      <c r="D73" s="172" t="s">
        <v>89</v>
      </c>
      <c r="E73" s="177"/>
      <c r="F73" s="178"/>
    </row>
    <row r="74">
      <c r="A74" s="186" t="s">
        <v>98</v>
      </c>
      <c r="B74" s="170">
        <f t="shared" si="1"/>
        <v>75</v>
      </c>
      <c r="C74" s="176">
        <v>4.0</v>
      </c>
      <c r="D74" s="172" t="s">
        <v>89</v>
      </c>
      <c r="E74" s="177"/>
      <c r="F74" s="178"/>
    </row>
    <row r="75">
      <c r="A75" s="186" t="s">
        <v>99</v>
      </c>
      <c r="B75" s="170">
        <f t="shared" si="1"/>
        <v>80</v>
      </c>
      <c r="C75" s="176">
        <v>4.0</v>
      </c>
      <c r="D75" s="172" t="s">
        <v>89</v>
      </c>
      <c r="E75" s="177"/>
      <c r="F75" s="178"/>
    </row>
    <row r="76">
      <c r="A76" s="186" t="s">
        <v>100</v>
      </c>
      <c r="B76" s="170">
        <f t="shared" si="1"/>
        <v>85</v>
      </c>
      <c r="C76" s="176">
        <v>4.0</v>
      </c>
      <c r="D76" s="172" t="s">
        <v>89</v>
      </c>
      <c r="E76" s="177"/>
      <c r="F76" s="178"/>
    </row>
    <row r="77">
      <c r="A77" s="186" t="s">
        <v>101</v>
      </c>
      <c r="B77" s="170">
        <f t="shared" si="1"/>
        <v>90</v>
      </c>
      <c r="C77" s="176">
        <v>4.0</v>
      </c>
      <c r="D77" s="172" t="s">
        <v>89</v>
      </c>
      <c r="E77" s="177"/>
      <c r="F77" s="178"/>
    </row>
    <row r="78">
      <c r="A78" s="186" t="s">
        <v>102</v>
      </c>
      <c r="B78" s="170">
        <f t="shared" si="1"/>
        <v>95</v>
      </c>
      <c r="C78" s="176">
        <v>4.0</v>
      </c>
      <c r="D78" s="172" t="s">
        <v>89</v>
      </c>
      <c r="E78" s="177"/>
      <c r="F78" s="178"/>
    </row>
    <row r="79">
      <c r="A79" s="186" t="s">
        <v>103</v>
      </c>
      <c r="B79" s="170">
        <f t="shared" si="1"/>
        <v>100</v>
      </c>
      <c r="C79" s="176">
        <v>4.0</v>
      </c>
      <c r="D79" s="172" t="s">
        <v>89</v>
      </c>
      <c r="E79" s="177"/>
      <c r="F79" s="178"/>
    </row>
    <row r="80">
      <c r="A80" s="179" t="s">
        <v>90</v>
      </c>
      <c r="B80" s="20"/>
      <c r="C80" s="20"/>
      <c r="D80" s="21"/>
      <c r="E80" s="180">
        <v>60.0</v>
      </c>
      <c r="F80" s="181"/>
    </row>
    <row r="81">
      <c r="A81" s="144"/>
      <c r="F81" s="144"/>
    </row>
    <row r="82">
      <c r="F82" s="144"/>
    </row>
    <row r="83">
      <c r="A83" s="192" t="s">
        <v>59</v>
      </c>
      <c r="B83" s="36"/>
      <c r="C83" s="36"/>
      <c r="D83" s="36"/>
      <c r="E83" s="37"/>
      <c r="F83" s="146"/>
    </row>
    <row r="84">
      <c r="A84" s="193" t="s">
        <v>104</v>
      </c>
      <c r="E84" s="28"/>
      <c r="F84" s="194"/>
    </row>
    <row r="85">
      <c r="A85" s="195" t="s">
        <v>69</v>
      </c>
      <c r="B85" s="11"/>
      <c r="C85" s="11"/>
      <c r="D85" s="11"/>
      <c r="E85" s="46"/>
      <c r="F85" s="150"/>
    </row>
    <row r="86">
      <c r="A86" s="141"/>
      <c r="F86" s="141"/>
    </row>
    <row r="87">
      <c r="A87" s="152" t="s">
        <v>84</v>
      </c>
      <c r="B87" s="36"/>
      <c r="C87" s="36"/>
      <c r="D87" s="36"/>
      <c r="E87" s="37"/>
      <c r="F87" s="153"/>
    </row>
    <row r="88">
      <c r="A88" s="154"/>
      <c r="F88" s="154"/>
    </row>
    <row r="89">
      <c r="A89" s="155" t="s">
        <v>85</v>
      </c>
      <c r="B89" s="36"/>
      <c r="C89" s="36"/>
      <c r="D89" s="36"/>
      <c r="E89" s="37"/>
      <c r="F89" s="156"/>
    </row>
    <row r="90">
      <c r="A90" s="152" t="s">
        <v>86</v>
      </c>
      <c r="B90" s="36"/>
      <c r="C90" s="36"/>
      <c r="D90" s="36"/>
      <c r="E90" s="37"/>
      <c r="F90" s="153"/>
    </row>
    <row r="91">
      <c r="A91" s="144"/>
      <c r="F91" s="144"/>
    </row>
    <row r="92">
      <c r="A92" s="182" t="str">
        <f>HYPERLINK("https://www.youtube.com/watch?v=dVterVQksD4","1. Leg Press")</f>
        <v>1. Leg Press</v>
      </c>
      <c r="B92" s="36"/>
      <c r="C92" s="36"/>
      <c r="D92" s="36"/>
      <c r="E92" s="37"/>
      <c r="F92" s="187"/>
    </row>
    <row r="93">
      <c r="A93" s="184"/>
      <c r="B93" s="13"/>
      <c r="C93" s="13"/>
      <c r="D93" s="13"/>
      <c r="E93" s="13"/>
      <c r="F93" s="144"/>
    </row>
    <row r="94">
      <c r="A94" s="163" t="s">
        <v>50</v>
      </c>
      <c r="B94" s="164" t="s">
        <v>51</v>
      </c>
      <c r="C94" s="164" t="s">
        <v>52</v>
      </c>
      <c r="D94" s="165" t="s">
        <v>53</v>
      </c>
      <c r="E94" s="166" t="s">
        <v>55</v>
      </c>
      <c r="F94" s="167"/>
    </row>
    <row r="95">
      <c r="A95" s="186" t="s">
        <v>105</v>
      </c>
      <c r="B95" s="170">
        <v>100.0</v>
      </c>
      <c r="C95" s="176">
        <v>10.0</v>
      </c>
      <c r="D95" s="172" t="s">
        <v>89</v>
      </c>
      <c r="E95" s="177"/>
      <c r="F95" s="178"/>
    </row>
    <row r="96">
      <c r="A96" s="186" t="s">
        <v>94</v>
      </c>
      <c r="B96" s="170">
        <v>130.0</v>
      </c>
      <c r="C96" s="176">
        <v>10.0</v>
      </c>
      <c r="D96" s="172" t="s">
        <v>89</v>
      </c>
      <c r="E96" s="177"/>
      <c r="F96" s="178"/>
    </row>
    <row r="97">
      <c r="A97" s="186"/>
      <c r="B97" s="170"/>
      <c r="C97" s="176"/>
      <c r="D97" s="172"/>
      <c r="E97" s="177"/>
      <c r="F97" s="178"/>
    </row>
    <row r="98">
      <c r="A98" s="186"/>
      <c r="B98" s="170"/>
      <c r="C98" s="176"/>
      <c r="D98" s="172"/>
      <c r="E98" s="177"/>
      <c r="F98" s="178"/>
    </row>
    <row r="99">
      <c r="A99" s="186" t="s">
        <v>95</v>
      </c>
      <c r="B99" s="170">
        <v>160.0</v>
      </c>
      <c r="C99" s="176">
        <v>10.0</v>
      </c>
      <c r="D99" s="172" t="s">
        <v>89</v>
      </c>
      <c r="E99" s="177"/>
      <c r="F99" s="178"/>
    </row>
    <row r="100">
      <c r="A100" s="186" t="s">
        <v>96</v>
      </c>
      <c r="B100" s="170">
        <v>190.0</v>
      </c>
      <c r="C100" s="176">
        <v>10.0</v>
      </c>
      <c r="D100" s="172" t="s">
        <v>89</v>
      </c>
      <c r="E100" s="177"/>
      <c r="F100" s="178"/>
    </row>
    <row r="101">
      <c r="A101" s="186" t="s">
        <v>97</v>
      </c>
      <c r="B101" s="170">
        <v>220.0</v>
      </c>
      <c r="C101" s="176">
        <v>10.0</v>
      </c>
      <c r="D101" s="172" t="s">
        <v>89</v>
      </c>
      <c r="E101" s="177"/>
      <c r="F101" s="178"/>
    </row>
    <row r="102">
      <c r="A102" s="186" t="s">
        <v>98</v>
      </c>
      <c r="B102" s="170">
        <v>250.0</v>
      </c>
      <c r="C102" s="176">
        <v>10.0</v>
      </c>
      <c r="D102" s="172" t="s">
        <v>89</v>
      </c>
      <c r="E102" s="85"/>
      <c r="F102" s="173"/>
    </row>
    <row r="103">
      <c r="A103" s="186" t="s">
        <v>99</v>
      </c>
      <c r="B103" s="170">
        <v>280.0</v>
      </c>
      <c r="C103" s="176">
        <v>10.0</v>
      </c>
      <c r="D103" s="172" t="s">
        <v>89</v>
      </c>
      <c r="E103" s="85"/>
      <c r="F103" s="173"/>
    </row>
    <row r="104">
      <c r="A104" s="186" t="s">
        <v>100</v>
      </c>
      <c r="B104" s="170">
        <v>310.0</v>
      </c>
      <c r="C104" s="176">
        <v>10.0</v>
      </c>
      <c r="D104" s="172" t="s">
        <v>89</v>
      </c>
      <c r="E104" s="177"/>
      <c r="F104" s="178"/>
    </row>
    <row r="105">
      <c r="A105" s="186" t="s">
        <v>101</v>
      </c>
      <c r="B105" s="170">
        <v>340.0</v>
      </c>
      <c r="C105" s="176">
        <v>10.0</v>
      </c>
      <c r="D105" s="172" t="s">
        <v>89</v>
      </c>
      <c r="E105" s="177"/>
      <c r="F105" s="178"/>
    </row>
    <row r="106">
      <c r="A106" s="186" t="s">
        <v>102</v>
      </c>
      <c r="B106" s="170">
        <v>370.0</v>
      </c>
      <c r="C106" s="176">
        <v>10.0</v>
      </c>
      <c r="D106" s="172" t="s">
        <v>89</v>
      </c>
      <c r="E106" s="177"/>
      <c r="F106" s="178"/>
    </row>
    <row r="107">
      <c r="A107" s="186" t="s">
        <v>103</v>
      </c>
      <c r="B107" s="170">
        <v>400.0</v>
      </c>
      <c r="C107" s="176">
        <v>10.0</v>
      </c>
      <c r="D107" s="172" t="s">
        <v>89</v>
      </c>
      <c r="E107" s="177"/>
      <c r="F107" s="178"/>
    </row>
    <row r="108">
      <c r="A108" s="196" t="s">
        <v>90</v>
      </c>
      <c r="B108" s="16"/>
      <c r="C108" s="16"/>
      <c r="D108" s="17"/>
      <c r="E108" s="180">
        <v>130.0</v>
      </c>
      <c r="F108" s="181"/>
    </row>
    <row r="109">
      <c r="A109" s="197"/>
      <c r="B109" s="16"/>
      <c r="C109" s="16"/>
      <c r="D109" s="16"/>
      <c r="E109" s="16"/>
      <c r="F109" s="144"/>
    </row>
    <row r="110">
      <c r="F110" s="144"/>
    </row>
    <row r="111">
      <c r="A111" s="182" t="str">
        <f>HYPERLINK("https://www.youtube.com/watch?v=NZ9KiFtbiMs","2. Leg Extension")</f>
        <v>2. Leg Extension</v>
      </c>
      <c r="B111" s="36"/>
      <c r="C111" s="36"/>
      <c r="D111" s="36"/>
      <c r="E111" s="37"/>
      <c r="F111" s="183"/>
    </row>
    <row r="112">
      <c r="A112" s="163" t="s">
        <v>50</v>
      </c>
      <c r="B112" s="164" t="s">
        <v>51</v>
      </c>
      <c r="C112" s="164" t="s">
        <v>52</v>
      </c>
      <c r="D112" s="165" t="s">
        <v>53</v>
      </c>
      <c r="E112" s="166" t="s">
        <v>55</v>
      </c>
      <c r="F112" s="167"/>
    </row>
    <row r="113">
      <c r="A113" s="186" t="s">
        <v>105</v>
      </c>
      <c r="B113" s="170">
        <v>50.0</v>
      </c>
      <c r="C113" s="176">
        <v>10.0</v>
      </c>
      <c r="D113" s="172" t="s">
        <v>89</v>
      </c>
      <c r="E113" s="177"/>
      <c r="F113" s="178"/>
    </row>
    <row r="114">
      <c r="A114" s="186" t="s">
        <v>94</v>
      </c>
      <c r="B114" s="170">
        <v>70.0</v>
      </c>
      <c r="C114" s="176">
        <v>10.0</v>
      </c>
      <c r="D114" s="172" t="s">
        <v>89</v>
      </c>
      <c r="E114" s="85"/>
      <c r="F114" s="173"/>
    </row>
    <row r="115">
      <c r="A115" s="186" t="s">
        <v>95</v>
      </c>
      <c r="B115" s="170">
        <v>80.0</v>
      </c>
      <c r="C115" s="176">
        <v>10.0</v>
      </c>
      <c r="D115" s="172" t="s">
        <v>89</v>
      </c>
      <c r="E115" s="85"/>
      <c r="F115" s="173"/>
    </row>
    <row r="116">
      <c r="A116" s="186" t="s">
        <v>96</v>
      </c>
      <c r="B116" s="170">
        <v>100.0</v>
      </c>
      <c r="C116" s="176">
        <v>10.0</v>
      </c>
      <c r="D116" s="172" t="s">
        <v>89</v>
      </c>
      <c r="E116" s="177"/>
      <c r="F116" s="178"/>
    </row>
    <row r="117">
      <c r="A117" s="186" t="s">
        <v>97</v>
      </c>
      <c r="B117" s="170">
        <v>120.0</v>
      </c>
      <c r="C117" s="176">
        <v>10.0</v>
      </c>
      <c r="D117" s="172" t="s">
        <v>89</v>
      </c>
      <c r="E117" s="85"/>
      <c r="F117" s="173"/>
    </row>
    <row r="118">
      <c r="A118" s="186" t="s">
        <v>98</v>
      </c>
      <c r="B118" s="170">
        <v>140.0</v>
      </c>
      <c r="C118" s="176">
        <v>10.0</v>
      </c>
      <c r="D118" s="172" t="s">
        <v>89</v>
      </c>
      <c r="E118" s="85"/>
      <c r="F118" s="173"/>
    </row>
    <row r="119">
      <c r="A119" s="186" t="s">
        <v>99</v>
      </c>
      <c r="B119" s="170">
        <v>160.0</v>
      </c>
      <c r="C119" s="176">
        <v>10.0</v>
      </c>
      <c r="D119" s="172" t="s">
        <v>89</v>
      </c>
      <c r="E119" s="177"/>
      <c r="F119" s="178"/>
    </row>
    <row r="120">
      <c r="A120" s="186" t="s">
        <v>100</v>
      </c>
      <c r="B120" s="170">
        <v>180.0</v>
      </c>
      <c r="C120" s="176">
        <v>10.0</v>
      </c>
      <c r="D120" s="172" t="s">
        <v>89</v>
      </c>
      <c r="E120" s="177"/>
      <c r="F120" s="178"/>
    </row>
    <row r="121">
      <c r="A121" s="186" t="s">
        <v>101</v>
      </c>
      <c r="B121" s="170">
        <v>200.0</v>
      </c>
      <c r="C121" s="176">
        <v>10.0</v>
      </c>
      <c r="D121" s="172" t="s">
        <v>89</v>
      </c>
      <c r="E121" s="177"/>
      <c r="F121" s="178"/>
    </row>
    <row r="122">
      <c r="A122" s="186" t="s">
        <v>102</v>
      </c>
      <c r="B122" s="170">
        <v>220.0</v>
      </c>
      <c r="C122" s="176">
        <v>10.0</v>
      </c>
      <c r="D122" s="172" t="s">
        <v>89</v>
      </c>
      <c r="E122" s="177"/>
      <c r="F122" s="178"/>
    </row>
    <row r="123">
      <c r="A123" s="186" t="s">
        <v>103</v>
      </c>
      <c r="B123" s="170">
        <v>240.0</v>
      </c>
      <c r="C123" s="176">
        <v>10.0</v>
      </c>
      <c r="D123" s="172" t="s">
        <v>89</v>
      </c>
      <c r="E123" s="177"/>
      <c r="F123" s="178"/>
    </row>
    <row r="124">
      <c r="A124" s="179" t="s">
        <v>90</v>
      </c>
      <c r="B124" s="20"/>
      <c r="C124" s="20"/>
      <c r="D124" s="21"/>
      <c r="E124" s="180">
        <v>86.0</v>
      </c>
      <c r="F124" s="181"/>
    </row>
    <row r="125">
      <c r="A125" s="144"/>
      <c r="F125" s="144"/>
    </row>
    <row r="126">
      <c r="A126" s="182" t="str">
        <f>HYPERLINK("https://www.youtube.com/watch?v=XepOfsnGFJg","3. Leg Curl")</f>
        <v>3. Leg Curl</v>
      </c>
      <c r="B126" s="36"/>
      <c r="C126" s="36"/>
      <c r="D126" s="36"/>
      <c r="E126" s="37"/>
      <c r="F126" s="183"/>
    </row>
    <row r="127">
      <c r="A127" s="198" t="s">
        <v>106</v>
      </c>
      <c r="B127" s="36"/>
      <c r="C127" s="36"/>
      <c r="D127" s="36"/>
      <c r="E127" s="37"/>
      <c r="F127" s="199"/>
    </row>
    <row r="128">
      <c r="A128" s="184"/>
      <c r="B128" s="13"/>
      <c r="C128" s="13"/>
      <c r="D128" s="13"/>
      <c r="E128" s="13"/>
      <c r="F128" s="144"/>
    </row>
    <row r="129">
      <c r="A129" s="163" t="s">
        <v>91</v>
      </c>
      <c r="B129" s="164" t="s">
        <v>2</v>
      </c>
      <c r="C129" s="164" t="s">
        <v>92</v>
      </c>
      <c r="D129" s="165" t="s">
        <v>53</v>
      </c>
      <c r="E129" s="166" t="s">
        <v>55</v>
      </c>
      <c r="F129" s="167"/>
    </row>
    <row r="130">
      <c r="A130" s="186" t="s">
        <v>105</v>
      </c>
      <c r="B130" s="170">
        <v>80.0</v>
      </c>
      <c r="C130" s="176">
        <v>10.0</v>
      </c>
      <c r="D130" s="172" t="s">
        <v>89</v>
      </c>
      <c r="E130" s="177"/>
      <c r="F130" s="178"/>
    </row>
    <row r="131">
      <c r="A131" s="186" t="s">
        <v>94</v>
      </c>
      <c r="B131" s="170">
        <v>100.0</v>
      </c>
      <c r="C131" s="176">
        <v>10.0</v>
      </c>
      <c r="D131" s="172" t="s">
        <v>89</v>
      </c>
      <c r="E131" s="85"/>
      <c r="F131" s="173"/>
    </row>
    <row r="132">
      <c r="A132" s="186" t="s">
        <v>95</v>
      </c>
      <c r="B132" s="170">
        <v>120.0</v>
      </c>
      <c r="C132" s="176">
        <v>10.0</v>
      </c>
      <c r="D132" s="172" t="s">
        <v>89</v>
      </c>
      <c r="E132" s="85"/>
      <c r="F132" s="173"/>
    </row>
    <row r="133">
      <c r="A133" s="186" t="s">
        <v>96</v>
      </c>
      <c r="B133" s="170">
        <v>140.0</v>
      </c>
      <c r="C133" s="176">
        <v>10.0</v>
      </c>
      <c r="D133" s="172" t="s">
        <v>89</v>
      </c>
      <c r="E133" s="85"/>
      <c r="F133" s="173"/>
    </row>
    <row r="134">
      <c r="A134" s="186" t="s">
        <v>97</v>
      </c>
      <c r="B134" s="170">
        <v>160.0</v>
      </c>
      <c r="C134" s="176">
        <v>10.0</v>
      </c>
      <c r="D134" s="172" t="s">
        <v>89</v>
      </c>
      <c r="E134" s="177"/>
      <c r="F134" s="178"/>
    </row>
    <row r="135">
      <c r="A135" s="186" t="s">
        <v>98</v>
      </c>
      <c r="B135" s="170">
        <v>180.0</v>
      </c>
      <c r="C135" s="176">
        <v>10.0</v>
      </c>
      <c r="D135" s="172" t="s">
        <v>89</v>
      </c>
      <c r="E135" s="177"/>
      <c r="F135" s="178"/>
    </row>
    <row r="136">
      <c r="A136" s="186" t="s">
        <v>99</v>
      </c>
      <c r="B136" s="170">
        <v>200.0</v>
      </c>
      <c r="C136" s="176">
        <v>10.0</v>
      </c>
      <c r="D136" s="172" t="s">
        <v>89</v>
      </c>
      <c r="E136" s="177"/>
      <c r="F136" s="178"/>
    </row>
    <row r="137">
      <c r="A137" s="186" t="s">
        <v>100</v>
      </c>
      <c r="B137" s="170">
        <v>220.0</v>
      </c>
      <c r="C137" s="176">
        <v>10.0</v>
      </c>
      <c r="D137" s="172" t="s">
        <v>89</v>
      </c>
      <c r="E137" s="177"/>
      <c r="F137" s="178"/>
    </row>
    <row r="138">
      <c r="A138" s="186" t="s">
        <v>101</v>
      </c>
      <c r="B138" s="170">
        <v>240.0</v>
      </c>
      <c r="C138" s="176">
        <v>10.0</v>
      </c>
      <c r="D138" s="172" t="s">
        <v>89</v>
      </c>
      <c r="E138" s="177"/>
      <c r="F138" s="178"/>
    </row>
    <row r="139">
      <c r="A139" s="186" t="s">
        <v>102</v>
      </c>
      <c r="B139" s="170">
        <v>260.0</v>
      </c>
      <c r="C139" s="176">
        <v>10.0</v>
      </c>
      <c r="D139" s="172" t="s">
        <v>89</v>
      </c>
      <c r="E139" s="177"/>
      <c r="F139" s="178"/>
    </row>
    <row r="140">
      <c r="A140" s="186" t="s">
        <v>103</v>
      </c>
      <c r="B140" s="170">
        <v>280.0</v>
      </c>
      <c r="C140" s="176">
        <v>10.0</v>
      </c>
      <c r="D140" s="172" t="s">
        <v>89</v>
      </c>
      <c r="E140" s="177"/>
      <c r="F140" s="178"/>
    </row>
    <row r="141">
      <c r="A141" s="179" t="s">
        <v>90</v>
      </c>
      <c r="B141" s="20"/>
      <c r="C141" s="20"/>
      <c r="D141" s="21"/>
      <c r="E141" s="180">
        <v>100.0</v>
      </c>
      <c r="F141" s="181"/>
    </row>
    <row r="142">
      <c r="A142" s="188"/>
      <c r="F142" s="188"/>
    </row>
    <row r="143">
      <c r="F143" s="188"/>
    </row>
    <row r="144">
      <c r="A144" s="200" t="s">
        <v>62</v>
      </c>
      <c r="B144" s="53"/>
      <c r="C144" s="53"/>
      <c r="D144" s="53"/>
      <c r="E144" s="54"/>
      <c r="F144" s="146"/>
    </row>
    <row r="145">
      <c r="A145" s="201" t="s">
        <v>107</v>
      </c>
      <c r="B145" s="20"/>
      <c r="C145" s="20"/>
      <c r="D145" s="20"/>
      <c r="E145" s="95"/>
      <c r="F145" s="194"/>
    </row>
    <row r="146">
      <c r="A146" s="149" t="s">
        <v>69</v>
      </c>
      <c r="B146" s="33"/>
      <c r="C146" s="33"/>
      <c r="D146" s="33"/>
      <c r="E146" s="34"/>
      <c r="F146" s="150"/>
    </row>
    <row r="147">
      <c r="A147" s="141"/>
      <c r="F147" s="141"/>
    </row>
    <row r="148">
      <c r="A148" s="152" t="s">
        <v>84</v>
      </c>
      <c r="B148" s="36"/>
      <c r="C148" s="36"/>
      <c r="D148" s="36"/>
      <c r="E148" s="37"/>
      <c r="F148" s="153"/>
    </row>
    <row r="149">
      <c r="A149" s="154"/>
      <c r="F149" s="154"/>
    </row>
    <row r="150">
      <c r="A150" s="202" t="s">
        <v>85</v>
      </c>
      <c r="B150" s="36"/>
      <c r="C150" s="36"/>
      <c r="D150" s="36"/>
      <c r="E150" s="37"/>
      <c r="F150" s="203"/>
    </row>
    <row r="151">
      <c r="A151" s="152" t="s">
        <v>86</v>
      </c>
      <c r="B151" s="36"/>
      <c r="C151" s="36"/>
      <c r="D151" s="36"/>
      <c r="E151" s="37"/>
      <c r="F151" s="153"/>
    </row>
    <row r="152">
      <c r="A152" s="144"/>
      <c r="F152" s="144"/>
    </row>
    <row r="153">
      <c r="A153" s="204" t="str">
        <f>HYPERLINK("https://www.youtube.com/watch?v=rmxOkkd2hUk","1. Dumbbell Shoulder Press")</f>
        <v>1. Dumbbell Shoulder Press</v>
      </c>
      <c r="B153" s="36"/>
      <c r="C153" s="36"/>
      <c r="D153" s="36"/>
      <c r="E153" s="37"/>
      <c r="F153" s="205"/>
    </row>
    <row r="154">
      <c r="A154" s="184"/>
      <c r="B154" s="13"/>
      <c r="C154" s="13"/>
      <c r="D154" s="13"/>
      <c r="E154" s="13"/>
      <c r="F154" s="144"/>
    </row>
    <row r="155">
      <c r="A155" s="163" t="s">
        <v>91</v>
      </c>
      <c r="B155" s="164" t="s">
        <v>2</v>
      </c>
      <c r="C155" s="164" t="s">
        <v>92</v>
      </c>
      <c r="D155" s="165" t="s">
        <v>53</v>
      </c>
      <c r="E155" s="166" t="s">
        <v>55</v>
      </c>
      <c r="F155" s="167"/>
    </row>
    <row r="156">
      <c r="A156" s="186" t="s">
        <v>105</v>
      </c>
      <c r="B156" s="170">
        <v>20.0</v>
      </c>
      <c r="C156" s="206">
        <v>4.0</v>
      </c>
      <c r="D156" s="172" t="s">
        <v>89</v>
      </c>
      <c r="E156" s="85"/>
      <c r="F156" s="173"/>
    </row>
    <row r="157">
      <c r="A157" s="186" t="s">
        <v>94</v>
      </c>
      <c r="B157" s="170">
        <v>30.0</v>
      </c>
      <c r="C157" s="206">
        <v>4.0</v>
      </c>
      <c r="D157" s="172" t="s">
        <v>89</v>
      </c>
      <c r="E157" s="85"/>
      <c r="F157" s="173"/>
    </row>
    <row r="158">
      <c r="A158" s="186" t="s">
        <v>95</v>
      </c>
      <c r="B158" s="170">
        <v>40.0</v>
      </c>
      <c r="C158" s="206">
        <v>4.0</v>
      </c>
      <c r="D158" s="172" t="s">
        <v>89</v>
      </c>
      <c r="E158" s="85"/>
      <c r="F158" s="173"/>
    </row>
    <row r="159">
      <c r="A159" s="186" t="s">
        <v>96</v>
      </c>
      <c r="B159" s="170">
        <v>50.0</v>
      </c>
      <c r="C159" s="206">
        <v>4.0</v>
      </c>
      <c r="D159" s="172" t="s">
        <v>89</v>
      </c>
      <c r="E159" s="85"/>
      <c r="F159" s="173"/>
    </row>
    <row r="160">
      <c r="A160" s="186" t="s">
        <v>97</v>
      </c>
      <c r="B160" s="170">
        <v>60.0</v>
      </c>
      <c r="C160" s="206">
        <v>4.0</v>
      </c>
      <c r="D160" s="172" t="s">
        <v>89</v>
      </c>
      <c r="E160" s="85"/>
      <c r="F160" s="173"/>
    </row>
    <row r="161">
      <c r="A161" s="186" t="s">
        <v>98</v>
      </c>
      <c r="B161" s="170">
        <v>65.0</v>
      </c>
      <c r="C161" s="206">
        <v>4.0</v>
      </c>
      <c r="D161" s="172" t="s">
        <v>89</v>
      </c>
      <c r="E161" s="85"/>
      <c r="F161" s="173"/>
    </row>
    <row r="162">
      <c r="A162" s="186" t="s">
        <v>99</v>
      </c>
      <c r="B162" s="170">
        <v>70.0</v>
      </c>
      <c r="C162" s="206">
        <v>4.0</v>
      </c>
      <c r="D162" s="172" t="s">
        <v>89</v>
      </c>
      <c r="E162" s="85"/>
      <c r="F162" s="173"/>
    </row>
    <row r="163">
      <c r="A163" s="186" t="s">
        <v>100</v>
      </c>
      <c r="B163" s="170">
        <v>75.0</v>
      </c>
      <c r="C163" s="206">
        <v>4.0</v>
      </c>
      <c r="D163" s="172" t="s">
        <v>89</v>
      </c>
      <c r="E163" s="85"/>
      <c r="F163" s="173"/>
    </row>
    <row r="164">
      <c r="A164" s="186" t="s">
        <v>101</v>
      </c>
      <c r="B164" s="170">
        <v>80.0</v>
      </c>
      <c r="C164" s="206">
        <v>4.0</v>
      </c>
      <c r="D164" s="172" t="s">
        <v>89</v>
      </c>
      <c r="E164" s="85"/>
      <c r="F164" s="173"/>
    </row>
    <row r="165">
      <c r="A165" s="186" t="s">
        <v>102</v>
      </c>
      <c r="B165" s="170">
        <v>85.0</v>
      </c>
      <c r="C165" s="206">
        <v>4.0</v>
      </c>
      <c r="D165" s="172" t="s">
        <v>89</v>
      </c>
      <c r="E165" s="85"/>
      <c r="F165" s="173"/>
    </row>
    <row r="166">
      <c r="A166" s="186" t="s">
        <v>103</v>
      </c>
      <c r="B166" s="170">
        <v>90.0</v>
      </c>
      <c r="C166" s="206">
        <v>4.0</v>
      </c>
      <c r="D166" s="172" t="s">
        <v>89</v>
      </c>
      <c r="E166" s="85"/>
      <c r="F166" s="173"/>
    </row>
    <row r="167">
      <c r="A167" s="179" t="s">
        <v>90</v>
      </c>
      <c r="B167" s="20"/>
      <c r="C167" s="20"/>
      <c r="D167" s="21"/>
      <c r="E167" s="180">
        <v>70.0</v>
      </c>
      <c r="F167" s="181"/>
    </row>
    <row r="168">
      <c r="A168" s="144"/>
      <c r="F168" s="144"/>
    </row>
    <row r="169">
      <c r="F169" s="144"/>
    </row>
    <row r="170">
      <c r="A170" s="207" t="str">
        <f>HYPERLINK("https://www.youtube.com/watch?v=TorWpKwLCSg","4. Alternating Dumbbell Curls")</f>
        <v>4. Alternating Dumbbell Curls</v>
      </c>
      <c r="B170" s="36"/>
      <c r="C170" s="36"/>
      <c r="D170" s="36"/>
      <c r="E170" s="37"/>
      <c r="F170" s="208"/>
    </row>
    <row r="171">
      <c r="A171" s="184"/>
      <c r="B171" s="13"/>
      <c r="C171" s="13"/>
      <c r="D171" s="13"/>
      <c r="E171" s="13"/>
      <c r="F171" s="144"/>
    </row>
    <row r="172">
      <c r="A172" s="163" t="s">
        <v>91</v>
      </c>
      <c r="B172" s="164" t="s">
        <v>2</v>
      </c>
      <c r="C172" s="164" t="s">
        <v>92</v>
      </c>
      <c r="D172" s="165" t="s">
        <v>53</v>
      </c>
      <c r="E172" s="166" t="s">
        <v>55</v>
      </c>
      <c r="F172" s="167"/>
    </row>
    <row r="173">
      <c r="A173" s="186">
        <v>1.0</v>
      </c>
      <c r="B173" s="170">
        <v>10.0</v>
      </c>
      <c r="C173" s="176">
        <v>4.0</v>
      </c>
      <c r="D173" s="172" t="s">
        <v>89</v>
      </c>
      <c r="E173" s="177"/>
      <c r="F173" s="178"/>
    </row>
    <row r="174">
      <c r="A174" s="186">
        <v>2.0</v>
      </c>
      <c r="B174" s="170">
        <v>15.0</v>
      </c>
      <c r="C174" s="176">
        <v>4.0</v>
      </c>
      <c r="D174" s="172" t="s">
        <v>89</v>
      </c>
      <c r="E174" s="177"/>
      <c r="F174" s="178"/>
    </row>
    <row r="175">
      <c r="A175" s="186">
        <v>3.0</v>
      </c>
      <c r="B175" s="170">
        <v>20.0</v>
      </c>
      <c r="C175" s="176">
        <v>4.0</v>
      </c>
      <c r="D175" s="172" t="s">
        <v>89</v>
      </c>
      <c r="E175" s="177"/>
      <c r="F175" s="178"/>
    </row>
    <row r="176">
      <c r="A176" s="186">
        <v>4.0</v>
      </c>
      <c r="B176" s="170">
        <v>25.0</v>
      </c>
      <c r="C176" s="176">
        <v>4.0</v>
      </c>
      <c r="D176" s="172" t="s">
        <v>89</v>
      </c>
      <c r="E176" s="177"/>
      <c r="F176" s="178"/>
    </row>
    <row r="177">
      <c r="A177" s="186">
        <v>5.0</v>
      </c>
      <c r="B177" s="170">
        <v>30.0</v>
      </c>
      <c r="C177" s="176">
        <v>4.0</v>
      </c>
      <c r="D177" s="172" t="s">
        <v>89</v>
      </c>
      <c r="E177" s="177"/>
      <c r="F177" s="178"/>
    </row>
    <row r="178">
      <c r="A178" s="186">
        <v>6.0</v>
      </c>
      <c r="B178" s="170">
        <v>35.0</v>
      </c>
      <c r="C178" s="176">
        <v>4.0</v>
      </c>
      <c r="D178" s="172" t="s">
        <v>89</v>
      </c>
      <c r="E178" s="177"/>
      <c r="F178" s="178"/>
    </row>
    <row r="179">
      <c r="A179" s="186">
        <v>7.0</v>
      </c>
      <c r="B179" s="170">
        <v>40.0</v>
      </c>
      <c r="C179" s="176">
        <v>4.0</v>
      </c>
      <c r="D179" s="172" t="s">
        <v>89</v>
      </c>
      <c r="E179" s="177"/>
      <c r="F179" s="178"/>
    </row>
    <row r="180">
      <c r="A180" s="186">
        <v>8.0</v>
      </c>
      <c r="B180" s="170">
        <v>45.0</v>
      </c>
      <c r="C180" s="176">
        <v>4.0</v>
      </c>
      <c r="D180" s="172" t="s">
        <v>89</v>
      </c>
      <c r="E180" s="177"/>
      <c r="F180" s="178"/>
    </row>
    <row r="181">
      <c r="A181" s="186">
        <v>9.0</v>
      </c>
      <c r="B181" s="170">
        <v>50.0</v>
      </c>
      <c r="C181" s="176">
        <v>4.0</v>
      </c>
      <c r="D181" s="172" t="s">
        <v>89</v>
      </c>
      <c r="E181" s="177"/>
      <c r="F181" s="178"/>
    </row>
    <row r="182">
      <c r="A182" s="186">
        <v>10.0</v>
      </c>
      <c r="B182" s="170">
        <v>55.0</v>
      </c>
      <c r="C182" s="176">
        <v>4.0</v>
      </c>
      <c r="D182" s="172" t="s">
        <v>89</v>
      </c>
      <c r="E182" s="177"/>
      <c r="F182" s="178"/>
    </row>
    <row r="183">
      <c r="A183" s="186">
        <v>11.0</v>
      </c>
      <c r="B183" s="170">
        <v>60.0</v>
      </c>
      <c r="C183" s="176">
        <v>4.0</v>
      </c>
      <c r="D183" s="172" t="s">
        <v>89</v>
      </c>
      <c r="E183" s="177"/>
      <c r="F183" s="178"/>
    </row>
    <row r="184">
      <c r="A184" s="186">
        <v>12.0</v>
      </c>
      <c r="B184" s="170">
        <v>65.0</v>
      </c>
      <c r="C184" s="176">
        <v>4.0</v>
      </c>
      <c r="D184" s="172" t="s">
        <v>89</v>
      </c>
      <c r="E184" s="177"/>
      <c r="F184" s="178"/>
    </row>
    <row r="185">
      <c r="A185" s="186">
        <v>13.0</v>
      </c>
      <c r="B185" s="170">
        <v>70.0</v>
      </c>
      <c r="C185" s="176">
        <v>4.0</v>
      </c>
      <c r="D185" s="172" t="s">
        <v>89</v>
      </c>
      <c r="E185" s="177"/>
      <c r="F185" s="178"/>
    </row>
    <row r="186">
      <c r="A186" s="186">
        <v>14.0</v>
      </c>
      <c r="B186" s="170">
        <v>75.0</v>
      </c>
      <c r="C186" s="176">
        <v>4.0</v>
      </c>
      <c r="D186" s="172" t="s">
        <v>89</v>
      </c>
      <c r="E186" s="177"/>
      <c r="F186" s="178"/>
    </row>
    <row r="187">
      <c r="A187" s="186">
        <v>15.0</v>
      </c>
      <c r="B187" s="170">
        <v>80.0</v>
      </c>
      <c r="C187" s="176">
        <v>4.0</v>
      </c>
      <c r="D187" s="172" t="s">
        <v>89</v>
      </c>
      <c r="E187" s="177"/>
      <c r="F187" s="178"/>
    </row>
    <row r="188">
      <c r="A188" s="186">
        <v>16.0</v>
      </c>
      <c r="B188" s="170">
        <v>85.0</v>
      </c>
      <c r="C188" s="176">
        <v>4.0</v>
      </c>
      <c r="D188" s="172" t="s">
        <v>89</v>
      </c>
      <c r="E188" s="177"/>
      <c r="F188" s="178"/>
    </row>
    <row r="189">
      <c r="A189" s="186">
        <v>17.0</v>
      </c>
      <c r="B189" s="170">
        <v>90.0</v>
      </c>
      <c r="C189" s="176">
        <v>4.0</v>
      </c>
      <c r="D189" s="172" t="s">
        <v>89</v>
      </c>
      <c r="E189" s="177"/>
      <c r="F189" s="178"/>
    </row>
    <row r="190">
      <c r="A190" s="186">
        <v>18.0</v>
      </c>
      <c r="B190" s="170">
        <v>95.0</v>
      </c>
      <c r="C190" s="176">
        <v>4.0</v>
      </c>
      <c r="D190" s="172" t="s">
        <v>89</v>
      </c>
      <c r="E190" s="177"/>
      <c r="F190" s="178"/>
    </row>
    <row r="191">
      <c r="A191" s="186">
        <v>19.0</v>
      </c>
      <c r="B191" s="170">
        <v>100.0</v>
      </c>
      <c r="C191" s="176">
        <v>4.0</v>
      </c>
      <c r="D191" s="172" t="s">
        <v>89</v>
      </c>
      <c r="E191" s="177"/>
      <c r="F191" s="178"/>
    </row>
    <row r="192">
      <c r="A192" s="186">
        <v>20.0</v>
      </c>
      <c r="B192" s="170">
        <v>105.0</v>
      </c>
      <c r="C192" s="176">
        <v>4.0</v>
      </c>
      <c r="D192" s="172" t="s">
        <v>89</v>
      </c>
      <c r="E192" s="177"/>
      <c r="F192" s="178"/>
    </row>
    <row r="193">
      <c r="A193" s="179" t="s">
        <v>90</v>
      </c>
      <c r="B193" s="20"/>
      <c r="C193" s="20"/>
      <c r="D193" s="21"/>
      <c r="E193" s="180">
        <v>40.0</v>
      </c>
      <c r="F193" s="181"/>
    </row>
    <row r="194">
      <c r="A194" s="144"/>
      <c r="F194" s="144"/>
    </row>
    <row r="195">
      <c r="F195" s="144"/>
    </row>
    <row r="196">
      <c r="A196" s="182" t="str">
        <f>HYPERLINK("https://www.youtube.com/watch?v=Yke__29qVfo","5. Tricep Push Down ")</f>
        <v>5. Tricep Push Down </v>
      </c>
      <c r="B196" s="36"/>
      <c r="C196" s="36"/>
      <c r="D196" s="36"/>
      <c r="E196" s="37"/>
      <c r="F196" s="183"/>
    </row>
    <row r="197">
      <c r="A197" s="184"/>
      <c r="B197" s="13"/>
      <c r="C197" s="13"/>
      <c r="D197" s="13"/>
      <c r="E197" s="13"/>
      <c r="F197" s="144"/>
    </row>
    <row r="198">
      <c r="A198" s="163" t="s">
        <v>91</v>
      </c>
      <c r="B198" s="164" t="s">
        <v>2</v>
      </c>
      <c r="C198" s="164" t="s">
        <v>92</v>
      </c>
      <c r="D198" s="165" t="s">
        <v>53</v>
      </c>
      <c r="E198" s="166" t="s">
        <v>55</v>
      </c>
      <c r="F198" s="167"/>
    </row>
    <row r="199">
      <c r="A199" s="186" t="s">
        <v>105</v>
      </c>
      <c r="B199" s="170">
        <v>10.0</v>
      </c>
      <c r="C199" s="176">
        <v>5.0</v>
      </c>
      <c r="D199" s="172" t="s">
        <v>89</v>
      </c>
      <c r="E199" s="177"/>
      <c r="F199" s="178"/>
    </row>
    <row r="200">
      <c r="A200" s="186" t="s">
        <v>94</v>
      </c>
      <c r="B200" s="170">
        <v>20.0</v>
      </c>
      <c r="C200" s="176">
        <v>5.0</v>
      </c>
      <c r="D200" s="172" t="s">
        <v>89</v>
      </c>
      <c r="E200" s="177"/>
      <c r="F200" s="178"/>
    </row>
    <row r="201">
      <c r="A201" s="186" t="s">
        <v>95</v>
      </c>
      <c r="B201" s="170">
        <v>30.0</v>
      </c>
      <c r="C201" s="176">
        <v>5.0</v>
      </c>
      <c r="D201" s="172" t="s">
        <v>89</v>
      </c>
      <c r="E201" s="177"/>
      <c r="F201" s="178"/>
    </row>
    <row r="202">
      <c r="A202" s="186" t="s">
        <v>96</v>
      </c>
      <c r="B202" s="170">
        <v>40.0</v>
      </c>
      <c r="C202" s="176">
        <v>5.0</v>
      </c>
      <c r="D202" s="172" t="s">
        <v>89</v>
      </c>
      <c r="E202" s="177"/>
      <c r="F202" s="178"/>
    </row>
    <row r="203">
      <c r="A203" s="186" t="s">
        <v>97</v>
      </c>
      <c r="B203" s="170">
        <v>50.0</v>
      </c>
      <c r="C203" s="176">
        <v>5.0</v>
      </c>
      <c r="D203" s="172" t="s">
        <v>89</v>
      </c>
      <c r="E203" s="177"/>
      <c r="F203" s="178"/>
    </row>
    <row r="204">
      <c r="A204" s="186" t="s">
        <v>98</v>
      </c>
      <c r="B204" s="170">
        <v>60.0</v>
      </c>
      <c r="C204" s="176">
        <v>5.0</v>
      </c>
      <c r="D204" s="172" t="s">
        <v>89</v>
      </c>
      <c r="E204" s="177"/>
      <c r="F204" s="178"/>
    </row>
    <row r="205">
      <c r="A205" s="186" t="s">
        <v>99</v>
      </c>
      <c r="B205" s="170">
        <v>70.0</v>
      </c>
      <c r="C205" s="176">
        <v>5.0</v>
      </c>
      <c r="D205" s="172" t="s">
        <v>89</v>
      </c>
      <c r="E205" s="177"/>
      <c r="F205" s="178"/>
    </row>
    <row r="206">
      <c r="A206" s="186" t="s">
        <v>100</v>
      </c>
      <c r="B206" s="170">
        <v>80.0</v>
      </c>
      <c r="C206" s="176">
        <v>5.0</v>
      </c>
      <c r="D206" s="172" t="s">
        <v>89</v>
      </c>
      <c r="E206" s="177"/>
      <c r="F206" s="178"/>
    </row>
    <row r="207">
      <c r="A207" s="186" t="s">
        <v>101</v>
      </c>
      <c r="B207" s="170">
        <v>90.0</v>
      </c>
      <c r="C207" s="176">
        <v>5.0</v>
      </c>
      <c r="D207" s="172" t="s">
        <v>89</v>
      </c>
      <c r="E207" s="85"/>
      <c r="F207" s="173"/>
    </row>
    <row r="208">
      <c r="A208" s="186" t="s">
        <v>102</v>
      </c>
      <c r="B208" s="170">
        <v>100.0</v>
      </c>
      <c r="C208" s="176">
        <v>5.0</v>
      </c>
      <c r="D208" s="172" t="s">
        <v>89</v>
      </c>
      <c r="E208" s="177"/>
      <c r="F208" s="178"/>
    </row>
    <row r="209">
      <c r="A209" s="186" t="s">
        <v>103</v>
      </c>
      <c r="B209" s="170">
        <v>110.0</v>
      </c>
      <c r="C209" s="176">
        <v>5.0</v>
      </c>
      <c r="D209" s="172" t="s">
        <v>89</v>
      </c>
      <c r="E209" s="85"/>
      <c r="F209" s="173"/>
    </row>
    <row r="210">
      <c r="A210" s="186" t="s">
        <v>108</v>
      </c>
      <c r="B210" s="170">
        <v>120.0</v>
      </c>
      <c r="C210" s="176">
        <v>5.0</v>
      </c>
      <c r="D210" s="172" t="s">
        <v>89</v>
      </c>
      <c r="E210" s="177"/>
      <c r="F210" s="178"/>
    </row>
    <row r="211">
      <c r="A211" s="186" t="s">
        <v>109</v>
      </c>
      <c r="B211" s="170">
        <v>130.0</v>
      </c>
      <c r="C211" s="176">
        <v>5.0</v>
      </c>
      <c r="D211" s="172" t="s">
        <v>89</v>
      </c>
      <c r="E211" s="85"/>
      <c r="F211" s="173"/>
    </row>
    <row r="212">
      <c r="A212" s="186" t="s">
        <v>110</v>
      </c>
      <c r="B212" s="170">
        <v>140.0</v>
      </c>
      <c r="C212" s="176">
        <v>5.0</v>
      </c>
      <c r="D212" s="172" t="s">
        <v>89</v>
      </c>
      <c r="E212" s="177"/>
      <c r="F212" s="178"/>
    </row>
    <row r="213">
      <c r="A213" s="186" t="s">
        <v>111</v>
      </c>
      <c r="B213" s="170">
        <v>150.0</v>
      </c>
      <c r="C213" s="176">
        <v>5.0</v>
      </c>
      <c r="D213" s="172" t="s">
        <v>89</v>
      </c>
      <c r="E213" s="177"/>
      <c r="F213" s="178"/>
    </row>
    <row r="214">
      <c r="A214" s="186" t="s">
        <v>112</v>
      </c>
      <c r="B214" s="170">
        <v>160.0</v>
      </c>
      <c r="C214" s="176">
        <v>5.0</v>
      </c>
      <c r="D214" s="172" t="s">
        <v>89</v>
      </c>
      <c r="E214" s="177"/>
      <c r="F214" s="178"/>
    </row>
    <row r="215">
      <c r="A215" s="186" t="s">
        <v>113</v>
      </c>
      <c r="B215" s="170">
        <v>170.0</v>
      </c>
      <c r="C215" s="176">
        <v>5.0</v>
      </c>
      <c r="D215" s="172" t="s">
        <v>89</v>
      </c>
      <c r="E215" s="177"/>
      <c r="F215" s="178"/>
    </row>
    <row r="216">
      <c r="A216" s="179" t="s">
        <v>90</v>
      </c>
      <c r="B216" s="20"/>
      <c r="C216" s="20"/>
      <c r="D216" s="21"/>
      <c r="E216" s="180">
        <v>80.0</v>
      </c>
      <c r="F216" s="181"/>
    </row>
  </sheetData>
  <mergeCells count="76">
    <mergeCell ref="A66:E66"/>
    <mergeCell ref="A67:E67"/>
    <mergeCell ref="A16:E16"/>
    <mergeCell ref="A17:E17"/>
    <mergeCell ref="A47:D47"/>
    <mergeCell ref="A48:E49"/>
    <mergeCell ref="A50:E50"/>
    <mergeCell ref="A63:D63"/>
    <mergeCell ref="A64:E65"/>
    <mergeCell ref="A93:E93"/>
    <mergeCell ref="A108:D108"/>
    <mergeCell ref="A86:E86"/>
    <mergeCell ref="A87:E87"/>
    <mergeCell ref="A88:E88"/>
    <mergeCell ref="A89:E89"/>
    <mergeCell ref="A90:E90"/>
    <mergeCell ref="A91:E91"/>
    <mergeCell ref="A92:E92"/>
    <mergeCell ref="A141:D141"/>
    <mergeCell ref="A142:E143"/>
    <mergeCell ref="A109:E110"/>
    <mergeCell ref="A111:E111"/>
    <mergeCell ref="A124:D124"/>
    <mergeCell ref="A125:E125"/>
    <mergeCell ref="A126:E126"/>
    <mergeCell ref="A127:E127"/>
    <mergeCell ref="A128:E128"/>
    <mergeCell ref="A151:E151"/>
    <mergeCell ref="A152:E152"/>
    <mergeCell ref="A144:E144"/>
    <mergeCell ref="A145:E145"/>
    <mergeCell ref="A146:E146"/>
    <mergeCell ref="A147:E147"/>
    <mergeCell ref="A148:E148"/>
    <mergeCell ref="A149:E149"/>
    <mergeCell ref="A150:E150"/>
    <mergeCell ref="A194:E195"/>
    <mergeCell ref="A196:E196"/>
    <mergeCell ref="A153:E153"/>
    <mergeCell ref="A154:E154"/>
    <mergeCell ref="A167:D167"/>
    <mergeCell ref="A168:E169"/>
    <mergeCell ref="A170:E170"/>
    <mergeCell ref="A171:E171"/>
    <mergeCell ref="A193:D193"/>
    <mergeCell ref="A10:E10"/>
    <mergeCell ref="A11:E11"/>
    <mergeCell ref="A9:E9"/>
    <mergeCell ref="A12:E12"/>
    <mergeCell ref="A18:E18"/>
    <mergeCell ref="I18:M18"/>
    <mergeCell ref="I11:S17"/>
    <mergeCell ref="O18:S18"/>
    <mergeCell ref="G32:S216"/>
    <mergeCell ref="A31:D31"/>
    <mergeCell ref="I31:L31"/>
    <mergeCell ref="A32:E32"/>
    <mergeCell ref="A33:E33"/>
    <mergeCell ref="A34:E34"/>
    <mergeCell ref="A1:S7"/>
    <mergeCell ref="A8:E8"/>
    <mergeCell ref="G8:H31"/>
    <mergeCell ref="I8:N8"/>
    <mergeCell ref="O8:S10"/>
    <mergeCell ref="I9:N9"/>
    <mergeCell ref="N18:N31"/>
    <mergeCell ref="O31:R31"/>
    <mergeCell ref="A197:E197"/>
    <mergeCell ref="A216:D216"/>
    <mergeCell ref="A13:E13"/>
    <mergeCell ref="A15:E15"/>
    <mergeCell ref="A80:D80"/>
    <mergeCell ref="A81:E82"/>
    <mergeCell ref="A83:E83"/>
    <mergeCell ref="A84:E84"/>
    <mergeCell ref="A85:E85"/>
  </mergeCells>
  <dataValidations>
    <dataValidation type="decimal" operator="greaterThanOrEqual" allowBlank="1" showDropDown="1" showErrorMessage="1" sqref="E14:F14 E20:F31 E36:F47 E52:F63 E69:F80 E95:F108 E113:F124 E130:F141 E156:F167 E173:F193 E199:F216">
      <formula1>0.0</formula1>
    </dataValidation>
    <dataValidation type="decimal" allowBlank="1" showDropDown="1" showErrorMessage="1" sqref="M20:M31 S20:S31">
      <formula1>0.0</formula1>
      <formula2>500.0</formula2>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9"/>
      <c r="B1" s="209"/>
      <c r="C1" s="209"/>
      <c r="D1" s="209"/>
      <c r="E1" s="210"/>
      <c r="F1" s="209"/>
      <c r="G1" s="211"/>
      <c r="H1" s="212"/>
      <c r="I1" s="212"/>
      <c r="J1" s="212"/>
      <c r="K1" s="212"/>
      <c r="L1" s="213"/>
      <c r="M1" s="103"/>
      <c r="N1" s="103"/>
      <c r="O1" s="103"/>
      <c r="P1" s="103"/>
      <c r="Q1" s="103"/>
      <c r="R1" s="103"/>
      <c r="S1" s="103"/>
      <c r="T1" s="103"/>
      <c r="U1" s="103"/>
      <c r="V1" s="103"/>
      <c r="W1" s="103"/>
      <c r="X1" s="103"/>
      <c r="Y1" s="103"/>
      <c r="Z1" s="103"/>
    </row>
    <row r="2">
      <c r="A2" s="209"/>
      <c r="B2" s="209"/>
      <c r="C2" s="209"/>
      <c r="D2" s="209"/>
      <c r="E2" s="210"/>
      <c r="F2" s="209"/>
      <c r="G2" s="214"/>
      <c r="H2" s="212"/>
      <c r="I2" s="212"/>
      <c r="J2" s="212"/>
      <c r="K2" s="212"/>
      <c r="L2" s="213"/>
      <c r="M2" s="103"/>
      <c r="N2" s="103"/>
      <c r="O2" s="103"/>
      <c r="P2" s="103"/>
      <c r="Q2" s="103"/>
      <c r="R2" s="103"/>
      <c r="S2" s="103"/>
      <c r="T2" s="103"/>
      <c r="U2" s="103"/>
      <c r="V2" s="103"/>
      <c r="W2" s="103"/>
      <c r="X2" s="103"/>
      <c r="Y2" s="103"/>
      <c r="Z2" s="103"/>
    </row>
    <row r="3">
      <c r="A3" s="209"/>
      <c r="B3" s="209"/>
      <c r="C3" s="209"/>
      <c r="D3" s="209"/>
      <c r="E3" s="210"/>
      <c r="F3" s="209"/>
      <c r="G3" s="215"/>
      <c r="H3" s="212"/>
      <c r="I3" s="212"/>
      <c r="J3" s="212"/>
      <c r="K3" s="212"/>
      <c r="L3" s="213"/>
      <c r="M3" s="103"/>
      <c r="N3" s="103"/>
      <c r="O3" s="103"/>
      <c r="P3" s="103"/>
      <c r="Q3" s="103"/>
      <c r="R3" s="103"/>
      <c r="S3" s="103"/>
      <c r="T3" s="103"/>
      <c r="U3" s="103"/>
      <c r="V3" s="103"/>
      <c r="W3" s="103"/>
      <c r="X3" s="103"/>
      <c r="Y3" s="103"/>
      <c r="Z3" s="103"/>
    </row>
    <row r="4">
      <c r="A4" s="209"/>
      <c r="B4" s="209"/>
      <c r="C4" s="209"/>
      <c r="D4" s="209"/>
      <c r="E4" s="210"/>
      <c r="F4" s="209"/>
      <c r="G4" s="215"/>
      <c r="H4" s="212"/>
      <c r="I4" s="212"/>
      <c r="J4" s="212"/>
      <c r="K4" s="212"/>
      <c r="L4" s="213"/>
      <c r="M4" s="103"/>
      <c r="N4" s="103"/>
      <c r="O4" s="103"/>
      <c r="P4" s="103"/>
      <c r="Q4" s="103"/>
      <c r="R4" s="103"/>
      <c r="S4" s="103"/>
      <c r="T4" s="103"/>
      <c r="U4" s="103"/>
      <c r="V4" s="103"/>
      <c r="W4" s="103"/>
      <c r="X4" s="103"/>
      <c r="Y4" s="103"/>
      <c r="Z4" s="103"/>
    </row>
    <row r="5">
      <c r="A5" s="209"/>
      <c r="B5" s="209"/>
      <c r="C5" s="209"/>
      <c r="D5" s="209"/>
      <c r="E5" s="210"/>
      <c r="F5" s="209"/>
      <c r="G5" s="215"/>
      <c r="H5" s="216"/>
      <c r="I5" s="217"/>
      <c r="J5" s="212"/>
      <c r="K5" s="212"/>
      <c r="L5" s="213"/>
      <c r="M5" s="103"/>
      <c r="N5" s="103"/>
      <c r="O5" s="103"/>
      <c r="P5" s="103"/>
      <c r="Q5" s="103"/>
      <c r="R5" s="103"/>
      <c r="S5" s="103"/>
      <c r="T5" s="103"/>
      <c r="U5" s="103"/>
      <c r="V5" s="103"/>
      <c r="W5" s="103"/>
      <c r="X5" s="103"/>
      <c r="Y5" s="103"/>
      <c r="Z5" s="103"/>
    </row>
    <row r="6">
      <c r="A6" s="209"/>
      <c r="B6" s="209"/>
      <c r="C6" s="209"/>
      <c r="D6" s="209"/>
      <c r="E6" s="210"/>
      <c r="F6" s="209"/>
      <c r="G6" s="215"/>
      <c r="H6" s="212"/>
      <c r="I6" s="212"/>
      <c r="J6" s="212"/>
      <c r="K6" s="212"/>
      <c r="L6" s="213"/>
      <c r="M6" s="103"/>
      <c r="N6" s="103"/>
      <c r="O6" s="103"/>
      <c r="P6" s="103"/>
      <c r="Q6" s="103"/>
      <c r="R6" s="103"/>
      <c r="S6" s="103"/>
      <c r="T6" s="103"/>
      <c r="U6" s="103"/>
      <c r="V6" s="103"/>
      <c r="W6" s="103"/>
      <c r="X6" s="103"/>
      <c r="Y6" s="103"/>
      <c r="Z6" s="103"/>
    </row>
    <row r="7">
      <c r="A7" s="209"/>
      <c r="B7" s="209"/>
      <c r="C7" s="209"/>
      <c r="D7" s="209"/>
      <c r="E7" s="210"/>
      <c r="F7" s="209"/>
      <c r="G7" s="215"/>
      <c r="H7" s="212"/>
      <c r="I7" s="212"/>
      <c r="J7" s="212"/>
      <c r="K7" s="212"/>
      <c r="L7" s="213"/>
      <c r="M7" s="103"/>
      <c r="N7" s="103"/>
      <c r="O7" s="103"/>
      <c r="P7" s="103"/>
      <c r="Q7" s="103"/>
      <c r="R7" s="103"/>
      <c r="S7" s="103"/>
      <c r="T7" s="103"/>
      <c r="U7" s="103"/>
      <c r="V7" s="103"/>
      <c r="W7" s="103"/>
      <c r="X7" s="103"/>
      <c r="Y7" s="103"/>
      <c r="Z7" s="103"/>
    </row>
    <row r="8">
      <c r="A8" s="209"/>
      <c r="G8" s="215"/>
      <c r="H8" s="212"/>
      <c r="I8" s="212"/>
      <c r="J8" s="212"/>
      <c r="K8" s="212"/>
      <c r="L8" s="213"/>
      <c r="M8" s="103"/>
      <c r="N8" s="103"/>
      <c r="O8" s="103"/>
      <c r="P8" s="103"/>
      <c r="Q8" s="103"/>
      <c r="R8" s="103"/>
      <c r="S8" s="103"/>
      <c r="T8" s="103"/>
      <c r="U8" s="103"/>
      <c r="V8" s="103"/>
      <c r="W8" s="103"/>
      <c r="X8" s="103"/>
      <c r="Y8" s="103"/>
      <c r="Z8" s="103"/>
    </row>
    <row r="9">
      <c r="A9" s="218" t="s">
        <v>114</v>
      </c>
      <c r="B9" s="20"/>
      <c r="C9" s="20"/>
      <c r="D9" s="20"/>
      <c r="E9" s="20"/>
      <c r="F9" s="21"/>
      <c r="G9" s="103"/>
      <c r="H9" s="24" t="s">
        <v>35</v>
      </c>
      <c r="I9" s="25"/>
      <c r="J9" s="25"/>
      <c r="K9" s="25"/>
      <c r="L9" s="25"/>
      <c r="M9" s="26"/>
      <c r="N9" s="103"/>
      <c r="O9" s="103"/>
      <c r="P9" s="103"/>
      <c r="Q9" s="103"/>
      <c r="R9" s="103"/>
      <c r="S9" s="103"/>
      <c r="T9" s="103"/>
      <c r="U9" s="103"/>
      <c r="V9" s="103"/>
      <c r="W9" s="103"/>
      <c r="X9" s="103"/>
      <c r="Y9" s="103"/>
      <c r="Z9" s="103"/>
    </row>
    <row r="10">
      <c r="A10" s="15" t="str">
        <f>HYPERLINK("https://goo.gl/forms/3ibooB993Hi7SS2d2","PRESS TO RECORD BODY WEIGHT")</f>
        <v>PRESS TO RECORD BODY WEIGHT</v>
      </c>
      <c r="B10" s="16"/>
      <c r="C10" s="16"/>
      <c r="D10" s="16"/>
      <c r="E10" s="16"/>
      <c r="F10" s="17"/>
      <c r="G10" s="103"/>
      <c r="H10" s="147" t="s">
        <v>115</v>
      </c>
      <c r="M10" s="28"/>
      <c r="N10" s="103"/>
      <c r="O10" s="103"/>
      <c r="P10" s="103"/>
      <c r="Q10" s="103"/>
      <c r="R10" s="103"/>
      <c r="S10" s="103"/>
      <c r="T10" s="103"/>
      <c r="U10" s="103"/>
      <c r="V10" s="103"/>
      <c r="W10" s="103"/>
      <c r="X10" s="103"/>
      <c r="Y10" s="103"/>
      <c r="Z10" s="103"/>
    </row>
    <row r="11">
      <c r="A11" s="18"/>
      <c r="B11" s="13"/>
      <c r="C11" s="13"/>
      <c r="D11" s="13"/>
      <c r="E11" s="13"/>
      <c r="F11" s="14"/>
      <c r="G11" s="103"/>
      <c r="H11" s="29" t="s">
        <v>116</v>
      </c>
      <c r="I11" s="30"/>
      <c r="J11" s="30"/>
      <c r="K11" s="30"/>
      <c r="L11" s="30"/>
      <c r="M11" s="31"/>
      <c r="N11" s="103"/>
      <c r="O11" s="103"/>
      <c r="P11" s="103"/>
      <c r="Q11" s="103"/>
      <c r="R11" s="103"/>
      <c r="S11" s="103"/>
      <c r="T11" s="103"/>
      <c r="U11" s="103"/>
      <c r="V11" s="103"/>
      <c r="W11" s="103"/>
      <c r="X11" s="103"/>
      <c r="Y11" s="103"/>
      <c r="Z11" s="103"/>
    </row>
    <row r="12">
      <c r="A12" s="19" t="s">
        <v>69</v>
      </c>
      <c r="B12" s="20"/>
      <c r="C12" s="20"/>
      <c r="D12" s="20"/>
      <c r="E12" s="20"/>
      <c r="F12" s="21"/>
      <c r="G12" s="103"/>
      <c r="H12" s="219"/>
      <c r="I12" s="220"/>
      <c r="J12" s="221"/>
      <c r="K12" s="219"/>
      <c r="L12" s="222"/>
      <c r="M12" s="103"/>
      <c r="N12" s="103"/>
      <c r="O12" s="103"/>
      <c r="P12" s="103"/>
      <c r="Q12" s="103"/>
      <c r="R12" s="103"/>
      <c r="S12" s="103"/>
      <c r="T12" s="103"/>
      <c r="U12" s="103"/>
      <c r="V12" s="103"/>
      <c r="W12" s="103"/>
      <c r="X12" s="103"/>
      <c r="Y12" s="103"/>
      <c r="Z12" s="103"/>
    </row>
    <row r="13">
      <c r="A13" s="22" t="s">
        <v>117</v>
      </c>
      <c r="B13" s="20"/>
      <c r="C13" s="20"/>
      <c r="D13" s="20"/>
      <c r="E13" s="20"/>
      <c r="F13" s="21"/>
      <c r="G13" s="103"/>
      <c r="H13" s="103"/>
      <c r="I13" s="103"/>
      <c r="J13" s="103"/>
      <c r="K13" s="103"/>
      <c r="L13" s="222"/>
      <c r="M13" s="103"/>
      <c r="N13" s="103"/>
      <c r="O13" s="103"/>
      <c r="P13" s="103"/>
      <c r="Q13" s="103"/>
      <c r="R13" s="103"/>
      <c r="S13" s="103"/>
      <c r="T13" s="103"/>
      <c r="U13" s="103"/>
      <c r="V13" s="103"/>
      <c r="W13" s="103"/>
      <c r="X13" s="103"/>
      <c r="Y13" s="103"/>
      <c r="Z13" s="103"/>
    </row>
    <row r="14">
      <c r="A14" s="219"/>
      <c r="B14" s="219"/>
      <c r="C14" s="219"/>
      <c r="D14" s="219"/>
      <c r="E14" s="223"/>
      <c r="F14" s="103"/>
      <c r="G14" s="103"/>
      <c r="H14" s="219"/>
      <c r="I14" s="219"/>
      <c r="J14" s="219"/>
      <c r="K14" s="103"/>
      <c r="L14" s="222"/>
      <c r="M14" s="103"/>
      <c r="N14" s="103"/>
      <c r="O14" s="103"/>
      <c r="P14" s="103"/>
      <c r="Q14" s="103"/>
      <c r="R14" s="103"/>
      <c r="S14" s="103"/>
      <c r="T14" s="103"/>
      <c r="U14" s="103"/>
      <c r="V14" s="103"/>
      <c r="W14" s="103"/>
      <c r="X14" s="103"/>
      <c r="Y14" s="103"/>
      <c r="Z14" s="103"/>
    </row>
    <row r="15">
      <c r="A15" s="50" t="s">
        <v>47</v>
      </c>
      <c r="B15" s="36"/>
      <c r="C15" s="36"/>
      <c r="D15" s="36"/>
      <c r="E15" s="36"/>
      <c r="F15" s="37"/>
      <c r="G15" s="103"/>
      <c r="H15" s="224" t="s">
        <v>118</v>
      </c>
      <c r="I15" s="36"/>
      <c r="J15" s="36"/>
      <c r="K15" s="36"/>
      <c r="L15" s="36"/>
      <c r="M15" s="37"/>
      <c r="N15" s="103"/>
      <c r="O15" s="224" t="s">
        <v>118</v>
      </c>
      <c r="P15" s="36"/>
      <c r="Q15" s="36"/>
      <c r="R15" s="36"/>
      <c r="S15" s="36"/>
      <c r="T15" s="37"/>
      <c r="U15" s="103"/>
      <c r="V15" s="103"/>
      <c r="W15" s="103"/>
      <c r="X15" s="103"/>
      <c r="Y15" s="103"/>
      <c r="Z15" s="103"/>
    </row>
    <row r="16">
      <c r="A16" s="219"/>
      <c r="B16" s="219"/>
      <c r="C16" s="219"/>
      <c r="D16" s="219"/>
      <c r="E16" s="223"/>
      <c r="F16" s="103"/>
      <c r="G16" s="103"/>
      <c r="H16" s="219"/>
      <c r="I16" s="219"/>
      <c r="J16" s="219"/>
      <c r="K16" s="103"/>
      <c r="L16" s="222"/>
      <c r="M16" s="103"/>
      <c r="N16" s="103"/>
      <c r="O16" s="103"/>
      <c r="P16" s="103"/>
      <c r="Q16" s="103"/>
      <c r="R16" s="103"/>
      <c r="S16" s="103"/>
      <c r="T16" s="103"/>
      <c r="U16" s="103"/>
      <c r="V16" s="103"/>
      <c r="W16" s="103"/>
      <c r="X16" s="103"/>
      <c r="Y16" s="103"/>
      <c r="Z16" s="103"/>
    </row>
    <row r="17">
      <c r="A17" s="219"/>
      <c r="B17" s="219"/>
      <c r="C17" s="219"/>
      <c r="D17" s="219"/>
      <c r="E17" s="223"/>
      <c r="F17" s="103"/>
      <c r="G17" s="103"/>
      <c r="H17" s="219"/>
      <c r="I17" s="219"/>
      <c r="J17" s="219"/>
      <c r="K17" s="103"/>
      <c r="L17" s="222"/>
      <c r="M17" s="103"/>
      <c r="N17" s="103"/>
      <c r="O17" s="103"/>
      <c r="P17" s="103"/>
      <c r="Q17" s="103"/>
      <c r="R17" s="103"/>
      <c r="S17" s="103"/>
      <c r="T17" s="103"/>
      <c r="U17" s="103"/>
      <c r="V17" s="103"/>
      <c r="W17" s="103"/>
      <c r="X17" s="103"/>
      <c r="Y17" s="103"/>
      <c r="Z17" s="103"/>
    </row>
    <row r="18">
      <c r="A18" s="51" t="s">
        <v>48</v>
      </c>
      <c r="B18" s="36"/>
      <c r="C18" s="36"/>
      <c r="D18" s="36"/>
      <c r="E18" s="36"/>
      <c r="F18" s="37"/>
      <c r="G18" s="103"/>
      <c r="H18" s="51" t="s">
        <v>48</v>
      </c>
      <c r="I18" s="36"/>
      <c r="J18" s="36"/>
      <c r="K18" s="36"/>
      <c r="L18" s="36"/>
      <c r="M18" s="37"/>
      <c r="N18" s="103"/>
      <c r="O18" s="51" t="s">
        <v>48</v>
      </c>
      <c r="P18" s="36"/>
      <c r="Q18" s="36"/>
      <c r="R18" s="36"/>
      <c r="S18" s="36"/>
      <c r="T18" s="37"/>
      <c r="U18" s="103"/>
      <c r="V18" s="103"/>
      <c r="W18" s="103"/>
      <c r="X18" s="103"/>
      <c r="Y18" s="103"/>
      <c r="Z18" s="103"/>
    </row>
    <row r="19">
      <c r="A19" s="225" t="str">
        <f>HYPERLINK("https://www.youtube.com/watch?v=iLgUDezDMbU","1. BENCH PRESS")</f>
        <v>1. BENCH PRESS</v>
      </c>
      <c r="B19" s="13"/>
      <c r="C19" s="13"/>
      <c r="D19" s="13"/>
      <c r="E19" s="13"/>
      <c r="F19" s="57"/>
      <c r="G19" s="103"/>
      <c r="H19" s="225" t="str">
        <f>HYPERLINK("https://www.youtube.com/watch?v=75e_H9Vq_Lw","1. MACHINE PRESS")</f>
        <v>1. MACHINE PRESS</v>
      </c>
      <c r="I19" s="13"/>
      <c r="J19" s="13"/>
      <c r="K19" s="13"/>
      <c r="L19" s="13"/>
      <c r="M19" s="57"/>
      <c r="N19" s="103"/>
      <c r="O19" s="52" t="str">
        <f>HYPERLINK("https://youtu.be/ujVN-A0Z-ic","1. DUMBBELL INCLINE PRESS")</f>
        <v>1. DUMBBELL INCLINE PRESS</v>
      </c>
      <c r="P19" s="53"/>
      <c r="Q19" s="53"/>
      <c r="R19" s="53"/>
      <c r="S19" s="53"/>
      <c r="T19" s="54"/>
      <c r="U19" s="103"/>
      <c r="V19" s="103"/>
      <c r="W19" s="103"/>
      <c r="X19" s="103"/>
      <c r="Y19" s="103"/>
      <c r="Z19" s="103"/>
    </row>
    <row r="20">
      <c r="A20" s="226" t="s">
        <v>119</v>
      </c>
      <c r="B20" s="227">
        <f>'DETERMINING MAX WEEK'!E31</f>
        <v>245</v>
      </c>
      <c r="C20" s="20"/>
      <c r="D20" s="20"/>
      <c r="E20" s="20"/>
      <c r="F20" s="95"/>
      <c r="G20" s="103"/>
      <c r="H20" s="226" t="s">
        <v>119</v>
      </c>
      <c r="I20" s="227">
        <v>120.0</v>
      </c>
      <c r="J20" s="20"/>
      <c r="K20" s="20"/>
      <c r="L20" s="20"/>
      <c r="M20" s="95"/>
      <c r="N20" s="103"/>
      <c r="O20" s="228" t="s">
        <v>119</v>
      </c>
      <c r="P20" s="229">
        <v>75.0</v>
      </c>
      <c r="Q20" s="16"/>
      <c r="R20" s="16"/>
      <c r="S20" s="16"/>
      <c r="T20" s="230"/>
      <c r="U20" s="103"/>
      <c r="V20" s="103"/>
      <c r="W20" s="103"/>
      <c r="X20" s="103"/>
      <c r="Y20" s="103"/>
      <c r="Z20" s="103"/>
    </row>
    <row r="21">
      <c r="A21" s="231" t="s">
        <v>50</v>
      </c>
      <c r="B21" s="232" t="s">
        <v>51</v>
      </c>
      <c r="C21" s="232" t="s">
        <v>52</v>
      </c>
      <c r="D21" s="232" t="s">
        <v>53</v>
      </c>
      <c r="E21" s="233" t="s">
        <v>54</v>
      </c>
      <c r="F21" s="61" t="s">
        <v>55</v>
      </c>
      <c r="G21" s="234"/>
      <c r="H21" s="231" t="s">
        <v>50</v>
      </c>
      <c r="I21" s="232" t="s">
        <v>51</v>
      </c>
      <c r="J21" s="232" t="s">
        <v>52</v>
      </c>
      <c r="K21" s="232" t="s">
        <v>53</v>
      </c>
      <c r="L21" s="233" t="s">
        <v>54</v>
      </c>
      <c r="M21" s="61" t="s">
        <v>55</v>
      </c>
      <c r="N21" s="234"/>
      <c r="O21" s="96" t="s">
        <v>50</v>
      </c>
      <c r="P21" s="97" t="s">
        <v>51</v>
      </c>
      <c r="Q21" s="97" t="s">
        <v>52</v>
      </c>
      <c r="R21" s="97" t="s">
        <v>53</v>
      </c>
      <c r="S21" s="98" t="s">
        <v>54</v>
      </c>
      <c r="T21" s="235" t="s">
        <v>55</v>
      </c>
      <c r="U21" s="234"/>
      <c r="V21" s="234"/>
      <c r="W21" s="234"/>
      <c r="X21" s="234"/>
      <c r="Y21" s="234"/>
      <c r="Z21" s="234"/>
    </row>
    <row r="22">
      <c r="A22" s="236">
        <v>1.0</v>
      </c>
      <c r="B22" s="237">
        <f>IF( 'WEEK 1 '!B20&lt;125,45,mround('WEEK 1 '!B20*0.35,5))</f>
        <v>45</v>
      </c>
      <c r="C22" s="237">
        <v>6.0</v>
      </c>
      <c r="D22" s="238" t="s">
        <v>120</v>
      </c>
      <c r="E22" s="66"/>
      <c r="F22" s="67"/>
      <c r="G22" s="239"/>
      <c r="H22" s="236">
        <v>1.0</v>
      </c>
      <c r="I22" s="237">
        <f>mround('WEEK 1 '!I20*0.35,5)</f>
        <v>0</v>
      </c>
      <c r="J22" s="237">
        <v>6.0</v>
      </c>
      <c r="K22" s="238" t="s">
        <v>120</v>
      </c>
      <c r="L22" s="66"/>
      <c r="M22" s="67"/>
      <c r="N22" s="239"/>
      <c r="O22" s="240">
        <v>1.0</v>
      </c>
      <c r="P22" s="241">
        <f>mround('WEEK 1 '!P20*0.35,5)</f>
        <v>25</v>
      </c>
      <c r="Q22" s="241">
        <v>6.0</v>
      </c>
      <c r="R22" s="83" t="s">
        <v>57</v>
      </c>
      <c r="S22" s="84"/>
      <c r="T22" s="85"/>
      <c r="U22" s="239"/>
      <c r="V22" s="239"/>
      <c r="W22" s="239"/>
      <c r="X22" s="239"/>
      <c r="Y22" s="239"/>
      <c r="Z22" s="239"/>
    </row>
    <row r="23">
      <c r="A23" s="236">
        <v>2.0</v>
      </c>
      <c r="B23" s="237">
        <f>MROUND('WEEK 1 '!B20*0.8,5)</f>
        <v>80</v>
      </c>
      <c r="C23" s="237">
        <v>1.0</v>
      </c>
      <c r="D23" s="238" t="s">
        <v>121</v>
      </c>
      <c r="E23" s="66"/>
      <c r="F23" s="67"/>
      <c r="G23" s="239"/>
      <c r="H23" s="236">
        <v>2.0</v>
      </c>
      <c r="I23" s="237">
        <f>mround('WEEK 1 '!I20*0.65,5)</f>
        <v>0</v>
      </c>
      <c r="J23" s="237">
        <v>1.0</v>
      </c>
      <c r="K23" s="238" t="s">
        <v>121</v>
      </c>
      <c r="L23" s="66"/>
      <c r="M23" s="67"/>
      <c r="N23" s="239"/>
      <c r="O23" s="240">
        <v>2.0</v>
      </c>
      <c r="P23" s="241">
        <f>mround('WEEK 1 '!P20*0.65,5)</f>
        <v>50</v>
      </c>
      <c r="Q23" s="241">
        <v>1.0</v>
      </c>
      <c r="R23" s="83" t="s">
        <v>57</v>
      </c>
      <c r="S23" s="84"/>
      <c r="T23" s="85"/>
      <c r="U23" s="239"/>
      <c r="V23" s="239"/>
      <c r="W23" s="239"/>
      <c r="X23" s="239"/>
      <c r="Y23" s="239"/>
      <c r="Z23" s="239"/>
    </row>
    <row r="24">
      <c r="A24" s="242">
        <v>3.0</v>
      </c>
      <c r="B24" s="237">
        <f>mround('WEEK 1 '!B20*0.9,5)</f>
        <v>90</v>
      </c>
      <c r="C24" s="82">
        <v>1.0</v>
      </c>
      <c r="D24" s="238" t="s">
        <v>121</v>
      </c>
      <c r="E24" s="66"/>
      <c r="F24" s="67"/>
      <c r="G24" s="239"/>
      <c r="H24" s="242">
        <v>3.0</v>
      </c>
      <c r="I24" s="237">
        <f>mround('WEEK 1 '!I20*0.9,5)</f>
        <v>0</v>
      </c>
      <c r="J24" s="82">
        <v>1.0</v>
      </c>
      <c r="K24" s="238" t="s">
        <v>121</v>
      </c>
      <c r="L24" s="66"/>
      <c r="M24" s="67"/>
      <c r="N24" s="239"/>
      <c r="O24" s="240">
        <v>3.0</v>
      </c>
      <c r="P24" s="241">
        <f>mround('WEEK 1 '!P20*0.85,5)</f>
        <v>65</v>
      </c>
      <c r="Q24" s="63">
        <v>1.0</v>
      </c>
      <c r="R24" s="83" t="s">
        <v>57</v>
      </c>
      <c r="S24" s="84"/>
      <c r="T24" s="85"/>
      <c r="U24" s="239"/>
      <c r="V24" s="239">
        <f>90*0.93</f>
        <v>83.7</v>
      </c>
      <c r="W24" s="239"/>
      <c r="X24" s="239"/>
      <c r="Y24" s="239"/>
      <c r="Z24" s="239"/>
    </row>
    <row r="25">
      <c r="A25" s="243">
        <v>4.0</v>
      </c>
      <c r="B25" s="237">
        <f>'WEEK 1 '!B20</f>
        <v>100</v>
      </c>
      <c r="C25" s="175">
        <v>1.0</v>
      </c>
      <c r="D25" s="238" t="s">
        <v>122</v>
      </c>
      <c r="E25" s="66"/>
      <c r="F25" s="67"/>
      <c r="G25" s="239"/>
      <c r="H25" s="243">
        <v>4.0</v>
      </c>
      <c r="I25" s="237" t="str">
        <f>'WEEK 1 '!I20</f>
        <v/>
      </c>
      <c r="J25" s="175">
        <v>1.0</v>
      </c>
      <c r="K25" s="238" t="s">
        <v>122</v>
      </c>
      <c r="L25" s="66"/>
      <c r="M25" s="67"/>
      <c r="N25" s="239"/>
      <c r="O25" s="244">
        <v>4.0</v>
      </c>
      <c r="P25" s="241">
        <f>mround('WEEK 1 '!P20*1,5)</f>
        <v>75</v>
      </c>
      <c r="Q25" s="245" t="s">
        <v>65</v>
      </c>
      <c r="R25" s="83" t="s">
        <v>57</v>
      </c>
      <c r="S25" s="84"/>
      <c r="T25" s="85"/>
      <c r="U25" s="239"/>
      <c r="V25" s="239"/>
      <c r="W25" s="239"/>
      <c r="X25" s="239"/>
      <c r="Y25" s="239"/>
      <c r="Z25" s="239"/>
    </row>
    <row r="26">
      <c r="A26" s="246" t="str">
        <f>IF('WEEK 1 '!F25&lt;1,"PROCEED TO DOWN SETS","NEW 1 REP MAX ATTEMPT")</f>
        <v>NEW 1 REP MAX ATTEMPT</v>
      </c>
      <c r="B26" s="20"/>
      <c r="C26" s="20"/>
      <c r="D26" s="20"/>
      <c r="E26" s="20"/>
      <c r="F26" s="95"/>
      <c r="G26" s="247" t="s">
        <v>123</v>
      </c>
      <c r="H26" s="246" t="str">
        <f>IF('WEEK 1 '!M25&lt;1,"PROCEED TO DOWN SETS","NEW 1 REP MAX ATTEMPT")</f>
        <v>PROCEED TO DOWN SETS</v>
      </c>
      <c r="I26" s="20"/>
      <c r="J26" s="20"/>
      <c r="K26" s="20"/>
      <c r="L26" s="20"/>
      <c r="M26" s="95"/>
      <c r="N26" s="247" t="s">
        <v>123</v>
      </c>
      <c r="O26" s="248" t="str">
        <f>IF(OR(ISBLANK('WEEK 1 '!T25),ISBLANK('WEEK 1 '!T24),ISBLANK('WEEK 1 '!T23)),"PROCEED TO DOWNSETS",if('WEEK 1 '!T25&gt;=6,"NEW 4 REP MAX ATTEMPT","PROCEED TO DOWN SETS"))</f>
        <v>NEW 4 REP MAX ATTEMPT</v>
      </c>
      <c r="T26" s="28"/>
      <c r="U26" s="234"/>
      <c r="V26" s="234"/>
      <c r="W26" s="234"/>
      <c r="X26" s="234"/>
      <c r="Y26" s="234"/>
      <c r="Z26" s="234"/>
    </row>
    <row r="27">
      <c r="A27" s="249">
        <f>if('WEEK 1 '!F25&lt;1,"",5)</f>
        <v>5</v>
      </c>
      <c r="B27" s="175">
        <f>IF('WEEK 1 '!F25&lt;1,"",B25+5)</f>
        <v>105</v>
      </c>
      <c r="C27" s="238">
        <f>if('WEEK 1 '!F25&lt;1,"",1)</f>
        <v>1</v>
      </c>
      <c r="D27" s="238" t="str">
        <f>if('WEEK 1 '!F25&lt;1,"","1-5 MIN")</f>
        <v>1-5 MIN</v>
      </c>
      <c r="E27" s="250"/>
      <c r="F27" s="67"/>
      <c r="H27" s="249" t="str">
        <f>if('WEEK 1 '!M25&lt;1,"",5)</f>
        <v/>
      </c>
      <c r="I27" s="175" t="str">
        <f>IF('WEEK 1 '!M25&lt;1,"",I25+5)</f>
        <v/>
      </c>
      <c r="J27" s="238" t="str">
        <f>if('WEEK 1 '!M25&lt;1,"",1)</f>
        <v/>
      </c>
      <c r="K27" s="238" t="str">
        <f>if('WEEK 1 '!M25&lt;1,"","1-5 MIN")</f>
        <v/>
      </c>
      <c r="L27" s="250"/>
      <c r="M27" s="67"/>
      <c r="O27" s="251">
        <f>IF(OR(ISBLANK('WEEK 1 '!T25),ISBLANK('WEEK 1 '!T24),ISBLANK('WEEK 1 '!T23)),"",IF('WEEK 1 '!T25&gt;=6,5,""))</f>
        <v>5</v>
      </c>
      <c r="P27" s="252">
        <f>IF(OR(ISBLANK('WEEK 1 '!T25),ISBLANK('WEEK 1 '!T24),ISBLANK('WEEK 1 '!T23)),"",IF('WEEK 1 '!T25&gt;=6,'WEEK 1 '!P20+5,""))</f>
        <v>80</v>
      </c>
      <c r="Q27" s="253" t="str">
        <f>IF(OR(ISBLANK('WEEK 1 '!T25),ISBLANK('WEEK 1 '!T24),ISBLANK('WEEK 1 '!T23)),"",IF('WEEK 1 '!T25&gt;=6,"REP OUT",""))</f>
        <v>REP OUT</v>
      </c>
      <c r="R27" s="254" t="str">
        <f>IF(OR(ISBLANK('WEEK 1 '!T25),ISBLANK('WEEK 1 '!T24),ISBLANK('WEEK 1 '!T23)),"",IF('WEEK 1 '!T25&gt;5,"1 MIN",""))</f>
        <v>1 MIN</v>
      </c>
      <c r="S27" s="255"/>
      <c r="T27" s="67"/>
      <c r="U27" s="239"/>
      <c r="V27" s="239"/>
      <c r="W27" s="239"/>
      <c r="X27" s="239"/>
      <c r="Y27" s="239"/>
      <c r="Z27" s="239"/>
    </row>
    <row r="28">
      <c r="A28" s="256" t="str">
        <f>IF('WEEK 1 '!F27&lt;1,"","6")</f>
        <v/>
      </c>
      <c r="B28" s="237" t="str">
        <f>IF('WEEK 1 '!F27&lt;1,"",B27+5)</f>
        <v/>
      </c>
      <c r="C28" s="257" t="str">
        <f>IF('WEEK 1 '!F27&lt;1,"","1")</f>
        <v/>
      </c>
      <c r="D28" s="257" t="str">
        <f>IF('WEEK 1 '!F27&lt;1,"","1-5 MIN")</f>
        <v/>
      </c>
      <c r="E28" s="258"/>
      <c r="F28" s="67"/>
      <c r="G28" s="234"/>
      <c r="H28" s="259" t="str">
        <f>IF('WEEK 1 '!M27&lt;1,"","6")</f>
        <v/>
      </c>
      <c r="I28" s="237" t="str">
        <f>IF('WEEK 1 '!M27&lt;1,"",I27+5)</f>
        <v/>
      </c>
      <c r="J28" s="257" t="str">
        <f>IF('WEEK 1 '!M27&lt;1,"","1")</f>
        <v/>
      </c>
      <c r="K28" s="257" t="str">
        <f>IF('WEEK 1 '!M27&lt;1,"","1-5 MIN")</f>
        <v/>
      </c>
      <c r="L28" s="258"/>
      <c r="M28" s="67"/>
      <c r="N28" s="234"/>
      <c r="O28" s="260" t="str">
        <f>IF(OR(ISBLANK('WEEK 1 '!T25),ISBLANK('WEEK 1 '!T24),ISBLANK('WEEK 1 '!T23)),"FILL OUT REP LOG FIRST","DOWN SETS")</f>
        <v>DOWN SETS</v>
      </c>
      <c r="P28" s="16"/>
      <c r="Q28" s="16"/>
      <c r="R28" s="16"/>
      <c r="S28" s="16"/>
      <c r="T28" s="230"/>
      <c r="U28" s="234"/>
      <c r="V28" s="234"/>
      <c r="W28" s="234"/>
      <c r="X28" s="234"/>
      <c r="Y28" s="234"/>
      <c r="Z28" s="234"/>
    </row>
    <row r="29">
      <c r="A29" s="246" t="str">
        <f>IF(OR(ISBLANK('WEEK 1 '!F25),ISBLANK('WEEK 1 '!F24),ISBLANK('WEEK 1 '!F23)),"FILL OUT REP LOG FOR DOWN SETS","DOWN SETS")</f>
        <v>DOWN SETS</v>
      </c>
      <c r="B29" s="20"/>
      <c r="C29" s="20"/>
      <c r="D29" s="20"/>
      <c r="E29" s="20"/>
      <c r="F29" s="95"/>
      <c r="G29" s="239"/>
      <c r="H29" s="246" t="str">
        <f>IF(OR(ISBLANK('WEEK 1 '!M25),ISBLANK('WEEK 1 '!M24),ISBLANK('WEEK 1 '!M23)),"FILL OUT REP LOG FOR DOWN SETS","DOWN SETS")</f>
        <v>FILL OUT REP LOG FOR DOWN SETS</v>
      </c>
      <c r="I29" s="20"/>
      <c r="J29" s="20"/>
      <c r="K29" s="20"/>
      <c r="L29" s="20"/>
      <c r="M29" s="95"/>
      <c r="N29" s="239"/>
      <c r="O29" s="91">
        <f>IF('WEEK 1 '!T27&gt;=4,"",IF(OR(ISBLANK('WEEK 1 '!T25),ISBLANK('WEEK 1 '!T24),ISBLANK('WEEK 1 '!T23)),"",IF('WEEK 1 '!T25&gt;5,6,5)))</f>
        <v>6</v>
      </c>
      <c r="P29" s="261">
        <f>IF('WEEK 1 '!T27&gt;=4,"",IF(OR(ISBLANK('WEEK 1 '!T25),ISBLANK('WEEK 1 '!T24),ISBLANK('WEEK 1 '!T23)),"",IF('WEEK 1 '!T25&lt;6,mround('WEEK 1 '!P20*0.8,5),IF('WEEK 1 '!T25&lt;10,mround('WEEK 1 '!P20*0.93,5),mround('WEEK 1 '!P20*0.7,5)))))</f>
        <v>70</v>
      </c>
      <c r="Q29" s="262" t="str">
        <f>IF('WEEK 1 '!T27&gt;=4,"",IF(OR(ISBLANK('WEEK 1 '!T25),ISBLANK('WEEK 1 '!T24),ISBLANK('WEEK 1 '!T23)),"","REP OUT"))</f>
        <v>REP OUT</v>
      </c>
      <c r="R29" s="65" t="str">
        <f>IF('WEEK 1 '!T27&gt;=4,"",IF(OR(ISBLANK('WEEK 1 '!T25),ISBLANK('WEEK 1 '!T24),ISBLANK('WEEK 1 '!T23)),"","1 MIN"))</f>
        <v>1 MIN</v>
      </c>
      <c r="S29" s="255"/>
      <c r="T29" s="263"/>
      <c r="U29" s="239"/>
      <c r="V29" s="239">
        <f>0.7*85</f>
        <v>59.5</v>
      </c>
      <c r="W29" s="239"/>
      <c r="X29" s="239"/>
      <c r="Y29" s="239"/>
      <c r="Z29" s="239"/>
    </row>
    <row r="30">
      <c r="A30" s="264">
        <f>IF(OR(ISBLANK('WEEK 1 '!F25),ISBLANK('WEEK 1 '!F24),ISBLANK('WEEK 1 '!F23)),"",IF((AND(A27="",A28="")),5,IF((AND(A27&gt;1,A28="")),6,7)))</f>
        <v>6</v>
      </c>
      <c r="B30" s="265">
        <f>IF(OR(ISBLANK('WEEK 1 '!F25),ISBLANK('WEEK 1 '!F24),ISBLANK('WEEK 1 '!F23)),"",MROUND('WEEK 1 '!B32*0.9,5))</f>
        <v>90</v>
      </c>
      <c r="C30" s="266" t="str">
        <f>IF(OR(ISBLANK('WEEK 1 '!F25),ISBLANK('WEEK 1 '!F24),ISBLANK('WEEK 1 '!F23)),"","REP OUT")</f>
        <v>REP OUT</v>
      </c>
      <c r="D30" s="267" t="str">
        <f>IF(OR(ISBLANK('WEEK 1 '!F25),ISBLANK('WEEK 1 '!F24),ISBLANK('WEEK 1 '!F23)),"","1-3 MIN")</f>
        <v>1-3 MIN</v>
      </c>
      <c r="E30" s="268"/>
      <c r="F30" s="67"/>
      <c r="G30" s="239"/>
      <c r="H30" s="264" t="str">
        <f>IF(OR(ISBLANK('WEEK 1 '!M25),ISBLANK('WEEK 1 '!M24),ISBLANK('WEEK 1 '!M23)),"",IF((AND(H27="",H28="")),5,IF((AND(H27&gt;1,H28="")),6,7)))</f>
        <v/>
      </c>
      <c r="I30" s="265" t="str">
        <f>IF(OR(ISBLANK('WEEK 1 '!M25),ISBLANK('WEEK 1 '!M24),ISBLANK('WEEK 1 '!M23)),"",MROUND('WEEK 1 '!I32*0.9,5))</f>
        <v/>
      </c>
      <c r="J30" s="266" t="str">
        <f>IF(OR(ISBLANK('WEEK 1 '!M25),ISBLANK('WEEK 1 '!M24),ISBLANK('WEEK 1 '!M23)),"","REP OUT")</f>
        <v/>
      </c>
      <c r="K30" s="267" t="str">
        <f>IF(OR(ISBLANK('WEEK 1 '!M25),ISBLANK('WEEK 1 '!M24),ISBLANK('WEEK 1 '!M23)),"","1-3 MIN")</f>
        <v/>
      </c>
      <c r="L30" s="268"/>
      <c r="M30" s="67"/>
      <c r="N30" s="239"/>
      <c r="O30" s="269">
        <f>IF('WEEK 1 '!T27&gt;=4,"",IF(OR(ISBLANK('WEEK 1 '!T25),ISBLANK('WEEK 1 '!T24),ISBLANK('WEEK 1 '!T23)),"",IF('WEEK 1 '!T25&gt;5,7,6)))</f>
        <v>7</v>
      </c>
      <c r="P30" s="254">
        <f>IF('WEEK 1 '!T27&gt;=4,"",IF(OR(ISBLANK('WEEK 1 '!T25),ISBLANK('WEEK 1 '!T24),ISBLANK('WEEK 1 '!T23)),"",IF('WEEK 1 '!T25&lt;6,mround('WEEK 1 '!P20*0.65,5),IF('WEEK 1 '!T25&lt;10,mround('WEEK 1 '!P20*0.7,5),mround('WEEK 1 '!P20*0.65,5)))))</f>
        <v>55</v>
      </c>
      <c r="Q30" s="253" t="str">
        <f>IF('WEEK 1 '!T27&gt;=4,"",IF(OR(ISBLANK('WEEK 1 '!T25),ISBLANK('WEEK 1 '!T24),ISBLANK('WEEK 1 '!T23)),"","REP OUT"))</f>
        <v>REP OUT</v>
      </c>
      <c r="R30" s="65" t="str">
        <f>IF('WEEK 1 '!T27&gt;=4,"",IF(OR(ISBLANK('WEEK 1 '!T25),ISBLANK('WEEK 1 '!T24),ISBLANK('WEEK 1 '!T23)),"","1 MIN"))</f>
        <v>1 MIN</v>
      </c>
      <c r="S30" s="255"/>
      <c r="T30" s="270"/>
      <c r="U30" s="239"/>
      <c r="V30" s="239"/>
      <c r="W30" s="239"/>
      <c r="X30" s="239"/>
      <c r="Y30" s="239"/>
      <c r="Z30" s="239"/>
    </row>
    <row r="31">
      <c r="A31" s="243">
        <f>IF(OR(ISBLANK('WEEK 1 '!F25),ISBLANK('WEEK 1 '!F24),ISBLANK('WEEK 1 '!F23)),"",IF((AND(A27="",A28="")),6,IF((AND(A27&gt;1,A28="")),7,8)))</f>
        <v>7</v>
      </c>
      <c r="B31" s="237">
        <f>IF(OR(ISBLANK('WEEK 1 '!F25),ISBLANK('WEEK 1 '!F24),ISBLANK('WEEK 1 '!F23)),"",mround('WEEK 1 '!B32*0.78,5))</f>
        <v>80</v>
      </c>
      <c r="C31" s="245" t="str">
        <f>IF(OR(ISBLANK('WEEK 1 '!F25),ISBLANK('WEEK 1 '!F24),ISBLANK('WEEK 1 '!F23)),"","REP OUT")</f>
        <v>REP OUT</v>
      </c>
      <c r="D31" s="65" t="str">
        <f>IF(OR(ISBLANK('WEEK 1 '!F25),ISBLANK('WEEK 1 '!F24),ISBLANK('WEEK 1 '!F23)),"","1-3 MIN")</f>
        <v>1-3 MIN</v>
      </c>
      <c r="E31" s="258"/>
      <c r="F31" s="271"/>
      <c r="G31" s="103"/>
      <c r="H31" s="243" t="str">
        <f>IF(OR(ISBLANK('WEEK 1 '!M25),ISBLANK('WEEK 1 '!M24),ISBLANK('WEEK 1 '!M23)),"",IF((AND(H27="",H28="")),6,IF((AND(H27&gt;1,H28="")),7,8)))</f>
        <v/>
      </c>
      <c r="I31" s="237" t="str">
        <f>IF(OR(ISBLANK('WEEK 1 '!M25),ISBLANK('WEEK 1 '!M24),ISBLANK('WEEK 1 '!M23)),"",mround('WEEK 1 '!I32*0.78,5))</f>
        <v/>
      </c>
      <c r="J31" s="245" t="str">
        <f>IF(OR(ISBLANK('WEEK 1 '!M25),ISBLANK('WEEK 1 '!M24),ISBLANK('WEEK 1 '!M23)),"","REP OUT")</f>
        <v/>
      </c>
      <c r="K31" s="65" t="str">
        <f>IF(OR(ISBLANK('WEEK 1 '!M25),ISBLANK('WEEK 1 '!M24),ISBLANK('WEEK 1 '!M23)),"","1-3 MIN")</f>
        <v/>
      </c>
      <c r="L31" s="258"/>
      <c r="M31" s="271"/>
      <c r="N31" s="103"/>
      <c r="O31" s="269" t="str">
        <f>IF('WEEK 1 '!T27&lt;4,"",IF(OR(ISBLANK('WEEK 1 '!T25),ISBLANK('WEEK 1 '!T24),ISBLANK('WEEK 1 '!T23)),"",IF('WEEK 1 '!T27&gt;3,6,5)))</f>
        <v/>
      </c>
      <c r="P31" s="254" t="str">
        <f>IF('WEEK 1 '!T27&lt;4,"",IF(OR(ISBLANK('WEEK 1 '!T25),ISBLANK('WEEK 1 '!T24),ISBLANK('WEEK 1 '!T23)),"",IF('WEEK 1 '!T27&lt;6,mround('WEEK 1 '!P33*0.8,5),IF('WEEK 1 '!T27&lt;10,mround('WEEK 1 '!P33*0.93,5),mround('WEEK 1 '!P33*0.7,5)))))</f>
        <v/>
      </c>
      <c r="Q31" s="253" t="str">
        <f>IF('WEEK 1 '!T27&lt;4,"",IF(OR(ISBLANK('WEEK 1 '!T25),ISBLANK('WEEK 1 '!T24),ISBLANK('WEEK 1 '!T23)),"","REP OUT"))</f>
        <v/>
      </c>
      <c r="R31" s="65" t="str">
        <f>IF('WEEK 1 '!T27&lt;4,"",IF(OR(ISBLANK('WEEK 1 '!T25),ISBLANK('WEEK 1 '!T24),ISBLANK('WEEK 1 '!T23)),"","1 MIN"))</f>
        <v/>
      </c>
      <c r="S31" s="255"/>
      <c r="T31" s="270"/>
      <c r="U31" s="103"/>
      <c r="V31" s="103"/>
      <c r="W31" s="103"/>
      <c r="X31" s="103"/>
      <c r="Y31" s="103"/>
      <c r="Z31" s="103"/>
    </row>
    <row r="32">
      <c r="A32" s="272" t="s">
        <v>124</v>
      </c>
      <c r="B32" s="273">
        <f>IF(OR(ISBLANK('WEEK 1 '!F25),ISBLANK('WEEK 1 '!F24),ISBLANK('WEEK 1 '!F23)),"",IF('WEEK 1 '!F28&gt;=1,'WEEK 1 '!B28,IF('WEEK 1 '!F27&gt;=1,'WEEK 1 '!B27,IF('WEEK 1 '!F25&lt;1,'WEEK 1 '!B25-5,'WEEK 1 '!B25))))</f>
        <v>100</v>
      </c>
      <c r="C32" s="11"/>
      <c r="D32" s="11"/>
      <c r="E32" s="11"/>
      <c r="F32" s="46"/>
      <c r="G32" s="103"/>
      <c r="H32" s="272" t="s">
        <v>124</v>
      </c>
      <c r="I32" s="273" t="str">
        <f>IF(OR(ISBLANK('WEEK 1 '!M25),ISBLANK('WEEK 1 '!M24),ISBLANK('WEEK 1 '!M23)),"",IF('WEEK 1 '!M28&gt;=1,'WEEK 1 '!I28,IF('WEEK 1 '!M27&gt;=1,'WEEK 1 '!I27,IF('WEEK 1 '!M25&lt;1,'WEEK 1 '!I25-5,'WEEK 1 '!I25))))</f>
        <v/>
      </c>
      <c r="J32" s="11"/>
      <c r="K32" s="11"/>
      <c r="L32" s="11"/>
      <c r="M32" s="46"/>
      <c r="N32" s="103"/>
      <c r="O32" s="269" t="str">
        <f>IF('WEEK 1 '!T27&lt;4,"",IF(OR(ISBLANK('WEEK 1 '!T25),ISBLANK('WEEK 1 '!T24),ISBLANK('WEEK 1 '!T23)),"",IF('WEEK 1 '!T27&gt;3,7,"")))</f>
        <v/>
      </c>
      <c r="P32" s="254" t="str">
        <f>IF('WEEK 1 '!T27&lt;4,"",IF(OR(ISBLANK('WEEK 1 '!T25),ISBLANK('WEEK 1 '!T24),ISBLANK('WEEK 1 '!T23)),"",IF('WEEK 1 '!T27&lt;6,mround('WEEK 1 '!P33*0.65,5),IF('WEEK 1 '!T27&lt;10,mround('WEEK 1 '!P33*0.7,5),mround('WEEK 1 '!P33*0.65,5)))))</f>
        <v/>
      </c>
      <c r="Q32" s="253" t="str">
        <f>IF('WEEK 1 '!T27&lt;4,"",IF(OR(ISBLANK('WEEK 1 '!T25),ISBLANK('WEEK 1 '!T24),ISBLANK('WEEK 1 '!T23)),"","REP OUT"))</f>
        <v/>
      </c>
      <c r="R32" s="65" t="str">
        <f>IF('WEEK 1 '!T27&lt;4,"",IF(OR(ISBLANK('WEEK 1 '!T25),ISBLANK('WEEK 1 '!T24),ISBLANK('WEEK 1 '!T23)),"","1 MIN"))</f>
        <v/>
      </c>
      <c r="S32" s="255"/>
      <c r="T32" s="270"/>
      <c r="U32" s="103"/>
      <c r="V32" s="103"/>
      <c r="W32" s="103"/>
      <c r="X32" s="103"/>
      <c r="Y32" s="103"/>
      <c r="Z32" s="103"/>
    </row>
    <row r="33">
      <c r="A33" s="274"/>
      <c r="B33" s="275"/>
      <c r="C33" s="276"/>
      <c r="D33" s="277"/>
      <c r="E33" s="278"/>
      <c r="F33" s="103"/>
      <c r="G33" s="103"/>
      <c r="H33" s="220"/>
      <c r="I33" s="220"/>
      <c r="J33" s="220"/>
      <c r="K33" s="220"/>
      <c r="L33" s="279"/>
      <c r="M33" s="103"/>
      <c r="N33" s="103"/>
      <c r="O33" s="280" t="s">
        <v>124</v>
      </c>
      <c r="P33" s="273">
        <f>IF(OR(ISBLANK('WEEK 1 '!T23),ISBLANK('WEEK 1 '!T24),ISBLANK('WEEK 1 '!T25)),"",IF('WEEK 1 '!T27&gt;=4,'WEEK 1 '!P27,IF('WEEK 1 '!T25&lt;=3,'WEEK 1 '!P25-5,'WEEK 1 '!P25)))</f>
        <v>75</v>
      </c>
      <c r="Q33" s="11"/>
      <c r="R33" s="11"/>
      <c r="S33" s="11"/>
      <c r="T33" s="46"/>
      <c r="U33" s="103"/>
      <c r="V33" s="103"/>
      <c r="W33" s="103"/>
      <c r="X33" s="103"/>
      <c r="Y33" s="103"/>
      <c r="Z33" s="103"/>
    </row>
    <row r="34">
      <c r="A34" s="73" t="str">
        <f>IF(B35&lt;5,"SKIP TO NEXT WORKOUT",HYPERLINK("https://www.youtube.com/watch?v=mGv8D2DGyNQ","2.DB CHEST FLY"))</f>
        <v>2.DB CHEST FLY</v>
      </c>
      <c r="B34" s="53"/>
      <c r="C34" s="53"/>
      <c r="D34" s="53"/>
      <c r="E34" s="53"/>
      <c r="F34" s="54"/>
      <c r="G34" s="281"/>
      <c r="H34" s="73" t="str">
        <f>HYPERLINK("https://www.youtube.com/watch?v=THb0dhfIu1k","2. MACHINE CHEST FLY")</f>
        <v>2. MACHINE CHEST FLY</v>
      </c>
      <c r="I34" s="53"/>
      <c r="J34" s="53"/>
      <c r="K34" s="53"/>
      <c r="L34" s="53"/>
      <c r="M34" s="54"/>
      <c r="N34" s="281"/>
      <c r="O34" s="103"/>
      <c r="P34" s="103"/>
      <c r="Q34" s="103"/>
      <c r="R34" s="103"/>
      <c r="S34" s="103"/>
      <c r="T34" s="103"/>
      <c r="U34" s="103"/>
      <c r="V34" s="103"/>
      <c r="W34" s="103"/>
      <c r="X34" s="103"/>
      <c r="Y34" s="103"/>
      <c r="Z34" s="103"/>
    </row>
    <row r="35">
      <c r="A35" s="282" t="s">
        <v>125</v>
      </c>
      <c r="B35" s="283">
        <v>30.0</v>
      </c>
      <c r="F35" s="28"/>
      <c r="G35" s="247" t="s">
        <v>123</v>
      </c>
      <c r="H35" s="282" t="s">
        <v>125</v>
      </c>
      <c r="I35" s="284">
        <f>'WEEK 1 '!B35</f>
        <v>30</v>
      </c>
      <c r="J35" s="20"/>
      <c r="K35" s="20"/>
      <c r="L35" s="20"/>
      <c r="M35" s="95"/>
      <c r="N35" s="103"/>
      <c r="O35" s="103"/>
      <c r="P35" s="103"/>
      <c r="Q35" s="103"/>
      <c r="R35" s="103"/>
      <c r="S35" s="103"/>
      <c r="T35" s="103"/>
      <c r="U35" s="103"/>
      <c r="V35" s="103"/>
      <c r="W35" s="103"/>
      <c r="X35" s="103"/>
      <c r="Y35" s="103"/>
      <c r="Z35" s="103"/>
    </row>
    <row r="36">
      <c r="A36" s="231" t="s">
        <v>50</v>
      </c>
      <c r="B36" s="232" t="s">
        <v>51</v>
      </c>
      <c r="C36" s="232" t="s">
        <v>52</v>
      </c>
      <c r="D36" s="232" t="s">
        <v>53</v>
      </c>
      <c r="E36" s="285" t="s">
        <v>54</v>
      </c>
      <c r="F36" s="286" t="s">
        <v>55</v>
      </c>
      <c r="H36" s="231" t="s">
        <v>50</v>
      </c>
      <c r="I36" s="232" t="s">
        <v>51</v>
      </c>
      <c r="J36" s="232" t="s">
        <v>52</v>
      </c>
      <c r="K36" s="232" t="s">
        <v>53</v>
      </c>
      <c r="L36" s="285" t="s">
        <v>54</v>
      </c>
      <c r="M36" s="61" t="s">
        <v>55</v>
      </c>
      <c r="N36" s="287"/>
      <c r="O36" s="287"/>
      <c r="P36" s="287"/>
      <c r="Q36" s="287"/>
      <c r="R36" s="287"/>
      <c r="S36" s="287"/>
      <c r="T36" s="287"/>
      <c r="U36" s="287"/>
      <c r="V36" s="287"/>
      <c r="W36" s="287"/>
      <c r="X36" s="287"/>
      <c r="Y36" s="287"/>
      <c r="Z36" s="287"/>
    </row>
    <row r="37">
      <c r="A37" s="242">
        <v>1.0</v>
      </c>
      <c r="B37" s="82">
        <f>mround(B35*0.29,2.5)</f>
        <v>7.5</v>
      </c>
      <c r="C37" s="82">
        <v>15.0</v>
      </c>
      <c r="D37" s="288" t="s">
        <v>126</v>
      </c>
      <c r="E37" s="66"/>
      <c r="F37" s="67"/>
      <c r="G37" s="234"/>
      <c r="H37" s="242">
        <v>1.0</v>
      </c>
      <c r="I37" s="237">
        <f>mround('WEEK 1 '!I35*2*0.75,10)</f>
        <v>110</v>
      </c>
      <c r="J37" s="82">
        <v>15.0</v>
      </c>
      <c r="K37" s="288" t="s">
        <v>126</v>
      </c>
      <c r="L37" s="66"/>
      <c r="M37" s="67"/>
      <c r="N37" s="234"/>
      <c r="O37" s="234"/>
      <c r="P37" s="234"/>
      <c r="Q37" s="234"/>
      <c r="R37" s="234"/>
      <c r="S37" s="234"/>
      <c r="T37" s="234"/>
      <c r="U37" s="234"/>
      <c r="V37" s="234"/>
      <c r="W37" s="234"/>
      <c r="X37" s="234"/>
      <c r="Y37" s="234"/>
      <c r="Z37" s="234"/>
    </row>
    <row r="38">
      <c r="A38" s="289">
        <v>2.0</v>
      </c>
      <c r="B38" s="87">
        <f>mround(B35*0.29,2.5)</f>
        <v>7.5</v>
      </c>
      <c r="C38" s="87">
        <v>15.0</v>
      </c>
      <c r="D38" s="290" t="s">
        <v>126</v>
      </c>
      <c r="E38" s="72"/>
      <c r="F38" s="67"/>
      <c r="G38" s="234"/>
      <c r="H38" s="289">
        <v>2.0</v>
      </c>
      <c r="I38" s="291">
        <f>mround('WEEK 1 '!I35*2*0.75,10)</f>
        <v>110</v>
      </c>
      <c r="J38" s="87">
        <v>15.0</v>
      </c>
      <c r="K38" s="290" t="s">
        <v>126</v>
      </c>
      <c r="L38" s="72"/>
      <c r="M38" s="67"/>
      <c r="N38" s="234"/>
      <c r="O38" s="234"/>
      <c r="P38" s="234"/>
      <c r="Q38" s="234"/>
      <c r="R38" s="234"/>
      <c r="S38" s="234"/>
      <c r="T38" s="234"/>
      <c r="U38" s="234"/>
      <c r="V38" s="234"/>
      <c r="W38" s="234"/>
      <c r="X38" s="234"/>
      <c r="Y38" s="234"/>
      <c r="Z38" s="234"/>
    </row>
    <row r="39">
      <c r="A39" s="103"/>
      <c r="B39" s="103"/>
      <c r="C39" s="103"/>
      <c r="D39" s="103"/>
      <c r="E39" s="222"/>
      <c r="F39" s="103"/>
      <c r="G39" s="103"/>
      <c r="H39" s="103"/>
      <c r="I39" s="103"/>
      <c r="J39" s="103"/>
      <c r="K39" s="103"/>
      <c r="L39" s="222"/>
      <c r="M39" s="103"/>
      <c r="N39" s="103"/>
      <c r="O39" s="103"/>
      <c r="P39" s="103"/>
      <c r="Q39" s="103"/>
      <c r="R39" s="103"/>
      <c r="S39" s="103"/>
      <c r="T39" s="103"/>
      <c r="U39" s="103"/>
      <c r="V39" s="103"/>
      <c r="W39" s="103"/>
      <c r="X39" s="103"/>
      <c r="Y39" s="103"/>
      <c r="Z39" s="103"/>
    </row>
    <row r="40">
      <c r="A40" s="103"/>
      <c r="B40" s="103"/>
      <c r="C40" s="103"/>
      <c r="D40" s="103"/>
      <c r="E40" s="278"/>
      <c r="F40" s="103"/>
      <c r="G40" s="103"/>
      <c r="H40" s="103"/>
      <c r="I40" s="103"/>
      <c r="J40" s="103"/>
      <c r="K40" s="103"/>
      <c r="L40" s="222"/>
      <c r="M40" s="103"/>
      <c r="N40" s="103"/>
      <c r="O40" s="103"/>
      <c r="P40" s="103"/>
      <c r="Q40" s="103"/>
      <c r="R40" s="103"/>
      <c r="S40" s="103"/>
      <c r="T40" s="103"/>
      <c r="U40" s="103"/>
      <c r="V40" s="103"/>
      <c r="W40" s="103"/>
      <c r="X40" s="103"/>
      <c r="Y40" s="103"/>
      <c r="Z40" s="103"/>
    </row>
    <row r="41">
      <c r="A41" s="73" t="str">
        <f>HYPERLINK("https://www.youtube.com/watch?v=PnaDzYh2axA","3. LAT PULL DOWN")</f>
        <v>3. LAT PULL DOWN</v>
      </c>
      <c r="B41" s="53"/>
      <c r="C41" s="53"/>
      <c r="D41" s="53"/>
      <c r="E41" s="53"/>
      <c r="F41" s="54"/>
      <c r="G41" s="276"/>
      <c r="H41" s="103"/>
      <c r="I41" s="292"/>
      <c r="J41" s="292"/>
      <c r="K41" s="292"/>
      <c r="L41" s="293"/>
      <c r="M41" s="103"/>
      <c r="N41" s="103"/>
      <c r="O41" s="103"/>
      <c r="P41" s="103"/>
      <c r="Q41" s="103"/>
      <c r="R41" s="103"/>
      <c r="S41" s="103"/>
      <c r="T41" s="103"/>
      <c r="U41" s="103"/>
      <c r="V41" s="103"/>
      <c r="W41" s="103"/>
      <c r="X41" s="103"/>
      <c r="Y41" s="103"/>
      <c r="Z41" s="103"/>
    </row>
    <row r="42">
      <c r="A42" s="226" t="s">
        <v>119</v>
      </c>
      <c r="B42" s="227">
        <v>100.0</v>
      </c>
      <c r="C42" s="20"/>
      <c r="D42" s="20"/>
      <c r="E42" s="20"/>
      <c r="F42" s="95"/>
      <c r="G42" s="103"/>
      <c r="H42" s="103"/>
      <c r="I42" s="292"/>
      <c r="J42" s="292"/>
      <c r="K42" s="292"/>
      <c r="L42" s="293"/>
      <c r="M42" s="103"/>
      <c r="N42" s="103"/>
      <c r="O42" s="103"/>
      <c r="P42" s="103"/>
      <c r="Q42" s="103"/>
      <c r="R42" s="103"/>
      <c r="S42" s="103"/>
      <c r="T42" s="103"/>
      <c r="U42" s="103"/>
      <c r="V42" s="103"/>
      <c r="W42" s="103"/>
      <c r="X42" s="103"/>
      <c r="Y42" s="103"/>
      <c r="Z42" s="103"/>
    </row>
    <row r="43">
      <c r="A43" s="231" t="s">
        <v>50</v>
      </c>
      <c r="B43" s="232" t="s">
        <v>51</v>
      </c>
      <c r="C43" s="232" t="s">
        <v>52</v>
      </c>
      <c r="D43" s="232" t="s">
        <v>53</v>
      </c>
      <c r="E43" s="233" t="s">
        <v>54</v>
      </c>
      <c r="F43" s="61" t="s">
        <v>55</v>
      </c>
      <c r="G43" s="234"/>
      <c r="H43" s="234"/>
      <c r="I43" s="294"/>
      <c r="J43" s="294"/>
      <c r="K43" s="294"/>
      <c r="L43" s="295"/>
      <c r="M43" s="234"/>
      <c r="N43" s="234"/>
      <c r="O43" s="234"/>
      <c r="P43" s="234"/>
      <c r="Q43" s="234"/>
      <c r="R43" s="234"/>
      <c r="S43" s="234"/>
      <c r="T43" s="234"/>
      <c r="U43" s="234"/>
      <c r="V43" s="234"/>
      <c r="W43" s="234"/>
      <c r="X43" s="234"/>
      <c r="Y43" s="234"/>
      <c r="Z43" s="234"/>
    </row>
    <row r="44">
      <c r="A44" s="236">
        <v>1.0</v>
      </c>
      <c r="B44" s="237">
        <f>mround('WEEK 1 '!B42*0.35,5)</f>
        <v>90</v>
      </c>
      <c r="C44" s="237">
        <v>6.0</v>
      </c>
      <c r="D44" s="238" t="s">
        <v>120</v>
      </c>
      <c r="E44" s="66"/>
      <c r="F44" s="67"/>
      <c r="G44" s="287"/>
      <c r="H44" s="287"/>
      <c r="I44" s="296"/>
      <c r="J44" s="296"/>
      <c r="K44" s="296"/>
      <c r="L44" s="297"/>
      <c r="M44" s="287"/>
      <c r="N44" s="287"/>
      <c r="O44" s="287"/>
      <c r="P44" s="287"/>
      <c r="Q44" s="287"/>
      <c r="R44" s="287"/>
      <c r="S44" s="287"/>
      <c r="T44" s="287"/>
      <c r="U44" s="287"/>
      <c r="V44" s="287"/>
      <c r="W44" s="287"/>
      <c r="X44" s="287"/>
      <c r="Y44" s="287"/>
      <c r="Z44" s="287"/>
    </row>
    <row r="45">
      <c r="A45" s="236">
        <v>2.0</v>
      </c>
      <c r="B45" s="237">
        <f>mround('WEEK 1 '!B42*0.65,5)</f>
        <v>165</v>
      </c>
      <c r="C45" s="238">
        <v>3.0</v>
      </c>
      <c r="D45" s="238" t="s">
        <v>121</v>
      </c>
      <c r="E45" s="66"/>
      <c r="F45" s="67"/>
      <c r="G45" s="287"/>
      <c r="H45" s="287"/>
      <c r="I45" s="296"/>
      <c r="J45" s="296"/>
      <c r="K45" s="296"/>
      <c r="L45" s="297"/>
      <c r="M45" s="287"/>
      <c r="N45" s="287"/>
      <c r="O45" s="287"/>
      <c r="P45" s="287"/>
      <c r="Q45" s="287"/>
      <c r="R45" s="287"/>
      <c r="S45" s="287"/>
      <c r="T45" s="287"/>
      <c r="U45" s="287"/>
      <c r="V45" s="287"/>
      <c r="W45" s="287"/>
      <c r="X45" s="287"/>
      <c r="Y45" s="287"/>
      <c r="Z45" s="287"/>
    </row>
    <row r="46">
      <c r="A46" s="242">
        <v>3.0</v>
      </c>
      <c r="B46" s="237">
        <f>mround('WEEK 1 '!B42*0.9,5)</f>
        <v>230</v>
      </c>
      <c r="C46" s="63">
        <v>2.0</v>
      </c>
      <c r="D46" s="238" t="s">
        <v>121</v>
      </c>
      <c r="E46" s="66"/>
      <c r="F46" s="67"/>
      <c r="G46" s="287"/>
      <c r="H46" s="287"/>
      <c r="I46" s="296"/>
      <c r="J46" s="296"/>
      <c r="K46" s="296"/>
      <c r="L46" s="297"/>
      <c r="M46" s="287"/>
      <c r="N46" s="287"/>
      <c r="O46" s="287"/>
      <c r="P46" s="287"/>
      <c r="Q46" s="287"/>
      <c r="R46" s="287"/>
      <c r="S46" s="287"/>
      <c r="T46" s="287"/>
      <c r="U46" s="287"/>
      <c r="V46" s="287"/>
      <c r="W46" s="287"/>
      <c r="X46" s="287"/>
      <c r="Y46" s="287"/>
      <c r="Z46" s="287"/>
    </row>
    <row r="47">
      <c r="A47" s="243">
        <v>4.0</v>
      </c>
      <c r="B47" s="237">
        <f>'WEEK 1 '!B42</f>
        <v>255</v>
      </c>
      <c r="C47" s="257">
        <v>3.0</v>
      </c>
      <c r="D47" s="238" t="s">
        <v>122</v>
      </c>
      <c r="E47" s="66"/>
      <c r="F47" s="67"/>
      <c r="G47" s="103"/>
      <c r="H47" s="103"/>
      <c r="I47" s="103"/>
      <c r="J47" s="103"/>
      <c r="K47" s="103"/>
      <c r="L47" s="222"/>
      <c r="M47" s="103"/>
      <c r="N47" s="103"/>
      <c r="O47" s="103"/>
      <c r="P47" s="103"/>
      <c r="Q47" s="103"/>
      <c r="R47" s="103"/>
      <c r="S47" s="103"/>
      <c r="T47" s="103"/>
      <c r="U47" s="103"/>
      <c r="V47" s="103"/>
      <c r="W47" s="103"/>
      <c r="X47" s="103"/>
      <c r="Y47" s="103"/>
      <c r="Z47" s="103"/>
    </row>
    <row r="48">
      <c r="A48" s="246" t="str">
        <f>IF('WEEK 1 '!F47&lt;3,"PROCEED TO DOWN SETS","NEW 4 REP MAX ATTEMPT")</f>
        <v>NEW 4 REP MAX ATTEMPT</v>
      </c>
      <c r="B48" s="20"/>
      <c r="C48" s="20"/>
      <c r="D48" s="20"/>
      <c r="E48" s="20"/>
      <c r="F48" s="95"/>
      <c r="G48" s="234"/>
      <c r="H48" s="298"/>
      <c r="I48" s="298"/>
      <c r="J48" s="234"/>
      <c r="K48" s="234"/>
      <c r="L48" s="299"/>
      <c r="M48" s="234"/>
      <c r="N48" s="234"/>
      <c r="O48" s="234"/>
      <c r="P48" s="234"/>
      <c r="Q48" s="234"/>
      <c r="R48" s="234"/>
      <c r="S48" s="234"/>
      <c r="T48" s="234"/>
      <c r="U48" s="234"/>
      <c r="V48" s="234"/>
      <c r="W48" s="234"/>
      <c r="X48" s="234"/>
      <c r="Y48" s="234"/>
      <c r="Z48" s="234"/>
    </row>
    <row r="49">
      <c r="A49" s="249">
        <f>if('WEEK 1 '!F47&lt;=2,"",5)</f>
        <v>5</v>
      </c>
      <c r="B49" s="175">
        <f>IF('WEEK 1 '!F47&lt;=2,"",B47+5)</f>
        <v>260</v>
      </c>
      <c r="C49" s="238">
        <f>if('WEEK 1 '!F47&lt;=2,"",4)</f>
        <v>4</v>
      </c>
      <c r="D49" s="238" t="str">
        <f>if('WEEK 1 '!F47&lt;=2,"","1-5 MIN")</f>
        <v>1-5 MIN</v>
      </c>
      <c r="E49" s="250"/>
      <c r="F49" s="67"/>
      <c r="G49" s="234"/>
      <c r="H49" s="234"/>
      <c r="I49" s="298"/>
      <c r="J49" s="234"/>
      <c r="K49" s="234"/>
      <c r="L49" s="299"/>
      <c r="M49" s="234"/>
      <c r="N49" s="234"/>
      <c r="O49" s="234"/>
      <c r="P49" s="234"/>
      <c r="Q49" s="234"/>
      <c r="R49" s="234"/>
      <c r="S49" s="234"/>
      <c r="T49" s="234"/>
      <c r="U49" s="234"/>
      <c r="V49" s="234"/>
      <c r="W49" s="234"/>
      <c r="X49" s="234"/>
      <c r="Y49" s="234"/>
      <c r="Z49" s="234"/>
    </row>
    <row r="50">
      <c r="A50" s="256" t="str">
        <f>IF('WEEK 1 '!F49&lt;4,"","6")</f>
        <v>6</v>
      </c>
      <c r="B50" s="237">
        <f>IF('WEEK 1 '!F49&lt;4,"",B49+5)</f>
        <v>265</v>
      </c>
      <c r="C50" s="257" t="str">
        <f>IF('WEEK 1 '!F49&lt;4,"","4")</f>
        <v>4</v>
      </c>
      <c r="D50" s="257" t="str">
        <f>IF('WEEK 1 '!F49&lt;4,"","1-5 MIN")</f>
        <v>1-5 MIN</v>
      </c>
      <c r="E50" s="258"/>
      <c r="F50" s="67"/>
      <c r="G50" s="300"/>
      <c r="H50" s="300"/>
      <c r="I50" s="300"/>
      <c r="J50" s="300"/>
      <c r="K50" s="300"/>
      <c r="L50" s="301"/>
      <c r="M50" s="300"/>
      <c r="N50" s="300"/>
      <c r="O50" s="300"/>
      <c r="P50" s="300"/>
      <c r="Q50" s="300"/>
      <c r="R50" s="300"/>
      <c r="S50" s="300"/>
      <c r="T50" s="300"/>
      <c r="U50" s="300"/>
      <c r="V50" s="300"/>
      <c r="W50" s="300"/>
      <c r="X50" s="300"/>
      <c r="Y50" s="300"/>
      <c r="Z50" s="300"/>
    </row>
    <row r="51">
      <c r="A51" s="246" t="str">
        <f>IF(OR(ISBLANK('WEEK 1 '!F47),ISBLANK('WEEK 1 '!F46),ISBLANK('WEEK 1 '!F45)),"FILL OUT REP LOG FOR DOWN SETS","DOWN SETS")</f>
        <v>DOWN SETS</v>
      </c>
      <c r="B51" s="20"/>
      <c r="C51" s="20"/>
      <c r="D51" s="20"/>
      <c r="E51" s="20"/>
      <c r="F51" s="95"/>
      <c r="G51" s="300"/>
      <c r="H51" s="300"/>
      <c r="I51" s="300"/>
      <c r="J51" s="300"/>
      <c r="K51" s="300"/>
      <c r="L51" s="301"/>
      <c r="M51" s="300"/>
      <c r="N51" s="300"/>
      <c r="O51" s="300"/>
      <c r="P51" s="300"/>
      <c r="Q51" s="300"/>
      <c r="R51" s="300"/>
      <c r="S51" s="300"/>
      <c r="T51" s="300"/>
      <c r="U51" s="300"/>
      <c r="V51" s="300"/>
      <c r="W51" s="300"/>
      <c r="X51" s="300"/>
      <c r="Y51" s="300"/>
      <c r="Z51" s="300"/>
    </row>
    <row r="52">
      <c r="A52" s="264">
        <f>IF(OR(ISBLANK('WEEK 1 '!F47),ISBLANK('WEEK 1 '!F46),ISBLANK('WEEK 1 '!F45)),"",IF((AND(A49="",A50="")),5,IF((AND(A49&gt;1,A50="")),6,7)))</f>
        <v>7</v>
      </c>
      <c r="B52" s="265">
        <f>MROUND('WEEK 1 '!B54*0.8,5)</f>
        <v>210</v>
      </c>
      <c r="C52" s="266" t="s">
        <v>65</v>
      </c>
      <c r="D52" s="267" t="s">
        <v>127</v>
      </c>
      <c r="E52" s="268"/>
      <c r="F52" s="67"/>
      <c r="G52" s="300"/>
      <c r="H52" s="300"/>
      <c r="I52" s="300"/>
      <c r="J52" s="300"/>
      <c r="K52" s="300"/>
      <c r="L52" s="301"/>
      <c r="M52" s="300"/>
      <c r="N52" s="300"/>
      <c r="O52" s="300"/>
      <c r="P52" s="300"/>
      <c r="Q52" s="300"/>
      <c r="R52" s="300"/>
      <c r="S52" s="300"/>
      <c r="T52" s="300"/>
      <c r="U52" s="300"/>
      <c r="V52" s="300"/>
      <c r="W52" s="300"/>
      <c r="X52" s="300"/>
      <c r="Y52" s="300"/>
      <c r="Z52" s="300"/>
    </row>
    <row r="53">
      <c r="A53" s="243">
        <f>IF(OR(ISBLANK('WEEK 1 '!F47),ISBLANK('WEEK 1 '!F46),ISBLANK('WEEK 1 '!F45)),"",IF((AND(A49="",A50="")),6,IF((AND(A49&gt;1,A50="")),7,8)))</f>
        <v>8</v>
      </c>
      <c r="B53" s="237">
        <f>mround('WEEK 1 '!B54*0.7,5)</f>
        <v>180</v>
      </c>
      <c r="C53" s="245" t="s">
        <v>65</v>
      </c>
      <c r="D53" s="65" t="s">
        <v>127</v>
      </c>
      <c r="E53" s="258"/>
      <c r="F53" s="271"/>
      <c r="G53" s="300"/>
      <c r="H53" s="300"/>
      <c r="I53" s="300"/>
      <c r="J53" s="300"/>
      <c r="K53" s="300"/>
      <c r="L53" s="301"/>
      <c r="M53" s="300"/>
      <c r="N53" s="300"/>
      <c r="O53" s="300"/>
      <c r="P53" s="300"/>
      <c r="Q53" s="300"/>
      <c r="R53" s="300"/>
      <c r="S53" s="300"/>
      <c r="T53" s="300"/>
      <c r="U53" s="300"/>
      <c r="V53" s="300"/>
      <c r="W53" s="300"/>
      <c r="X53" s="300"/>
      <c r="Y53" s="300"/>
      <c r="Z53" s="300"/>
    </row>
    <row r="54">
      <c r="A54" s="272" t="s">
        <v>124</v>
      </c>
      <c r="B54" s="273">
        <f>IF(OR(ISBLANK('WEEK 1 '!F47),ISBLANK('WEEK 1 '!F46),ISBLANK('WEEK 1 '!F45)),"",IF('WEEK 1 '!F50&gt;=4,'WEEK 1 '!B50,IF('WEEK 1 '!F49&gt;=4,'WEEK 1 '!B49,IF('WEEK 1 '!F47&lt;3,'WEEK 1 '!B47-5,'WEEK 1 '!B47))))</f>
        <v>260</v>
      </c>
      <c r="C54" s="11"/>
      <c r="D54" s="11"/>
      <c r="E54" s="11"/>
      <c r="F54" s="46"/>
      <c r="G54" s="103"/>
      <c r="H54" s="103"/>
      <c r="I54" s="103"/>
      <c r="J54" s="103"/>
      <c r="K54" s="103"/>
      <c r="L54" s="222"/>
      <c r="M54" s="103"/>
      <c r="N54" s="103"/>
      <c r="O54" s="103"/>
      <c r="P54" s="103"/>
      <c r="Q54" s="103"/>
      <c r="R54" s="103"/>
      <c r="S54" s="103"/>
      <c r="T54" s="103"/>
      <c r="U54" s="103"/>
      <c r="V54" s="103"/>
      <c r="W54" s="103"/>
      <c r="X54" s="103"/>
      <c r="Y54" s="103"/>
      <c r="Z54" s="103"/>
    </row>
    <row r="55">
      <c r="A55" s="302"/>
      <c r="B55" s="302"/>
      <c r="C55" s="302"/>
      <c r="D55" s="302"/>
      <c r="E55" s="303"/>
      <c r="F55" s="103"/>
      <c r="G55" s="103"/>
      <c r="H55" s="304"/>
      <c r="I55" s="304"/>
      <c r="J55" s="304"/>
      <c r="K55" s="304"/>
      <c r="L55" s="303"/>
      <c r="M55" s="103"/>
      <c r="N55" s="103"/>
      <c r="O55" s="103"/>
      <c r="P55" s="103"/>
      <c r="Q55" s="103"/>
      <c r="R55" s="103"/>
      <c r="S55" s="103"/>
      <c r="T55" s="103"/>
      <c r="U55" s="103"/>
      <c r="V55" s="103"/>
      <c r="W55" s="103"/>
      <c r="X55" s="103"/>
      <c r="Y55" s="103"/>
      <c r="Z55" s="103"/>
    </row>
    <row r="56">
      <c r="A56" s="302"/>
      <c r="B56" s="302"/>
      <c r="C56" s="302"/>
      <c r="D56" s="302"/>
      <c r="E56" s="303"/>
      <c r="F56" s="103"/>
      <c r="G56" s="103"/>
      <c r="H56" s="304"/>
      <c r="I56" s="304"/>
      <c r="J56" s="304"/>
      <c r="K56" s="304"/>
      <c r="L56" s="303"/>
      <c r="M56" s="103"/>
      <c r="N56" s="103"/>
      <c r="O56" s="103"/>
      <c r="P56" s="103"/>
      <c r="Q56" s="103"/>
      <c r="R56" s="103"/>
      <c r="S56" s="103"/>
      <c r="T56" s="103"/>
      <c r="U56" s="103"/>
      <c r="V56" s="103"/>
      <c r="W56" s="103"/>
      <c r="X56" s="103"/>
      <c r="Y56" s="103"/>
      <c r="Z56" s="103"/>
    </row>
    <row r="57">
      <c r="A57" s="73" t="str">
        <f>HYPERLINK("https://www.youtube.com/watch?v=9YH1YvZbiY0","4. MACHINE LOW ROW")</f>
        <v>4. MACHINE LOW ROW</v>
      </c>
      <c r="B57" s="53"/>
      <c r="C57" s="53"/>
      <c r="D57" s="53"/>
      <c r="E57" s="53"/>
      <c r="F57" s="54"/>
      <c r="G57" s="103"/>
      <c r="H57" s="304" t="s">
        <v>41</v>
      </c>
      <c r="I57" s="304"/>
      <c r="J57" s="304"/>
      <c r="K57" s="304"/>
      <c r="L57" s="305"/>
      <c r="M57" s="103"/>
      <c r="N57" s="103"/>
      <c r="O57" s="103"/>
      <c r="P57" s="103"/>
      <c r="Q57" s="103"/>
      <c r="R57" s="103"/>
      <c r="S57" s="103"/>
      <c r="T57" s="103"/>
      <c r="U57" s="103"/>
      <c r="V57" s="103"/>
      <c r="W57" s="103"/>
      <c r="X57" s="103"/>
      <c r="Y57" s="103"/>
      <c r="Z57" s="103"/>
    </row>
    <row r="58">
      <c r="A58" s="282" t="s">
        <v>119</v>
      </c>
      <c r="B58" s="56">
        <v>100.0</v>
      </c>
      <c r="C58" s="13"/>
      <c r="D58" s="13"/>
      <c r="E58" s="13"/>
      <c r="F58" s="57"/>
      <c r="G58" s="103"/>
      <c r="H58" s="304"/>
      <c r="I58" s="304"/>
      <c r="J58" s="304"/>
      <c r="K58" s="304"/>
      <c r="L58" s="305"/>
      <c r="M58" s="103"/>
      <c r="N58" s="103"/>
      <c r="O58" s="103"/>
      <c r="P58" s="103"/>
      <c r="Q58" s="103"/>
      <c r="R58" s="103"/>
      <c r="S58" s="103"/>
      <c r="T58" s="103"/>
      <c r="U58" s="103"/>
      <c r="V58" s="103"/>
      <c r="W58" s="103"/>
      <c r="X58" s="103"/>
      <c r="Y58" s="103"/>
      <c r="Z58" s="103"/>
    </row>
    <row r="59">
      <c r="A59" s="58" t="s">
        <v>50</v>
      </c>
      <c r="B59" s="59" t="s">
        <v>51</v>
      </c>
      <c r="C59" s="59" t="s">
        <v>52</v>
      </c>
      <c r="D59" s="59" t="s">
        <v>53</v>
      </c>
      <c r="E59" s="60" t="s">
        <v>54</v>
      </c>
      <c r="F59" s="61" t="s">
        <v>55</v>
      </c>
      <c r="G59" s="247" t="s">
        <v>123</v>
      </c>
      <c r="H59" s="306"/>
      <c r="I59" s="306"/>
      <c r="J59" s="306"/>
      <c r="K59" s="306"/>
      <c r="L59" s="307"/>
      <c r="M59" s="234"/>
      <c r="N59" s="234"/>
      <c r="O59" s="234"/>
      <c r="P59" s="234"/>
      <c r="Q59" s="234"/>
      <c r="R59" s="234"/>
      <c r="S59" s="234"/>
      <c r="T59" s="234"/>
      <c r="U59" s="234"/>
      <c r="V59" s="234"/>
      <c r="W59" s="234"/>
      <c r="X59" s="234"/>
      <c r="Y59" s="234"/>
      <c r="Z59" s="234"/>
    </row>
    <row r="60">
      <c r="A60" s="62">
        <v>1.0</v>
      </c>
      <c r="B60" s="63">
        <f> mround('WEEK 1 '!B58*0.9,5)</f>
        <v>185</v>
      </c>
      <c r="C60" s="104" t="s">
        <v>65</v>
      </c>
      <c r="D60" s="65" t="s">
        <v>57</v>
      </c>
      <c r="E60" s="66"/>
      <c r="F60" s="67"/>
      <c r="H60" s="306"/>
      <c r="I60" s="306"/>
      <c r="J60" s="306"/>
      <c r="K60" s="306"/>
      <c r="L60" s="307"/>
      <c r="M60" s="234"/>
      <c r="N60" s="234"/>
      <c r="O60" s="234"/>
      <c r="P60" s="234"/>
      <c r="Q60" s="234"/>
      <c r="R60" s="234"/>
      <c r="S60" s="234"/>
      <c r="T60" s="234"/>
      <c r="U60" s="234"/>
      <c r="V60" s="234"/>
      <c r="W60" s="234"/>
      <c r="X60" s="234"/>
      <c r="Y60" s="234"/>
      <c r="Z60" s="234"/>
    </row>
    <row r="61">
      <c r="A61" s="62">
        <v>2.0</v>
      </c>
      <c r="B61" s="63">
        <f>IF('WEEK 1 '!F60&lt;6,MROUND('WEEK 1 '!B58*0.75,5),IF('WEEK 1 '!F60&lt;=11,MROUND('WEEK 1 '!B58*0.85,5),'WEEK 1 '!B60))</f>
        <v>175</v>
      </c>
      <c r="C61" s="104" t="s">
        <v>65</v>
      </c>
      <c r="D61" s="65" t="s">
        <v>57</v>
      </c>
      <c r="E61" s="66"/>
      <c r="F61" s="67"/>
      <c r="G61" s="234"/>
      <c r="H61" s="306"/>
      <c r="I61" s="306"/>
      <c r="J61" s="306"/>
      <c r="K61" s="306"/>
      <c r="L61" s="307"/>
      <c r="M61" s="234"/>
      <c r="N61" s="234"/>
      <c r="O61" s="234"/>
      <c r="P61" s="234"/>
      <c r="Q61" s="234"/>
      <c r="R61" s="234"/>
      <c r="S61" s="234"/>
      <c r="T61" s="234"/>
      <c r="U61" s="234"/>
      <c r="V61" s="234"/>
      <c r="W61" s="234"/>
      <c r="X61" s="234"/>
      <c r="Y61" s="234"/>
      <c r="Z61" s="234"/>
    </row>
    <row r="62">
      <c r="A62" s="68">
        <v>3.0</v>
      </c>
      <c r="B62" s="69">
        <f>IF('WEEK 1 '!F61&lt;6,MROUND('WEEK 1 '!B61*0.8,5),IF('WEEK 1 '!F61&lt;=11,MROUND('WEEK 1 '!B58*0.85,5),'WEEK 1 '!B61))</f>
        <v>175</v>
      </c>
      <c r="C62" s="105" t="s">
        <v>65</v>
      </c>
      <c r="D62" s="71" t="s">
        <v>57</v>
      </c>
      <c r="E62" s="72"/>
      <c r="F62" s="67"/>
      <c r="G62" s="234"/>
      <c r="H62" s="306"/>
      <c r="I62" s="306"/>
      <c r="J62" s="306"/>
      <c r="K62" s="306"/>
      <c r="L62" s="307"/>
      <c r="M62" s="234"/>
      <c r="N62" s="234"/>
      <c r="O62" s="234"/>
      <c r="P62" s="234"/>
      <c r="Q62" s="234"/>
      <c r="R62" s="234"/>
      <c r="S62" s="234"/>
      <c r="T62" s="234"/>
      <c r="U62" s="234"/>
      <c r="V62" s="234"/>
      <c r="W62" s="234"/>
      <c r="X62" s="234"/>
      <c r="Y62" s="234"/>
      <c r="Z62" s="234"/>
    </row>
    <row r="63">
      <c r="A63" s="103"/>
      <c r="B63" s="103"/>
      <c r="C63" s="103"/>
      <c r="D63" s="103"/>
      <c r="E63" s="222"/>
      <c r="F63" s="103"/>
      <c r="G63" s="103"/>
      <c r="H63" s="103"/>
      <c r="I63" s="103"/>
      <c r="J63" s="103"/>
      <c r="K63" s="103"/>
      <c r="L63" s="222"/>
      <c r="M63" s="103"/>
      <c r="N63" s="103"/>
      <c r="O63" s="103"/>
      <c r="P63" s="103"/>
      <c r="Q63" s="103"/>
      <c r="R63" s="103"/>
      <c r="S63" s="103"/>
      <c r="T63" s="103"/>
      <c r="U63" s="103"/>
      <c r="V63" s="103"/>
      <c r="W63" s="103"/>
      <c r="X63" s="103"/>
      <c r="Y63" s="103"/>
      <c r="Z63" s="103"/>
    </row>
    <row r="64">
      <c r="A64" s="103"/>
      <c r="B64" s="103"/>
      <c r="C64" s="103"/>
      <c r="D64" s="103"/>
      <c r="E64" s="222"/>
      <c r="F64" s="103"/>
      <c r="G64" s="103"/>
      <c r="H64" s="103"/>
      <c r="I64" s="103"/>
      <c r="J64" s="103"/>
      <c r="K64" s="103"/>
      <c r="L64" s="222"/>
      <c r="M64" s="103"/>
      <c r="N64" s="103"/>
      <c r="O64" s="103"/>
      <c r="P64" s="103"/>
      <c r="Q64" s="103"/>
      <c r="R64" s="103"/>
      <c r="S64" s="103"/>
      <c r="T64" s="103"/>
      <c r="U64" s="103"/>
      <c r="V64" s="103"/>
      <c r="W64" s="103"/>
      <c r="X64" s="103"/>
      <c r="Y64" s="103"/>
      <c r="Z64" s="103"/>
    </row>
    <row r="65">
      <c r="A65" s="73" t="str">
        <f>HYPERLINK("https://youtu.be/5-SUS-OVULY","5. MACHINE HIGH ROW")</f>
        <v>5. MACHINE HIGH ROW</v>
      </c>
      <c r="B65" s="53"/>
      <c r="C65" s="53"/>
      <c r="D65" s="53"/>
      <c r="E65" s="53"/>
      <c r="F65" s="54"/>
      <c r="G65" s="103"/>
      <c r="H65" s="103"/>
      <c r="I65" s="103"/>
      <c r="J65" s="103"/>
      <c r="K65" s="103"/>
      <c r="L65" s="222"/>
      <c r="M65" s="103"/>
      <c r="N65" s="103"/>
      <c r="O65" s="103"/>
      <c r="P65" s="103"/>
      <c r="Q65" s="103"/>
      <c r="R65" s="103"/>
      <c r="S65" s="103"/>
      <c r="T65" s="103"/>
      <c r="U65" s="103"/>
      <c r="V65" s="103"/>
      <c r="W65" s="103"/>
      <c r="X65" s="103"/>
      <c r="Y65" s="103"/>
      <c r="Z65" s="103"/>
    </row>
    <row r="66">
      <c r="A66" s="282" t="s">
        <v>119</v>
      </c>
      <c r="B66" s="56">
        <v>100.0</v>
      </c>
      <c r="C66" s="13"/>
      <c r="D66" s="13"/>
      <c r="E66" s="13"/>
      <c r="F66" s="57"/>
      <c r="G66" s="103"/>
      <c r="H66" s="103"/>
      <c r="I66" s="103"/>
      <c r="J66" s="103"/>
      <c r="K66" s="103"/>
      <c r="L66" s="222"/>
      <c r="M66" s="103"/>
      <c r="N66" s="103"/>
      <c r="O66" s="103"/>
      <c r="P66" s="103"/>
      <c r="Q66" s="103"/>
      <c r="R66" s="103"/>
      <c r="S66" s="103"/>
      <c r="T66" s="103"/>
      <c r="U66" s="103"/>
      <c r="V66" s="103"/>
      <c r="W66" s="103"/>
      <c r="X66" s="103"/>
      <c r="Y66" s="103"/>
      <c r="Z66" s="103"/>
    </row>
    <row r="67">
      <c r="A67" s="58" t="s">
        <v>50</v>
      </c>
      <c r="B67" s="59" t="s">
        <v>51</v>
      </c>
      <c r="C67" s="59" t="s">
        <v>52</v>
      </c>
      <c r="D67" s="59" t="s">
        <v>53</v>
      </c>
      <c r="E67" s="60" t="s">
        <v>54</v>
      </c>
      <c r="F67" s="61" t="s">
        <v>55</v>
      </c>
      <c r="G67" s="234"/>
      <c r="H67" s="234"/>
      <c r="I67" s="234"/>
      <c r="J67" s="234"/>
      <c r="K67" s="234"/>
      <c r="L67" s="299"/>
      <c r="M67" s="234"/>
      <c r="N67" s="234"/>
      <c r="O67" s="234"/>
      <c r="P67" s="234"/>
      <c r="Q67" s="234"/>
      <c r="R67" s="234"/>
      <c r="S67" s="234"/>
      <c r="T67" s="234"/>
      <c r="U67" s="234"/>
      <c r="V67" s="234"/>
      <c r="W67" s="234"/>
      <c r="X67" s="234"/>
      <c r="Y67" s="234"/>
      <c r="Z67" s="234"/>
    </row>
    <row r="68">
      <c r="A68" s="308">
        <v>1.0</v>
      </c>
      <c r="B68" s="63">
        <f> mround('WEEK 1 '!B66*0.85,5)</f>
        <v>50</v>
      </c>
      <c r="C68" s="104" t="s">
        <v>65</v>
      </c>
      <c r="D68" s="65" t="s">
        <v>57</v>
      </c>
      <c r="E68" s="66"/>
      <c r="F68" s="67"/>
      <c r="G68" s="234"/>
      <c r="H68" s="234"/>
      <c r="I68" s="234"/>
      <c r="J68" s="234"/>
      <c r="K68" s="234"/>
      <c r="L68" s="299"/>
      <c r="M68" s="234"/>
      <c r="N68" s="234"/>
      <c r="O68" s="234"/>
      <c r="P68" s="234"/>
      <c r="Q68" s="234"/>
      <c r="R68" s="234"/>
      <c r="S68" s="234"/>
      <c r="T68" s="234"/>
      <c r="U68" s="234"/>
      <c r="V68" s="234"/>
      <c r="W68" s="234"/>
      <c r="X68" s="234"/>
      <c r="Y68" s="234"/>
      <c r="Z68" s="234"/>
    </row>
    <row r="69">
      <c r="A69" s="308">
        <v>2.0</v>
      </c>
      <c r="B69" s="63">
        <f>IF('WEEK 1 '!F68&lt;6,MROUND('WEEK 1 '!B66*0.75,5),IF('WEEK 1 '!F68&lt;=11,MROUND('WEEK 1 '!B66*0.8,5),'WEEK 1 '!B68))</f>
        <v>50</v>
      </c>
      <c r="C69" s="104" t="s">
        <v>65</v>
      </c>
      <c r="D69" s="65" t="s">
        <v>57</v>
      </c>
      <c r="E69" s="66"/>
      <c r="F69" s="67"/>
      <c r="G69" s="234"/>
      <c r="H69" s="234"/>
      <c r="I69" s="234"/>
      <c r="J69" s="234"/>
      <c r="K69" s="234"/>
      <c r="L69" s="299"/>
      <c r="M69" s="234"/>
      <c r="N69" s="234"/>
      <c r="O69" s="234"/>
      <c r="P69" s="234"/>
      <c r="Q69" s="234"/>
      <c r="R69" s="234"/>
      <c r="S69" s="234"/>
      <c r="T69" s="234"/>
      <c r="U69" s="234"/>
      <c r="V69" s="234"/>
      <c r="W69" s="234"/>
      <c r="X69" s="234"/>
      <c r="Y69" s="234"/>
      <c r="Z69" s="234"/>
    </row>
    <row r="70">
      <c r="A70" s="68">
        <v>3.0</v>
      </c>
      <c r="B70" s="87">
        <f>IF('WEEK 1 '!F69&lt;6,MROUND('WEEK 1 '!B69*0.8,5),IF('WEEK 1 '!F69&lt;=11,MROUND('WEEK 1 '!B66*0.85,5),'WEEK 1 '!B69))</f>
        <v>50</v>
      </c>
      <c r="C70" s="105" t="s">
        <v>65</v>
      </c>
      <c r="D70" s="309" t="s">
        <v>57</v>
      </c>
      <c r="E70" s="72"/>
      <c r="F70" s="67"/>
      <c r="G70" s="234"/>
      <c r="H70" s="234"/>
      <c r="I70" s="234"/>
      <c r="J70" s="234"/>
      <c r="K70" s="234"/>
      <c r="L70" s="299"/>
      <c r="M70" s="234"/>
      <c r="N70" s="234"/>
      <c r="O70" s="234"/>
      <c r="P70" s="234"/>
      <c r="Q70" s="234"/>
      <c r="R70" s="234"/>
      <c r="S70" s="234"/>
      <c r="T70" s="234"/>
      <c r="U70" s="234"/>
      <c r="V70" s="234"/>
      <c r="W70" s="234"/>
      <c r="X70" s="234"/>
      <c r="Y70" s="234"/>
      <c r="Z70" s="234"/>
    </row>
    <row r="71">
      <c r="A71" s="103"/>
      <c r="B71" s="103"/>
      <c r="C71" s="103"/>
      <c r="D71" s="103"/>
      <c r="E71" s="222"/>
      <c r="F71" s="103"/>
      <c r="G71" s="103"/>
      <c r="H71" s="103"/>
      <c r="I71" s="103"/>
      <c r="J71" s="103"/>
      <c r="K71" s="103"/>
      <c r="L71" s="222"/>
      <c r="M71" s="103"/>
      <c r="N71" s="103"/>
      <c r="O71" s="103"/>
      <c r="P71" s="103"/>
      <c r="Q71" s="103"/>
      <c r="R71" s="103"/>
      <c r="S71" s="103"/>
      <c r="T71" s="103"/>
      <c r="U71" s="103"/>
      <c r="V71" s="103"/>
      <c r="W71" s="103"/>
      <c r="X71" s="103"/>
      <c r="Y71" s="103"/>
      <c r="Z71" s="103"/>
    </row>
    <row r="72" ht="21.75" customHeight="1">
      <c r="A72" s="310" t="str">
        <f>HYPERLINK("https://docs.google.com/a/fitnessresults.com/forms/d/e/1FAIpQLSd7MoczESe8Yjv6BKpmwAZGn9Aiymrs9-UdgfYIUpbr9t5NXg/viewform?usp=pp_url&amp;entry.93370101","CLICK TO COMPLETE WORKOUT")</f>
        <v>CLICK TO COMPLETE WORKOUT</v>
      </c>
      <c r="B72" s="36"/>
      <c r="C72" s="36"/>
      <c r="D72" s="36"/>
      <c r="E72" s="36"/>
      <c r="F72" s="37"/>
      <c r="G72" s="103"/>
      <c r="H72" s="103"/>
      <c r="I72" s="103"/>
      <c r="J72" s="103"/>
      <c r="K72" s="103"/>
      <c r="L72" s="222"/>
      <c r="M72" s="103"/>
      <c r="N72" s="103"/>
      <c r="O72" s="103"/>
      <c r="P72" s="103"/>
      <c r="Q72" s="103"/>
      <c r="R72" s="103"/>
      <c r="S72" s="103"/>
      <c r="T72" s="103"/>
      <c r="U72" s="103"/>
      <c r="V72" s="103"/>
      <c r="W72" s="103"/>
      <c r="X72" s="103"/>
      <c r="Y72" s="103"/>
      <c r="Z72" s="103"/>
    </row>
    <row r="73">
      <c r="G73" s="23"/>
      <c r="H73" s="23"/>
      <c r="I73" s="23"/>
      <c r="J73" s="23"/>
      <c r="K73" s="23"/>
      <c r="L73" s="23"/>
      <c r="M73" s="23"/>
      <c r="N73" s="103"/>
      <c r="O73" s="103"/>
      <c r="P73" s="103"/>
      <c r="Q73" s="103"/>
      <c r="R73" s="103"/>
      <c r="S73" s="103"/>
      <c r="T73" s="103"/>
      <c r="U73" s="103"/>
      <c r="V73" s="103"/>
      <c r="W73" s="103"/>
      <c r="X73" s="103"/>
      <c r="Y73" s="103"/>
      <c r="Z73" s="103"/>
    </row>
    <row r="74" ht="21.75" customHeight="1">
      <c r="A74" s="224" t="s">
        <v>128</v>
      </c>
      <c r="B74" s="36"/>
      <c r="C74" s="36"/>
      <c r="D74" s="36"/>
      <c r="E74" s="36"/>
      <c r="F74" s="37"/>
      <c r="G74" s="103"/>
      <c r="H74" s="103"/>
      <c r="I74" s="103"/>
      <c r="J74" s="103"/>
      <c r="K74" s="103"/>
      <c r="L74" s="222"/>
      <c r="M74" s="103"/>
      <c r="N74" s="103"/>
      <c r="O74" s="103"/>
      <c r="P74" s="103"/>
      <c r="Q74" s="103"/>
      <c r="R74" s="103"/>
      <c r="S74" s="103"/>
      <c r="T74" s="103"/>
      <c r="U74" s="103"/>
      <c r="V74" s="103"/>
      <c r="W74" s="103"/>
      <c r="X74" s="103"/>
      <c r="Y74" s="103"/>
      <c r="Z74" s="103"/>
    </row>
    <row r="75" ht="21.75" customHeight="1">
      <c r="A75" s="311"/>
      <c r="B75" s="311"/>
      <c r="C75" s="311"/>
      <c r="D75" s="311"/>
      <c r="E75" s="311"/>
      <c r="F75" s="311"/>
      <c r="G75" s="103"/>
      <c r="H75" s="103"/>
      <c r="I75" s="103"/>
      <c r="J75" s="103"/>
      <c r="K75" s="103"/>
      <c r="L75" s="222"/>
      <c r="M75" s="103"/>
      <c r="N75" s="103"/>
      <c r="O75" s="103"/>
      <c r="P75" s="103"/>
      <c r="Q75" s="103"/>
      <c r="R75" s="103"/>
      <c r="S75" s="103"/>
      <c r="T75" s="103"/>
      <c r="U75" s="103"/>
      <c r="V75" s="103"/>
      <c r="W75" s="103"/>
      <c r="X75" s="103"/>
      <c r="Y75" s="103"/>
      <c r="Z75" s="103"/>
    </row>
    <row r="76">
      <c r="A76" s="51" t="s">
        <v>129</v>
      </c>
      <c r="B76" s="36"/>
      <c r="C76" s="36"/>
      <c r="D76" s="36"/>
      <c r="E76" s="36"/>
      <c r="F76" s="37"/>
      <c r="G76" s="103"/>
      <c r="H76" s="103"/>
      <c r="I76" s="103"/>
      <c r="J76" s="103"/>
      <c r="K76" s="103"/>
      <c r="L76" s="222"/>
      <c r="M76" s="103"/>
      <c r="N76" s="103"/>
      <c r="O76" s="103"/>
      <c r="P76" s="103"/>
      <c r="Q76" s="103"/>
      <c r="R76" s="103"/>
      <c r="S76" s="103"/>
      <c r="T76" s="103"/>
      <c r="U76" s="103"/>
      <c r="V76" s="103"/>
      <c r="W76" s="103"/>
      <c r="X76" s="103"/>
      <c r="Y76" s="103"/>
      <c r="Z76" s="103"/>
    </row>
    <row r="77">
      <c r="A77" s="225" t="str">
        <f>HYPERLINK("https://www.youtube.com/watch?v=ZjpkMnGZjTQ"," SISSY SQUATS")</f>
        <v> SISSY SQUATS</v>
      </c>
      <c r="B77" s="13"/>
      <c r="C77" s="13"/>
      <c r="D77" s="13"/>
      <c r="E77" s="13"/>
      <c r="F77" s="57"/>
      <c r="G77" s="103"/>
      <c r="H77" s="103"/>
      <c r="I77" s="103"/>
      <c r="J77" s="103"/>
      <c r="K77" s="103"/>
      <c r="L77" s="222"/>
      <c r="M77" s="103"/>
      <c r="N77" s="103"/>
      <c r="O77" s="103"/>
      <c r="P77" s="103"/>
      <c r="Q77" s="103"/>
      <c r="R77" s="103"/>
      <c r="S77" s="103"/>
      <c r="T77" s="103"/>
      <c r="U77" s="103"/>
      <c r="V77" s="103"/>
      <c r="W77" s="103"/>
      <c r="X77" s="103"/>
      <c r="Y77" s="103"/>
      <c r="Z77" s="103"/>
    </row>
    <row r="78">
      <c r="A78" s="58" t="s">
        <v>50</v>
      </c>
      <c r="B78" s="59" t="s">
        <v>51</v>
      </c>
      <c r="C78" s="59" t="s">
        <v>52</v>
      </c>
      <c r="D78" s="59" t="s">
        <v>53</v>
      </c>
      <c r="E78" s="60" t="s">
        <v>54</v>
      </c>
      <c r="F78" s="61" t="s">
        <v>55</v>
      </c>
      <c r="G78" s="234"/>
      <c r="H78" s="234"/>
      <c r="I78" s="234"/>
      <c r="J78" s="234"/>
      <c r="K78" s="234"/>
      <c r="L78" s="299"/>
      <c r="M78" s="234"/>
      <c r="N78" s="234"/>
      <c r="O78" s="234"/>
      <c r="P78" s="234"/>
      <c r="Q78" s="234"/>
      <c r="R78" s="234"/>
      <c r="S78" s="234"/>
      <c r="T78" s="234"/>
      <c r="U78" s="234"/>
      <c r="V78" s="234"/>
      <c r="W78" s="234"/>
      <c r="X78" s="234"/>
      <c r="Y78" s="234"/>
      <c r="Z78" s="234"/>
    </row>
    <row r="79">
      <c r="A79" s="308">
        <v>1.0</v>
      </c>
      <c r="B79" s="65" t="s">
        <v>130</v>
      </c>
      <c r="C79" s="65">
        <v>10.0</v>
      </c>
      <c r="D79" s="262" t="s">
        <v>121</v>
      </c>
      <c r="E79" s="312"/>
      <c r="F79" s="67"/>
      <c r="G79" s="234"/>
      <c r="H79" s="234"/>
      <c r="I79" s="234"/>
      <c r="J79" s="234"/>
      <c r="K79" s="234"/>
      <c r="L79" s="299"/>
      <c r="M79" s="234"/>
      <c r="N79" s="234"/>
      <c r="O79" s="234"/>
      <c r="P79" s="234"/>
      <c r="Q79" s="234"/>
      <c r="R79" s="234"/>
      <c r="S79" s="234"/>
      <c r="T79" s="234"/>
      <c r="U79" s="234"/>
      <c r="V79" s="234"/>
      <c r="W79" s="234"/>
      <c r="X79" s="234"/>
      <c r="Y79" s="234"/>
      <c r="Z79" s="234"/>
    </row>
    <row r="80">
      <c r="A80" s="313">
        <v>2.0</v>
      </c>
      <c r="B80" s="71" t="s">
        <v>130</v>
      </c>
      <c r="C80" s="71">
        <v>10.0</v>
      </c>
      <c r="D80" s="309" t="s">
        <v>121</v>
      </c>
      <c r="E80" s="314"/>
      <c r="F80" s="67"/>
      <c r="G80" s="234"/>
      <c r="H80" s="234"/>
      <c r="I80" s="234"/>
      <c r="J80" s="234"/>
      <c r="K80" s="234"/>
      <c r="L80" s="299"/>
      <c r="M80" s="234"/>
      <c r="N80" s="234"/>
      <c r="O80" s="234"/>
      <c r="P80" s="234"/>
      <c r="Q80" s="234"/>
      <c r="R80" s="234"/>
      <c r="S80" s="234"/>
      <c r="T80" s="234"/>
      <c r="U80" s="234"/>
      <c r="V80" s="234"/>
      <c r="W80" s="234"/>
      <c r="X80" s="234"/>
      <c r="Y80" s="234"/>
      <c r="Z80" s="234"/>
    </row>
    <row r="81">
      <c r="A81" s="220"/>
      <c r="B81" s="220"/>
      <c r="C81" s="220"/>
      <c r="D81" s="220"/>
      <c r="E81" s="279"/>
      <c r="F81" s="220"/>
      <c r="G81" s="103"/>
      <c r="H81" s="103"/>
      <c r="I81" s="103"/>
      <c r="J81" s="103"/>
      <c r="K81" s="103"/>
      <c r="L81" s="222"/>
      <c r="M81" s="103"/>
      <c r="N81" s="103"/>
      <c r="O81" s="103"/>
      <c r="P81" s="103"/>
      <c r="Q81" s="103"/>
      <c r="R81" s="103"/>
      <c r="S81" s="103"/>
      <c r="T81" s="103"/>
      <c r="U81" s="103"/>
      <c r="V81" s="103"/>
      <c r="W81" s="103"/>
      <c r="X81" s="103"/>
      <c r="Y81" s="103"/>
      <c r="Z81" s="103"/>
    </row>
    <row r="82">
      <c r="A82" s="220"/>
      <c r="B82" s="220"/>
      <c r="C82" s="220"/>
      <c r="D82" s="220"/>
      <c r="E82" s="279"/>
      <c r="F82" s="220"/>
      <c r="G82" s="103"/>
      <c r="H82" s="103"/>
      <c r="I82" s="103"/>
      <c r="J82" s="103"/>
      <c r="K82" s="103"/>
      <c r="L82" s="222"/>
      <c r="M82" s="103"/>
      <c r="N82" s="103"/>
      <c r="O82" s="103"/>
      <c r="P82" s="103"/>
      <c r="Q82" s="103"/>
      <c r="R82" s="103"/>
      <c r="S82" s="103"/>
      <c r="T82" s="103"/>
      <c r="U82" s="103"/>
      <c r="V82" s="103"/>
      <c r="W82" s="103"/>
      <c r="X82" s="103"/>
      <c r="Y82" s="103"/>
      <c r="Z82" s="103"/>
    </row>
    <row r="83">
      <c r="A83" s="73" t="str">
        <f>HYPERLINK("https://www.youtube.com/watch?v=dVterVQksD4","1. LEG PRESS")</f>
        <v>1. LEG PRESS</v>
      </c>
      <c r="B83" s="53"/>
      <c r="C83" s="53"/>
      <c r="D83" s="53"/>
      <c r="E83" s="53"/>
      <c r="F83" s="54"/>
      <c r="G83" s="315"/>
      <c r="H83" s="103"/>
      <c r="I83" s="103"/>
      <c r="J83" s="103"/>
      <c r="K83" s="103"/>
      <c r="L83" s="222"/>
      <c r="M83" s="103"/>
      <c r="N83" s="103"/>
      <c r="O83" s="103"/>
      <c r="P83" s="103"/>
      <c r="Q83" s="103"/>
      <c r="R83" s="103"/>
      <c r="S83" s="103"/>
      <c r="T83" s="103"/>
      <c r="U83" s="103"/>
      <c r="V83" s="103"/>
      <c r="W83" s="103"/>
      <c r="X83" s="103"/>
      <c r="Y83" s="103"/>
      <c r="Z83" s="103"/>
    </row>
    <row r="84">
      <c r="A84" s="282" t="s">
        <v>119</v>
      </c>
      <c r="B84" s="316">
        <v>100.0</v>
      </c>
      <c r="C84" s="20"/>
      <c r="D84" s="20"/>
      <c r="E84" s="20"/>
      <c r="F84" s="95"/>
      <c r="G84" s="103"/>
      <c r="H84" s="103"/>
      <c r="I84" s="103"/>
      <c r="J84" s="103"/>
      <c r="K84" s="103"/>
      <c r="L84" s="222"/>
      <c r="M84" s="103"/>
      <c r="N84" s="103"/>
      <c r="O84" s="103"/>
      <c r="P84" s="103"/>
      <c r="Q84" s="103"/>
      <c r="R84" s="103"/>
      <c r="S84" s="103"/>
      <c r="T84" s="103"/>
      <c r="U84" s="103"/>
      <c r="V84" s="103"/>
      <c r="W84" s="103"/>
      <c r="X84" s="103"/>
      <c r="Y84" s="103"/>
      <c r="Z84" s="103"/>
    </row>
    <row r="85">
      <c r="A85" s="58" t="s">
        <v>50</v>
      </c>
      <c r="B85" s="59" t="s">
        <v>51</v>
      </c>
      <c r="C85" s="59" t="s">
        <v>52</v>
      </c>
      <c r="D85" s="59" t="s">
        <v>53</v>
      </c>
      <c r="E85" s="60" t="s">
        <v>54</v>
      </c>
      <c r="F85" s="61" t="s">
        <v>55</v>
      </c>
      <c r="G85" s="234"/>
      <c r="H85" s="234"/>
      <c r="I85" s="234"/>
      <c r="J85" s="234"/>
      <c r="K85" s="234"/>
      <c r="L85" s="299"/>
      <c r="M85" s="234"/>
      <c r="N85" s="234"/>
      <c r="O85" s="234"/>
      <c r="P85" s="234"/>
      <c r="Q85" s="234"/>
      <c r="R85" s="234"/>
      <c r="S85" s="234"/>
      <c r="T85" s="234"/>
      <c r="U85" s="234"/>
      <c r="V85" s="234"/>
      <c r="W85" s="234"/>
      <c r="X85" s="234"/>
      <c r="Y85" s="234"/>
      <c r="Z85" s="234"/>
    </row>
    <row r="86">
      <c r="A86" s="308">
        <v>1.0</v>
      </c>
      <c r="B86" s="317">
        <f>mround('WEEK 1 '!B84*0.35,5)</f>
        <v>45</v>
      </c>
      <c r="C86" s="99">
        <v>20.0</v>
      </c>
      <c r="D86" s="262" t="s">
        <v>121</v>
      </c>
      <c r="E86" s="66"/>
      <c r="F86" s="67"/>
      <c r="G86" s="234"/>
      <c r="H86" s="318"/>
      <c r="I86" s="234"/>
      <c r="J86" s="234"/>
      <c r="K86" s="234"/>
      <c r="L86" s="299"/>
      <c r="M86" s="234"/>
      <c r="N86" s="234"/>
      <c r="O86" s="234"/>
      <c r="P86" s="234"/>
      <c r="Q86" s="234"/>
      <c r="R86" s="234"/>
      <c r="S86" s="234"/>
      <c r="T86" s="234"/>
      <c r="U86" s="234"/>
      <c r="V86" s="234"/>
      <c r="W86" s="234"/>
      <c r="X86" s="234"/>
      <c r="Y86" s="234"/>
      <c r="Z86" s="234"/>
    </row>
    <row r="87">
      <c r="A87" s="308">
        <v>2.0</v>
      </c>
      <c r="B87" s="317">
        <f>mround('WEEK 1 '!B84*0.5,5)</f>
        <v>65</v>
      </c>
      <c r="C87" s="99">
        <v>20.0</v>
      </c>
      <c r="D87" s="262" t="s">
        <v>121</v>
      </c>
      <c r="E87" s="66"/>
      <c r="F87" s="67"/>
      <c r="G87" s="234"/>
      <c r="H87" s="234"/>
      <c r="I87" s="234"/>
      <c r="J87" s="234"/>
      <c r="K87" s="234"/>
      <c r="L87" s="299"/>
      <c r="M87" s="234"/>
      <c r="N87" s="234"/>
      <c r="O87" s="234"/>
      <c r="P87" s="234"/>
      <c r="Q87" s="234"/>
      <c r="R87" s="234"/>
      <c r="S87" s="234"/>
      <c r="T87" s="234"/>
      <c r="U87" s="234"/>
      <c r="V87" s="234"/>
      <c r="W87" s="234"/>
      <c r="X87" s="234"/>
      <c r="Y87" s="234"/>
      <c r="Z87" s="234"/>
    </row>
    <row r="88">
      <c r="A88" s="308">
        <v>3.0</v>
      </c>
      <c r="B88" s="317">
        <f>mround('WEEK 1 '!B84*0.75,5)</f>
        <v>100</v>
      </c>
      <c r="C88" s="64">
        <v>20.0</v>
      </c>
      <c r="D88" s="262" t="s">
        <v>121</v>
      </c>
      <c r="E88" s="66"/>
      <c r="F88" s="67"/>
      <c r="G88" s="234"/>
      <c r="H88" s="234"/>
      <c r="I88" s="234"/>
      <c r="J88" s="234"/>
      <c r="K88" s="234"/>
      <c r="L88" s="299"/>
      <c r="M88" s="234"/>
      <c r="N88" s="234"/>
      <c r="O88" s="234"/>
      <c r="P88" s="234"/>
      <c r="Q88" s="234"/>
      <c r="R88" s="234"/>
      <c r="S88" s="234"/>
      <c r="T88" s="234"/>
      <c r="U88" s="234"/>
      <c r="V88" s="234"/>
      <c r="W88" s="234"/>
      <c r="X88" s="234"/>
      <c r="Y88" s="234"/>
      <c r="Z88" s="234"/>
    </row>
    <row r="89">
      <c r="A89" s="313">
        <v>4.0</v>
      </c>
      <c r="B89" s="291">
        <f>mround('WEEK 1 '!B84*1,5)</f>
        <v>130</v>
      </c>
      <c r="C89" s="101">
        <v>20.0</v>
      </c>
      <c r="D89" s="309" t="s">
        <v>121</v>
      </c>
      <c r="E89" s="72"/>
      <c r="F89" s="67"/>
      <c r="G89" s="234"/>
      <c r="H89" s="234"/>
      <c r="I89" s="234"/>
      <c r="J89" s="234"/>
      <c r="K89" s="234"/>
      <c r="L89" s="299"/>
      <c r="M89" s="234"/>
      <c r="N89" s="234"/>
      <c r="O89" s="234"/>
      <c r="P89" s="234"/>
      <c r="Q89" s="234"/>
      <c r="R89" s="234"/>
      <c r="S89" s="234"/>
      <c r="T89" s="234"/>
      <c r="U89" s="234"/>
      <c r="V89" s="234"/>
      <c r="W89" s="234"/>
      <c r="X89" s="234"/>
      <c r="Y89" s="234"/>
      <c r="Z89" s="234"/>
    </row>
    <row r="90">
      <c r="A90" s="233"/>
      <c r="B90" s="233"/>
      <c r="C90" s="233"/>
      <c r="D90" s="233"/>
      <c r="E90" s="319"/>
      <c r="F90" s="233"/>
      <c r="G90" s="234"/>
      <c r="H90" s="234"/>
      <c r="I90" s="234"/>
      <c r="J90" s="234"/>
      <c r="K90" s="234"/>
      <c r="L90" s="299"/>
      <c r="M90" s="234"/>
      <c r="N90" s="234"/>
      <c r="O90" s="234"/>
      <c r="P90" s="234"/>
      <c r="Q90" s="234"/>
      <c r="R90" s="234"/>
      <c r="S90" s="234"/>
      <c r="T90" s="234"/>
      <c r="U90" s="234"/>
      <c r="V90" s="234"/>
      <c r="W90" s="234"/>
      <c r="X90" s="234"/>
      <c r="Y90" s="234"/>
      <c r="Z90" s="234"/>
    </row>
    <row r="91">
      <c r="A91" s="320"/>
      <c r="B91" s="320"/>
      <c r="C91" s="320"/>
      <c r="D91" s="320"/>
      <c r="E91" s="321"/>
      <c r="F91" s="320"/>
      <c r="G91" s="103"/>
      <c r="H91" s="103"/>
      <c r="I91" s="103"/>
      <c r="J91" s="103"/>
      <c r="K91" s="103"/>
      <c r="L91" s="222"/>
      <c r="M91" s="103"/>
      <c r="N91" s="103"/>
      <c r="O91" s="103"/>
      <c r="P91" s="103"/>
      <c r="Q91" s="103"/>
      <c r="R91" s="103"/>
      <c r="S91" s="103"/>
      <c r="T91" s="103"/>
      <c r="U91" s="103"/>
      <c r="V91" s="103"/>
      <c r="W91" s="103"/>
      <c r="X91" s="103"/>
      <c r="Y91" s="103"/>
      <c r="Z91" s="103"/>
    </row>
    <row r="92">
      <c r="A92" s="93" t="str">
        <f>HYPERLINK("https://youtu.be/NZ9KiFtbiMs","2. LEG EXTENSION")</f>
        <v>2. LEG EXTENSION</v>
      </c>
      <c r="B92" s="53"/>
      <c r="C92" s="53"/>
      <c r="D92" s="53"/>
      <c r="E92" s="53"/>
      <c r="F92" s="54"/>
      <c r="G92" s="103"/>
      <c r="H92" s="103"/>
      <c r="I92" s="103"/>
      <c r="J92" s="103"/>
      <c r="K92" s="103"/>
      <c r="L92" s="222"/>
      <c r="M92" s="103"/>
      <c r="N92" s="103"/>
      <c r="O92" s="103"/>
      <c r="P92" s="103"/>
      <c r="Q92" s="103"/>
      <c r="R92" s="103"/>
      <c r="S92" s="103"/>
      <c r="T92" s="103"/>
      <c r="U92" s="103"/>
      <c r="V92" s="103"/>
      <c r="W92" s="103"/>
      <c r="X92" s="103"/>
      <c r="Y92" s="103"/>
      <c r="Z92" s="103"/>
    </row>
    <row r="93">
      <c r="A93" s="226" t="s">
        <v>119</v>
      </c>
      <c r="B93" s="94">
        <v>100.0</v>
      </c>
      <c r="C93" s="20"/>
      <c r="D93" s="20"/>
      <c r="E93" s="20"/>
      <c r="F93" s="95"/>
      <c r="G93" s="103"/>
      <c r="H93" s="103"/>
      <c r="I93" s="103"/>
      <c r="J93" s="103"/>
      <c r="K93" s="103"/>
      <c r="L93" s="222"/>
      <c r="M93" s="103"/>
      <c r="N93" s="103"/>
      <c r="O93" s="103"/>
      <c r="P93" s="103"/>
      <c r="Q93" s="103"/>
      <c r="R93" s="103"/>
      <c r="S93" s="103"/>
      <c r="T93" s="103"/>
      <c r="U93" s="103"/>
      <c r="V93" s="103"/>
      <c r="W93" s="103"/>
      <c r="X93" s="103"/>
      <c r="Y93" s="103"/>
      <c r="Z93" s="103"/>
    </row>
    <row r="94">
      <c r="A94" s="96" t="s">
        <v>50</v>
      </c>
      <c r="B94" s="97" t="s">
        <v>51</v>
      </c>
      <c r="C94" s="97" t="s">
        <v>52</v>
      </c>
      <c r="D94" s="97" t="s">
        <v>53</v>
      </c>
      <c r="E94" s="98" t="s">
        <v>54</v>
      </c>
      <c r="F94" s="235" t="s">
        <v>55</v>
      </c>
      <c r="G94" s="234"/>
      <c r="H94" s="234"/>
      <c r="I94" s="234"/>
      <c r="J94" s="234"/>
      <c r="K94" s="234"/>
      <c r="L94" s="299"/>
      <c r="M94" s="234"/>
      <c r="N94" s="234"/>
      <c r="O94" s="234"/>
      <c r="P94" s="234"/>
      <c r="Q94" s="234"/>
      <c r="R94" s="234"/>
      <c r="S94" s="234"/>
      <c r="T94" s="234"/>
      <c r="U94" s="234"/>
      <c r="V94" s="234"/>
      <c r="W94" s="234"/>
      <c r="X94" s="234"/>
      <c r="Y94" s="234"/>
      <c r="Z94" s="234"/>
    </row>
    <row r="95">
      <c r="A95" s="62">
        <v>1.0</v>
      </c>
      <c r="B95" s="99">
        <f> mround('WEEK 1 '!B93*1.05,5)</f>
        <v>90</v>
      </c>
      <c r="C95" s="104" t="s">
        <v>65</v>
      </c>
      <c r="D95" s="83" t="s">
        <v>57</v>
      </c>
      <c r="E95" s="100"/>
      <c r="F95" s="85"/>
      <c r="G95" s="103"/>
      <c r="H95" s="103"/>
      <c r="I95" s="103"/>
      <c r="J95" s="103"/>
      <c r="K95" s="103"/>
      <c r="L95" s="222"/>
      <c r="M95" s="103"/>
      <c r="N95" s="103"/>
      <c r="O95" s="103"/>
      <c r="P95" s="103"/>
      <c r="Q95" s="103"/>
      <c r="R95" s="103"/>
      <c r="S95" s="103"/>
      <c r="T95" s="103"/>
      <c r="U95" s="103"/>
      <c r="V95" s="103"/>
      <c r="W95" s="103"/>
      <c r="X95" s="103"/>
      <c r="Y95" s="103"/>
      <c r="Z95" s="103"/>
    </row>
    <row r="96">
      <c r="A96" s="62">
        <v>2.0</v>
      </c>
      <c r="B96" s="99">
        <f>if('WEEK 1 '!F95&lt;8,mround('WEEK 1 '!B95*0.9,5),IF('WEEK 1 '!F95&lt;=14,MROUND('WEEK 1 '!B95*0.95,5),'WEEK 1 '!B95))</f>
        <v>80</v>
      </c>
      <c r="C96" s="104" t="s">
        <v>65</v>
      </c>
      <c r="D96" s="83" t="s">
        <v>57</v>
      </c>
      <c r="E96" s="100"/>
      <c r="F96" s="85"/>
      <c r="G96" s="239"/>
      <c r="H96" s="239"/>
      <c r="I96" s="239"/>
      <c r="J96" s="239"/>
      <c r="K96" s="239"/>
      <c r="L96" s="322"/>
      <c r="M96" s="239"/>
      <c r="N96" s="239"/>
      <c r="O96" s="239"/>
      <c r="P96" s="239"/>
      <c r="Q96" s="239"/>
      <c r="R96" s="239"/>
      <c r="S96" s="239"/>
      <c r="T96" s="239"/>
      <c r="U96" s="239"/>
      <c r="V96" s="239"/>
      <c r="W96" s="239"/>
      <c r="X96" s="239"/>
      <c r="Y96" s="239"/>
      <c r="Z96" s="239"/>
    </row>
    <row r="97">
      <c r="A97" s="68">
        <v>3.0</v>
      </c>
      <c r="B97" s="101">
        <f>if('WEEK 1 '!F96&lt;8,mround('WEEK 1 '!B96*0.8,5),IF('WEEK 1 '!F96&lt;=14,MROUND('WEEK 1 '!B96*0.95,5),'WEEK 1 '!B96))</f>
        <v>75</v>
      </c>
      <c r="C97" s="105" t="s">
        <v>65</v>
      </c>
      <c r="D97" s="88" t="s">
        <v>57</v>
      </c>
      <c r="E97" s="102"/>
      <c r="F97" s="85"/>
      <c r="G97" s="103"/>
      <c r="H97" s="103"/>
      <c r="I97" s="103"/>
      <c r="J97" s="103"/>
      <c r="K97" s="103"/>
      <c r="L97" s="222"/>
      <c r="M97" s="103"/>
      <c r="N97" s="103"/>
      <c r="O97" s="103"/>
      <c r="P97" s="103"/>
      <c r="Q97" s="103"/>
      <c r="R97" s="103"/>
      <c r="S97" s="103"/>
      <c r="T97" s="103"/>
      <c r="U97" s="103"/>
      <c r="V97" s="103"/>
      <c r="W97" s="103"/>
      <c r="X97" s="103"/>
      <c r="Y97" s="103"/>
      <c r="Z97" s="103"/>
    </row>
    <row r="98">
      <c r="A98" s="103"/>
      <c r="B98" s="103"/>
      <c r="C98" s="103"/>
      <c r="D98" s="103"/>
      <c r="E98" s="222"/>
      <c r="F98" s="103"/>
      <c r="G98" s="103"/>
      <c r="H98" s="103"/>
      <c r="I98" s="103"/>
      <c r="J98" s="103"/>
      <c r="K98" s="103"/>
      <c r="L98" s="222"/>
      <c r="M98" s="103"/>
      <c r="N98" s="103"/>
      <c r="O98" s="103"/>
      <c r="P98" s="103"/>
      <c r="Q98" s="103"/>
      <c r="R98" s="103"/>
      <c r="S98" s="103"/>
      <c r="T98" s="103"/>
      <c r="U98" s="103"/>
      <c r="V98" s="103"/>
      <c r="W98" s="103"/>
      <c r="X98" s="103"/>
      <c r="Y98" s="103"/>
      <c r="Z98" s="103"/>
    </row>
    <row r="99">
      <c r="A99" s="103"/>
      <c r="B99" s="103"/>
      <c r="C99" s="103"/>
      <c r="D99" s="103"/>
      <c r="E99" s="222"/>
      <c r="F99" s="103"/>
      <c r="G99" s="103"/>
      <c r="H99" s="103"/>
      <c r="I99" s="103"/>
      <c r="J99" s="103"/>
      <c r="K99" s="103"/>
      <c r="L99" s="222"/>
      <c r="M99" s="103"/>
      <c r="N99" s="103"/>
      <c r="O99" s="103"/>
      <c r="P99" s="103"/>
      <c r="Q99" s="103"/>
      <c r="R99" s="103"/>
      <c r="S99" s="103"/>
      <c r="T99" s="103"/>
      <c r="U99" s="103"/>
      <c r="V99" s="103"/>
      <c r="W99" s="103"/>
      <c r="X99" s="103"/>
      <c r="Y99" s="103"/>
      <c r="Z99" s="103"/>
    </row>
    <row r="100">
      <c r="A100" s="73" t="str">
        <f>HYPERLINK("https://youtu.be/XepOfsnGFJg","3. LEG CURL")</f>
        <v>3. LEG CURL</v>
      </c>
      <c r="B100" s="53"/>
      <c r="C100" s="53"/>
      <c r="D100" s="53"/>
      <c r="E100" s="53"/>
      <c r="F100" s="54"/>
      <c r="G100" s="103"/>
      <c r="H100" s="323" t="str">
        <f>HYPERLINK("https://youtu.be/kmN9cJ79PDE","4. PRONE LEG CURL")</f>
        <v>4. PRONE LEG CURL</v>
      </c>
      <c r="I100" s="53"/>
      <c r="J100" s="53"/>
      <c r="K100" s="53"/>
      <c r="L100" s="53"/>
      <c r="M100" s="54"/>
      <c r="N100" s="277"/>
      <c r="O100" s="103"/>
      <c r="P100" s="103"/>
      <c r="Q100" s="103"/>
      <c r="R100" s="103"/>
      <c r="S100" s="103"/>
      <c r="T100" s="103"/>
      <c r="U100" s="103"/>
      <c r="V100" s="103"/>
      <c r="W100" s="103"/>
      <c r="X100" s="103"/>
      <c r="Y100" s="103"/>
      <c r="Z100" s="103"/>
    </row>
    <row r="101">
      <c r="A101" s="226" t="s">
        <v>119</v>
      </c>
      <c r="B101" s="94">
        <f>'DETERMINING MAX WEEK'!E141</f>
        <v>100</v>
      </c>
      <c r="C101" s="20"/>
      <c r="D101" s="20"/>
      <c r="E101" s="20"/>
      <c r="F101" s="95"/>
      <c r="G101" s="103"/>
      <c r="H101" s="226" t="s">
        <v>119</v>
      </c>
      <c r="I101" s="94">
        <f>B101</f>
        <v>100</v>
      </c>
      <c r="J101" s="20"/>
      <c r="K101" s="20"/>
      <c r="L101" s="20"/>
      <c r="M101" s="95"/>
      <c r="N101" s="103"/>
      <c r="O101" s="103"/>
      <c r="P101" s="103"/>
      <c r="Q101" s="103"/>
      <c r="R101" s="103"/>
      <c r="S101" s="103"/>
      <c r="T101" s="103"/>
      <c r="U101" s="103"/>
      <c r="V101" s="103"/>
      <c r="W101" s="103"/>
      <c r="X101" s="103"/>
      <c r="Y101" s="103"/>
      <c r="Z101" s="103"/>
    </row>
    <row r="102">
      <c r="A102" s="96" t="s">
        <v>50</v>
      </c>
      <c r="B102" s="97" t="s">
        <v>51</v>
      </c>
      <c r="C102" s="97" t="s">
        <v>52</v>
      </c>
      <c r="D102" s="97" t="s">
        <v>53</v>
      </c>
      <c r="E102" s="98" t="s">
        <v>54</v>
      </c>
      <c r="F102" s="235" t="s">
        <v>55</v>
      </c>
      <c r="G102" s="234"/>
      <c r="H102" s="96" t="s">
        <v>50</v>
      </c>
      <c r="I102" s="97" t="s">
        <v>51</v>
      </c>
      <c r="J102" s="97" t="s">
        <v>52</v>
      </c>
      <c r="K102" s="97" t="s">
        <v>53</v>
      </c>
      <c r="L102" s="98" t="s">
        <v>54</v>
      </c>
      <c r="M102" s="235" t="s">
        <v>55</v>
      </c>
      <c r="N102" s="234"/>
      <c r="O102" s="234"/>
      <c r="P102" s="234"/>
      <c r="Q102" s="234"/>
      <c r="R102" s="234"/>
      <c r="S102" s="234"/>
      <c r="T102" s="234"/>
      <c r="U102" s="234"/>
      <c r="V102" s="234"/>
      <c r="W102" s="234"/>
      <c r="X102" s="234"/>
      <c r="Y102" s="234"/>
      <c r="Z102" s="234"/>
    </row>
    <row r="103">
      <c r="A103" s="62">
        <v>1.0</v>
      </c>
      <c r="B103" s="99">
        <f> mround('WEEK 1 '!B101*1.05,5)</f>
        <v>105</v>
      </c>
      <c r="C103" s="104" t="s">
        <v>65</v>
      </c>
      <c r="D103" s="83" t="s">
        <v>57</v>
      </c>
      <c r="E103" s="100"/>
      <c r="F103" s="85"/>
      <c r="G103" s="324" t="s">
        <v>123</v>
      </c>
      <c r="H103" s="62">
        <v>1.0</v>
      </c>
      <c r="I103" s="99">
        <f> mround('WEEK 1 '!I101*1.05,5)</f>
        <v>105</v>
      </c>
      <c r="J103" s="104" t="s">
        <v>65</v>
      </c>
      <c r="K103" s="83" t="s">
        <v>57</v>
      </c>
      <c r="L103" s="100"/>
      <c r="M103" s="85"/>
      <c r="N103" s="103"/>
      <c r="O103" s="103"/>
      <c r="P103" s="103"/>
      <c r="Q103" s="103"/>
      <c r="R103" s="103"/>
      <c r="S103" s="103"/>
      <c r="T103" s="103"/>
      <c r="U103" s="103"/>
      <c r="V103" s="103"/>
      <c r="W103" s="103"/>
      <c r="X103" s="103"/>
      <c r="Y103" s="103"/>
      <c r="Z103" s="103"/>
    </row>
    <row r="104">
      <c r="A104" s="62">
        <v>2.0</v>
      </c>
      <c r="B104" s="99">
        <f>if('WEEK 1 '!F103&lt;8,mround('WEEK 1 '!B103*0.95,5),IF('WEEK 1 '!F103&lt;=14,MROUND('WEEK 1 '!B103*0.95,5),'WEEK 1 '!B103))</f>
        <v>100</v>
      </c>
      <c r="C104" s="104" t="s">
        <v>65</v>
      </c>
      <c r="D104" s="83" t="s">
        <v>57</v>
      </c>
      <c r="E104" s="100"/>
      <c r="F104" s="85"/>
      <c r="H104" s="62">
        <v>2.0</v>
      </c>
      <c r="I104" s="99">
        <f>if('WEEK 1 '!M103&lt;5,mround('WEEK 1 '!I103*0.8,5),IF('WEEK 1 '!M103&lt;=10,MROUND('WEEK 1 '!I103*0.95,5),'WEEK 1 '!I103))</f>
        <v>85</v>
      </c>
      <c r="J104" s="104" t="s">
        <v>65</v>
      </c>
      <c r="K104" s="83" t="s">
        <v>57</v>
      </c>
      <c r="L104" s="100"/>
      <c r="M104" s="85"/>
      <c r="N104" s="239"/>
      <c r="O104" s="239"/>
      <c r="P104" s="239"/>
      <c r="Q104" s="239"/>
      <c r="R104" s="239"/>
      <c r="S104" s="239"/>
      <c r="T104" s="239"/>
      <c r="U104" s="239"/>
      <c r="V104" s="239"/>
      <c r="W104" s="239"/>
      <c r="X104" s="239"/>
      <c r="Y104" s="239"/>
      <c r="Z104" s="239"/>
    </row>
    <row r="105">
      <c r="A105" s="325">
        <v>3.0</v>
      </c>
      <c r="B105" s="326">
        <f>if('WEEK 1 '!F104&lt;8,mround('WEEK 1 '!B104*0.8,5),IF('WEEK 1 '!F104&lt;=14,MROUND('WEEK 1 '!B104*0.95,5),'WEEK 1 '!B104))</f>
        <v>95</v>
      </c>
      <c r="C105" s="327" t="s">
        <v>65</v>
      </c>
      <c r="D105" s="328" t="s">
        <v>57</v>
      </c>
      <c r="E105" s="329"/>
      <c r="F105" s="330"/>
      <c r="G105" s="103"/>
      <c r="H105" s="62">
        <v>3.0</v>
      </c>
      <c r="I105" s="99">
        <f>if('WEEK 1 '!M104&lt;4,mround('WEEK 1 '!I104*0.8,5),IF('WEEK 1 '!M104&lt;=10,MROUND('WEEK 1 '!I104*0.95,5),'WEEK 1 '!I104))</f>
        <v>70</v>
      </c>
      <c r="J105" s="104" t="s">
        <v>65</v>
      </c>
      <c r="K105" s="83" t="s">
        <v>57</v>
      </c>
      <c r="L105" s="100"/>
      <c r="M105" s="85"/>
      <c r="N105" s="103"/>
      <c r="O105" s="103"/>
      <c r="P105" s="103"/>
      <c r="Q105" s="103"/>
      <c r="R105" s="103"/>
      <c r="S105" s="103"/>
      <c r="T105" s="103"/>
      <c r="U105" s="103"/>
      <c r="V105" s="103"/>
      <c r="W105" s="103"/>
      <c r="X105" s="103"/>
      <c r="Y105" s="103"/>
      <c r="Z105" s="103"/>
    </row>
    <row r="106">
      <c r="A106" s="331"/>
      <c r="B106" s="331"/>
      <c r="C106" s="331"/>
      <c r="D106" s="331"/>
      <c r="E106" s="331"/>
      <c r="F106" s="331"/>
      <c r="G106" s="239"/>
      <c r="H106" s="272" t="s">
        <v>124</v>
      </c>
      <c r="I106" s="332">
        <f>IF('WEEK 1 '!M103&lt;10,'WEEK 1 '!I101,IF('WEEK 1 '!M104&gt;=10,'WEEK 1 '!I104,'WEEK 1 '!I103))</f>
        <v>100</v>
      </c>
      <c r="J106" s="33"/>
      <c r="K106" s="33"/>
      <c r="L106" s="33"/>
      <c r="M106" s="34"/>
      <c r="N106" s="239"/>
      <c r="O106" s="239"/>
      <c r="P106" s="239"/>
      <c r="Q106" s="239"/>
      <c r="R106" s="239"/>
      <c r="S106" s="239"/>
      <c r="T106" s="239"/>
      <c r="U106" s="239"/>
      <c r="V106" s="239"/>
      <c r="W106" s="239"/>
      <c r="X106" s="239"/>
      <c r="Y106" s="239"/>
      <c r="Z106" s="239"/>
    </row>
    <row r="107">
      <c r="A107" s="103"/>
      <c r="B107" s="103"/>
      <c r="C107" s="103"/>
      <c r="D107" s="103"/>
      <c r="E107" s="222"/>
      <c r="F107" s="103"/>
      <c r="G107" s="103"/>
      <c r="H107" s="103"/>
      <c r="I107" s="103"/>
      <c r="J107" s="103"/>
      <c r="K107" s="103"/>
      <c r="L107" s="222"/>
      <c r="M107" s="103"/>
      <c r="N107" s="103"/>
      <c r="O107" s="103"/>
      <c r="P107" s="103"/>
      <c r="Q107" s="103"/>
      <c r="R107" s="103"/>
      <c r="S107" s="103"/>
      <c r="T107" s="103"/>
      <c r="U107" s="103"/>
      <c r="V107" s="103"/>
      <c r="W107" s="103"/>
      <c r="X107" s="103"/>
      <c r="Y107" s="103"/>
      <c r="Z107" s="103"/>
    </row>
    <row r="108">
      <c r="A108" s="103"/>
      <c r="B108" s="103"/>
      <c r="C108" s="103"/>
      <c r="D108" s="103"/>
      <c r="E108" s="222"/>
      <c r="F108" s="103"/>
      <c r="G108" s="103"/>
      <c r="N108" s="103"/>
      <c r="O108" s="103"/>
      <c r="P108" s="103"/>
      <c r="Q108" s="103"/>
      <c r="R108" s="103"/>
      <c r="S108" s="103"/>
      <c r="T108" s="103"/>
      <c r="U108" s="103"/>
      <c r="V108" s="103"/>
      <c r="W108" s="103"/>
      <c r="X108" s="103"/>
      <c r="Y108" s="103"/>
      <c r="Z108" s="103"/>
    </row>
    <row r="109">
      <c r="A109" s="333" t="s">
        <v>62</v>
      </c>
      <c r="B109" s="25"/>
      <c r="C109" s="25"/>
      <c r="D109" s="25"/>
      <c r="E109" s="25"/>
      <c r="F109" s="26"/>
      <c r="G109" s="103"/>
      <c r="N109" s="103"/>
      <c r="O109" s="103"/>
      <c r="P109" s="103"/>
      <c r="Q109" s="103"/>
      <c r="R109" s="103"/>
      <c r="S109" s="103"/>
      <c r="T109" s="103"/>
      <c r="U109" s="103"/>
      <c r="V109" s="103"/>
      <c r="W109" s="103"/>
      <c r="X109" s="103"/>
      <c r="Y109" s="103"/>
      <c r="Z109" s="103"/>
    </row>
    <row r="110">
      <c r="A110" s="334"/>
      <c r="B110" s="25"/>
      <c r="C110" s="25"/>
      <c r="D110" s="25"/>
      <c r="E110" s="25"/>
      <c r="F110" s="25"/>
      <c r="G110" s="103"/>
      <c r="H110" s="335" t="str">
        <f>HYPERLINK("https://www.youtube.com/watch?v=qrv8cCA-WCY","WATCH THIS BEFORE MACHINE PRESS")</f>
        <v>WATCH THIS BEFORE MACHINE PRESS</v>
      </c>
      <c r="I110" s="25"/>
      <c r="J110" s="25"/>
      <c r="K110" s="25"/>
      <c r="L110" s="25"/>
      <c r="M110" s="26"/>
      <c r="N110" s="103"/>
      <c r="O110" s="103"/>
      <c r="P110" s="103"/>
      <c r="Q110" s="103"/>
      <c r="R110" s="103"/>
      <c r="S110" s="103"/>
      <c r="T110" s="103"/>
      <c r="U110" s="103"/>
      <c r="V110" s="103"/>
      <c r="W110" s="103"/>
      <c r="X110" s="103"/>
      <c r="Y110" s="103"/>
      <c r="Z110" s="103"/>
    </row>
    <row r="111">
      <c r="A111" s="11"/>
      <c r="B111" s="11"/>
      <c r="C111" s="11"/>
      <c r="D111" s="11"/>
      <c r="E111" s="11"/>
      <c r="F111" s="11"/>
      <c r="G111" s="103"/>
      <c r="H111" s="336"/>
      <c r="I111" s="11"/>
      <c r="J111" s="11"/>
      <c r="K111" s="11"/>
      <c r="L111" s="11"/>
      <c r="M111" s="46"/>
      <c r="N111" s="103"/>
      <c r="O111" s="103"/>
      <c r="P111" s="103"/>
      <c r="Q111" s="103"/>
      <c r="R111" s="103"/>
      <c r="S111" s="103"/>
      <c r="T111" s="103"/>
      <c r="U111" s="103"/>
      <c r="V111" s="103"/>
      <c r="W111" s="103"/>
      <c r="X111" s="103"/>
      <c r="Y111" s="103"/>
      <c r="Z111" s="103"/>
    </row>
    <row r="112">
      <c r="A112" s="212" t="s">
        <v>131</v>
      </c>
      <c r="F112" s="28"/>
      <c r="G112" s="103"/>
      <c r="H112" s="337" t="s">
        <v>131</v>
      </c>
      <c r="I112" s="36"/>
      <c r="J112" s="36"/>
      <c r="K112" s="36"/>
      <c r="L112" s="36"/>
      <c r="M112" s="37"/>
      <c r="N112" s="103"/>
      <c r="O112" s="103"/>
      <c r="P112" s="103"/>
      <c r="Q112" s="103"/>
      <c r="R112" s="103"/>
      <c r="S112" s="103"/>
      <c r="T112" s="103"/>
      <c r="U112" s="103"/>
      <c r="V112" s="103"/>
      <c r="W112" s="103"/>
      <c r="X112" s="103"/>
      <c r="Y112" s="103"/>
      <c r="Z112" s="103"/>
    </row>
    <row r="113">
      <c r="A113" s="112" t="str">
        <f>HYPERLINK("https://www.youtube.com/watch?v=rmxOkkd2hUk","1. SHOULDER PRESS")</f>
        <v>1. SHOULDER PRESS</v>
      </c>
      <c r="B113" s="13"/>
      <c r="C113" s="13"/>
      <c r="D113" s="13"/>
      <c r="E113" s="13"/>
      <c r="F113" s="57"/>
      <c r="G113" s="338"/>
      <c r="H113" s="339" t="str">
        <f>HYPERLINK("https://www.youtube.com/watch?v=-cSBPE-y38M","1.MACHINE SHOULDER PRESS")</f>
        <v>1.MACHINE SHOULDER PRESS</v>
      </c>
      <c r="I113" s="53"/>
      <c r="J113" s="53"/>
      <c r="K113" s="53"/>
      <c r="L113" s="53"/>
      <c r="M113" s="54"/>
      <c r="N113" s="340"/>
      <c r="O113" s="103"/>
      <c r="P113" s="103"/>
      <c r="Q113" s="103"/>
      <c r="R113" s="103"/>
      <c r="S113" s="103"/>
      <c r="T113" s="103"/>
      <c r="U113" s="103"/>
      <c r="V113" s="103"/>
      <c r="W113" s="103"/>
      <c r="X113" s="103"/>
      <c r="Y113" s="103"/>
      <c r="Z113" s="103"/>
    </row>
    <row r="114">
      <c r="A114" s="226" t="s">
        <v>119</v>
      </c>
      <c r="B114" s="227">
        <v>100.0</v>
      </c>
      <c r="C114" s="20"/>
      <c r="D114" s="20"/>
      <c r="E114" s="20"/>
      <c r="F114" s="95"/>
      <c r="G114" s="103"/>
      <c r="H114" s="96" t="s">
        <v>50</v>
      </c>
      <c r="I114" s="97" t="s">
        <v>51</v>
      </c>
      <c r="J114" s="97" t="s">
        <v>52</v>
      </c>
      <c r="K114" s="97" t="s">
        <v>53</v>
      </c>
      <c r="L114" s="341" t="s">
        <v>54</v>
      </c>
      <c r="M114" s="235" t="s">
        <v>55</v>
      </c>
      <c r="N114" s="340"/>
      <c r="O114" s="103"/>
      <c r="P114" s="103"/>
      <c r="Q114" s="103"/>
      <c r="R114" s="103"/>
      <c r="S114" s="103"/>
      <c r="T114" s="103"/>
      <c r="U114" s="103"/>
      <c r="V114" s="103"/>
      <c r="W114" s="103"/>
      <c r="X114" s="103"/>
      <c r="Y114" s="103"/>
      <c r="Z114" s="103"/>
    </row>
    <row r="115">
      <c r="A115" s="231" t="s">
        <v>50</v>
      </c>
      <c r="B115" s="232" t="s">
        <v>51</v>
      </c>
      <c r="C115" s="232" t="s">
        <v>52</v>
      </c>
      <c r="D115" s="232" t="s">
        <v>53</v>
      </c>
      <c r="E115" s="233" t="s">
        <v>54</v>
      </c>
      <c r="F115" s="61" t="s">
        <v>55</v>
      </c>
      <c r="G115" s="234"/>
      <c r="H115" s="342">
        <v>1.0</v>
      </c>
      <c r="I115" s="343">
        <f>MROUND('DETERMINING MAX WEEK'!E167*0.5,10)</f>
        <v>40</v>
      </c>
      <c r="J115" s="344">
        <v>10.0</v>
      </c>
      <c r="K115" s="345" t="s">
        <v>122</v>
      </c>
      <c r="L115" s="346"/>
      <c r="M115" s="85"/>
      <c r="N115" s="347"/>
      <c r="O115" s="234"/>
      <c r="P115" s="234"/>
      <c r="Q115" s="234"/>
      <c r="R115" s="234"/>
      <c r="S115" s="234"/>
      <c r="T115" s="234"/>
      <c r="U115" s="234"/>
      <c r="V115" s="234"/>
      <c r="W115" s="234"/>
      <c r="X115" s="234"/>
      <c r="Y115" s="234"/>
      <c r="Z115" s="234"/>
    </row>
    <row r="116">
      <c r="A116" s="236">
        <v>1.0</v>
      </c>
      <c r="B116" s="237">
        <f>mround('WEEK 1 '!B114*0.35,5)</f>
        <v>25</v>
      </c>
      <c r="C116" s="237">
        <v>6.0</v>
      </c>
      <c r="D116" s="238" t="s">
        <v>120</v>
      </c>
      <c r="E116" s="66"/>
      <c r="F116" s="67"/>
      <c r="G116" s="239"/>
      <c r="H116" s="342">
        <v>2.0</v>
      </c>
      <c r="I116" s="348">
        <f t="shared" ref="I116:I117" si="1">mround(I115+20,5)</f>
        <v>60</v>
      </c>
      <c r="J116" s="344">
        <v>10.0</v>
      </c>
      <c r="K116" s="345" t="s">
        <v>122</v>
      </c>
      <c r="L116" s="346"/>
      <c r="M116" s="85"/>
      <c r="N116" s="349"/>
      <c r="O116" s="239"/>
      <c r="P116" s="239"/>
      <c r="Q116" s="239"/>
      <c r="R116" s="239"/>
      <c r="S116" s="239"/>
      <c r="T116" s="239"/>
      <c r="U116" s="239"/>
      <c r="V116" s="239"/>
      <c r="W116" s="239"/>
      <c r="X116" s="239"/>
      <c r="Y116" s="239"/>
      <c r="Z116" s="239"/>
    </row>
    <row r="117">
      <c r="A117" s="236">
        <v>2.0</v>
      </c>
      <c r="B117" s="237">
        <f>mround('WEEK 1 '!B114*0.65,5)</f>
        <v>45</v>
      </c>
      <c r="C117" s="237">
        <v>1.0</v>
      </c>
      <c r="D117" s="238" t="s">
        <v>121</v>
      </c>
      <c r="E117" s="66"/>
      <c r="F117" s="67"/>
      <c r="G117" s="239"/>
      <c r="H117" s="342">
        <v>3.0</v>
      </c>
      <c r="I117" s="348">
        <f t="shared" si="1"/>
        <v>80</v>
      </c>
      <c r="J117" s="344">
        <v>10.0</v>
      </c>
      <c r="K117" s="345" t="s">
        <v>122</v>
      </c>
      <c r="L117" s="346"/>
      <c r="M117" s="85"/>
      <c r="N117" s="349"/>
      <c r="O117" s="239"/>
      <c r="P117" s="239"/>
      <c r="Q117" s="239"/>
      <c r="R117" s="239"/>
      <c r="S117" s="239"/>
      <c r="T117" s="239"/>
      <c r="U117" s="239"/>
      <c r="V117" s="239"/>
      <c r="W117" s="239"/>
      <c r="X117" s="239"/>
      <c r="Y117" s="239"/>
      <c r="Z117" s="239"/>
    </row>
    <row r="118">
      <c r="A118" s="242">
        <v>3.0</v>
      </c>
      <c r="B118" s="237">
        <f>mround('WEEK 1 '!B114*0.9,5)</f>
        <v>65</v>
      </c>
      <c r="C118" s="82">
        <v>1.0</v>
      </c>
      <c r="D118" s="238" t="s">
        <v>121</v>
      </c>
      <c r="E118" s="66"/>
      <c r="F118" s="67"/>
      <c r="G118" s="239"/>
      <c r="H118" s="342">
        <v>4.0</v>
      </c>
      <c r="I118" s="348">
        <f t="shared" ref="I118:I119" si="2">mround(I117+10,5)</f>
        <v>90</v>
      </c>
      <c r="J118" s="344">
        <v>10.0</v>
      </c>
      <c r="K118" s="345" t="s">
        <v>122</v>
      </c>
      <c r="L118" s="346"/>
      <c r="M118" s="85"/>
      <c r="N118" s="349"/>
      <c r="O118" s="239"/>
      <c r="P118" s="239"/>
      <c r="Q118" s="239"/>
      <c r="R118" s="239"/>
      <c r="S118" s="239"/>
      <c r="T118" s="239"/>
      <c r="U118" s="239"/>
      <c r="V118" s="239"/>
      <c r="W118" s="239"/>
      <c r="X118" s="239"/>
      <c r="Y118" s="239"/>
      <c r="Z118" s="239"/>
    </row>
    <row r="119">
      <c r="A119" s="243">
        <v>4.0</v>
      </c>
      <c r="B119" s="237">
        <f>'WEEK 1 '!B114</f>
        <v>70</v>
      </c>
      <c r="C119" s="257">
        <v>1.0</v>
      </c>
      <c r="D119" s="238" t="s">
        <v>122</v>
      </c>
      <c r="E119" s="66"/>
      <c r="F119" s="67"/>
      <c r="G119" s="103"/>
      <c r="H119" s="342">
        <v>5.0</v>
      </c>
      <c r="I119" s="348">
        <f t="shared" si="2"/>
        <v>100</v>
      </c>
      <c r="J119" s="344">
        <v>10.0</v>
      </c>
      <c r="K119" s="345" t="s">
        <v>122</v>
      </c>
      <c r="L119" s="346"/>
      <c r="M119" s="85"/>
      <c r="N119" s="340"/>
      <c r="O119" s="103"/>
      <c r="P119" s="103"/>
      <c r="Q119" s="103"/>
      <c r="R119" s="103"/>
      <c r="S119" s="103"/>
      <c r="T119" s="103"/>
      <c r="U119" s="103"/>
      <c r="V119" s="103"/>
      <c r="W119" s="103"/>
      <c r="X119" s="103"/>
      <c r="Y119" s="103"/>
      <c r="Z119" s="103"/>
    </row>
    <row r="120">
      <c r="A120" s="246" t="str">
        <f>IF('WEEK 1 '!F119&lt;1,"PROCEED TO DOWN SETS","NEW 4 REP MAX ATTEMPT")</f>
        <v>PROCEED TO DOWN SETS</v>
      </c>
      <c r="B120" s="20"/>
      <c r="C120" s="20"/>
      <c r="D120" s="20"/>
      <c r="E120" s="20"/>
      <c r="F120" s="95"/>
      <c r="G120" s="239"/>
      <c r="H120" s="342">
        <v>6.0</v>
      </c>
      <c r="I120" s="350">
        <f>I119+10</f>
        <v>110</v>
      </c>
      <c r="J120" s="344">
        <v>10.0</v>
      </c>
      <c r="K120" s="345" t="s">
        <v>122</v>
      </c>
      <c r="L120" s="351"/>
      <c r="M120" s="85"/>
      <c r="N120" s="349"/>
      <c r="O120" s="239"/>
      <c r="P120" s="239"/>
      <c r="Q120" s="239"/>
      <c r="R120" s="239"/>
      <c r="S120" s="239"/>
      <c r="T120" s="239"/>
      <c r="U120" s="239"/>
      <c r="V120" s="239"/>
      <c r="W120" s="239"/>
      <c r="X120" s="239"/>
      <c r="Y120" s="239"/>
      <c r="Z120" s="239"/>
    </row>
    <row r="121">
      <c r="A121" s="249" t="str">
        <f>IF(OR(ISBLANK('WEEK 1 '!F119),ISBLANK('WEEK 1 '!F118),ISBLANK('WEEK 1 '!F117)), "",if('WEEK 1 '!F119&lt;1,"",5))</f>
        <v/>
      </c>
      <c r="B121" s="175" t="str">
        <f>IF('WEEK 1 '!F119&lt;1,"",'WEEK 1 '!B119+5)</f>
        <v/>
      </c>
      <c r="C121" s="238" t="str">
        <f>if('WEEK 1 '!F119&lt;1,"",4)</f>
        <v/>
      </c>
      <c r="D121" s="238" t="str">
        <f>if('WEEK 1 '!F119&lt;1,"","1-5 MIN")</f>
        <v/>
      </c>
      <c r="E121" s="250"/>
      <c r="F121" s="67"/>
      <c r="G121" s="276"/>
      <c r="H121" s="352">
        <v>7.0</v>
      </c>
      <c r="I121" s="353">
        <f>mround(I120+10,5)</f>
        <v>120</v>
      </c>
      <c r="J121" s="354">
        <v>10.0</v>
      </c>
      <c r="K121" s="355" t="s">
        <v>122</v>
      </c>
      <c r="L121" s="356"/>
      <c r="M121" s="85"/>
      <c r="N121" s="340"/>
      <c r="O121" s="103"/>
      <c r="P121" s="103"/>
      <c r="Q121" s="103"/>
      <c r="R121" s="103"/>
      <c r="S121" s="103"/>
      <c r="T121" s="103"/>
      <c r="U121" s="103"/>
      <c r="V121" s="103"/>
      <c r="W121" s="103"/>
      <c r="X121" s="103"/>
      <c r="Y121" s="103"/>
      <c r="Z121" s="103"/>
    </row>
    <row r="122">
      <c r="A122" s="259" t="str">
        <f>IF(OR(ISBLANK('WEEK 1 '!F118),ISBLANK('WEEK 1 '!F119),ISBLANK('WEEK 1 '!F121)), "",IF('WEEK 1 '!F121&lt;4,"","6"))</f>
        <v/>
      </c>
      <c r="B122" s="237" t="str">
        <f>IF(OR(ISBLANK('WEEK 1 '!F118),ISBLANK('WEEK 1 '!F119),ISBLANK('WEEK 1 '!F121)), "",IF('WEEK 1 '!F121&lt;4,"",'WEEK 1 '!B121+5))</f>
        <v/>
      </c>
      <c r="C122" s="257" t="str">
        <f>IF(OR(ISBLANK('WEEK 1 '!F118),ISBLANK('WEEK 1 '!F119),ISBLANK('WEEK 1 '!F121)), "",IF('WEEK 1 '!F121&lt;4,"","4"))</f>
        <v/>
      </c>
      <c r="D122" s="257" t="str">
        <f>IF(OR(ISBLANK('WEEK 1 '!F118),ISBLANK('WEEK 1 '!F119),ISBLANK('WEEK 1 '!F121)), "",IF('WEEK 1 '!F121&lt;4,"","1-5 MIN"))</f>
        <v/>
      </c>
      <c r="E122" s="258"/>
      <c r="F122" s="67"/>
      <c r="G122" s="239"/>
      <c r="H122" s="357" t="s">
        <v>132</v>
      </c>
      <c r="I122" s="358"/>
      <c r="J122" s="36"/>
      <c r="K122" s="36"/>
      <c r="L122" s="36"/>
      <c r="M122" s="37"/>
      <c r="N122" s="349"/>
      <c r="O122" s="239"/>
      <c r="P122" s="239"/>
      <c r="Q122" s="239"/>
      <c r="R122" s="239"/>
      <c r="S122" s="239"/>
      <c r="T122" s="239"/>
      <c r="U122" s="239"/>
      <c r="V122" s="239"/>
      <c r="W122" s="239"/>
      <c r="X122" s="239"/>
      <c r="Y122" s="239"/>
      <c r="Z122" s="239"/>
    </row>
    <row r="123">
      <c r="A123" s="246" t="s">
        <v>133</v>
      </c>
      <c r="B123" s="20"/>
      <c r="C123" s="20"/>
      <c r="D123" s="20"/>
      <c r="E123" s="20"/>
      <c r="F123" s="95"/>
      <c r="G123" s="239"/>
      <c r="H123" s="239"/>
      <c r="I123" s="349"/>
      <c r="J123" s="349"/>
      <c r="K123" s="349"/>
      <c r="L123" s="359"/>
      <c r="M123" s="349"/>
      <c r="N123" s="349"/>
      <c r="O123" s="239"/>
      <c r="P123" s="239"/>
      <c r="Q123" s="239"/>
      <c r="R123" s="239"/>
      <c r="S123" s="239"/>
      <c r="T123" s="239"/>
      <c r="U123" s="239"/>
      <c r="V123" s="239"/>
      <c r="W123" s="239"/>
      <c r="X123" s="239"/>
      <c r="Y123" s="239"/>
      <c r="Z123" s="239"/>
    </row>
    <row r="124">
      <c r="A124" s="264">
        <f>IF(OR(ISBLANK('WEEK 1 '!F119),ISBLANK('WEEK 1 '!F118),ISBLANK('WEEK 1 '!F117)),"",IF((AND(A121="",A122="")),5,IF((AND(A121&gt;1,A122="")),6,7)))</f>
        <v>5</v>
      </c>
      <c r="B124" s="265">
        <f>MROUND('WEEK 1 '!B126*0.9,5)</f>
        <v>60</v>
      </c>
      <c r="C124" s="266" t="s">
        <v>65</v>
      </c>
      <c r="D124" s="267" t="s">
        <v>127</v>
      </c>
      <c r="E124" s="268"/>
      <c r="F124" s="67"/>
      <c r="G124" s="239"/>
      <c r="H124" s="239"/>
      <c r="I124" s="349"/>
      <c r="J124" s="349"/>
      <c r="K124" s="349"/>
      <c r="L124" s="359"/>
      <c r="M124" s="349"/>
      <c r="N124" s="349"/>
      <c r="O124" s="239"/>
      <c r="P124" s="239"/>
      <c r="Q124" s="239"/>
      <c r="R124" s="239"/>
      <c r="S124" s="239"/>
      <c r="T124" s="239"/>
      <c r="U124" s="239"/>
      <c r="V124" s="239"/>
      <c r="W124" s="239"/>
      <c r="X124" s="239"/>
      <c r="Y124" s="239"/>
      <c r="Z124" s="239"/>
    </row>
    <row r="125">
      <c r="A125" s="243">
        <f>IF(OR(ISBLANK('WEEK 1 '!F119),ISBLANK('WEEK 1 '!F118),ISBLANK('WEEK 1 '!F117)),"",IF((AND(A121="",A122="")),6,IF((AND(A121&gt;1,A122="")),7,8)))</f>
        <v>6</v>
      </c>
      <c r="B125" s="237">
        <f>mround('WEEK 1 '!B126*0.78,5)</f>
        <v>50</v>
      </c>
      <c r="C125" s="245" t="s">
        <v>65</v>
      </c>
      <c r="D125" s="65" t="s">
        <v>127</v>
      </c>
      <c r="E125" s="258"/>
      <c r="F125" s="271"/>
      <c r="G125" s="103"/>
      <c r="H125" s="103"/>
      <c r="I125" s="340"/>
      <c r="J125" s="340"/>
      <c r="K125" s="340"/>
      <c r="L125" s="303"/>
      <c r="M125" s="340"/>
      <c r="N125" s="340"/>
      <c r="O125" s="103"/>
      <c r="P125" s="103"/>
      <c r="Q125" s="103"/>
      <c r="R125" s="103"/>
      <c r="S125" s="103"/>
      <c r="T125" s="103"/>
      <c r="U125" s="103"/>
      <c r="V125" s="103"/>
      <c r="W125" s="103"/>
      <c r="X125" s="103"/>
      <c r="Y125" s="103"/>
      <c r="Z125" s="103"/>
    </row>
    <row r="126">
      <c r="A126" s="272" t="s">
        <v>124</v>
      </c>
      <c r="B126" s="273">
        <f>IF(OR(ISBLANK('WEEK 1 '!F119),ISBLANK('WEEK 1 '!F118),ISBLANK('WEEK 1 '!F117)),"",IF('WEEK 1 '!F122&gt;=1,'WEEK 1 '!B122,IF('WEEK 1 '!F121&gt;=4,'WEEK 1 '!B121,IF('WEEK 1 '!F119&lt;1,'WEEK 1 '!B119-5,'WEEK 1 '!B119))))</f>
        <v>65</v>
      </c>
      <c r="C126" s="11"/>
      <c r="D126" s="11"/>
      <c r="E126" s="11"/>
      <c r="F126" s="46"/>
      <c r="G126" s="103"/>
      <c r="H126" s="103"/>
      <c r="I126" s="103"/>
      <c r="J126" s="103"/>
      <c r="K126" s="103"/>
      <c r="L126" s="222"/>
      <c r="M126" s="103"/>
      <c r="N126" s="103"/>
      <c r="O126" s="103"/>
      <c r="P126" s="103"/>
      <c r="Q126" s="103"/>
      <c r="R126" s="103"/>
      <c r="S126" s="103"/>
      <c r="T126" s="103"/>
      <c r="U126" s="103"/>
      <c r="V126" s="103"/>
      <c r="W126" s="103"/>
      <c r="X126" s="103"/>
      <c r="Y126" s="103"/>
      <c r="Z126" s="103"/>
    </row>
    <row r="127">
      <c r="A127" s="277"/>
      <c r="B127" s="277"/>
      <c r="C127" s="277"/>
      <c r="D127" s="277"/>
      <c r="E127" s="360"/>
      <c r="F127" s="103"/>
      <c r="G127" s="103"/>
      <c r="H127" s="103"/>
      <c r="I127" s="103"/>
      <c r="J127" s="103"/>
      <c r="K127" s="103"/>
      <c r="L127" s="222"/>
      <c r="M127" s="103"/>
      <c r="N127" s="103"/>
      <c r="O127" s="103"/>
      <c r="P127" s="103"/>
      <c r="Q127" s="103"/>
      <c r="R127" s="103"/>
      <c r="S127" s="103"/>
      <c r="T127" s="103"/>
      <c r="U127" s="103"/>
      <c r="V127" s="103"/>
      <c r="W127" s="103"/>
      <c r="X127" s="103"/>
      <c r="Y127" s="103"/>
      <c r="Z127" s="103"/>
    </row>
    <row r="128">
      <c r="A128" s="361" t="str">
        <f>HYPERLINK("https://www.youtube.com/watch?v=gxWVN6F_uxo","2. CABLE HIGH PULLEY ROW")</f>
        <v>2. CABLE HIGH PULLEY ROW</v>
      </c>
      <c r="B128" s="53"/>
      <c r="C128" s="53"/>
      <c r="D128" s="53"/>
      <c r="E128" s="53"/>
      <c r="F128" s="54"/>
      <c r="G128" s="103"/>
      <c r="H128" s="74" t="str">
        <f>HYPERLINK("https://youtu.be/0BaHgGyCFJY","2. MACHINE REAR DELT FLYS ")</f>
        <v>2. MACHINE REAR DELT FLYS </v>
      </c>
      <c r="I128" s="53"/>
      <c r="J128" s="53"/>
      <c r="K128" s="53"/>
      <c r="L128" s="53"/>
      <c r="M128" s="54"/>
      <c r="N128" s="103"/>
      <c r="O128" s="103"/>
      <c r="P128" s="103"/>
      <c r="Q128" s="103"/>
      <c r="R128" s="103"/>
      <c r="S128" s="103"/>
      <c r="T128" s="103"/>
      <c r="U128" s="103"/>
      <c r="V128" s="103"/>
      <c r="W128" s="103"/>
      <c r="X128" s="103"/>
      <c r="Y128" s="103"/>
      <c r="Z128" s="103"/>
    </row>
    <row r="129">
      <c r="A129" s="226" t="s">
        <v>134</v>
      </c>
      <c r="B129" s="90">
        <f>B126</f>
        <v>65</v>
      </c>
      <c r="C129" s="13"/>
      <c r="D129" s="13"/>
      <c r="E129" s="13"/>
      <c r="F129" s="57"/>
      <c r="G129" s="324" t="s">
        <v>123</v>
      </c>
      <c r="H129" s="362" t="s">
        <v>119</v>
      </c>
      <c r="I129" s="363">
        <f>B126</f>
        <v>65</v>
      </c>
      <c r="J129" s="20"/>
      <c r="K129" s="20"/>
      <c r="L129" s="20"/>
      <c r="M129" s="95"/>
      <c r="N129" s="103"/>
      <c r="O129" s="103"/>
      <c r="P129" s="103"/>
      <c r="Q129" s="103"/>
      <c r="R129" s="103"/>
      <c r="S129" s="103"/>
      <c r="T129" s="103"/>
      <c r="U129" s="103"/>
      <c r="V129" s="103"/>
      <c r="W129" s="103"/>
      <c r="X129" s="103"/>
      <c r="Y129" s="103"/>
      <c r="Z129" s="103"/>
    </row>
    <row r="130">
      <c r="A130" s="77" t="s">
        <v>50</v>
      </c>
      <c r="B130" s="78" t="s">
        <v>51</v>
      </c>
      <c r="C130" s="78" t="s">
        <v>52</v>
      </c>
      <c r="D130" s="78" t="s">
        <v>53</v>
      </c>
      <c r="E130" s="80" t="s">
        <v>54</v>
      </c>
      <c r="F130" s="235" t="s">
        <v>55</v>
      </c>
      <c r="H130" s="364" t="s">
        <v>50</v>
      </c>
      <c r="I130" s="365" t="s">
        <v>51</v>
      </c>
      <c r="J130" s="365" t="s">
        <v>52</v>
      </c>
      <c r="K130" s="366" t="s">
        <v>53</v>
      </c>
      <c r="L130" s="367" t="s">
        <v>54</v>
      </c>
      <c r="M130" s="61" t="s">
        <v>55</v>
      </c>
      <c r="N130" s="234"/>
      <c r="O130" s="234"/>
      <c r="P130" s="234"/>
      <c r="Q130" s="234"/>
      <c r="R130" s="234"/>
      <c r="S130" s="234"/>
      <c r="T130" s="234"/>
      <c r="U130" s="234"/>
      <c r="V130" s="234"/>
      <c r="W130" s="234"/>
      <c r="X130" s="234"/>
      <c r="Y130" s="234"/>
      <c r="Z130" s="234"/>
    </row>
    <row r="131">
      <c r="A131" s="81">
        <v>1.0</v>
      </c>
      <c r="B131" s="82">
        <f> mround('WEEK 1 '!B129*2*0.7,5)</f>
        <v>90</v>
      </c>
      <c r="C131" s="317">
        <v>15.0</v>
      </c>
      <c r="D131" s="83" t="s">
        <v>127</v>
      </c>
      <c r="E131" s="84" t="str">
        <f>IF('WEEK 1 '!B131=B131,'WEEK 1 '!F131,"")</f>
        <v/>
      </c>
      <c r="F131" s="85"/>
      <c r="G131" s="239"/>
      <c r="H131" s="242">
        <v>1.0</v>
      </c>
      <c r="I131" s="237">
        <f>mround('WEEK 1 '!I129*2*0.75,5)</f>
        <v>100</v>
      </c>
      <c r="J131" s="368">
        <v>20.0</v>
      </c>
      <c r="K131" s="238" t="s">
        <v>57</v>
      </c>
      <c r="L131" s="369"/>
      <c r="M131" s="67"/>
      <c r="N131" s="239"/>
      <c r="O131" s="239"/>
      <c r="P131" s="239"/>
      <c r="Q131" s="239"/>
      <c r="R131" s="239"/>
      <c r="S131" s="239"/>
      <c r="T131" s="239"/>
      <c r="U131" s="239"/>
      <c r="V131" s="239"/>
      <c r="W131" s="239"/>
      <c r="X131" s="239"/>
      <c r="Y131" s="239"/>
      <c r="Z131" s="239"/>
    </row>
    <row r="132">
      <c r="A132" s="81">
        <v>2.0</v>
      </c>
      <c r="B132" s="82">
        <f>if('WEEK 1 '!F131&lt;10,mround('WEEK 1 '!B131*0.8,5),IF('WEEK 1 '!F131&lt;=14,MROUND('WEEK 1 '!B131*0.95,5),'WEEK 1 '!B131))</f>
        <v>70</v>
      </c>
      <c r="C132" s="65">
        <v>15.0</v>
      </c>
      <c r="D132" s="83" t="s">
        <v>127</v>
      </c>
      <c r="E132" s="84" t="str">
        <f>IF('WEEK 1 '!B132=B132,'WEEK 1 '!F132,"")</f>
        <v/>
      </c>
      <c r="F132" s="85"/>
      <c r="G132" s="239"/>
      <c r="H132" s="242">
        <v>2.0</v>
      </c>
      <c r="I132" s="237">
        <f>if('WEEK 1 '!M131&lt;15,mround(I129*0.65,5),I131)</f>
        <v>40</v>
      </c>
      <c r="J132" s="368">
        <v>20.0</v>
      </c>
      <c r="K132" s="238" t="s">
        <v>57</v>
      </c>
      <c r="L132" s="369"/>
      <c r="M132" s="67"/>
      <c r="N132" s="239"/>
      <c r="O132" s="239"/>
      <c r="P132" s="239"/>
      <c r="Q132" s="239"/>
      <c r="R132" s="239"/>
      <c r="S132" s="239"/>
      <c r="T132" s="239"/>
      <c r="U132" s="239"/>
      <c r="V132" s="239"/>
      <c r="W132" s="239"/>
      <c r="X132" s="239"/>
      <c r="Y132" s="239"/>
      <c r="Z132" s="239"/>
    </row>
    <row r="133">
      <c r="A133" s="86">
        <v>3.0</v>
      </c>
      <c r="B133" s="87">
        <f>if('WEEK 1 '!F132&lt;8,mround('WEEK 1 '!B132*0.8,5),IF('WEEK 1 '!F132&lt;=14,MROUND('WEEK 1 '!B132*0.95,5),'WEEK 1 '!B132))</f>
        <v>55</v>
      </c>
      <c r="C133" s="71">
        <v>15.0</v>
      </c>
      <c r="D133" s="88" t="s">
        <v>127</v>
      </c>
      <c r="E133" s="89" t="str">
        <f>IF('WEEK 1 '!B133=B133,'WEEK 1 '!F133,"")</f>
        <v/>
      </c>
      <c r="F133" s="85"/>
      <c r="G133" s="370"/>
      <c r="H133" s="289">
        <v>3.0</v>
      </c>
      <c r="I133" s="371">
        <f>if('WEEK 1 '!M132&lt;15,mround('WEEK 1 '!I132*0.7,5),MROUND('WEEK 1 '!I132,5))</f>
        <v>30</v>
      </c>
      <c r="J133" s="372">
        <v>20.0</v>
      </c>
      <c r="K133" s="373" t="s">
        <v>57</v>
      </c>
      <c r="L133" s="374"/>
      <c r="M133" s="67"/>
      <c r="N133" s="239"/>
      <c r="O133" s="239"/>
      <c r="P133" s="239"/>
      <c r="Q133" s="239"/>
      <c r="R133" s="239"/>
      <c r="S133" s="239"/>
      <c r="T133" s="239"/>
      <c r="U133" s="239"/>
      <c r="V133" s="239"/>
      <c r="W133" s="239"/>
      <c r="X133" s="239"/>
      <c r="Y133" s="239"/>
      <c r="Z133" s="239"/>
    </row>
    <row r="134">
      <c r="A134" s="340"/>
      <c r="B134" s="340"/>
      <c r="C134" s="340"/>
      <c r="D134" s="340"/>
      <c r="E134" s="303"/>
      <c r="F134" s="103"/>
      <c r="G134" s="103"/>
      <c r="H134" s="103"/>
      <c r="I134" s="103"/>
      <c r="J134" s="103"/>
      <c r="K134" s="103"/>
      <c r="L134" s="222"/>
      <c r="M134" s="103"/>
      <c r="N134" s="103"/>
      <c r="O134" s="103"/>
      <c r="P134" s="103"/>
      <c r="Q134" s="103"/>
      <c r="R134" s="103"/>
      <c r="S134" s="103"/>
      <c r="T134" s="103"/>
      <c r="U134" s="103"/>
      <c r="V134" s="103"/>
      <c r="W134" s="103"/>
      <c r="X134" s="103"/>
      <c r="Y134" s="103"/>
      <c r="Z134" s="103"/>
    </row>
    <row r="135">
      <c r="A135" s="340"/>
      <c r="B135" s="340"/>
      <c r="C135" s="340"/>
      <c r="D135" s="340"/>
      <c r="E135" s="303"/>
      <c r="F135" s="103"/>
      <c r="G135" s="103"/>
      <c r="H135" s="103"/>
      <c r="I135" s="103"/>
      <c r="J135" s="103"/>
      <c r="K135" s="103"/>
      <c r="L135" s="222"/>
      <c r="M135" s="103"/>
      <c r="N135" s="103"/>
      <c r="O135" s="103"/>
      <c r="P135" s="103"/>
      <c r="Q135" s="103"/>
      <c r="R135" s="103"/>
      <c r="S135" s="103"/>
      <c r="T135" s="103"/>
      <c r="U135" s="103"/>
      <c r="V135" s="103"/>
      <c r="W135" s="103"/>
      <c r="X135" s="103"/>
      <c r="Y135" s="103"/>
      <c r="Z135" s="103"/>
    </row>
    <row r="136">
      <c r="A136" s="74" t="str">
        <f>HYPERLINK("https://youtu.be/jat-iMMa0ac","3. DUMBBELL SIDE LATERAL RAISE")</f>
        <v>3. DUMBBELL SIDE LATERAL RAISE</v>
      </c>
      <c r="B136" s="53"/>
      <c r="C136" s="53"/>
      <c r="D136" s="53"/>
      <c r="E136" s="53"/>
      <c r="F136" s="54"/>
      <c r="G136" s="281"/>
      <c r="H136" s="375"/>
      <c r="I136" s="277"/>
      <c r="J136" s="103"/>
      <c r="K136" s="103"/>
      <c r="L136" s="222"/>
      <c r="M136" s="103"/>
      <c r="N136" s="103"/>
      <c r="O136" s="103"/>
      <c r="P136" s="103"/>
      <c r="Q136" s="103"/>
      <c r="R136" s="103"/>
      <c r="S136" s="103"/>
      <c r="T136" s="103"/>
      <c r="U136" s="103"/>
      <c r="V136" s="103"/>
      <c r="W136" s="103"/>
      <c r="X136" s="103"/>
      <c r="Y136" s="103"/>
      <c r="Z136" s="103"/>
    </row>
    <row r="137">
      <c r="A137" s="226" t="s">
        <v>134</v>
      </c>
      <c r="B137" s="90">
        <f>B126</f>
        <v>65</v>
      </c>
      <c r="C137" s="13"/>
      <c r="D137" s="13"/>
      <c r="E137" s="13"/>
      <c r="F137" s="57"/>
      <c r="G137" s="281"/>
      <c r="H137" s="277"/>
      <c r="I137" s="281"/>
      <c r="J137" s="103"/>
      <c r="K137" s="103"/>
      <c r="L137" s="222"/>
      <c r="M137" s="103"/>
      <c r="N137" s="103"/>
      <c r="O137" s="103"/>
      <c r="P137" s="103"/>
      <c r="Q137" s="103"/>
      <c r="R137" s="103"/>
      <c r="S137" s="103"/>
      <c r="T137" s="103"/>
      <c r="U137" s="103"/>
      <c r="V137" s="103"/>
      <c r="W137" s="103"/>
      <c r="X137" s="103"/>
      <c r="Y137" s="103"/>
      <c r="Z137" s="103"/>
    </row>
    <row r="138">
      <c r="A138" s="376" t="s">
        <v>50</v>
      </c>
      <c r="B138" s="79" t="s">
        <v>51</v>
      </c>
      <c r="C138" s="79" t="s">
        <v>52</v>
      </c>
      <c r="D138" s="79" t="s">
        <v>53</v>
      </c>
      <c r="E138" s="98" t="s">
        <v>54</v>
      </c>
      <c r="F138" s="377" t="s">
        <v>55</v>
      </c>
      <c r="G138" s="276"/>
      <c r="H138" s="103"/>
      <c r="I138" s="103"/>
      <c r="J138" s="103"/>
      <c r="K138" s="103"/>
      <c r="L138" s="222"/>
      <c r="M138" s="103"/>
      <c r="N138" s="103"/>
      <c r="O138" s="103"/>
      <c r="P138" s="103"/>
      <c r="Q138" s="103"/>
      <c r="R138" s="103"/>
      <c r="S138" s="103"/>
      <c r="T138" s="103"/>
      <c r="U138" s="103"/>
      <c r="V138" s="103"/>
      <c r="W138" s="103"/>
      <c r="X138" s="103"/>
      <c r="Y138" s="103"/>
      <c r="Z138" s="103"/>
    </row>
    <row r="139">
      <c r="A139" s="81">
        <v>1.0</v>
      </c>
      <c r="B139" s="82">
        <f> mround('WEEK 1 '!B137*0.2,5)</f>
        <v>15</v>
      </c>
      <c r="C139" s="65">
        <v>20.0</v>
      </c>
      <c r="D139" s="83" t="s">
        <v>57</v>
      </c>
      <c r="E139" s="378"/>
      <c r="F139" s="330"/>
      <c r="G139" s="276"/>
      <c r="H139" s="103"/>
      <c r="I139" s="103"/>
      <c r="J139" s="103"/>
      <c r="K139" s="103"/>
      <c r="L139" s="222"/>
      <c r="M139" s="103"/>
      <c r="N139" s="103"/>
      <c r="O139" s="103"/>
      <c r="P139" s="103"/>
      <c r="Q139" s="103"/>
      <c r="R139" s="103"/>
      <c r="S139" s="103"/>
      <c r="T139" s="103"/>
      <c r="U139" s="103"/>
      <c r="V139" s="103"/>
      <c r="W139" s="103"/>
      <c r="X139" s="103"/>
      <c r="Y139" s="103"/>
      <c r="Z139" s="103"/>
    </row>
    <row r="140">
      <c r="A140" s="81">
        <v>2.0</v>
      </c>
      <c r="B140" s="82">
        <f>if('WEEK 1 '!F139&lt;12,mround('WEEK 1 '!B137*0.15,2.5),'WEEK 1 '!B139)</f>
        <v>10</v>
      </c>
      <c r="C140" s="65">
        <v>20.0</v>
      </c>
      <c r="D140" s="83" t="s">
        <v>57</v>
      </c>
      <c r="E140" s="378"/>
      <c r="F140" s="330"/>
      <c r="G140" s="103"/>
      <c r="H140" s="103"/>
      <c r="I140" s="103"/>
      <c r="J140" s="103"/>
      <c r="K140" s="103"/>
      <c r="L140" s="222"/>
      <c r="M140" s="103"/>
      <c r="N140" s="103"/>
      <c r="O140" s="103"/>
      <c r="P140" s="103"/>
      <c r="Q140" s="103"/>
      <c r="R140" s="103"/>
      <c r="S140" s="103"/>
      <c r="T140" s="103"/>
      <c r="U140" s="103"/>
      <c r="V140" s="103"/>
      <c r="W140" s="103"/>
      <c r="X140" s="103"/>
      <c r="Y140" s="103"/>
      <c r="Z140" s="103"/>
    </row>
    <row r="141">
      <c r="A141" s="86">
        <v>3.0</v>
      </c>
      <c r="B141" s="87">
        <f>if('WEEK 1 '!F140&lt;12,mround('WEEK 1 '!B137*0.1,2.5),'WEEK 1 '!B140)</f>
        <v>7.5</v>
      </c>
      <c r="C141" s="71">
        <v>20.0</v>
      </c>
      <c r="D141" s="88" t="s">
        <v>57</v>
      </c>
      <c r="E141" s="379"/>
      <c r="F141" s="85"/>
      <c r="G141" s="103"/>
      <c r="H141" s="103"/>
      <c r="I141" s="103"/>
      <c r="J141" s="103"/>
      <c r="K141" s="103"/>
      <c r="L141" s="222"/>
      <c r="M141" s="103"/>
      <c r="N141" s="103"/>
      <c r="O141" s="103"/>
      <c r="P141" s="103"/>
      <c r="Q141" s="103"/>
      <c r="R141" s="103"/>
      <c r="S141" s="103"/>
      <c r="T141" s="103"/>
      <c r="U141" s="103"/>
      <c r="V141" s="103"/>
      <c r="W141" s="103"/>
      <c r="X141" s="103"/>
      <c r="Y141" s="103"/>
      <c r="Z141" s="103"/>
    </row>
    <row r="142">
      <c r="A142" s="340"/>
      <c r="B142" s="340"/>
      <c r="C142" s="340"/>
      <c r="D142" s="340"/>
      <c r="E142" s="303"/>
      <c r="F142" s="103"/>
      <c r="G142" s="103"/>
      <c r="H142" s="103"/>
      <c r="I142" s="103"/>
      <c r="J142" s="103"/>
      <c r="K142" s="103"/>
      <c r="L142" s="222"/>
      <c r="M142" s="103"/>
      <c r="N142" s="103"/>
      <c r="O142" s="103"/>
      <c r="P142" s="103"/>
      <c r="Q142" s="103"/>
      <c r="R142" s="103"/>
      <c r="S142" s="103"/>
      <c r="T142" s="103"/>
      <c r="U142" s="103"/>
      <c r="V142" s="103"/>
      <c r="W142" s="103"/>
      <c r="X142" s="103"/>
      <c r="Y142" s="103"/>
      <c r="Z142" s="103"/>
    </row>
    <row r="143">
      <c r="A143" s="340"/>
      <c r="B143" s="340"/>
      <c r="C143" s="340"/>
      <c r="D143" s="340"/>
      <c r="E143" s="303"/>
      <c r="F143" s="103"/>
      <c r="G143" s="103"/>
      <c r="H143" s="103"/>
      <c r="I143" s="103"/>
      <c r="J143" s="103"/>
      <c r="K143" s="103"/>
      <c r="L143" s="222"/>
      <c r="M143" s="103"/>
      <c r="N143" s="103"/>
      <c r="O143" s="103"/>
      <c r="P143" s="103"/>
      <c r="Q143" s="103"/>
      <c r="R143" s="103"/>
      <c r="S143" s="103"/>
      <c r="T143" s="103"/>
      <c r="U143" s="103"/>
      <c r="V143" s="103"/>
      <c r="W143" s="103"/>
      <c r="X143" s="103"/>
      <c r="Y143" s="103"/>
      <c r="Z143" s="103"/>
    </row>
    <row r="144">
      <c r="A144" s="74" t="str">
        <f>HYPERLINK("https://www.youtube.com/watch?v=Yke__29qVfo","4. TRICEPS PUSHDOWN (STRAIGHT BAR)")</f>
        <v>4. TRICEPS PUSHDOWN (STRAIGHT BAR)</v>
      </c>
      <c r="B144" s="53"/>
      <c r="C144" s="53"/>
      <c r="D144" s="53"/>
      <c r="E144" s="53"/>
      <c r="F144" s="54"/>
      <c r="G144" s="380"/>
      <c r="H144" s="103"/>
      <c r="L144" s="3"/>
      <c r="O144" s="103"/>
      <c r="P144" s="103"/>
      <c r="Q144" s="103"/>
      <c r="R144" s="103"/>
      <c r="S144" s="103"/>
      <c r="T144" s="103"/>
      <c r="U144" s="103"/>
      <c r="V144" s="103"/>
      <c r="W144" s="103"/>
      <c r="X144" s="103"/>
      <c r="Y144" s="103"/>
      <c r="Z144" s="103"/>
    </row>
    <row r="145">
      <c r="A145" s="381" t="s">
        <v>119</v>
      </c>
      <c r="B145" s="382">
        <v>100.0</v>
      </c>
      <c r="C145" s="20"/>
      <c r="D145" s="20"/>
      <c r="E145" s="20"/>
      <c r="F145" s="95"/>
      <c r="G145" s="103"/>
      <c r="H145" s="103"/>
      <c r="L145" s="3"/>
      <c r="O145" s="103"/>
      <c r="P145" s="103"/>
      <c r="Q145" s="103"/>
      <c r="R145" s="103"/>
      <c r="S145" s="103"/>
      <c r="T145" s="103"/>
      <c r="U145" s="103"/>
      <c r="V145" s="103"/>
      <c r="W145" s="103"/>
      <c r="X145" s="103"/>
      <c r="Y145" s="103"/>
      <c r="Z145" s="103"/>
    </row>
    <row r="146">
      <c r="A146" s="383" t="s">
        <v>50</v>
      </c>
      <c r="B146" s="384" t="s">
        <v>51</v>
      </c>
      <c r="C146" s="384" t="s">
        <v>52</v>
      </c>
      <c r="D146" s="384" t="s">
        <v>53</v>
      </c>
      <c r="E146" s="385" t="s">
        <v>54</v>
      </c>
      <c r="F146" s="386" t="s">
        <v>55</v>
      </c>
      <c r="G146" s="234"/>
      <c r="H146" s="234"/>
      <c r="O146" s="234"/>
      <c r="P146" s="234"/>
      <c r="Q146" s="234"/>
      <c r="R146" s="234"/>
      <c r="S146" s="234"/>
      <c r="T146" s="234"/>
      <c r="U146" s="234"/>
      <c r="V146" s="234"/>
      <c r="W146" s="234"/>
      <c r="X146" s="234"/>
      <c r="Y146" s="234"/>
      <c r="Z146" s="234"/>
    </row>
    <row r="147">
      <c r="A147" s="387">
        <v>1.0</v>
      </c>
      <c r="B147" s="388">
        <f>B145</f>
        <v>100</v>
      </c>
      <c r="C147" s="389">
        <v>20.0</v>
      </c>
      <c r="D147" s="390" t="s">
        <v>58</v>
      </c>
      <c r="E147" s="391"/>
      <c r="F147" s="392"/>
      <c r="G147" s="239"/>
      <c r="H147" s="239"/>
      <c r="O147" s="239"/>
      <c r="P147" s="239"/>
      <c r="Q147" s="239"/>
      <c r="R147" s="239"/>
      <c r="S147" s="239"/>
      <c r="T147" s="239"/>
      <c r="U147" s="239"/>
      <c r="V147" s="239"/>
      <c r="W147" s="239"/>
      <c r="X147" s="239"/>
      <c r="Y147" s="239"/>
      <c r="Z147" s="239"/>
    </row>
    <row r="148">
      <c r="A148" s="393">
        <v>2.0</v>
      </c>
      <c r="B148" s="388">
        <f>if('WEEK 1 '!F147&lt;10,mround('WEEK 1 '!B147*0.8,5),IF('WEEK 1 '!F147&lt;=14,MROUND('WEEK 1 '!B145*0.95,5),'WEEK 1 '!B147))</f>
        <v>80</v>
      </c>
      <c r="C148" s="389">
        <v>20.0</v>
      </c>
      <c r="D148" s="390" t="s">
        <v>58</v>
      </c>
      <c r="E148" s="391"/>
      <c r="F148" s="392"/>
      <c r="G148" s="239"/>
      <c r="H148" s="239"/>
      <c r="O148" s="239"/>
      <c r="P148" s="239"/>
      <c r="Q148" s="239"/>
      <c r="R148" s="239"/>
      <c r="S148" s="239"/>
      <c r="T148" s="239"/>
      <c r="U148" s="239"/>
      <c r="V148" s="239"/>
      <c r="W148" s="239"/>
      <c r="X148" s="239"/>
      <c r="Y148" s="239"/>
      <c r="Z148" s="239"/>
    </row>
    <row r="149">
      <c r="A149" s="394">
        <v>3.0</v>
      </c>
      <c r="B149" s="395">
        <f>if('WEEK 1 '!F148&lt;10,mround('WEEK 1 '!B148*0.8,5),IF('WEEK 1 '!F148&lt;=14,MROUND('WEEK 1 '!B148*0.95,5),'WEEK 1 '!B148))</f>
        <v>65</v>
      </c>
      <c r="C149" s="396">
        <v>20.0</v>
      </c>
      <c r="D149" s="397" t="s">
        <v>58</v>
      </c>
      <c r="E149" s="398"/>
      <c r="F149" s="392"/>
      <c r="G149" s="239"/>
      <c r="H149" s="239"/>
      <c r="O149" s="239"/>
      <c r="P149" s="239"/>
      <c r="Q149" s="239"/>
      <c r="R149" s="239"/>
      <c r="S149" s="239"/>
      <c r="T149" s="239"/>
      <c r="U149" s="239"/>
      <c r="V149" s="239"/>
      <c r="W149" s="239"/>
      <c r="X149" s="239"/>
      <c r="Y149" s="239"/>
      <c r="Z149" s="239"/>
    </row>
    <row r="150">
      <c r="G150" s="239"/>
      <c r="H150" s="239"/>
      <c r="I150" s="239"/>
      <c r="J150" s="239"/>
      <c r="K150" s="239"/>
      <c r="L150" s="322"/>
      <c r="M150" s="239"/>
      <c r="N150" s="239"/>
      <c r="O150" s="239"/>
      <c r="P150" s="239"/>
      <c r="Q150" s="239"/>
      <c r="R150" s="239"/>
      <c r="S150" s="239"/>
      <c r="T150" s="239"/>
      <c r="U150" s="239"/>
      <c r="V150" s="239"/>
      <c r="W150" s="239"/>
      <c r="X150" s="239"/>
      <c r="Y150" s="239"/>
      <c r="Z150" s="239"/>
    </row>
    <row r="151">
      <c r="G151" s="103"/>
      <c r="H151" s="103"/>
      <c r="I151" s="103"/>
      <c r="J151" s="103"/>
      <c r="K151" s="103"/>
      <c r="L151" s="222"/>
      <c r="M151" s="103"/>
      <c r="N151" s="103"/>
      <c r="O151" s="103"/>
      <c r="P151" s="103"/>
      <c r="Q151" s="103"/>
      <c r="R151" s="103"/>
      <c r="S151" s="103"/>
      <c r="T151" s="103"/>
      <c r="U151" s="103"/>
      <c r="V151" s="103"/>
      <c r="W151" s="103"/>
      <c r="X151" s="103"/>
      <c r="Y151" s="103"/>
      <c r="Z151" s="103"/>
    </row>
    <row r="152">
      <c r="A152" s="399" t="str">
        <f>HYPERLINK("https://www.youtube.com/watch?v=9IqvmIhFxtY","5. BICEP CABLE CURLS")</f>
        <v>5. BICEP CABLE CURLS</v>
      </c>
      <c r="B152" s="25"/>
      <c r="C152" s="25"/>
      <c r="D152" s="25"/>
      <c r="E152" s="25"/>
      <c r="F152" s="26"/>
      <c r="G152" s="103"/>
      <c r="H152" s="399" t="str">
        <f>HYPERLINK("https://www.youtube.com/watch?v=Bi6Do6QIlpQ","5. BICEP BAR CURLS")</f>
        <v>5. BICEP BAR CURLS</v>
      </c>
      <c r="I152" s="25"/>
      <c r="J152" s="25"/>
      <c r="K152" s="25"/>
      <c r="L152" s="25"/>
      <c r="M152" s="26"/>
      <c r="N152" s="103"/>
      <c r="O152" s="103"/>
      <c r="P152" s="103"/>
      <c r="Q152" s="103"/>
      <c r="R152" s="103"/>
      <c r="S152" s="103"/>
      <c r="T152" s="103"/>
      <c r="U152" s="103"/>
      <c r="V152" s="103"/>
      <c r="W152" s="103"/>
      <c r="X152" s="103"/>
      <c r="Y152" s="103"/>
      <c r="Z152" s="103"/>
    </row>
    <row r="153">
      <c r="A153" s="335" t="str">
        <f>HYPERLINK("https://www.youtube.com/watch?v=4fvXV8SIEm8","WATCH THIS BEFORE MACHINE CURL")</f>
        <v>WATCH THIS BEFORE MACHINE CURL</v>
      </c>
      <c r="B153" s="25"/>
      <c r="C153" s="25"/>
      <c r="D153" s="25"/>
      <c r="E153" s="25"/>
      <c r="F153" s="26"/>
      <c r="G153" s="103"/>
      <c r="H153" s="335" t="str">
        <f>HYPERLINK("https://www.youtube.com/watch?v=4fvXV8SIEm8","WATCH THIS BEFORE MACHINE CURL")</f>
        <v>WATCH THIS BEFORE MACHINE CURL</v>
      </c>
      <c r="I153" s="25"/>
      <c r="J153" s="25"/>
      <c r="K153" s="25"/>
      <c r="L153" s="25"/>
      <c r="M153" s="26"/>
      <c r="N153" s="103"/>
      <c r="O153" s="103"/>
      <c r="P153" s="103"/>
      <c r="Q153" s="103"/>
      <c r="R153" s="103"/>
      <c r="S153" s="103"/>
      <c r="T153" s="103"/>
      <c r="U153" s="103"/>
      <c r="V153" s="103"/>
      <c r="W153" s="103"/>
      <c r="X153" s="103"/>
      <c r="Y153" s="103"/>
      <c r="Z153" s="103"/>
    </row>
    <row r="154">
      <c r="A154" s="336"/>
      <c r="B154" s="11"/>
      <c r="C154" s="11"/>
      <c r="D154" s="11"/>
      <c r="E154" s="11"/>
      <c r="F154" s="46"/>
      <c r="G154" s="103"/>
      <c r="H154" s="336"/>
      <c r="I154" s="11"/>
      <c r="J154" s="11"/>
      <c r="K154" s="11"/>
      <c r="L154" s="11"/>
      <c r="M154" s="46"/>
      <c r="N154" s="103"/>
      <c r="O154" s="103"/>
      <c r="P154" s="103"/>
      <c r="Q154" s="103"/>
      <c r="R154" s="103"/>
      <c r="S154" s="103"/>
      <c r="T154" s="103"/>
      <c r="U154" s="103"/>
      <c r="V154" s="103"/>
      <c r="W154" s="103"/>
      <c r="X154" s="103"/>
      <c r="Y154" s="103"/>
      <c r="Z154" s="103"/>
    </row>
    <row r="155">
      <c r="A155" s="400" t="s">
        <v>50</v>
      </c>
      <c r="B155" s="401" t="s">
        <v>51</v>
      </c>
      <c r="C155" s="401" t="s">
        <v>52</v>
      </c>
      <c r="D155" s="402" t="s">
        <v>53</v>
      </c>
      <c r="E155" s="403" t="s">
        <v>54</v>
      </c>
      <c r="F155" s="166" t="s">
        <v>55</v>
      </c>
      <c r="G155" s="103"/>
      <c r="H155" s="400" t="s">
        <v>50</v>
      </c>
      <c r="I155" s="401" t="s">
        <v>51</v>
      </c>
      <c r="J155" s="401" t="s">
        <v>52</v>
      </c>
      <c r="K155" s="402" t="s">
        <v>53</v>
      </c>
      <c r="L155" s="403" t="s">
        <v>54</v>
      </c>
      <c r="M155" s="166" t="s">
        <v>55</v>
      </c>
      <c r="N155" s="103"/>
      <c r="O155" s="103"/>
      <c r="P155" s="103"/>
      <c r="Q155" s="103"/>
      <c r="R155" s="103"/>
      <c r="S155" s="103"/>
      <c r="T155" s="103"/>
      <c r="U155" s="103"/>
      <c r="V155" s="103"/>
      <c r="W155" s="103"/>
      <c r="X155" s="103"/>
      <c r="Y155" s="103"/>
      <c r="Z155" s="103"/>
    </row>
    <row r="156">
      <c r="A156" s="404">
        <v>1.0</v>
      </c>
      <c r="B156" s="191">
        <v>15.0</v>
      </c>
      <c r="C156" s="171">
        <v>10.0</v>
      </c>
      <c r="D156" s="405" t="s">
        <v>89</v>
      </c>
      <c r="E156" s="406"/>
      <c r="F156" s="407"/>
      <c r="G156" s="234"/>
      <c r="H156" s="404">
        <v>1.0</v>
      </c>
      <c r="I156" s="191">
        <v>25.0</v>
      </c>
      <c r="J156" s="171">
        <v>4.0</v>
      </c>
      <c r="K156" s="405" t="s">
        <v>89</v>
      </c>
      <c r="L156" s="406"/>
      <c r="M156" s="407"/>
      <c r="N156" s="234"/>
      <c r="O156" s="234"/>
      <c r="P156" s="234"/>
      <c r="Q156" s="234"/>
      <c r="R156" s="234"/>
      <c r="S156" s="234"/>
      <c r="T156" s="234"/>
      <c r="U156" s="234"/>
      <c r="V156" s="234"/>
      <c r="W156" s="234"/>
      <c r="X156" s="234"/>
      <c r="Y156" s="234"/>
      <c r="Z156" s="234"/>
    </row>
    <row r="157">
      <c r="A157" s="404">
        <v>2.0</v>
      </c>
      <c r="B157" s="191">
        <v>25.0</v>
      </c>
      <c r="C157" s="171">
        <v>10.0</v>
      </c>
      <c r="D157" s="405" t="s">
        <v>89</v>
      </c>
      <c r="E157" s="406"/>
      <c r="F157" s="407"/>
      <c r="G157" s="239"/>
      <c r="H157" s="404">
        <v>2.0</v>
      </c>
      <c r="I157" s="191">
        <v>45.0</v>
      </c>
      <c r="J157" s="171">
        <v>4.0</v>
      </c>
      <c r="K157" s="405" t="s">
        <v>89</v>
      </c>
      <c r="L157" s="406"/>
      <c r="M157" s="407"/>
      <c r="N157" s="239"/>
      <c r="O157" s="239"/>
      <c r="P157" s="239"/>
      <c r="Q157" s="239"/>
      <c r="R157" s="239"/>
      <c r="S157" s="239"/>
      <c r="T157" s="239"/>
      <c r="U157" s="239"/>
      <c r="V157" s="239"/>
      <c r="W157" s="239"/>
      <c r="X157" s="239"/>
      <c r="Y157" s="239"/>
      <c r="Z157" s="239"/>
    </row>
    <row r="158">
      <c r="A158" s="404">
        <v>3.0</v>
      </c>
      <c r="B158" s="191">
        <v>45.0</v>
      </c>
      <c r="C158" s="171">
        <v>10.0</v>
      </c>
      <c r="D158" s="405" t="s">
        <v>89</v>
      </c>
      <c r="E158" s="406"/>
      <c r="F158" s="407"/>
      <c r="G158" s="103"/>
      <c r="H158" s="404">
        <v>3.0</v>
      </c>
      <c r="I158" s="191">
        <v>60.0</v>
      </c>
      <c r="J158" s="171">
        <v>4.0</v>
      </c>
      <c r="K158" s="405" t="s">
        <v>89</v>
      </c>
      <c r="L158" s="406"/>
      <c r="M158" s="407"/>
      <c r="N158" s="103"/>
      <c r="O158" s="103"/>
      <c r="P158" s="103"/>
      <c r="Q158" s="103"/>
      <c r="R158" s="103"/>
      <c r="S158" s="103"/>
      <c r="T158" s="103"/>
      <c r="U158" s="103"/>
      <c r="V158" s="103"/>
      <c r="W158" s="103"/>
      <c r="X158" s="103"/>
      <c r="Y158" s="103"/>
      <c r="Z158" s="103"/>
    </row>
    <row r="159">
      <c r="A159" s="404">
        <v>4.0</v>
      </c>
      <c r="B159" s="191">
        <v>60.0</v>
      </c>
      <c r="C159" s="171">
        <v>10.0</v>
      </c>
      <c r="D159" s="405" t="s">
        <v>89</v>
      </c>
      <c r="E159" s="406"/>
      <c r="F159" s="407"/>
      <c r="G159" s="239"/>
      <c r="H159" s="404">
        <v>4.0</v>
      </c>
      <c r="I159" s="191">
        <v>70.0</v>
      </c>
      <c r="J159" s="171">
        <v>4.0</v>
      </c>
      <c r="K159" s="405" t="s">
        <v>89</v>
      </c>
      <c r="L159" s="406"/>
      <c r="M159" s="407"/>
      <c r="N159" s="239"/>
      <c r="O159" s="239"/>
      <c r="P159" s="239"/>
      <c r="Q159" s="239"/>
      <c r="R159" s="239"/>
      <c r="S159" s="239"/>
      <c r="T159" s="239"/>
      <c r="U159" s="239"/>
      <c r="V159" s="239"/>
      <c r="W159" s="239"/>
      <c r="X159" s="239"/>
      <c r="Y159" s="239"/>
      <c r="Z159" s="239"/>
    </row>
    <row r="160">
      <c r="A160" s="404">
        <v>5.0</v>
      </c>
      <c r="B160" s="191">
        <v>70.0</v>
      </c>
      <c r="C160" s="171">
        <v>10.0</v>
      </c>
      <c r="D160" s="405" t="s">
        <v>89</v>
      </c>
      <c r="E160" s="406"/>
      <c r="F160" s="407"/>
      <c r="G160" s="103"/>
      <c r="H160" s="404">
        <v>5.0</v>
      </c>
      <c r="I160" s="191">
        <v>85.0</v>
      </c>
      <c r="J160" s="171">
        <v>4.0</v>
      </c>
      <c r="K160" s="405" t="s">
        <v>89</v>
      </c>
      <c r="L160" s="406"/>
      <c r="M160" s="407"/>
      <c r="N160" s="103"/>
      <c r="O160" s="103"/>
      <c r="P160" s="103"/>
      <c r="Q160" s="103"/>
      <c r="R160" s="103"/>
      <c r="S160" s="103"/>
      <c r="T160" s="103"/>
      <c r="U160" s="103"/>
      <c r="V160" s="103"/>
      <c r="W160" s="103"/>
      <c r="X160" s="103"/>
      <c r="Y160" s="103"/>
      <c r="Z160" s="103"/>
    </row>
    <row r="161">
      <c r="A161" s="404">
        <v>6.0</v>
      </c>
      <c r="B161" s="191">
        <v>85.0</v>
      </c>
      <c r="C161" s="171">
        <v>10.0</v>
      </c>
      <c r="D161" s="405" t="s">
        <v>89</v>
      </c>
      <c r="E161" s="406"/>
      <c r="F161" s="407"/>
      <c r="G161" s="239"/>
      <c r="H161" s="404">
        <v>6.0</v>
      </c>
      <c r="I161" s="191">
        <v>95.0</v>
      </c>
      <c r="J161" s="171">
        <v>4.0</v>
      </c>
      <c r="K161" s="405" t="s">
        <v>89</v>
      </c>
      <c r="L161" s="406"/>
      <c r="M161" s="407"/>
      <c r="N161" s="239"/>
      <c r="O161" s="239"/>
      <c r="P161" s="239"/>
      <c r="Q161" s="239"/>
      <c r="R161" s="239"/>
      <c r="S161" s="239"/>
      <c r="T161" s="239"/>
      <c r="U161" s="239"/>
      <c r="V161" s="239"/>
      <c r="W161" s="239"/>
      <c r="X161" s="239"/>
      <c r="Y161" s="239"/>
      <c r="Z161" s="239"/>
    </row>
    <row r="162">
      <c r="A162" s="404">
        <v>7.0</v>
      </c>
      <c r="B162" s="191">
        <v>95.0</v>
      </c>
      <c r="C162" s="171">
        <v>10.0</v>
      </c>
      <c r="D162" s="405" t="s">
        <v>89</v>
      </c>
      <c r="E162" s="406"/>
      <c r="F162" s="407"/>
      <c r="G162" s="239"/>
      <c r="H162" s="404">
        <v>7.0</v>
      </c>
      <c r="I162" s="191">
        <v>110.0</v>
      </c>
      <c r="J162" s="171">
        <v>4.0</v>
      </c>
      <c r="K162" s="405" t="s">
        <v>89</v>
      </c>
      <c r="L162" s="406"/>
      <c r="M162" s="407"/>
      <c r="N162" s="239"/>
      <c r="O162" s="239"/>
      <c r="P162" s="239"/>
      <c r="Q162" s="239"/>
      <c r="R162" s="239"/>
      <c r="S162" s="239"/>
      <c r="T162" s="239"/>
      <c r="U162" s="239"/>
      <c r="V162" s="239"/>
      <c r="W162" s="239"/>
      <c r="X162" s="239"/>
      <c r="Y162" s="239"/>
      <c r="Z162" s="239"/>
    </row>
    <row r="163">
      <c r="A163" s="404">
        <v>8.0</v>
      </c>
      <c r="B163" s="191">
        <v>110.0</v>
      </c>
      <c r="C163" s="171">
        <v>10.0</v>
      </c>
      <c r="D163" s="405" t="s">
        <v>89</v>
      </c>
      <c r="E163" s="406"/>
      <c r="F163" s="407"/>
      <c r="G163" s="103"/>
      <c r="H163" s="404">
        <v>8.0</v>
      </c>
      <c r="I163" s="191">
        <v>120.0</v>
      </c>
      <c r="J163" s="171">
        <v>4.0</v>
      </c>
      <c r="K163" s="405" t="s">
        <v>89</v>
      </c>
      <c r="L163" s="406"/>
      <c r="M163" s="407"/>
      <c r="N163" s="103"/>
      <c r="O163" s="103"/>
      <c r="P163" s="103"/>
      <c r="Q163" s="103"/>
      <c r="R163" s="103"/>
      <c r="S163" s="103"/>
      <c r="T163" s="103"/>
      <c r="U163" s="103"/>
      <c r="V163" s="103"/>
      <c r="W163" s="103"/>
      <c r="X163" s="103"/>
      <c r="Y163" s="103"/>
      <c r="Z163" s="103"/>
    </row>
    <row r="164">
      <c r="A164" s="404">
        <v>9.0</v>
      </c>
      <c r="B164" s="191">
        <v>120.0</v>
      </c>
      <c r="C164" s="171">
        <v>10.0</v>
      </c>
      <c r="D164" s="405" t="s">
        <v>89</v>
      </c>
      <c r="E164" s="406"/>
      <c r="F164" s="407"/>
      <c r="G164" s="103"/>
      <c r="H164" s="404">
        <v>9.0</v>
      </c>
      <c r="I164" s="191">
        <v>130.0</v>
      </c>
      <c r="J164" s="171">
        <v>4.0</v>
      </c>
      <c r="K164" s="405" t="s">
        <v>89</v>
      </c>
      <c r="L164" s="406"/>
      <c r="M164" s="407"/>
      <c r="N164" s="103"/>
      <c r="O164" s="103"/>
      <c r="P164" s="103"/>
      <c r="Q164" s="103"/>
      <c r="R164" s="103"/>
      <c r="S164" s="103"/>
      <c r="T164" s="103"/>
      <c r="U164" s="103"/>
      <c r="V164" s="103"/>
      <c r="W164" s="103"/>
      <c r="X164" s="103"/>
      <c r="Y164" s="103"/>
      <c r="Z164" s="103"/>
    </row>
    <row r="165">
      <c r="A165" s="404">
        <v>10.0</v>
      </c>
      <c r="B165" s="408">
        <v>130.0</v>
      </c>
      <c r="C165" s="409">
        <v>10.0</v>
      </c>
      <c r="D165" s="410" t="s">
        <v>89</v>
      </c>
      <c r="E165" s="411"/>
      <c r="F165" s="407"/>
      <c r="G165" s="103"/>
      <c r="H165" s="404">
        <v>10.0</v>
      </c>
      <c r="I165" s="408">
        <v>140.0</v>
      </c>
      <c r="J165" s="409">
        <v>4.0</v>
      </c>
      <c r="K165" s="410" t="s">
        <v>89</v>
      </c>
      <c r="L165" s="411"/>
      <c r="M165" s="407"/>
      <c r="N165" s="103"/>
      <c r="O165" s="103"/>
      <c r="P165" s="103"/>
      <c r="Q165" s="103"/>
      <c r="R165" s="103"/>
      <c r="S165" s="103"/>
      <c r="T165" s="103"/>
      <c r="U165" s="103"/>
      <c r="V165" s="103"/>
      <c r="W165" s="103"/>
      <c r="X165" s="103"/>
      <c r="Y165" s="103"/>
      <c r="Z165" s="103"/>
    </row>
    <row r="166">
      <c r="A166" s="412" t="s">
        <v>132</v>
      </c>
      <c r="B166" s="41">
        <v>150.0</v>
      </c>
      <c r="C166" s="36"/>
      <c r="D166" s="36"/>
      <c r="E166" s="36"/>
      <c r="F166" s="37"/>
      <c r="G166" s="103"/>
      <c r="H166" s="412" t="s">
        <v>132</v>
      </c>
      <c r="I166" s="413"/>
      <c r="J166" s="36"/>
      <c r="K166" s="36"/>
      <c r="L166" s="36"/>
      <c r="M166" s="37"/>
      <c r="N166" s="103"/>
      <c r="O166" s="103"/>
      <c r="P166" s="103"/>
      <c r="Q166" s="103"/>
      <c r="R166" s="103"/>
      <c r="S166" s="103"/>
      <c r="T166" s="103"/>
      <c r="U166" s="103"/>
      <c r="V166" s="103"/>
      <c r="W166" s="103"/>
      <c r="X166" s="103"/>
      <c r="Y166" s="103"/>
      <c r="Z166" s="103"/>
    </row>
    <row r="167">
      <c r="A167" s="277"/>
      <c r="B167" s="277"/>
      <c r="C167" s="277"/>
      <c r="D167" s="277"/>
      <c r="E167" s="360"/>
      <c r="F167" s="277"/>
      <c r="G167" s="277"/>
      <c r="H167" s="414"/>
      <c r="I167" s="415"/>
      <c r="J167" s="415"/>
      <c r="K167" s="416"/>
      <c r="L167" s="417"/>
      <c r="M167" s="417"/>
      <c r="N167" s="277"/>
      <c r="O167" s="277"/>
      <c r="P167" s="277"/>
      <c r="Q167" s="277"/>
      <c r="R167" s="277"/>
      <c r="S167" s="277"/>
      <c r="T167" s="277"/>
      <c r="U167" s="277"/>
      <c r="V167" s="277"/>
      <c r="W167" s="277"/>
      <c r="X167" s="277"/>
      <c r="Y167" s="277"/>
      <c r="Z167" s="277"/>
    </row>
    <row r="168">
      <c r="A168" s="277"/>
      <c r="B168" s="277"/>
      <c r="C168" s="277"/>
      <c r="D168" s="277"/>
      <c r="E168" s="360"/>
      <c r="F168" s="277"/>
      <c r="G168" s="277"/>
      <c r="H168" s="414"/>
      <c r="I168" s="415"/>
      <c r="J168" s="415"/>
      <c r="K168" s="416"/>
      <c r="L168" s="417"/>
      <c r="M168" s="417"/>
      <c r="N168" s="277"/>
      <c r="O168" s="277"/>
      <c r="P168" s="277"/>
      <c r="Q168" s="277"/>
      <c r="R168" s="277"/>
      <c r="S168" s="277"/>
      <c r="T168" s="277"/>
      <c r="U168" s="277"/>
      <c r="V168" s="277"/>
      <c r="W168" s="277"/>
      <c r="X168" s="277"/>
      <c r="Y168" s="277"/>
      <c r="Z168" s="277"/>
    </row>
    <row r="169">
      <c r="A169" s="106" t="s">
        <v>135</v>
      </c>
      <c r="B169" s="36"/>
      <c r="C169" s="36"/>
      <c r="D169" s="36"/>
      <c r="E169" s="36"/>
      <c r="F169" s="37"/>
      <c r="G169" s="418"/>
      <c r="N169" s="418"/>
      <c r="O169" s="103"/>
      <c r="P169" s="103"/>
      <c r="Q169" s="103"/>
      <c r="R169" s="103"/>
      <c r="S169" s="103"/>
      <c r="T169" s="103"/>
      <c r="U169" s="103"/>
      <c r="V169" s="103"/>
      <c r="W169" s="103"/>
      <c r="X169" s="103"/>
      <c r="Y169" s="103"/>
      <c r="Z169" s="103"/>
    </row>
    <row r="170">
      <c r="A170" s="103"/>
      <c r="B170" s="103"/>
      <c r="C170" s="103"/>
      <c r="D170" s="103"/>
      <c r="E170" s="222"/>
      <c r="F170" s="103"/>
      <c r="G170" s="103"/>
      <c r="N170" s="103"/>
      <c r="O170" s="103"/>
      <c r="P170" s="103"/>
      <c r="Q170" s="103"/>
      <c r="R170" s="103"/>
      <c r="S170" s="103"/>
      <c r="T170" s="103"/>
      <c r="U170" s="103"/>
      <c r="V170" s="103"/>
      <c r="W170" s="103"/>
      <c r="X170" s="103"/>
      <c r="Y170" s="103"/>
      <c r="Z170" s="103"/>
    </row>
    <row r="171">
      <c r="A171" s="107" t="str">
        <f>HYPERLINK("https://www.amazon.com/30-Minute-Body-Investment-Champion/dp/0692791892/ref=sr_1_1?ie=UTF8&amp;qid=1490447969&amp;sr=8-1&amp;keywords=30+minute+body","WANT TO LEARN MORE?")</f>
        <v>WANT TO LEARN MORE?</v>
      </c>
      <c r="B171" s="36"/>
      <c r="C171" s="36"/>
      <c r="D171" s="36"/>
      <c r="E171" s="36"/>
      <c r="F171" s="37"/>
      <c r="G171" s="419"/>
      <c r="H171" s="420"/>
      <c r="I171" s="420"/>
      <c r="J171" s="420"/>
      <c r="K171" s="420"/>
      <c r="L171" s="222"/>
      <c r="M171" s="103"/>
      <c r="N171" s="103"/>
      <c r="O171" s="103"/>
      <c r="P171" s="103"/>
      <c r="Q171" s="103"/>
      <c r="R171" s="103"/>
      <c r="S171" s="103"/>
      <c r="T171" s="103"/>
      <c r="U171" s="103"/>
      <c r="V171" s="103"/>
      <c r="W171" s="103"/>
      <c r="X171" s="103"/>
      <c r="Y171" s="103"/>
      <c r="Z171" s="103"/>
    </row>
    <row r="172">
      <c r="A172" s="108"/>
      <c r="B172" s="419"/>
      <c r="C172" s="419"/>
      <c r="D172" s="419"/>
      <c r="E172" s="419"/>
      <c r="F172" s="419"/>
      <c r="G172" s="419"/>
      <c r="H172" s="420"/>
      <c r="I172" s="420"/>
      <c r="J172" s="420"/>
      <c r="K172" s="420"/>
      <c r="L172" s="222"/>
      <c r="M172" s="103"/>
      <c r="N172" s="103"/>
      <c r="O172" s="103"/>
      <c r="P172" s="103"/>
      <c r="Q172" s="103"/>
      <c r="R172" s="103"/>
      <c r="S172" s="103"/>
      <c r="T172" s="103"/>
      <c r="U172" s="103"/>
      <c r="V172" s="103"/>
      <c r="W172" s="103"/>
      <c r="X172" s="103"/>
      <c r="Y172" s="103"/>
      <c r="Z172" s="103"/>
    </row>
    <row r="173">
      <c r="A173" s="419"/>
      <c r="B173" s="421"/>
      <c r="C173" s="111" t="s">
        <v>67</v>
      </c>
      <c r="D173" s="36"/>
      <c r="E173" s="36"/>
      <c r="F173" s="37"/>
      <c r="G173" s="421"/>
      <c r="H173" s="420"/>
      <c r="I173" s="420"/>
      <c r="J173" s="420"/>
      <c r="K173" s="420"/>
      <c r="L173" s="222"/>
      <c r="M173" s="103"/>
      <c r="N173" s="103"/>
      <c r="O173" s="103"/>
      <c r="P173" s="103"/>
      <c r="Q173" s="103"/>
      <c r="R173" s="103"/>
      <c r="S173" s="103"/>
      <c r="T173" s="103"/>
      <c r="U173" s="103"/>
      <c r="V173" s="103"/>
      <c r="W173" s="103"/>
      <c r="X173" s="103"/>
      <c r="Y173" s="103"/>
      <c r="Z173" s="103"/>
    </row>
  </sheetData>
  <mergeCells count="89">
    <mergeCell ref="B58:F58"/>
    <mergeCell ref="G59:G60"/>
    <mergeCell ref="A65:F65"/>
    <mergeCell ref="B66:F66"/>
    <mergeCell ref="A72:F72"/>
    <mergeCell ref="A74:F74"/>
    <mergeCell ref="A76:F76"/>
    <mergeCell ref="A77:F77"/>
    <mergeCell ref="A83:F83"/>
    <mergeCell ref="B84:F84"/>
    <mergeCell ref="A92:F92"/>
    <mergeCell ref="B93:F93"/>
    <mergeCell ref="A100:F100"/>
    <mergeCell ref="B101:F101"/>
    <mergeCell ref="G103:G104"/>
    <mergeCell ref="A109:F109"/>
    <mergeCell ref="A110:F111"/>
    <mergeCell ref="A112:F112"/>
    <mergeCell ref="A113:F113"/>
    <mergeCell ref="B114:F114"/>
    <mergeCell ref="A120:F120"/>
    <mergeCell ref="B145:F145"/>
    <mergeCell ref="A152:F152"/>
    <mergeCell ref="A153:F154"/>
    <mergeCell ref="B166:F166"/>
    <mergeCell ref="A169:F169"/>
    <mergeCell ref="A171:F171"/>
    <mergeCell ref="C173:F173"/>
    <mergeCell ref="B126:F126"/>
    <mergeCell ref="A128:F128"/>
    <mergeCell ref="B129:F129"/>
    <mergeCell ref="G129:G130"/>
    <mergeCell ref="A136:F136"/>
    <mergeCell ref="B137:F137"/>
    <mergeCell ref="A144:F144"/>
    <mergeCell ref="A8:F8"/>
    <mergeCell ref="A9:F9"/>
    <mergeCell ref="H9:M9"/>
    <mergeCell ref="A10:F11"/>
    <mergeCell ref="H10:M10"/>
    <mergeCell ref="A12:F12"/>
    <mergeCell ref="A13:F13"/>
    <mergeCell ref="O18:T18"/>
    <mergeCell ref="O19:T19"/>
    <mergeCell ref="O26:T26"/>
    <mergeCell ref="O28:T28"/>
    <mergeCell ref="P33:T33"/>
    <mergeCell ref="A15:F15"/>
    <mergeCell ref="H15:M15"/>
    <mergeCell ref="O15:T15"/>
    <mergeCell ref="A18:F18"/>
    <mergeCell ref="H18:M18"/>
    <mergeCell ref="A19:F19"/>
    <mergeCell ref="B20:F20"/>
    <mergeCell ref="P20:T20"/>
    <mergeCell ref="H19:M19"/>
    <mergeCell ref="I20:M20"/>
    <mergeCell ref="A26:F26"/>
    <mergeCell ref="G26:G27"/>
    <mergeCell ref="H26:M26"/>
    <mergeCell ref="N26:N27"/>
    <mergeCell ref="H29:M29"/>
    <mergeCell ref="A29:F29"/>
    <mergeCell ref="B32:F32"/>
    <mergeCell ref="I32:M32"/>
    <mergeCell ref="A34:F34"/>
    <mergeCell ref="H34:M34"/>
    <mergeCell ref="G35:G36"/>
    <mergeCell ref="I35:M35"/>
    <mergeCell ref="B35:F35"/>
    <mergeCell ref="A41:F41"/>
    <mergeCell ref="B42:F42"/>
    <mergeCell ref="A48:F48"/>
    <mergeCell ref="A51:F51"/>
    <mergeCell ref="B54:F54"/>
    <mergeCell ref="A57:F57"/>
    <mergeCell ref="I122:M122"/>
    <mergeCell ref="H128:M128"/>
    <mergeCell ref="I129:M129"/>
    <mergeCell ref="H152:M152"/>
    <mergeCell ref="H153:M154"/>
    <mergeCell ref="I166:M166"/>
    <mergeCell ref="H100:M100"/>
    <mergeCell ref="I101:M101"/>
    <mergeCell ref="I106:M106"/>
    <mergeCell ref="H110:M111"/>
    <mergeCell ref="H112:M112"/>
    <mergeCell ref="H113:M113"/>
    <mergeCell ref="A123:F123"/>
  </mergeCells>
  <dataValidations>
    <dataValidation type="decimal" operator="greaterThanOrEqual" allowBlank="1" showDropDown="1" showErrorMessage="1" sqref="M1:M8 M12:M14 T1:T14 M16:M17 T16:T17 T21:T25 T27 T29:T32 M33 F94:F97 M39:M99 F102:F105 M102:M105 M107 M123:M127 F138:F141 M134:M143 M150:M151 F155 M155 E156:F165 L156:M165 L167:M168 M171:M173 T34:T173">
      <formula1>0.0</formula1>
    </dataValidation>
    <dataValidation type="decimal" allowBlank="1" showDropDown="1" showErrorMessage="1" sqref="F147 F149">
      <formula1>0.0</formula1>
      <formula2>500.0</formula2>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1:F7 F14 F16:F17 F21:F25 M21:M25 F27 M27 F30 M30 F33 M36:M38 F36:F40 F55:F56 F59:F64 F67:F71 F78:F82 F85:F91 F98:F99 F107:F108 F127 M130:M133 F134:F135 F142:F143 F167:F168 F170">
      <formula1>0.0</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5"/>
    <col customWidth="1" min="12" max="12" width="12.88"/>
  </cols>
  <sheetData>
    <row r="1">
      <c r="A1" s="422"/>
      <c r="G1" s="423"/>
      <c r="H1" s="423"/>
    </row>
    <row r="9">
      <c r="A9" s="424" t="s">
        <v>114</v>
      </c>
      <c r="B9" s="36"/>
      <c r="C9" s="36"/>
      <c r="D9" s="36"/>
      <c r="E9" s="36"/>
      <c r="F9" s="37"/>
      <c r="H9" s="24" t="s">
        <v>35</v>
      </c>
      <c r="I9" s="25"/>
      <c r="J9" s="25"/>
      <c r="K9" s="25"/>
      <c r="L9" s="25"/>
      <c r="M9" s="26"/>
      <c r="N9" s="423"/>
    </row>
    <row r="10">
      <c r="A10" s="425" t="str">
        <f>'Week 1 MASTER SHEET'!A10</f>
        <v>PRESS TO RECORD BODY WEIGHT</v>
      </c>
      <c r="B10" s="25"/>
      <c r="C10" s="25"/>
      <c r="D10" s="25"/>
      <c r="E10" s="25"/>
      <c r="F10" s="26"/>
      <c r="H10" s="27" t="s">
        <v>136</v>
      </c>
      <c r="M10" s="28"/>
    </row>
    <row r="11">
      <c r="A11" s="336"/>
      <c r="B11" s="11"/>
      <c r="C11" s="11"/>
      <c r="D11" s="11"/>
      <c r="E11" s="11"/>
      <c r="F11" s="46"/>
      <c r="H11" s="29" t="s">
        <v>137</v>
      </c>
      <c r="I11" s="30"/>
      <c r="J11" s="30"/>
      <c r="K11" s="30"/>
      <c r="L11" s="30"/>
      <c r="M11" s="31"/>
    </row>
    <row r="12">
      <c r="A12" s="426" t="s">
        <v>69</v>
      </c>
      <c r="B12" s="11"/>
      <c r="C12" s="11"/>
      <c r="D12" s="11"/>
      <c r="E12" s="11"/>
      <c r="F12" s="46"/>
      <c r="G12" s="423" t="str">
        <f>'Week 1 MASTER SHEET'!H12</f>
        <v/>
      </c>
    </row>
    <row r="13">
      <c r="A13" s="427" t="s">
        <v>117</v>
      </c>
      <c r="B13" s="36"/>
      <c r="C13" s="36"/>
      <c r="D13" s="36"/>
      <c r="E13" s="36"/>
      <c r="F13" s="37"/>
    </row>
    <row r="14">
      <c r="A14" s="428" t="s">
        <v>138</v>
      </c>
    </row>
    <row r="15">
      <c r="A15" s="50" t="s">
        <v>47</v>
      </c>
      <c r="B15" s="36"/>
      <c r="C15" s="36"/>
      <c r="D15" s="36"/>
      <c r="E15" s="36"/>
      <c r="F15" s="37"/>
      <c r="G15" s="423"/>
      <c r="H15" s="429" t="s">
        <v>118</v>
      </c>
      <c r="I15" s="36"/>
      <c r="J15" s="36"/>
      <c r="K15" s="36"/>
      <c r="L15" s="36"/>
      <c r="M15" s="37"/>
      <c r="N15" s="423"/>
      <c r="O15" s="224" t="str">
        <f>'Week 1 MASTER SHEET'!O15</f>
        <v>ALTERNATE WORKOUTS</v>
      </c>
      <c r="P15" s="36"/>
      <c r="Q15" s="36"/>
      <c r="R15" s="36"/>
      <c r="S15" s="36"/>
      <c r="T15" s="37"/>
    </row>
    <row r="16">
      <c r="A16" s="430"/>
      <c r="H16" s="209"/>
      <c r="O16" s="209"/>
    </row>
    <row r="17">
      <c r="A17" s="120"/>
    </row>
    <row r="18">
      <c r="A18" s="431" t="s">
        <v>48</v>
      </c>
      <c r="B18" s="53"/>
      <c r="C18" s="53"/>
      <c r="D18" s="53"/>
      <c r="E18" s="53"/>
      <c r="F18" s="54"/>
      <c r="H18" s="432" t="str">
        <f>'Week 1 MASTER SHEET'!H18</f>
        <v>CHEST &amp; BACK </v>
      </c>
      <c r="I18" s="53"/>
      <c r="J18" s="53"/>
      <c r="K18" s="53"/>
      <c r="L18" s="53"/>
      <c r="M18" s="54"/>
      <c r="N18" s="423"/>
      <c r="O18" s="432" t="str">
        <f>'Week 1 MASTER SHEET'!O18</f>
        <v>CHEST &amp; BACK </v>
      </c>
      <c r="P18" s="53"/>
      <c r="Q18" s="53"/>
      <c r="R18" s="53"/>
      <c r="S18" s="53"/>
      <c r="T18" s="54"/>
    </row>
    <row r="19">
      <c r="A19" s="433" t="str">
        <f>HYPERLINK("https://www.youtube.com/watch?v=iLgUDezDMbU","1. BENCH PRESS")</f>
        <v>1. BENCH PRESS</v>
      </c>
      <c r="B19" s="20"/>
      <c r="C19" s="20"/>
      <c r="D19" s="20"/>
      <c r="E19" s="20"/>
      <c r="F19" s="95"/>
      <c r="G19" s="434" t="s">
        <v>123</v>
      </c>
      <c r="H19" s="433" t="str">
        <f>'Week 1 MASTER SHEET'!H19</f>
        <v>1. MACHINE PRESS</v>
      </c>
      <c r="I19" s="20"/>
      <c r="J19" s="20"/>
      <c r="K19" s="20"/>
      <c r="L19" s="20"/>
      <c r="M19" s="95"/>
      <c r="O19" s="52" t="str">
        <f>'Week 1 MASTER SHEET'!O19</f>
        <v>1. DUMBBELL INCLINE PRESS</v>
      </c>
      <c r="P19" s="53"/>
      <c r="Q19" s="53"/>
      <c r="R19" s="53"/>
      <c r="S19" s="53"/>
      <c r="T19" s="54"/>
    </row>
    <row r="20">
      <c r="A20" s="226" t="s">
        <v>119</v>
      </c>
      <c r="B20" s="227">
        <v>100.0</v>
      </c>
      <c r="C20" s="20"/>
      <c r="D20" s="20"/>
      <c r="E20" s="20"/>
      <c r="F20" s="95"/>
      <c r="G20" s="435" t="s">
        <v>41</v>
      </c>
      <c r="H20" s="226" t="str">
        <f>'Week 1 MASTER SHEET'!H20</f>
        <v>CURRENT MAX</v>
      </c>
      <c r="I20" s="227" t="str">
        <f>'DETERMINING MAX WEEK'!S31</f>
        <v/>
      </c>
      <c r="J20" s="20"/>
      <c r="K20" s="20"/>
      <c r="L20" s="20"/>
      <c r="M20" s="95"/>
      <c r="O20" s="228" t="str">
        <f>'Week 1 MASTER SHEET'!O20</f>
        <v>CURRENT MAX</v>
      </c>
      <c r="P20" s="229">
        <v>75.0</v>
      </c>
      <c r="Q20" s="16"/>
      <c r="R20" s="16"/>
      <c r="S20" s="16"/>
      <c r="T20" s="230"/>
    </row>
    <row r="21">
      <c r="A21" s="231" t="s">
        <v>50</v>
      </c>
      <c r="B21" s="232" t="s">
        <v>51</v>
      </c>
      <c r="C21" s="232" t="s">
        <v>52</v>
      </c>
      <c r="D21" s="232" t="s">
        <v>53</v>
      </c>
      <c r="E21" s="233" t="s">
        <v>54</v>
      </c>
      <c r="F21" s="61" t="s">
        <v>55</v>
      </c>
      <c r="H21" s="231" t="str">
        <f>'Week 1 MASTER SHEET'!H21</f>
        <v>SET</v>
      </c>
      <c r="I21" s="232" t="str">
        <f>'Week 1 MASTER SHEET'!I21</f>
        <v>WEIGHT</v>
      </c>
      <c r="J21" s="232" t="str">
        <f>'Week 1 MASTER SHEET'!J21</f>
        <v>REPS</v>
      </c>
      <c r="K21" s="232" t="str">
        <f>'Week 1 MASTER SHEET'!K21</f>
        <v>REST</v>
      </c>
      <c r="L21" s="233" t="str">
        <f>'Week 1 MASTER SHEET'!L21</f>
        <v>PREVIOUS</v>
      </c>
      <c r="M21" s="61" t="s">
        <v>55</v>
      </c>
      <c r="O21" s="96" t="str">
        <f>'Week 1 MASTER SHEET'!O21</f>
        <v>SET</v>
      </c>
      <c r="P21" s="97" t="str">
        <f>'Week 1 MASTER SHEET'!P21</f>
        <v>WEIGHT</v>
      </c>
      <c r="Q21" s="97" t="str">
        <f>'Week 1 MASTER SHEET'!Q21</f>
        <v>REPS</v>
      </c>
      <c r="R21" s="97" t="str">
        <f>'Week 1 MASTER SHEET'!R21</f>
        <v>REST</v>
      </c>
      <c r="S21" s="98" t="str">
        <f>'Week 1 MASTER SHEET'!S21</f>
        <v>PREVIOUS</v>
      </c>
      <c r="T21" s="61" t="s">
        <v>55</v>
      </c>
    </row>
    <row r="22">
      <c r="A22" s="236">
        <f>'Week 1 MASTER SHEET'!A22</f>
        <v>1</v>
      </c>
      <c r="B22" s="237">
        <f>'Week 1 MASTER SHEET'!B22</f>
        <v>45</v>
      </c>
      <c r="C22" s="237">
        <f>'Week 1 MASTER SHEET'!C22</f>
        <v>6</v>
      </c>
      <c r="D22" s="238" t="str">
        <f>'Week 1 MASTER SHEET'!D22</f>
        <v>30s</v>
      </c>
      <c r="E22" s="66"/>
      <c r="F22" s="67">
        <v>6.0</v>
      </c>
      <c r="H22" s="236">
        <f>'Week 1 MASTER SHEET'!H22</f>
        <v>1</v>
      </c>
      <c r="I22" s="237">
        <f>'Week 1 MASTER SHEET'!I22</f>
        <v>0</v>
      </c>
      <c r="J22" s="237">
        <f>'Week 1 MASTER SHEET'!J22</f>
        <v>6</v>
      </c>
      <c r="K22" s="238" t="str">
        <f>'Week 1 MASTER SHEET'!K22</f>
        <v>30s</v>
      </c>
      <c r="L22" s="66" t="str">
        <f>'Week 1 MASTER SHEET'!L22</f>
        <v/>
      </c>
      <c r="M22" s="67"/>
      <c r="O22" s="240">
        <f>'Week 1 MASTER SHEET'!O22</f>
        <v>1</v>
      </c>
      <c r="P22" s="241">
        <f>'Week 1 MASTER SHEET'!P22</f>
        <v>25</v>
      </c>
      <c r="Q22" s="241">
        <f>'Week 1 MASTER SHEET'!Q22</f>
        <v>6</v>
      </c>
      <c r="R22" s="83" t="str">
        <f>'Week 1 MASTER SHEET'!R22</f>
        <v>1 MIN</v>
      </c>
      <c r="S22" s="84" t="str">
        <f>'Week 1 MASTER SHEET'!S22</f>
        <v/>
      </c>
      <c r="T22" s="67">
        <v>6.0</v>
      </c>
    </row>
    <row r="23">
      <c r="A23" s="236">
        <f>'Week 1 MASTER SHEET'!A23</f>
        <v>2</v>
      </c>
      <c r="B23" s="237">
        <f>'Week 1 MASTER SHEET'!B23</f>
        <v>80</v>
      </c>
      <c r="C23" s="237">
        <f>'Week 1 MASTER SHEET'!C23</f>
        <v>1</v>
      </c>
      <c r="D23" s="238" t="str">
        <f>'Week 1 MASTER SHEET'!D23</f>
        <v>1-2 MIN</v>
      </c>
      <c r="E23" s="66" t="str">
        <f>'Week 1 MASTER SHEET'!E23</f>
        <v/>
      </c>
      <c r="F23" s="67">
        <v>1.0</v>
      </c>
      <c r="H23" s="236">
        <f>'Week 1 MASTER SHEET'!H23</f>
        <v>2</v>
      </c>
      <c r="I23" s="237">
        <f>'Week 1 MASTER SHEET'!I23</f>
        <v>0</v>
      </c>
      <c r="J23" s="237">
        <f>'Week 1 MASTER SHEET'!J23</f>
        <v>1</v>
      </c>
      <c r="K23" s="238" t="str">
        <f>'Week 1 MASTER SHEET'!K23</f>
        <v>1-2 MIN</v>
      </c>
      <c r="L23" s="66" t="str">
        <f>'Week 1 MASTER SHEET'!L23</f>
        <v/>
      </c>
      <c r="M23" s="67"/>
      <c r="O23" s="240">
        <f>'Week 1 MASTER SHEET'!O23</f>
        <v>2</v>
      </c>
      <c r="P23" s="241">
        <f>'Week 1 MASTER SHEET'!P23</f>
        <v>50</v>
      </c>
      <c r="Q23" s="241">
        <f>'Week 1 MASTER SHEET'!Q23</f>
        <v>1</v>
      </c>
      <c r="R23" s="83" t="str">
        <f>'Week 1 MASTER SHEET'!R23</f>
        <v>1 MIN</v>
      </c>
      <c r="S23" s="84" t="str">
        <f>'Week 1 MASTER SHEET'!S23</f>
        <v/>
      </c>
      <c r="T23" s="67">
        <v>1.0</v>
      </c>
    </row>
    <row r="24">
      <c r="A24" s="242">
        <f>'Week 1 MASTER SHEET'!A24</f>
        <v>3</v>
      </c>
      <c r="B24" s="237">
        <f>'Week 1 MASTER SHEET'!B24</f>
        <v>90</v>
      </c>
      <c r="C24" s="82">
        <f>'Week 1 MASTER SHEET'!C24</f>
        <v>1</v>
      </c>
      <c r="D24" s="238" t="str">
        <f>'Week 1 MASTER SHEET'!D24</f>
        <v>1-2 MIN</v>
      </c>
      <c r="E24" s="66" t="str">
        <f>'Week 1 MASTER SHEET'!E24</f>
        <v/>
      </c>
      <c r="F24" s="67">
        <v>1.0</v>
      </c>
      <c r="H24" s="242">
        <f>'Week 1 MASTER SHEET'!H24</f>
        <v>3</v>
      </c>
      <c r="I24" s="237">
        <f>'Week 1 MASTER SHEET'!I24</f>
        <v>0</v>
      </c>
      <c r="J24" s="82">
        <f>'Week 1 MASTER SHEET'!J24</f>
        <v>1</v>
      </c>
      <c r="K24" s="238" t="str">
        <f>'Week 1 MASTER SHEET'!K24</f>
        <v>1-2 MIN</v>
      </c>
      <c r="L24" s="66" t="str">
        <f>'Week 1 MASTER SHEET'!L24</f>
        <v/>
      </c>
      <c r="M24" s="67"/>
      <c r="O24" s="240">
        <f>'Week 1 MASTER SHEET'!O24</f>
        <v>3</v>
      </c>
      <c r="P24" s="241">
        <f>'Week 1 MASTER SHEET'!P24</f>
        <v>65</v>
      </c>
      <c r="Q24" s="63">
        <f>'Week 1 MASTER SHEET'!Q24</f>
        <v>1</v>
      </c>
      <c r="R24" s="83" t="str">
        <f>'Week 1 MASTER SHEET'!R24</f>
        <v>1 MIN</v>
      </c>
      <c r="S24" s="84" t="str">
        <f>'Week 1 MASTER SHEET'!S24</f>
        <v/>
      </c>
      <c r="T24" s="67">
        <v>1.0</v>
      </c>
    </row>
    <row r="25">
      <c r="A25" s="243">
        <f>'Week 1 MASTER SHEET'!A25</f>
        <v>4</v>
      </c>
      <c r="B25" s="237">
        <f>'Week 1 MASTER SHEET'!B25</f>
        <v>100</v>
      </c>
      <c r="C25" s="175">
        <f>'Week 1 MASTER SHEET'!C25</f>
        <v>1</v>
      </c>
      <c r="D25" s="238" t="str">
        <f>'Week 1 MASTER SHEET'!D25</f>
        <v>1-5 MIN</v>
      </c>
      <c r="E25" s="66" t="str">
        <f>'Week 1 MASTER SHEET'!E25</f>
        <v/>
      </c>
      <c r="F25" s="67">
        <v>1.0</v>
      </c>
      <c r="H25" s="243">
        <f>'Week 1 MASTER SHEET'!H25</f>
        <v>4</v>
      </c>
      <c r="I25" s="237" t="str">
        <f>'Week 1 MASTER SHEET'!I25</f>
        <v/>
      </c>
      <c r="J25" s="175">
        <f>'Week 1 MASTER SHEET'!J25</f>
        <v>1</v>
      </c>
      <c r="K25" s="238" t="str">
        <f>'Week 1 MASTER SHEET'!K25</f>
        <v>1-5 MIN</v>
      </c>
      <c r="L25" s="66" t="str">
        <f>'Week 1 MASTER SHEET'!L25</f>
        <v/>
      </c>
      <c r="M25" s="67"/>
      <c r="O25" s="244">
        <f>'Week 1 MASTER SHEET'!O25</f>
        <v>4</v>
      </c>
      <c r="P25" s="241">
        <f>'Week 1 MASTER SHEET'!P25</f>
        <v>75</v>
      </c>
      <c r="Q25" s="245" t="str">
        <f>'Week 1 MASTER SHEET'!Q25</f>
        <v>REP OUT</v>
      </c>
      <c r="R25" s="83" t="str">
        <f>'Week 1 MASTER SHEET'!R25</f>
        <v>1 MIN</v>
      </c>
      <c r="S25" s="84" t="str">
        <f>'Week 1 MASTER SHEET'!S25</f>
        <v/>
      </c>
      <c r="T25" s="67">
        <v>6.0</v>
      </c>
    </row>
    <row r="26">
      <c r="A26" s="246" t="str">
        <f>'Week 1 MASTER SHEET'!A26</f>
        <v>NEW 1 REP MAX ATTEMPT</v>
      </c>
      <c r="B26" s="20"/>
      <c r="C26" s="20"/>
      <c r="D26" s="20"/>
      <c r="E26" s="20"/>
      <c r="F26" s="95"/>
      <c r="H26" s="246" t="str">
        <f>'Week 1 MASTER SHEET'!H26</f>
        <v>PROCEED TO DOWN SETS</v>
      </c>
      <c r="I26" s="20"/>
      <c r="J26" s="20"/>
      <c r="K26" s="20"/>
      <c r="L26" s="20"/>
      <c r="M26" s="95"/>
      <c r="O26" s="248" t="str">
        <f>'Week 1 MASTER SHEET'!O26</f>
        <v>NEW 4 REP MAX ATTEMPT</v>
      </c>
      <c r="T26" s="28"/>
    </row>
    <row r="27">
      <c r="A27" s="249">
        <f>'Week 1 MASTER SHEET'!A27</f>
        <v>5</v>
      </c>
      <c r="B27" s="175">
        <f>'Week 1 MASTER SHEET'!B27</f>
        <v>105</v>
      </c>
      <c r="C27" s="238">
        <f>'Week 1 MASTER SHEET'!C27</f>
        <v>1</v>
      </c>
      <c r="D27" s="238" t="str">
        <f>'Week 1 MASTER SHEET'!D27</f>
        <v>1-5 MIN</v>
      </c>
      <c r="E27" s="238" t="str">
        <f>'Week 1 MASTER SHEET'!E27</f>
        <v/>
      </c>
      <c r="F27" s="67"/>
      <c r="H27" s="249" t="str">
        <f>'Week 1 MASTER SHEET'!H27</f>
        <v/>
      </c>
      <c r="I27" s="175" t="str">
        <f>'Week 1 MASTER SHEET'!I27</f>
        <v/>
      </c>
      <c r="J27" s="238" t="str">
        <f>'Week 1 MASTER SHEET'!J27</f>
        <v/>
      </c>
      <c r="K27" s="238" t="str">
        <f>'Week 1 MASTER SHEET'!K27</f>
        <v/>
      </c>
      <c r="L27" s="250" t="str">
        <f>'Week 1 MASTER SHEET'!L27</f>
        <v/>
      </c>
      <c r="M27" s="67"/>
      <c r="O27" s="251">
        <f>'Week 1 MASTER SHEET'!O27</f>
        <v>5</v>
      </c>
      <c r="P27" s="252">
        <f>'Week 1 MASTER SHEET'!P27</f>
        <v>80</v>
      </c>
      <c r="Q27" s="253" t="str">
        <f>'Week 1 MASTER SHEET'!Q27</f>
        <v>REP OUT</v>
      </c>
      <c r="R27" s="254" t="str">
        <f>'Week 1 MASTER SHEET'!R27</f>
        <v>1 MIN</v>
      </c>
      <c r="S27" s="255" t="str">
        <f>'Week 1 MASTER SHEET'!S27</f>
        <v/>
      </c>
      <c r="T27" s="67">
        <v>3.0</v>
      </c>
    </row>
    <row r="28">
      <c r="A28" s="256" t="str">
        <f>'Week 1 MASTER SHEET'!A28</f>
        <v/>
      </c>
      <c r="B28" s="237" t="str">
        <f>'Week 1 MASTER SHEET'!B28</f>
        <v/>
      </c>
      <c r="C28" s="237" t="str">
        <f>'Week 1 MASTER SHEET'!C28</f>
        <v/>
      </c>
      <c r="D28" s="237" t="str">
        <f>'Week 1 MASTER SHEET'!D28</f>
        <v/>
      </c>
      <c r="E28" s="237" t="str">
        <f>'Week 1 MASTER SHEET'!E28</f>
        <v/>
      </c>
      <c r="F28" s="67"/>
      <c r="H28" s="259" t="str">
        <f>'Week 1 MASTER SHEET'!H28</f>
        <v/>
      </c>
      <c r="I28" s="175" t="str">
        <f>'Week 1 MASTER SHEET'!I28</f>
        <v/>
      </c>
      <c r="J28" s="238" t="str">
        <f>'Week 1 MASTER SHEET'!J28</f>
        <v/>
      </c>
      <c r="K28" s="238" t="str">
        <f>'Week 1 MASTER SHEET'!K28</f>
        <v/>
      </c>
      <c r="L28" s="258"/>
      <c r="M28" s="67"/>
      <c r="O28" s="260" t="str">
        <f>'Week 1 MASTER SHEET'!O28</f>
        <v>DOWN SETS</v>
      </c>
      <c r="P28" s="16"/>
      <c r="Q28" s="16"/>
      <c r="R28" s="16"/>
      <c r="S28" s="16"/>
      <c r="T28" s="230"/>
    </row>
    <row r="29">
      <c r="A29" s="246" t="str">
        <f>'Week 1 MASTER SHEET'!A29</f>
        <v>DOWN SETS</v>
      </c>
      <c r="B29" s="20"/>
      <c r="C29" s="20"/>
      <c r="D29" s="20"/>
      <c r="E29" s="20"/>
      <c r="F29" s="95"/>
      <c r="H29" s="246" t="str">
        <f>'Week 1 MASTER SHEET'!H29</f>
        <v>FILL OUT REP LOG FOR DOWN SETS</v>
      </c>
      <c r="I29" s="20"/>
      <c r="J29" s="20"/>
      <c r="K29" s="20"/>
      <c r="L29" s="20"/>
      <c r="M29" s="95"/>
      <c r="O29" s="91">
        <f>'Week 1 MASTER SHEET'!O29</f>
        <v>6</v>
      </c>
      <c r="P29" s="261">
        <f>'Week 1 MASTER SHEET'!P29</f>
        <v>70</v>
      </c>
      <c r="Q29" s="262" t="str">
        <f>'Week 1 MASTER SHEET'!Q29</f>
        <v>REP OUT</v>
      </c>
      <c r="R29" s="65" t="str">
        <f>'Week 1 MASTER SHEET'!R29</f>
        <v>1 MIN</v>
      </c>
      <c r="S29" s="255" t="str">
        <f>'Week 1 MASTER SHEET'!S29</f>
        <v/>
      </c>
      <c r="T29" s="263">
        <v>6.0</v>
      </c>
    </row>
    <row r="30">
      <c r="A30" s="264">
        <f>'Week 1 MASTER SHEET'!A30</f>
        <v>6</v>
      </c>
      <c r="B30" s="436"/>
      <c r="C30" s="266" t="str">
        <f>'Week 1 MASTER SHEET'!C30</f>
        <v>REP OUT</v>
      </c>
      <c r="D30" s="267" t="str">
        <f>'Week 1 MASTER SHEET'!D30</f>
        <v>1-3 MIN</v>
      </c>
      <c r="E30" s="268" t="str">
        <f>'Week 1 MASTER SHEET'!E30</f>
        <v/>
      </c>
      <c r="F30" s="67"/>
      <c r="H30" s="249" t="str">
        <f>'Week 1 MASTER SHEET'!H30</f>
        <v/>
      </c>
      <c r="I30" s="175" t="str">
        <f>'Week 1 MASTER SHEET'!I30</f>
        <v/>
      </c>
      <c r="J30" s="437" t="str">
        <f>'Week 1 MASTER SHEET'!J30</f>
        <v/>
      </c>
      <c r="K30" s="238" t="str">
        <f>'Week 1 MASTER SHEET'!K30</f>
        <v/>
      </c>
      <c r="L30" s="250" t="str">
        <f>'Week 1 MASTER SHEET'!L30</f>
        <v/>
      </c>
      <c r="M30" s="67"/>
      <c r="O30" s="269">
        <f>'Week 1 MASTER SHEET'!O30</f>
        <v>7</v>
      </c>
      <c r="P30" s="254">
        <f>'Week 1 MASTER SHEET'!P30</f>
        <v>55</v>
      </c>
      <c r="Q30" s="253" t="str">
        <f>'Week 1 MASTER SHEET'!Q30</f>
        <v>REP OUT</v>
      </c>
      <c r="R30" s="65" t="str">
        <f>'Week 1 MASTER SHEET'!R30</f>
        <v>1 MIN</v>
      </c>
      <c r="S30" s="255" t="str">
        <f>'Week 1 MASTER SHEET'!S30</f>
        <v/>
      </c>
      <c r="T30" s="263">
        <v>10.0</v>
      </c>
    </row>
    <row r="31">
      <c r="A31" s="243">
        <f>'Week 1 MASTER SHEET'!A31</f>
        <v>7</v>
      </c>
      <c r="B31" s="238">
        <v>185.0</v>
      </c>
      <c r="C31" s="438" t="str">
        <f>'Week 1 MASTER SHEET'!C31</f>
        <v>REP OUT</v>
      </c>
      <c r="D31" s="237" t="str">
        <f>'Week 1 MASTER SHEET'!D31</f>
        <v>1-3 MIN</v>
      </c>
      <c r="E31" s="237" t="str">
        <f>'Week 1 MASTER SHEET'!E31</f>
        <v/>
      </c>
      <c r="F31" s="271"/>
      <c r="H31" s="259" t="str">
        <f>'Week 1 MASTER SHEET'!H31</f>
        <v/>
      </c>
      <c r="I31" s="175" t="str">
        <f>'Week 1 MASTER SHEET'!I31</f>
        <v/>
      </c>
      <c r="J31" s="437" t="str">
        <f>'Week 1 MASTER SHEET'!J31</f>
        <v/>
      </c>
      <c r="K31" s="238" t="str">
        <f>'Week 1 MASTER SHEET'!K31</f>
        <v/>
      </c>
      <c r="L31" s="258" t="str">
        <f>'Week 1 MASTER SHEET'!L31</f>
        <v/>
      </c>
      <c r="M31" s="271"/>
      <c r="O31" s="269" t="str">
        <f>'Week 1 MASTER SHEET'!O31</f>
        <v/>
      </c>
      <c r="P31" s="254" t="str">
        <f>'Week 1 MASTER SHEET'!P31</f>
        <v/>
      </c>
      <c r="Q31" s="253" t="str">
        <f>'Week 1 MASTER SHEET'!Q31</f>
        <v/>
      </c>
      <c r="R31" s="254" t="str">
        <f>'Week 1 MASTER SHEET'!R31</f>
        <v/>
      </c>
      <c r="S31" s="254" t="str">
        <f>'Week 1 MASTER SHEET'!S31</f>
        <v/>
      </c>
      <c r="T31" s="263"/>
    </row>
    <row r="32">
      <c r="A32" s="272" t="str">
        <f>'Week 1 MASTER SHEET'!A32</f>
        <v>FINAL MAX</v>
      </c>
      <c r="B32" s="273">
        <f>'Week 1 MASTER SHEET'!B32</f>
        <v>100</v>
      </c>
      <c r="C32" s="11"/>
      <c r="D32" s="11"/>
      <c r="E32" s="11"/>
      <c r="F32" s="46"/>
      <c r="H32" s="272" t="str">
        <f>'Week 1 MASTER SHEET'!H32</f>
        <v>FINAL MAX</v>
      </c>
      <c r="I32" s="273" t="str">
        <f>'Week 1 MASTER SHEET'!I32</f>
        <v/>
      </c>
      <c r="J32" s="11"/>
      <c r="K32" s="11"/>
      <c r="L32" s="11"/>
      <c r="M32" s="46"/>
      <c r="O32" s="269" t="str">
        <f>'Week 1 MASTER SHEET'!O32</f>
        <v/>
      </c>
      <c r="P32" s="254" t="str">
        <f>'Week 1 MASTER SHEET'!P32</f>
        <v/>
      </c>
      <c r="Q32" s="253" t="str">
        <f>'Week 1 MASTER SHEET'!Q32</f>
        <v/>
      </c>
      <c r="R32" s="254" t="str">
        <f>'Week 1 MASTER SHEET'!R32</f>
        <v/>
      </c>
      <c r="S32" s="254" t="str">
        <f>'Week 1 MASTER SHEET'!S32</f>
        <v/>
      </c>
      <c r="T32" s="263"/>
    </row>
    <row r="33">
      <c r="A33" s="439"/>
      <c r="H33" s="439"/>
      <c r="O33" s="280" t="str">
        <f>'Week 1 MASTER SHEET'!O33</f>
        <v>FINAL MAX</v>
      </c>
      <c r="P33" s="273">
        <f>'Week 1 MASTER SHEET'!P33</f>
        <v>75</v>
      </c>
      <c r="Q33" s="11"/>
      <c r="R33" s="11"/>
      <c r="S33" s="11"/>
      <c r="T33" s="46"/>
    </row>
    <row r="34">
      <c r="A34" s="440" t="str">
        <f>'Week 1 MASTER SHEET'!A34</f>
        <v>2.DB CHEST FLY</v>
      </c>
      <c r="B34" s="53"/>
      <c r="C34" s="53"/>
      <c r="D34" s="53"/>
      <c r="E34" s="53"/>
      <c r="F34" s="54"/>
      <c r="G34" s="434" t="s">
        <v>123</v>
      </c>
      <c r="H34" s="440" t="str">
        <f>'Week 1 MASTER SHEET'!H34</f>
        <v>2. MACHINE CHEST FLY</v>
      </c>
      <c r="I34" s="53"/>
      <c r="J34" s="53"/>
      <c r="K34" s="53"/>
      <c r="L34" s="53"/>
      <c r="M34" s="54"/>
      <c r="N34" s="435"/>
    </row>
    <row r="35">
      <c r="A35" s="441" t="str">
        <f>'Week 1 MASTER SHEET'!A35</f>
        <v>DBL INC MAX</v>
      </c>
      <c r="B35" s="442">
        <v>30.0</v>
      </c>
      <c r="C35" s="20"/>
      <c r="D35" s="20"/>
      <c r="E35" s="20"/>
      <c r="F35" s="95"/>
      <c r="H35" s="441" t="str">
        <f>'Week 1 MASTER SHEET'!H35</f>
        <v>DBL INC MAX</v>
      </c>
      <c r="I35" s="442">
        <v>75.0</v>
      </c>
      <c r="J35" s="20"/>
      <c r="K35" s="20"/>
      <c r="L35" s="20"/>
      <c r="M35" s="95"/>
    </row>
    <row r="36">
      <c r="A36" s="443" t="str">
        <f>'Week 1 MASTER SHEET'!A36</f>
        <v>SET</v>
      </c>
      <c r="B36" s="444" t="str">
        <f>'Week 1 MASTER SHEET'!B36</f>
        <v>WEIGHT</v>
      </c>
      <c r="C36" s="444" t="str">
        <f>'Week 1 MASTER SHEET'!C36</f>
        <v>REPS</v>
      </c>
      <c r="D36" s="444" t="str">
        <f>'Week 1 MASTER SHEET'!D36</f>
        <v>REST</v>
      </c>
      <c r="E36" s="445" t="str">
        <f>'Week 1 MASTER SHEET'!E36</f>
        <v>PREVIOUS</v>
      </c>
      <c r="F36" s="61" t="s">
        <v>55</v>
      </c>
      <c r="H36" s="443" t="str">
        <f>'Week 1 MASTER SHEET'!H36</f>
        <v>SET</v>
      </c>
      <c r="I36" s="444" t="str">
        <f>'Week 1 MASTER SHEET'!I36</f>
        <v>WEIGHT</v>
      </c>
      <c r="J36" s="444" t="str">
        <f>'Week 1 MASTER SHEET'!J36</f>
        <v>REPS</v>
      </c>
      <c r="K36" s="444" t="str">
        <f>'Week 1 MASTER SHEET'!K36</f>
        <v>REST</v>
      </c>
      <c r="L36" s="445" t="str">
        <f>'Week 1 MASTER SHEET'!L36</f>
        <v>PREVIOUS</v>
      </c>
      <c r="M36" s="61" t="s">
        <v>55</v>
      </c>
    </row>
    <row r="37">
      <c r="A37" s="446">
        <f>'Week 1 MASTER SHEET'!A37</f>
        <v>1</v>
      </c>
      <c r="B37" s="447">
        <f>'Week 1 MASTER SHEET'!B37</f>
        <v>7.5</v>
      </c>
      <c r="C37" s="447">
        <f>'Week 1 MASTER SHEET'!C37</f>
        <v>15</v>
      </c>
      <c r="D37" s="448" t="str">
        <f>'Week 1 MASTER SHEET'!D37</f>
        <v>1 - 2 MIN</v>
      </c>
      <c r="E37" s="449" t="str">
        <f>'Week 1 MASTER SHEET'!E37</f>
        <v/>
      </c>
      <c r="F37" s="450">
        <v>15.0</v>
      </c>
      <c r="H37" s="446">
        <f>'Week 1 MASTER SHEET'!H37</f>
        <v>1</v>
      </c>
      <c r="I37" s="447">
        <f>'Week 1 MASTER SHEET'!I37</f>
        <v>110</v>
      </c>
      <c r="J37" s="447">
        <f>'Week 1 MASTER SHEET'!J37</f>
        <v>15</v>
      </c>
      <c r="K37" s="448" t="str">
        <f>'Week 1 MASTER SHEET'!K37</f>
        <v>1 - 2 MIN</v>
      </c>
      <c r="L37" s="449" t="str">
        <f>'Week 1 MASTER SHEET'!L37</f>
        <v/>
      </c>
      <c r="M37" s="450"/>
    </row>
    <row r="38">
      <c r="A38" s="451">
        <f>'Week 1 MASTER SHEET'!A38</f>
        <v>2</v>
      </c>
      <c r="B38" s="452">
        <f>'Week 1 MASTER SHEET'!B38</f>
        <v>7.5</v>
      </c>
      <c r="C38" s="452">
        <f>'Week 1 MASTER SHEET'!C38</f>
        <v>15</v>
      </c>
      <c r="D38" s="453" t="str">
        <f>'Week 1 MASTER SHEET'!D38</f>
        <v>1 - 2 MIN</v>
      </c>
      <c r="E38" s="454" t="str">
        <f>'Week 1 MASTER SHEET'!E38</f>
        <v/>
      </c>
      <c r="F38" s="450">
        <v>15.0</v>
      </c>
      <c r="H38" s="451">
        <f>'Week 1 MASTER SHEET'!H38</f>
        <v>2</v>
      </c>
      <c r="I38" s="452">
        <f>'Week 1 MASTER SHEET'!I38</f>
        <v>110</v>
      </c>
      <c r="J38" s="452">
        <f>'Week 1 MASTER SHEET'!J38</f>
        <v>15</v>
      </c>
      <c r="K38" s="453" t="str">
        <f>'Week 1 MASTER SHEET'!K38</f>
        <v>1 - 2 MIN</v>
      </c>
      <c r="L38" s="454" t="str">
        <f>'Week 1 MASTER SHEET'!L38</f>
        <v/>
      </c>
      <c r="M38" s="450"/>
    </row>
    <row r="39">
      <c r="A39" s="439"/>
      <c r="H39" s="435"/>
    </row>
    <row r="41">
      <c r="A41" s="440" t="str">
        <f>'Week 1 MASTER SHEET'!A41</f>
        <v>3. LAT PULL DOWN</v>
      </c>
      <c r="B41" s="53"/>
      <c r="C41" s="53"/>
      <c r="D41" s="53"/>
      <c r="E41" s="53"/>
      <c r="F41" s="54"/>
    </row>
    <row r="42">
      <c r="A42" s="226" t="str">
        <f>'Week 1 MASTER SHEET'!A42</f>
        <v>CURRENT MAX</v>
      </c>
      <c r="B42" s="227">
        <v>255.0</v>
      </c>
      <c r="C42" s="20"/>
      <c r="D42" s="20"/>
      <c r="E42" s="20"/>
      <c r="F42" s="95"/>
    </row>
    <row r="43">
      <c r="A43" s="231" t="str">
        <f>'Week 1 MASTER SHEET'!A43</f>
        <v>SET</v>
      </c>
      <c r="B43" s="232" t="str">
        <f>'Week 1 MASTER SHEET'!B43</f>
        <v>WEIGHT</v>
      </c>
      <c r="C43" s="232" t="str">
        <f>'Week 1 MASTER SHEET'!C43</f>
        <v>REPS</v>
      </c>
      <c r="D43" s="232" t="str">
        <f>'Week 1 MASTER SHEET'!D43</f>
        <v>REST</v>
      </c>
      <c r="E43" s="233" t="str">
        <f>'Week 1 MASTER SHEET'!E43</f>
        <v>PREVIOUS</v>
      </c>
      <c r="F43" s="61" t="s">
        <v>55</v>
      </c>
    </row>
    <row r="44">
      <c r="A44" s="236">
        <f>'Week 1 MASTER SHEET'!A44</f>
        <v>1</v>
      </c>
      <c r="B44" s="237">
        <f>'Week 1 MASTER SHEET'!B44</f>
        <v>90</v>
      </c>
      <c r="C44" s="237">
        <f>'Week 1 MASTER SHEET'!C44</f>
        <v>6</v>
      </c>
      <c r="D44" s="238" t="str">
        <f>'Week 1 MASTER SHEET'!D44</f>
        <v>30s</v>
      </c>
      <c r="E44" s="66" t="str">
        <f>'Week 1 MASTER SHEET'!E44</f>
        <v/>
      </c>
      <c r="F44" s="455">
        <v>6.0</v>
      </c>
    </row>
    <row r="45">
      <c r="A45" s="236">
        <f>'Week 1 MASTER SHEET'!A45</f>
        <v>2</v>
      </c>
      <c r="B45" s="237">
        <f>'Week 1 MASTER SHEET'!B45</f>
        <v>165</v>
      </c>
      <c r="C45" s="238">
        <f>'Week 1 MASTER SHEET'!C45</f>
        <v>3</v>
      </c>
      <c r="D45" s="238" t="str">
        <f>'Week 1 MASTER SHEET'!D45</f>
        <v>1-2 MIN</v>
      </c>
      <c r="E45" s="66" t="str">
        <f>'Week 1 MASTER SHEET'!E45</f>
        <v/>
      </c>
      <c r="F45" s="456">
        <v>3.0</v>
      </c>
    </row>
    <row r="46">
      <c r="A46" s="242">
        <f>'Week 1 MASTER SHEET'!A46</f>
        <v>3</v>
      </c>
      <c r="B46" s="237">
        <f>'Week 1 MASTER SHEET'!B46</f>
        <v>230</v>
      </c>
      <c r="C46" s="63">
        <f>'Week 1 MASTER SHEET'!C46</f>
        <v>2</v>
      </c>
      <c r="D46" s="238" t="str">
        <f>'Week 1 MASTER SHEET'!D46</f>
        <v>1-2 MIN</v>
      </c>
      <c r="E46" s="66" t="str">
        <f>'Week 1 MASTER SHEET'!E46</f>
        <v/>
      </c>
      <c r="F46" s="456">
        <v>2.0</v>
      </c>
    </row>
    <row r="47">
      <c r="A47" s="243">
        <f>'Week 1 MASTER SHEET'!A47</f>
        <v>4</v>
      </c>
      <c r="B47" s="237">
        <f>'Week 1 MASTER SHEET'!B47</f>
        <v>255</v>
      </c>
      <c r="C47" s="257">
        <f>'Week 1 MASTER SHEET'!C47</f>
        <v>3</v>
      </c>
      <c r="D47" s="238" t="str">
        <f>'Week 1 MASTER SHEET'!D47</f>
        <v>1-5 MIN</v>
      </c>
      <c r="E47" s="66" t="str">
        <f>'Week 1 MASTER SHEET'!E47</f>
        <v/>
      </c>
      <c r="F47" s="456">
        <v>3.0</v>
      </c>
    </row>
    <row r="48">
      <c r="A48" s="246" t="str">
        <f>'Week 1 MASTER SHEET'!A48</f>
        <v>NEW 4 REP MAX ATTEMPT</v>
      </c>
      <c r="B48" s="20"/>
      <c r="C48" s="20"/>
      <c r="D48" s="20"/>
      <c r="E48" s="20"/>
      <c r="F48" s="95"/>
    </row>
    <row r="49">
      <c r="A49" s="249">
        <f>'Week 1 MASTER SHEET'!A49</f>
        <v>5</v>
      </c>
      <c r="B49" s="175">
        <f>'Week 1 MASTER SHEET'!B49</f>
        <v>260</v>
      </c>
      <c r="C49" s="238">
        <f>'Week 1 MASTER SHEET'!C49</f>
        <v>4</v>
      </c>
      <c r="D49" s="238" t="str">
        <f>'Week 1 MASTER SHEET'!D49</f>
        <v>1-5 MIN</v>
      </c>
      <c r="E49" s="250" t="str">
        <f>'Week 1 MASTER SHEET'!E49</f>
        <v/>
      </c>
      <c r="F49" s="67">
        <v>4.0</v>
      </c>
    </row>
    <row r="50">
      <c r="A50" s="256" t="str">
        <f>'Week 1 MASTER SHEET'!A50</f>
        <v>6</v>
      </c>
      <c r="B50" s="237">
        <f>'Week 1 MASTER SHEET'!B50</f>
        <v>265</v>
      </c>
      <c r="C50" s="257" t="str">
        <f>'Week 1 MASTER SHEET'!C50</f>
        <v>4</v>
      </c>
      <c r="D50" s="257" t="str">
        <f>'Week 1 MASTER SHEET'!D50</f>
        <v>1-5 MIN</v>
      </c>
      <c r="E50" s="258" t="str">
        <f>'Week 1 MASTER SHEET'!E50</f>
        <v/>
      </c>
      <c r="F50" s="67">
        <v>3.0</v>
      </c>
    </row>
    <row r="51">
      <c r="A51" s="246" t="str">
        <f>'Week 1 MASTER SHEET'!A51</f>
        <v>DOWN SETS</v>
      </c>
      <c r="B51" s="20"/>
      <c r="C51" s="20"/>
      <c r="D51" s="20"/>
      <c r="E51" s="20"/>
      <c r="F51" s="95"/>
    </row>
    <row r="52">
      <c r="A52" s="264">
        <f>'Week 1 MASTER SHEET'!A52</f>
        <v>7</v>
      </c>
      <c r="B52" s="265">
        <f>'Week 1 MASTER SHEET'!B52</f>
        <v>210</v>
      </c>
      <c r="C52" s="266" t="str">
        <f>'Week 1 MASTER SHEET'!C52</f>
        <v>REP OUT</v>
      </c>
      <c r="D52" s="267" t="str">
        <f>'Week 1 MASTER SHEET'!D52</f>
        <v>1-3 MIN</v>
      </c>
      <c r="E52" s="268" t="str">
        <f>'Week 1 MASTER SHEET'!E52</f>
        <v/>
      </c>
      <c r="F52" s="67">
        <v>6.0</v>
      </c>
    </row>
    <row r="53">
      <c r="A53" s="243">
        <f>'Week 1 MASTER SHEET'!A53</f>
        <v>8</v>
      </c>
      <c r="B53" s="237">
        <f>'Week 1 MASTER SHEET'!B53</f>
        <v>180</v>
      </c>
      <c r="C53" s="245" t="str">
        <f>'Week 1 MASTER SHEET'!C53</f>
        <v>REP OUT</v>
      </c>
      <c r="D53" s="65" t="str">
        <f>'Week 1 MASTER SHEET'!D53</f>
        <v>1-3 MIN</v>
      </c>
      <c r="E53" s="258" t="str">
        <f>'Week 1 MASTER SHEET'!E53</f>
        <v/>
      </c>
      <c r="F53" s="271">
        <v>5.0</v>
      </c>
    </row>
    <row r="54">
      <c r="A54" s="228" t="str">
        <f>'Week 1 MASTER SHEET'!A54</f>
        <v>FINAL MAX</v>
      </c>
      <c r="B54" s="273">
        <f>'Week 1 MASTER SHEET'!B54</f>
        <v>260</v>
      </c>
      <c r="C54" s="11"/>
      <c r="D54" s="11"/>
      <c r="E54" s="11"/>
      <c r="F54" s="46"/>
    </row>
    <row r="55">
      <c r="A55" s="457"/>
      <c r="B55" s="25"/>
      <c r="C55" s="25"/>
      <c r="D55" s="25"/>
      <c r="E55" s="25"/>
      <c r="F55" s="25"/>
    </row>
    <row r="57">
      <c r="A57" s="440" t="str">
        <f>'Week 1 MASTER SHEET'!A57</f>
        <v>4. MACHINE LOW ROW</v>
      </c>
      <c r="B57" s="53"/>
      <c r="C57" s="53"/>
      <c r="D57" s="53"/>
      <c r="E57" s="53"/>
      <c r="F57" s="54"/>
    </row>
    <row r="58">
      <c r="A58" s="458" t="str">
        <f>'Week 1 MASTER SHEET'!A58</f>
        <v>CURRENT MAX</v>
      </c>
      <c r="B58" s="459">
        <f>'DETERMINING MAX WEEK'!E63</f>
        <v>205</v>
      </c>
      <c r="C58" s="13"/>
      <c r="D58" s="13"/>
      <c r="E58" s="13"/>
      <c r="F58" s="57"/>
    </row>
    <row r="59">
      <c r="A59" s="460" t="str">
        <f>'Week 1 MASTER SHEET'!A59</f>
        <v>SET</v>
      </c>
      <c r="B59" s="461" t="str">
        <f>'Week 1 MASTER SHEET'!B59</f>
        <v>WEIGHT</v>
      </c>
      <c r="C59" s="461" t="str">
        <f>'Week 1 MASTER SHEET'!C59</f>
        <v>REPS</v>
      </c>
      <c r="D59" s="461" t="str">
        <f>'Week 1 MASTER SHEET'!D59</f>
        <v>REST</v>
      </c>
      <c r="E59" s="462" t="str">
        <f>'Week 1 MASTER SHEET'!E59</f>
        <v>PREVIOUS</v>
      </c>
      <c r="F59" s="61" t="s">
        <v>55</v>
      </c>
    </row>
    <row r="60">
      <c r="A60" s="463">
        <f>'Week 1 MASTER SHEET'!A60</f>
        <v>1</v>
      </c>
      <c r="B60" s="464">
        <f>'Week 1 MASTER SHEET'!B60</f>
        <v>185</v>
      </c>
      <c r="C60" s="465" t="str">
        <f>'Week 1 MASTER SHEET'!C60</f>
        <v>REP OUT</v>
      </c>
      <c r="D60" s="464" t="str">
        <f>'Week 1 MASTER SHEET'!D60</f>
        <v>1 MIN</v>
      </c>
      <c r="E60" s="466" t="str">
        <f>'Week 1 MASTER SHEET'!E60</f>
        <v/>
      </c>
      <c r="F60" s="85">
        <v>6.0</v>
      </c>
    </row>
    <row r="61">
      <c r="A61" s="463">
        <f>'Week 1 MASTER SHEET'!A61</f>
        <v>2</v>
      </c>
      <c r="B61" s="464">
        <f>'Week 1 MASTER SHEET'!B61</f>
        <v>175</v>
      </c>
      <c r="C61" s="465" t="str">
        <f>'Week 1 MASTER SHEET'!C61</f>
        <v>REP OUT</v>
      </c>
      <c r="D61" s="464" t="str">
        <f>'Week 1 MASTER SHEET'!D61</f>
        <v>1 MIN</v>
      </c>
      <c r="E61" s="466" t="str">
        <f>'Week 1 MASTER SHEET'!E61</f>
        <v/>
      </c>
      <c r="F61" s="85">
        <v>8.0</v>
      </c>
    </row>
    <row r="62">
      <c r="A62" s="467">
        <f>'Week 1 MASTER SHEET'!A62</f>
        <v>3</v>
      </c>
      <c r="B62" s="468">
        <f>'Week 1 MASTER SHEET'!B62</f>
        <v>175</v>
      </c>
      <c r="C62" s="469" t="str">
        <f>'Week 1 MASTER SHEET'!C62</f>
        <v>REP OUT</v>
      </c>
      <c r="D62" s="468" t="str">
        <f>'Week 1 MASTER SHEET'!D62</f>
        <v>1 MIN</v>
      </c>
      <c r="E62" s="470" t="str">
        <f>'Week 1 MASTER SHEET'!E62</f>
        <v/>
      </c>
      <c r="F62" s="85">
        <v>7.0</v>
      </c>
    </row>
    <row r="63">
      <c r="A63" s="471" t="str">
        <f>'Week 1 MASTER SHEET'!A63</f>
        <v/>
      </c>
      <c r="F63" s="39"/>
    </row>
    <row r="64">
      <c r="A64" s="120"/>
      <c r="F64" s="39"/>
    </row>
    <row r="65">
      <c r="A65" s="440" t="str">
        <f>'Week 1 MASTER SHEET'!A65</f>
        <v>5. MACHINE HIGH ROW</v>
      </c>
      <c r="B65" s="53"/>
      <c r="C65" s="53"/>
      <c r="D65" s="53"/>
      <c r="E65" s="53"/>
      <c r="F65" s="54"/>
    </row>
    <row r="66">
      <c r="A66" s="458" t="str">
        <f>'Week 1 MASTER SHEET'!A66</f>
        <v>CURRENT MAX</v>
      </c>
      <c r="B66" s="459">
        <f>'DETERMINING MAX WEEK'!E80</f>
        <v>60</v>
      </c>
      <c r="C66" s="13"/>
      <c r="D66" s="13"/>
      <c r="E66" s="13"/>
      <c r="F66" s="57"/>
    </row>
    <row r="67">
      <c r="A67" s="460" t="str">
        <f>'Week 1 MASTER SHEET'!A67</f>
        <v>SET</v>
      </c>
      <c r="B67" s="461" t="str">
        <f>'Week 1 MASTER SHEET'!B67</f>
        <v>WEIGHT</v>
      </c>
      <c r="C67" s="461" t="str">
        <f>'Week 1 MASTER SHEET'!C67</f>
        <v>REPS</v>
      </c>
      <c r="D67" s="461" t="str">
        <f>'Week 1 MASTER SHEET'!D67</f>
        <v>REST</v>
      </c>
      <c r="E67" s="462" t="str">
        <f>'Week 1 MASTER SHEET'!E67</f>
        <v>PREVIOUS</v>
      </c>
      <c r="F67" s="61" t="s">
        <v>55</v>
      </c>
    </row>
    <row r="68">
      <c r="A68" s="472">
        <f>'Week 1 MASTER SHEET'!A68</f>
        <v>1</v>
      </c>
      <c r="B68" s="473">
        <f>'Week 1 MASTER SHEET'!B68</f>
        <v>50</v>
      </c>
      <c r="C68" s="474" t="str">
        <f>'Week 1 MASTER SHEET'!C68</f>
        <v>REP OUT</v>
      </c>
      <c r="D68" s="473" t="str">
        <f>'Week 1 MASTER SHEET'!D68</f>
        <v>1 MIN</v>
      </c>
      <c r="E68" s="475" t="str">
        <f>'Week 1 MASTER SHEET'!E68</f>
        <v/>
      </c>
      <c r="F68" s="85">
        <v>7.0</v>
      </c>
    </row>
    <row r="69">
      <c r="A69" s="472">
        <f>'Week 1 MASTER SHEET'!A69</f>
        <v>2</v>
      </c>
      <c r="B69" s="473">
        <f>'Week 1 MASTER SHEET'!B69</f>
        <v>50</v>
      </c>
      <c r="C69" s="474" t="str">
        <f>'Week 1 MASTER SHEET'!C69</f>
        <v>REP OUT</v>
      </c>
      <c r="D69" s="473" t="str">
        <f>'Week 1 MASTER SHEET'!D69</f>
        <v>1 MIN</v>
      </c>
      <c r="E69" s="475" t="str">
        <f>'Week 1 MASTER SHEET'!E69</f>
        <v/>
      </c>
      <c r="F69" s="85">
        <v>10.0</v>
      </c>
    </row>
    <row r="70">
      <c r="A70" s="476">
        <f>'Week 1 MASTER SHEET'!A70</f>
        <v>3</v>
      </c>
      <c r="B70" s="477">
        <f>'Week 1 MASTER SHEET'!B70</f>
        <v>50</v>
      </c>
      <c r="C70" s="478" t="str">
        <f>'Week 1 MASTER SHEET'!C70</f>
        <v>REP OUT</v>
      </c>
      <c r="D70" s="477" t="str">
        <f>'Week 1 MASTER SHEET'!D70</f>
        <v>1 MIN</v>
      </c>
      <c r="E70" s="479" t="str">
        <f>'Week 1 MASTER SHEET'!E70</f>
        <v/>
      </c>
      <c r="F70" s="85"/>
    </row>
    <row r="71">
      <c r="A71" s="480"/>
    </row>
    <row r="72" ht="21.75" customHeight="1">
      <c r="A72" s="481" t="str">
        <f>'Week 1 MASTER SHEET'!A72</f>
        <v>CLICK TO COMPLETE WORKOUT</v>
      </c>
      <c r="B72" s="25"/>
      <c r="C72" s="25"/>
      <c r="D72" s="25"/>
      <c r="E72" s="25"/>
      <c r="F72" s="26"/>
    </row>
    <row r="73" ht="21.75" customHeight="1">
      <c r="A73" s="334"/>
      <c r="B73" s="25"/>
      <c r="C73" s="25"/>
      <c r="D73" s="25"/>
      <c r="E73" s="25"/>
      <c r="F73" s="25"/>
    </row>
    <row r="74" ht="21.75" customHeight="1">
      <c r="A74" s="50" t="str">
        <f>'Week 1 MASTER SHEET'!A74</f>
        <v>DAY 2 </v>
      </c>
      <c r="B74" s="36"/>
      <c r="C74" s="36"/>
      <c r="D74" s="36"/>
      <c r="E74" s="36"/>
      <c r="F74" s="37"/>
    </row>
    <row r="75" ht="21.75" customHeight="1">
      <c r="A75" s="482"/>
      <c r="B75" s="25"/>
      <c r="C75" s="25"/>
      <c r="D75" s="25"/>
      <c r="E75" s="25"/>
      <c r="F75" s="25"/>
    </row>
    <row r="76" ht="21.75" customHeight="1">
      <c r="A76" s="51" t="str">
        <f>'Week 1 MASTER SHEET'!A76</f>
        <v>LEGS</v>
      </c>
      <c r="B76" s="36"/>
      <c r="C76" s="36"/>
      <c r="D76" s="36"/>
      <c r="E76" s="36"/>
      <c r="F76" s="37"/>
    </row>
    <row r="77" ht="21.75" customHeight="1">
      <c r="A77" s="483" t="str">
        <f>'Week 1 MASTER SHEET'!A77</f>
        <v> SISSY SQUATS</v>
      </c>
      <c r="B77" s="13"/>
      <c r="C77" s="13"/>
      <c r="D77" s="13"/>
      <c r="E77" s="13"/>
      <c r="F77" s="57"/>
    </row>
    <row r="78" ht="21.75" customHeight="1">
      <c r="A78" s="460" t="str">
        <f>'Week 1 MASTER SHEET'!A78</f>
        <v>SET</v>
      </c>
      <c r="B78" s="461" t="str">
        <f>'Week 1 MASTER SHEET'!B78</f>
        <v>WEIGHT</v>
      </c>
      <c r="C78" s="461" t="str">
        <f>'Week 1 MASTER SHEET'!C78</f>
        <v>REPS</v>
      </c>
      <c r="D78" s="461" t="str">
        <f>'Week 1 MASTER SHEET'!D78</f>
        <v>REST</v>
      </c>
      <c r="E78" s="462" t="str">
        <f>'Week 1 MASTER SHEET'!E78</f>
        <v>PREVIOUS</v>
      </c>
      <c r="F78" s="61" t="s">
        <v>55</v>
      </c>
    </row>
    <row r="79" ht="21.75" customHeight="1">
      <c r="A79" s="342">
        <f>'Week 1 MASTER SHEET'!A79</f>
        <v>1</v>
      </c>
      <c r="B79" s="343" t="str">
        <f>'Week 1 MASTER SHEET'!B79</f>
        <v>BODY</v>
      </c>
      <c r="C79" s="343">
        <f>'Week 1 MASTER SHEET'!C79</f>
        <v>10</v>
      </c>
      <c r="D79" s="484" t="str">
        <f>'Week 1 MASTER SHEET'!D79</f>
        <v>1-2 MIN</v>
      </c>
      <c r="E79" s="345" t="str">
        <f>'Week 1 MASTER SHEET'!E79</f>
        <v/>
      </c>
      <c r="F79" s="85" t="str">
        <f>'Week 1 MASTER SHEET'!F79</f>
        <v/>
      </c>
    </row>
    <row r="80" ht="21.75" customHeight="1">
      <c r="A80" s="485">
        <f>'Week 1 MASTER SHEET'!A80</f>
        <v>2</v>
      </c>
      <c r="B80" s="486" t="str">
        <f>'Week 1 MASTER SHEET'!B80</f>
        <v>BODY</v>
      </c>
      <c r="C80" s="486">
        <f>'Week 1 MASTER SHEET'!C80</f>
        <v>10</v>
      </c>
      <c r="D80" s="487" t="str">
        <f>'Week 1 MASTER SHEET'!D80</f>
        <v>1-2 MIN</v>
      </c>
      <c r="E80" s="488" t="str">
        <f>'Week 1 MASTER SHEET'!E80</f>
        <v/>
      </c>
      <c r="F80" s="85" t="str">
        <f>'Week 1 MASTER SHEET'!F80</f>
        <v/>
      </c>
    </row>
    <row r="81" ht="21.75" customHeight="1">
      <c r="A81" s="489"/>
    </row>
    <row r="82" ht="21.75" customHeight="1"/>
    <row r="83" ht="21.75" customHeight="1">
      <c r="A83" s="323" t="str">
        <f>'Week 1 MASTER SHEET'!A83</f>
        <v>1. LEG PRESS</v>
      </c>
      <c r="B83" s="53"/>
      <c r="C83" s="53"/>
      <c r="D83" s="53"/>
      <c r="E83" s="53"/>
      <c r="F83" s="54"/>
    </row>
    <row r="84">
      <c r="A84" s="458" t="str">
        <f>'Week 1 MASTER SHEET'!A84</f>
        <v>CURRENT MAX</v>
      </c>
      <c r="B84" s="490">
        <f>'DETERMINING MAX WEEK'!E108</f>
        <v>130</v>
      </c>
      <c r="C84" s="20"/>
      <c r="D84" s="20"/>
      <c r="E84" s="20"/>
      <c r="F84" s="95"/>
    </row>
    <row r="85">
      <c r="A85" s="460" t="str">
        <f>'Week 1 MASTER SHEET'!A85</f>
        <v>SET</v>
      </c>
      <c r="B85" s="461" t="str">
        <f>'Week 1 MASTER SHEET'!B85</f>
        <v>WEIGHT</v>
      </c>
      <c r="C85" s="461" t="str">
        <f>'Week 1 MASTER SHEET'!C85</f>
        <v>REPS</v>
      </c>
      <c r="D85" s="461" t="str">
        <f>'Week 1 MASTER SHEET'!D85</f>
        <v>REST</v>
      </c>
      <c r="E85" s="462" t="str">
        <f>'Week 1 MASTER SHEET'!E85</f>
        <v>PREVIOUS</v>
      </c>
      <c r="F85" s="61" t="s">
        <v>55</v>
      </c>
    </row>
    <row r="86">
      <c r="A86" s="342">
        <v>1.0</v>
      </c>
      <c r="B86" s="491">
        <f>'Week 1 MASTER SHEET'!B86</f>
        <v>45</v>
      </c>
      <c r="C86" s="491">
        <f>'Week 1 MASTER SHEET'!C86</f>
        <v>20</v>
      </c>
      <c r="D86" s="492" t="str">
        <f>'Week 1 MASTER SHEET'!D86</f>
        <v>1-2 MIN</v>
      </c>
      <c r="E86" s="493" t="str">
        <f>'Week 1 MASTER SHEET'!E86</f>
        <v/>
      </c>
      <c r="F86" s="85">
        <v>20.0</v>
      </c>
    </row>
    <row r="87">
      <c r="A87" s="352">
        <v>2.0</v>
      </c>
      <c r="B87" s="491">
        <f>'Week 1 MASTER SHEET'!B87</f>
        <v>65</v>
      </c>
      <c r="C87" s="491">
        <f>'Week 1 MASTER SHEET'!C87</f>
        <v>20</v>
      </c>
      <c r="D87" s="492" t="str">
        <f>'Week 1 MASTER SHEET'!D87</f>
        <v>1-2 MIN</v>
      </c>
      <c r="E87" s="493" t="str">
        <f>'Week 1 MASTER SHEET'!E87</f>
        <v/>
      </c>
      <c r="F87" s="85">
        <v>20.0</v>
      </c>
    </row>
    <row r="88">
      <c r="A88" s="352">
        <v>3.0</v>
      </c>
      <c r="B88" s="491">
        <f>'Week 1 MASTER SHEET'!B88</f>
        <v>100</v>
      </c>
      <c r="C88" s="491">
        <f>'Week 1 MASTER SHEET'!C88</f>
        <v>20</v>
      </c>
      <c r="D88" s="492" t="str">
        <f>'Week 1 MASTER SHEET'!D88</f>
        <v>1-2 MIN</v>
      </c>
      <c r="E88" s="493" t="str">
        <f>'Week 1 MASTER SHEET'!E88</f>
        <v/>
      </c>
      <c r="F88" s="85">
        <v>20.0</v>
      </c>
    </row>
    <row r="89">
      <c r="A89" s="494">
        <v>4.0</v>
      </c>
      <c r="B89" s="495">
        <f>'Week 1 MASTER SHEET'!B89</f>
        <v>130</v>
      </c>
      <c r="C89" s="495">
        <f>'Week 1 MASTER SHEET'!C89</f>
        <v>20</v>
      </c>
      <c r="D89" s="496" t="str">
        <f>'Week 1 MASTER SHEET'!D89</f>
        <v>1-2 MIN</v>
      </c>
      <c r="E89" s="497" t="str">
        <f>'Week 1 MASTER SHEET'!E89</f>
        <v/>
      </c>
      <c r="F89" s="85">
        <v>20.0</v>
      </c>
    </row>
    <row r="90">
      <c r="A90" s="498"/>
    </row>
    <row r="92">
      <c r="A92" s="93" t="str">
        <f>'Week 1 MASTER SHEET'!A92</f>
        <v>2. LEG EXTENSION</v>
      </c>
      <c r="B92" s="53"/>
      <c r="C92" s="53"/>
      <c r="D92" s="53"/>
      <c r="E92" s="53"/>
      <c r="F92" s="54"/>
    </row>
    <row r="93">
      <c r="A93" s="226" t="str">
        <f>'Week 1 MASTER SHEET'!A93</f>
        <v>CURRENT MAX</v>
      </c>
      <c r="B93" s="94">
        <f>'DETERMINING MAX WEEK'!E124</f>
        <v>86</v>
      </c>
      <c r="C93" s="20"/>
      <c r="D93" s="20"/>
      <c r="E93" s="20"/>
      <c r="F93" s="95"/>
    </row>
    <row r="94">
      <c r="A94" s="96" t="str">
        <f>'Week 1 MASTER SHEET'!A94</f>
        <v>SET</v>
      </c>
      <c r="B94" s="97" t="str">
        <f>'Week 1 MASTER SHEET'!B94</f>
        <v>WEIGHT</v>
      </c>
      <c r="C94" s="97" t="str">
        <f>'Week 1 MASTER SHEET'!C94</f>
        <v>REPS</v>
      </c>
      <c r="D94" s="97" t="str">
        <f>'Week 1 MASTER SHEET'!D94</f>
        <v>REST</v>
      </c>
      <c r="E94" s="98" t="str">
        <f>'Week 1 MASTER SHEET'!E94</f>
        <v>PREVIOUS</v>
      </c>
      <c r="F94" s="61" t="s">
        <v>55</v>
      </c>
    </row>
    <row r="95">
      <c r="A95" s="62">
        <f>'Week 1 MASTER SHEET'!A95</f>
        <v>1</v>
      </c>
      <c r="B95" s="99">
        <f>'Week 1 MASTER SHEET'!B95</f>
        <v>90</v>
      </c>
      <c r="C95" s="104" t="str">
        <f>'Week 1 MASTER SHEET'!C95</f>
        <v>REP OUT</v>
      </c>
      <c r="D95" s="83" t="str">
        <f>'Week 1 MASTER SHEET'!D95</f>
        <v>1 MIN</v>
      </c>
      <c r="E95" s="100" t="str">
        <f>'Week 1 MASTER SHEET'!E95</f>
        <v/>
      </c>
      <c r="F95" s="85">
        <v>5.0</v>
      </c>
    </row>
    <row r="96">
      <c r="A96" s="325">
        <f>'Week 1 MASTER SHEET'!A96</f>
        <v>2</v>
      </c>
      <c r="B96" s="326">
        <f>'Week 1 MASTER SHEET'!B96</f>
        <v>80</v>
      </c>
      <c r="C96" s="327" t="str">
        <f>'Week 1 MASTER SHEET'!C96</f>
        <v>REP OUT</v>
      </c>
      <c r="D96" s="83" t="str">
        <f>'Week 1 MASTER SHEET'!D96</f>
        <v>1 MIN</v>
      </c>
      <c r="E96" s="100" t="str">
        <f>'Week 1 MASTER SHEET'!E96</f>
        <v/>
      </c>
      <c r="F96" s="85">
        <v>12.0</v>
      </c>
    </row>
    <row r="97">
      <c r="A97" s="499">
        <f>'Week 1 MASTER SHEET'!A97</f>
        <v>3</v>
      </c>
      <c r="B97" s="82">
        <f>'Week 1 MASTER SHEET'!B97</f>
        <v>75</v>
      </c>
      <c r="C97" s="245" t="str">
        <f>'Week 1 MASTER SHEET'!C97</f>
        <v>REP OUT</v>
      </c>
      <c r="D97" s="500" t="str">
        <f>'Week 1 MASTER SHEET'!D97</f>
        <v>1 MIN</v>
      </c>
      <c r="E97" s="100" t="str">
        <f>'Week 1 MASTER SHEET'!E97</f>
        <v/>
      </c>
      <c r="F97" s="85">
        <v>15.0</v>
      </c>
    </row>
    <row r="98">
      <c r="A98" s="480"/>
    </row>
    <row r="100">
      <c r="A100" s="73" t="str">
        <f>'Week 1 MASTER SHEET'!A100</f>
        <v>3. LEG CURL</v>
      </c>
      <c r="B100" s="53"/>
      <c r="C100" s="53"/>
      <c r="D100" s="53"/>
      <c r="E100" s="53"/>
      <c r="F100" s="54"/>
      <c r="G100" s="324" t="s">
        <v>123</v>
      </c>
      <c r="H100" s="323" t="str">
        <f>'Week 1 MASTER SHEET'!H100</f>
        <v>4. PRONE LEG CURL</v>
      </c>
      <c r="I100" s="53"/>
      <c r="J100" s="53"/>
      <c r="K100" s="53"/>
      <c r="L100" s="53"/>
      <c r="M100" s="54"/>
      <c r="N100" s="423"/>
      <c r="T100" s="423"/>
    </row>
    <row r="101">
      <c r="A101" s="226" t="str">
        <f>'Week 1 MASTER SHEET'!A101</f>
        <v>CURRENT MAX</v>
      </c>
      <c r="B101" s="94">
        <f>'Week 1 MASTER SHEET'!B101</f>
        <v>100</v>
      </c>
      <c r="C101" s="20"/>
      <c r="D101" s="20"/>
      <c r="E101" s="20"/>
      <c r="F101" s="95"/>
      <c r="H101" s="226" t="str">
        <f>'Week 1 MASTER SHEET'!H101</f>
        <v>CURRENT MAX</v>
      </c>
      <c r="I101" s="94">
        <f>'Week 1 MASTER SHEET'!I101</f>
        <v>100</v>
      </c>
      <c r="J101" s="20"/>
      <c r="K101" s="20"/>
      <c r="L101" s="20"/>
      <c r="M101" s="95"/>
    </row>
    <row r="102">
      <c r="A102" s="96" t="str">
        <f>'Week 1 MASTER SHEET'!A102</f>
        <v>SET</v>
      </c>
      <c r="B102" s="97" t="str">
        <f>'Week 1 MASTER SHEET'!B102</f>
        <v>WEIGHT</v>
      </c>
      <c r="C102" s="97" t="str">
        <f>'Week 1 MASTER SHEET'!C102</f>
        <v>REPS</v>
      </c>
      <c r="D102" s="97" t="str">
        <f>'Week 1 MASTER SHEET'!D102</f>
        <v>REST</v>
      </c>
      <c r="E102" s="98" t="str">
        <f>'Week 1 MASTER SHEET'!E102</f>
        <v>PREVIOUS</v>
      </c>
      <c r="F102" s="61" t="s">
        <v>55</v>
      </c>
      <c r="G102" s="234"/>
      <c r="H102" s="96" t="str">
        <f>'Week 1 MASTER SHEET'!H102</f>
        <v>SET</v>
      </c>
      <c r="I102" s="97" t="str">
        <f>'Week 1 MASTER SHEET'!I102</f>
        <v>WEIGHT</v>
      </c>
      <c r="J102" s="97" t="str">
        <f>'Week 1 MASTER SHEET'!J102</f>
        <v>REPS</v>
      </c>
      <c r="K102" s="97" t="str">
        <f>'Week 1 MASTER SHEET'!K102</f>
        <v>REST</v>
      </c>
      <c r="L102" s="98" t="str">
        <f>'Week 1 MASTER SHEET'!L102</f>
        <v>PREVIOUS</v>
      </c>
      <c r="M102" s="61" t="s">
        <v>55</v>
      </c>
    </row>
    <row r="103">
      <c r="A103" s="62">
        <f>'Week 1 MASTER SHEET'!A103</f>
        <v>1</v>
      </c>
      <c r="B103" s="99">
        <f>'Week 1 MASTER SHEET'!B103</f>
        <v>105</v>
      </c>
      <c r="C103" s="104" t="str">
        <f>'Week 1 MASTER SHEET'!C103</f>
        <v>REP OUT</v>
      </c>
      <c r="D103" s="83" t="str">
        <f>'Week 1 MASTER SHEET'!D103</f>
        <v>1 MIN</v>
      </c>
      <c r="E103" s="100" t="str">
        <f>'Week 1 MASTER SHEET'!E103</f>
        <v/>
      </c>
      <c r="F103" s="85">
        <v>12.0</v>
      </c>
      <c r="H103" s="62">
        <f>'Week 1 MASTER SHEET'!H103</f>
        <v>1</v>
      </c>
      <c r="I103" s="99">
        <f>'Week 1 MASTER SHEET'!I103</f>
        <v>105</v>
      </c>
      <c r="J103" s="104" t="str">
        <f>'Week 1 MASTER SHEET'!J103</f>
        <v>REP OUT</v>
      </c>
      <c r="K103" s="83" t="str">
        <f>'Week 1 MASTER SHEET'!K103</f>
        <v>1 MIN</v>
      </c>
      <c r="L103" s="100" t="str">
        <f>'Week 1 MASTER SHEET'!L103</f>
        <v/>
      </c>
      <c r="M103" s="85"/>
    </row>
    <row r="104">
      <c r="A104" s="62">
        <f>'Week 1 MASTER SHEET'!A104</f>
        <v>2</v>
      </c>
      <c r="B104" s="99">
        <f>'Week 1 MASTER SHEET'!B104</f>
        <v>100</v>
      </c>
      <c r="C104" s="104" t="str">
        <f>'Week 1 MASTER SHEET'!C104</f>
        <v>REP OUT</v>
      </c>
      <c r="D104" s="83" t="str">
        <f>'Week 1 MASTER SHEET'!D104</f>
        <v>1 MIN</v>
      </c>
      <c r="E104" s="100" t="str">
        <f>'Week 1 MASTER SHEET'!E104</f>
        <v/>
      </c>
      <c r="F104" s="85">
        <v>10.0</v>
      </c>
      <c r="H104" s="62">
        <f>'Week 1 MASTER SHEET'!H104</f>
        <v>2</v>
      </c>
      <c r="I104" s="99">
        <f>'Week 1 MASTER SHEET'!I104</f>
        <v>85</v>
      </c>
      <c r="J104" s="104" t="str">
        <f>'Week 1 MASTER SHEET'!J104</f>
        <v>REP OUT</v>
      </c>
      <c r="K104" s="83" t="str">
        <f>'Week 1 MASTER SHEET'!K104</f>
        <v>1 MIN</v>
      </c>
      <c r="L104" s="100" t="str">
        <f>'Week 1 MASTER SHEET'!L104</f>
        <v/>
      </c>
      <c r="M104" s="85"/>
    </row>
    <row r="105">
      <c r="A105" s="325">
        <f>'Week 1 MASTER SHEET'!A105</f>
        <v>3</v>
      </c>
      <c r="B105" s="99">
        <f>'Week 1 MASTER SHEET'!B105</f>
        <v>95</v>
      </c>
      <c r="C105" s="104" t="str">
        <f>'Week 1 MASTER SHEET'!C105</f>
        <v>REP OUT</v>
      </c>
      <c r="D105" s="83" t="str">
        <f>'Week 1 MASTER SHEET'!D105</f>
        <v>1 MIN</v>
      </c>
      <c r="E105" s="100" t="str">
        <f>'Week 1 MASTER SHEET'!E105</f>
        <v/>
      </c>
      <c r="F105" s="85">
        <v>12.0</v>
      </c>
      <c r="H105" s="62">
        <f>'Week 1 MASTER SHEET'!H105</f>
        <v>3</v>
      </c>
      <c r="I105" s="99">
        <f>'Week 1 MASTER SHEET'!I105</f>
        <v>70</v>
      </c>
      <c r="J105" s="104" t="str">
        <f>'Week 1 MASTER SHEET'!J105</f>
        <v>REP OUT</v>
      </c>
      <c r="K105" s="83" t="str">
        <f>'Week 1 MASTER SHEET'!K105</f>
        <v>1 MIN</v>
      </c>
      <c r="L105" s="100" t="str">
        <f>'Week 1 MASTER SHEET'!L105</f>
        <v/>
      </c>
      <c r="M105" s="85"/>
    </row>
    <row r="106">
      <c r="A106" s="331" t="str">
        <f>'Week 1 MASTER SHEET'!A106</f>
        <v/>
      </c>
      <c r="B106" s="25"/>
      <c r="C106" s="25"/>
      <c r="D106" s="25"/>
      <c r="E106" s="25"/>
      <c r="F106" s="25"/>
      <c r="H106" s="272" t="str">
        <f>'Week 1 MASTER SHEET'!H106</f>
        <v>FINAL MAX</v>
      </c>
      <c r="I106" s="332">
        <f>'Week 1 MASTER SHEET'!I106</f>
        <v>100</v>
      </c>
      <c r="J106" s="33"/>
      <c r="K106" s="33"/>
      <c r="L106" s="33"/>
      <c r="M106" s="34"/>
    </row>
    <row r="107">
      <c r="A107" s="501" t="str">
        <f>'Week 1 MASTER SHEET'!A72</f>
        <v>CLICK TO COMPLETE WORKOUT</v>
      </c>
      <c r="B107" s="25"/>
      <c r="C107" s="25"/>
      <c r="D107" s="25"/>
      <c r="E107" s="25"/>
      <c r="F107" s="26"/>
      <c r="G107" s="423"/>
      <c r="N107" s="423"/>
    </row>
    <row r="108">
      <c r="A108" s="336"/>
      <c r="B108" s="11"/>
      <c r="C108" s="11"/>
      <c r="D108" s="11"/>
      <c r="E108" s="11"/>
      <c r="F108" s="46"/>
    </row>
    <row r="109">
      <c r="A109" s="502" t="str">
        <f>'Week 1 MASTER SHEET'!A109</f>
        <v>DAY 3</v>
      </c>
      <c r="B109" s="11"/>
      <c r="C109" s="11"/>
      <c r="D109" s="11"/>
      <c r="E109" s="11"/>
      <c r="F109" s="46"/>
    </row>
    <row r="110">
      <c r="A110" s="334"/>
      <c r="B110" s="25"/>
      <c r="C110" s="25"/>
      <c r="D110" s="25"/>
      <c r="E110" s="25"/>
      <c r="F110" s="25"/>
      <c r="G110" s="423"/>
      <c r="H110" s="335" t="str">
        <f>'Week 1 MASTER SHEET'!H110</f>
        <v>WATCH THIS BEFORE MACHINE PRESS</v>
      </c>
      <c r="I110" s="25"/>
      <c r="J110" s="25"/>
      <c r="K110" s="25"/>
      <c r="L110" s="25"/>
      <c r="M110" s="26"/>
      <c r="T110" s="423"/>
    </row>
    <row r="111">
      <c r="H111" s="336"/>
      <c r="I111" s="11"/>
      <c r="J111" s="11"/>
      <c r="K111" s="11"/>
      <c r="L111" s="11"/>
      <c r="M111" s="46"/>
    </row>
    <row r="112">
      <c r="A112" s="503" t="str">
        <f>'Week 1 MASTER SHEET'!A112</f>
        <v>SHOULDERS &amp; ARMS</v>
      </c>
      <c r="B112" s="36"/>
      <c r="C112" s="36"/>
      <c r="D112" s="36"/>
      <c r="E112" s="36"/>
      <c r="F112" s="37"/>
      <c r="H112" s="337" t="str">
        <f>'Week 1 MASTER SHEET'!H112</f>
        <v>SHOULDERS &amp; ARMS</v>
      </c>
      <c r="I112" s="36"/>
      <c r="J112" s="36"/>
      <c r="K112" s="36"/>
      <c r="L112" s="36"/>
      <c r="M112" s="37"/>
    </row>
    <row r="113">
      <c r="A113" s="504" t="str">
        <f>'Week 1 MASTER SHEET'!A113</f>
        <v>1. SHOULDER PRESS</v>
      </c>
      <c r="B113" s="53"/>
      <c r="C113" s="53"/>
      <c r="D113" s="53"/>
      <c r="E113" s="53"/>
      <c r="F113" s="54"/>
      <c r="H113" s="339" t="str">
        <f>'Week 1 MASTER SHEET'!H113</f>
        <v>1.MACHINE SHOULDER PRESS</v>
      </c>
      <c r="I113" s="53"/>
      <c r="J113" s="53"/>
      <c r="K113" s="53"/>
      <c r="L113" s="53"/>
      <c r="M113" s="54"/>
    </row>
    <row r="114">
      <c r="A114" s="226" t="str">
        <f>'Week 1 MASTER SHEET'!A114</f>
        <v>CURRENT MAX</v>
      </c>
      <c r="B114" s="227">
        <v>70.0</v>
      </c>
      <c r="C114" s="20"/>
      <c r="D114" s="20"/>
      <c r="E114" s="20"/>
      <c r="F114" s="95"/>
      <c r="H114" s="96" t="str">
        <f>'Week 1 MASTER SHEET'!H114</f>
        <v>SET</v>
      </c>
      <c r="I114" s="97" t="str">
        <f>'Week 1 MASTER SHEET'!I114</f>
        <v>WEIGHT</v>
      </c>
      <c r="J114" s="97" t="str">
        <f>'Week 1 MASTER SHEET'!J114</f>
        <v>REPS</v>
      </c>
      <c r="K114" s="97" t="str">
        <f>'Week 1 MASTER SHEET'!K114</f>
        <v>REST</v>
      </c>
      <c r="L114" s="341" t="str">
        <f>'Week 1 MASTER SHEET'!L114</f>
        <v>PREVIOUS</v>
      </c>
      <c r="M114" s="235" t="str">
        <f>'Week 1 MASTER SHEET'!M114</f>
        <v>REP LOG</v>
      </c>
    </row>
    <row r="115">
      <c r="A115" s="231" t="str">
        <f>'Week 1 MASTER SHEET'!A115</f>
        <v>SET</v>
      </c>
      <c r="B115" s="232" t="str">
        <f>'Week 1 MASTER SHEET'!B115</f>
        <v>WEIGHT</v>
      </c>
      <c r="C115" s="232" t="str">
        <f>'Week 1 MASTER SHEET'!C115</f>
        <v>REPS</v>
      </c>
      <c r="D115" s="232" t="str">
        <f>'Week 1 MASTER SHEET'!D115</f>
        <v>REST</v>
      </c>
      <c r="E115" s="233" t="str">
        <f>'Week 1 MASTER SHEET'!E115</f>
        <v>PREVIOUS</v>
      </c>
      <c r="F115" s="61" t="s">
        <v>55</v>
      </c>
      <c r="H115" s="342">
        <f>'Week 1 MASTER SHEET'!H115</f>
        <v>1</v>
      </c>
      <c r="I115" s="343">
        <f>'Week 1 MASTER SHEET'!I115</f>
        <v>40</v>
      </c>
      <c r="J115" s="344">
        <f>'Week 1 MASTER SHEET'!J115</f>
        <v>10</v>
      </c>
      <c r="K115" s="345" t="str">
        <f>'Week 1 MASTER SHEET'!K115</f>
        <v>1-5 MIN</v>
      </c>
      <c r="L115" s="346" t="str">
        <f>'Week 1 MASTER SHEET'!L115</f>
        <v/>
      </c>
      <c r="M115" s="85"/>
    </row>
    <row r="116">
      <c r="A116" s="236">
        <f>'Week 1 MASTER SHEET'!A116</f>
        <v>1</v>
      </c>
      <c r="B116" s="237">
        <f>'Week 1 MASTER SHEET'!B116</f>
        <v>25</v>
      </c>
      <c r="C116" s="237">
        <f>'Week 1 MASTER SHEET'!C116</f>
        <v>6</v>
      </c>
      <c r="D116" s="238" t="str">
        <f>'Week 1 MASTER SHEET'!D116</f>
        <v>30s</v>
      </c>
      <c r="E116" s="66" t="str">
        <f>'Week 1 MASTER SHEET'!E116</f>
        <v/>
      </c>
      <c r="F116" s="67">
        <v>0.0</v>
      </c>
      <c r="H116" s="342">
        <f>'Week 1 MASTER SHEET'!H116</f>
        <v>2</v>
      </c>
      <c r="I116" s="348">
        <f>'Week 1 MASTER SHEET'!I116</f>
        <v>60</v>
      </c>
      <c r="J116" s="344">
        <f>'Week 1 MASTER SHEET'!J116</f>
        <v>10</v>
      </c>
      <c r="K116" s="345" t="str">
        <f>'Week 1 MASTER SHEET'!K116</f>
        <v>1-5 MIN</v>
      </c>
      <c r="L116" s="346" t="str">
        <f>'Week 1 MASTER SHEET'!L116</f>
        <v/>
      </c>
      <c r="M116" s="85"/>
    </row>
    <row r="117">
      <c r="A117" s="236">
        <f>'Week 1 MASTER SHEET'!A117</f>
        <v>2</v>
      </c>
      <c r="B117" s="237">
        <f>'Week 1 MASTER SHEET'!B117</f>
        <v>45</v>
      </c>
      <c r="C117" s="237">
        <f>'Week 1 MASTER SHEET'!C117</f>
        <v>1</v>
      </c>
      <c r="D117" s="238" t="str">
        <f>'Week 1 MASTER SHEET'!D117</f>
        <v>1-2 MIN</v>
      </c>
      <c r="E117" s="66" t="str">
        <f>'Week 1 MASTER SHEET'!E117</f>
        <v/>
      </c>
      <c r="F117" s="67">
        <v>0.0</v>
      </c>
      <c r="H117" s="342">
        <f>'Week 1 MASTER SHEET'!H117</f>
        <v>3</v>
      </c>
      <c r="I117" s="348">
        <f>'Week 1 MASTER SHEET'!I117</f>
        <v>80</v>
      </c>
      <c r="J117" s="344">
        <f>'Week 1 MASTER SHEET'!J117</f>
        <v>10</v>
      </c>
      <c r="K117" s="345" t="str">
        <f>'Week 1 MASTER SHEET'!K117</f>
        <v>1-5 MIN</v>
      </c>
      <c r="L117" s="346" t="str">
        <f>'Week 1 MASTER SHEET'!L117</f>
        <v/>
      </c>
      <c r="M117" s="85"/>
    </row>
    <row r="118">
      <c r="A118" s="242">
        <f>'Week 1 MASTER SHEET'!A118</f>
        <v>3</v>
      </c>
      <c r="B118" s="237">
        <f>'Week 1 MASTER SHEET'!B118</f>
        <v>65</v>
      </c>
      <c r="C118" s="82">
        <f>'Week 1 MASTER SHEET'!C118</f>
        <v>1</v>
      </c>
      <c r="D118" s="238" t="str">
        <f>'Week 1 MASTER SHEET'!D118</f>
        <v>1-2 MIN</v>
      </c>
      <c r="E118" s="66" t="str">
        <f>'Week 1 MASTER SHEET'!E118</f>
        <v/>
      </c>
      <c r="F118" s="67">
        <v>0.0</v>
      </c>
      <c r="H118" s="342">
        <f>'Week 1 MASTER SHEET'!H118</f>
        <v>4</v>
      </c>
      <c r="I118" s="348">
        <f>'Week 1 MASTER SHEET'!I118</f>
        <v>90</v>
      </c>
      <c r="J118" s="344">
        <f>'Week 1 MASTER SHEET'!J118</f>
        <v>10</v>
      </c>
      <c r="K118" s="345" t="str">
        <f>'Week 1 MASTER SHEET'!K118</f>
        <v>1-5 MIN</v>
      </c>
      <c r="L118" s="346" t="str">
        <f>'Week 1 MASTER SHEET'!L118</f>
        <v/>
      </c>
      <c r="M118" s="85"/>
    </row>
    <row r="119">
      <c r="A119" s="243">
        <f>'Week 1 MASTER SHEET'!A119</f>
        <v>4</v>
      </c>
      <c r="B119" s="237">
        <f>'Week 1 MASTER SHEET'!B119</f>
        <v>70</v>
      </c>
      <c r="C119" s="175">
        <f>'Week 1 MASTER SHEET'!C119</f>
        <v>1</v>
      </c>
      <c r="D119" s="238" t="str">
        <f>'Week 1 MASTER SHEET'!D119</f>
        <v>1-5 MIN</v>
      </c>
      <c r="E119" s="66" t="str">
        <f>'Week 1 MASTER SHEET'!E119</f>
        <v/>
      </c>
      <c r="F119" s="67">
        <v>0.0</v>
      </c>
      <c r="H119" s="342">
        <f>'Week 1 MASTER SHEET'!H119</f>
        <v>5</v>
      </c>
      <c r="I119" s="348">
        <f>'Week 1 MASTER SHEET'!I119</f>
        <v>100</v>
      </c>
      <c r="J119" s="344">
        <f>'Week 1 MASTER SHEET'!J119</f>
        <v>10</v>
      </c>
      <c r="K119" s="345" t="str">
        <f>'Week 1 MASTER SHEET'!K119</f>
        <v>1-5 MIN</v>
      </c>
      <c r="L119" s="346" t="str">
        <f>'Week 1 MASTER SHEET'!L119</f>
        <v/>
      </c>
      <c r="M119" s="85"/>
    </row>
    <row r="120">
      <c r="A120" s="246" t="str">
        <f>'Week 1 MASTER SHEET'!A120</f>
        <v>PROCEED TO DOWN SETS</v>
      </c>
      <c r="B120" s="20"/>
      <c r="C120" s="20"/>
      <c r="D120" s="20"/>
      <c r="E120" s="20"/>
      <c r="F120" s="95"/>
      <c r="H120" s="342">
        <f>'Week 1 MASTER SHEET'!H120</f>
        <v>6</v>
      </c>
      <c r="I120" s="348">
        <f>'Week 1 MASTER SHEET'!I120</f>
        <v>110</v>
      </c>
      <c r="J120" s="344">
        <f>'Week 1 MASTER SHEET'!J120</f>
        <v>10</v>
      </c>
      <c r="K120" s="345" t="str">
        <f>'Week 1 MASTER SHEET'!K120</f>
        <v>1-5 MIN</v>
      </c>
      <c r="L120" s="351"/>
      <c r="M120" s="85"/>
    </row>
    <row r="121">
      <c r="A121" s="249" t="str">
        <f>'Week 1 MASTER SHEET'!A121</f>
        <v/>
      </c>
      <c r="B121" s="175" t="str">
        <f>'Week 1 MASTER SHEET'!B121</f>
        <v/>
      </c>
      <c r="C121" s="238" t="str">
        <f>'Week 1 MASTER SHEET'!C121</f>
        <v/>
      </c>
      <c r="D121" s="238" t="str">
        <f>'Week 1 MASTER SHEET'!D121</f>
        <v/>
      </c>
      <c r="E121" s="250" t="str">
        <f>'Week 1 MASTER SHEET'!E121</f>
        <v/>
      </c>
      <c r="F121" s="67"/>
      <c r="H121" s="352">
        <f>'Week 1 MASTER SHEET'!H121</f>
        <v>7</v>
      </c>
      <c r="I121" s="353">
        <f>'Week 1 MASTER SHEET'!I121</f>
        <v>120</v>
      </c>
      <c r="J121" s="354">
        <f>'Week 1 MASTER SHEET'!J121</f>
        <v>10</v>
      </c>
      <c r="K121" s="355" t="str">
        <f>'Week 1 MASTER SHEET'!K121</f>
        <v>1-5 MIN</v>
      </c>
      <c r="L121" s="356" t="str">
        <f>'Week 1 MASTER SHEET'!L121</f>
        <v/>
      </c>
      <c r="M121" s="85"/>
    </row>
    <row r="122">
      <c r="A122" s="259" t="str">
        <f>'Week 1 MASTER SHEET'!A122</f>
        <v/>
      </c>
      <c r="B122" s="237" t="str">
        <f>'Week 1 MASTER SHEET'!B122</f>
        <v/>
      </c>
      <c r="C122" s="257" t="str">
        <f>'Week 1 MASTER SHEET'!C122</f>
        <v/>
      </c>
      <c r="D122" s="257" t="str">
        <f>'Week 1 MASTER SHEET'!D122</f>
        <v/>
      </c>
      <c r="E122" s="258" t="str">
        <f>'Week 1 MASTER SHEET'!E122</f>
        <v/>
      </c>
      <c r="F122" s="67"/>
      <c r="H122" s="505" t="str">
        <f>'Week 1 MASTER SHEET'!H122</f>
        <v>INSERT MAX</v>
      </c>
      <c r="I122" s="358" t="str">
        <f>'Week 1 MASTER SHEET'!I122</f>
        <v/>
      </c>
      <c r="J122" s="36"/>
      <c r="K122" s="36"/>
      <c r="L122" s="36"/>
      <c r="M122" s="37"/>
    </row>
    <row r="123">
      <c r="A123" s="246" t="str">
        <f>'Week 1 MASTER SHEET'!A123</f>
        <v>DOWN SETS</v>
      </c>
      <c r="B123" s="20"/>
      <c r="C123" s="20"/>
      <c r="D123" s="20"/>
      <c r="E123" s="20"/>
      <c r="F123" s="95"/>
      <c r="G123" s="423"/>
    </row>
    <row r="124">
      <c r="A124" s="264">
        <f>'Week 1 MASTER SHEET'!A124</f>
        <v>5</v>
      </c>
      <c r="B124" s="265">
        <f>'Week 1 MASTER SHEET'!B124</f>
        <v>60</v>
      </c>
      <c r="C124" s="266" t="str">
        <f>'Week 1 MASTER SHEET'!C124</f>
        <v>REP OUT</v>
      </c>
      <c r="D124" s="267" t="str">
        <f>'Week 1 MASTER SHEET'!D124</f>
        <v>1-3 MIN</v>
      </c>
      <c r="E124" s="268" t="str">
        <f>'Week 1 MASTER SHEET'!E124</f>
        <v/>
      </c>
      <c r="F124" s="85">
        <v>0.0</v>
      </c>
    </row>
    <row r="125">
      <c r="A125" s="264">
        <f>'Week 1 MASTER SHEET'!A125</f>
        <v>6</v>
      </c>
      <c r="B125" s="237">
        <f>'Week 1 MASTER SHEET'!B125</f>
        <v>50</v>
      </c>
      <c r="C125" s="245" t="str">
        <f>'Week 1 MASTER SHEET'!C125</f>
        <v>REP OUT</v>
      </c>
      <c r="D125" s="65" t="str">
        <f>'Week 1 MASTER SHEET'!D125</f>
        <v>1-3 MIN</v>
      </c>
      <c r="E125" s="258" t="str">
        <f>'Week 1 MASTER SHEET'!E125</f>
        <v/>
      </c>
      <c r="F125" s="85">
        <v>0.0</v>
      </c>
    </row>
    <row r="126">
      <c r="A126" s="272" t="str">
        <f>'Week 1 MASTER SHEET'!A126</f>
        <v>FINAL MAX</v>
      </c>
      <c r="B126" s="273">
        <f>'Week 1 MASTER SHEET'!B126</f>
        <v>65</v>
      </c>
      <c r="C126" s="11"/>
      <c r="D126" s="11"/>
      <c r="E126" s="11"/>
      <c r="F126" s="46"/>
    </row>
    <row r="127">
      <c r="A127" s="506"/>
    </row>
    <row r="128">
      <c r="A128" s="74" t="str">
        <f>'Week 1 MASTER SHEET'!A128</f>
        <v>2. CABLE HIGH PULLEY ROW</v>
      </c>
      <c r="B128" s="53"/>
      <c r="C128" s="53"/>
      <c r="D128" s="53"/>
      <c r="E128" s="53"/>
      <c r="F128" s="54"/>
      <c r="G128" s="423"/>
      <c r="H128" s="74" t="str">
        <f>'Week 1 MASTER SHEET'!H128</f>
        <v>2. MACHINE REAR DELT FLYS </v>
      </c>
      <c r="I128" s="53"/>
      <c r="J128" s="53"/>
      <c r="K128" s="53"/>
      <c r="L128" s="53"/>
      <c r="M128" s="54"/>
    </row>
    <row r="129">
      <c r="A129" s="226" t="str">
        <f>'Week 1 MASTER SHEET'!A129</f>
        <v>SHLDR PRSS MAX</v>
      </c>
      <c r="B129" s="94">
        <f>'Week 1 MASTER SHEET'!B129</f>
        <v>65</v>
      </c>
      <c r="C129" s="20"/>
      <c r="D129" s="20"/>
      <c r="E129" s="20"/>
      <c r="F129" s="95"/>
      <c r="G129" s="423"/>
      <c r="H129" s="226" t="str">
        <f>'Week 1 MASTER SHEET'!H129</f>
        <v>CURRENT MAX</v>
      </c>
      <c r="I129" s="94">
        <f>'Week 1 MASTER SHEET'!I129</f>
        <v>65</v>
      </c>
      <c r="J129" s="20"/>
      <c r="K129" s="20"/>
      <c r="L129" s="20"/>
      <c r="M129" s="95"/>
    </row>
    <row r="130">
      <c r="A130" s="96" t="str">
        <f>'Week 1 MASTER SHEET'!A130</f>
        <v>SET</v>
      </c>
      <c r="B130" s="97" t="str">
        <f>'Week 1 MASTER SHEET'!B130</f>
        <v>WEIGHT</v>
      </c>
      <c r="C130" s="97" t="str">
        <f>'Week 1 MASTER SHEET'!C130</f>
        <v>REPS</v>
      </c>
      <c r="D130" s="97" t="str">
        <f>'Week 1 MASTER SHEET'!D130</f>
        <v>REST</v>
      </c>
      <c r="E130" s="507" t="str">
        <f>'Week 1 MASTER SHEET'!E130</f>
        <v>PREVIOUS</v>
      </c>
      <c r="F130" s="61" t="s">
        <v>55</v>
      </c>
      <c r="G130" s="423"/>
      <c r="H130" s="96" t="str">
        <f>'Week 1 MASTER SHEET'!H130</f>
        <v>SET</v>
      </c>
      <c r="I130" s="97" t="str">
        <f>'Week 1 MASTER SHEET'!I130</f>
        <v>WEIGHT</v>
      </c>
      <c r="J130" s="97" t="str">
        <f>'Week 1 MASTER SHEET'!J130</f>
        <v>REPS</v>
      </c>
      <c r="K130" s="97" t="str">
        <f>'Week 1 MASTER SHEET'!K130</f>
        <v>REST</v>
      </c>
      <c r="L130" s="507" t="str">
        <f>'Week 1 MASTER SHEET'!L130</f>
        <v>PREVIOUS</v>
      </c>
      <c r="M130" s="61" t="s">
        <v>55</v>
      </c>
    </row>
    <row r="131">
      <c r="A131" s="236">
        <f>'Week 1 MASTER SHEET'!A131</f>
        <v>1</v>
      </c>
      <c r="B131" s="237">
        <f>'Week 1 MASTER SHEET'!B131</f>
        <v>90</v>
      </c>
      <c r="C131" s="237">
        <f>'Week 1 MASTER SHEET'!C131</f>
        <v>15</v>
      </c>
      <c r="D131" s="237" t="str">
        <f>'Week 1 MASTER SHEET'!D131</f>
        <v>1-3 MIN</v>
      </c>
      <c r="E131" s="508" t="str">
        <f>'Week 1 MASTER SHEET'!E131</f>
        <v/>
      </c>
      <c r="F131" s="85"/>
      <c r="G131" s="509" t="str">
        <f>'Week 1 MASTER SHEET'!G129</f>
        <v>ALTERNATE</v>
      </c>
      <c r="H131" s="236">
        <f>'Week 1 MASTER SHEET'!H131</f>
        <v>1</v>
      </c>
      <c r="I131" s="237">
        <f>'Week 1 MASTER SHEET'!I131</f>
        <v>100</v>
      </c>
      <c r="J131" s="237">
        <f>'Week 1 MASTER SHEET'!J131</f>
        <v>20</v>
      </c>
      <c r="K131" s="237" t="str">
        <f>'Week 1 MASTER SHEET'!K131</f>
        <v>1 MIN</v>
      </c>
      <c r="L131" s="508" t="str">
        <f>'Week 1 MASTER SHEET'!L131</f>
        <v/>
      </c>
      <c r="M131" s="85"/>
    </row>
    <row r="132">
      <c r="A132" s="236">
        <f>'Week 1 MASTER SHEET'!A132</f>
        <v>2</v>
      </c>
      <c r="B132" s="237">
        <f>'Week 1 MASTER SHEET'!B132</f>
        <v>70</v>
      </c>
      <c r="C132" s="237">
        <f>'Week 1 MASTER SHEET'!C132</f>
        <v>15</v>
      </c>
      <c r="D132" s="237" t="str">
        <f>'Week 1 MASTER SHEET'!D132</f>
        <v>1-3 MIN</v>
      </c>
      <c r="E132" s="508" t="str">
        <f>'Week 1 MASTER SHEET'!E132</f>
        <v/>
      </c>
      <c r="F132" s="85"/>
      <c r="H132" s="236">
        <f>'Week 1 MASTER SHEET'!H132</f>
        <v>2</v>
      </c>
      <c r="I132" s="237">
        <f>'Week 1 MASTER SHEET'!I132</f>
        <v>40</v>
      </c>
      <c r="J132" s="237">
        <f>'Week 1 MASTER SHEET'!J132</f>
        <v>20</v>
      </c>
      <c r="K132" s="237" t="str">
        <f>'Week 1 MASTER SHEET'!K132</f>
        <v>1 MIN</v>
      </c>
      <c r="L132" s="508" t="str">
        <f>'Week 1 MASTER SHEET'!L132</f>
        <v/>
      </c>
      <c r="M132" s="85"/>
    </row>
    <row r="133">
      <c r="A133" s="510">
        <f>'Week 1 MASTER SHEET'!A133</f>
        <v>3</v>
      </c>
      <c r="B133" s="371">
        <f>'Week 1 MASTER SHEET'!B133</f>
        <v>55</v>
      </c>
      <c r="C133" s="371">
        <f>'Week 1 MASTER SHEET'!C133</f>
        <v>15</v>
      </c>
      <c r="D133" s="371" t="str">
        <f>'Week 1 MASTER SHEET'!D133</f>
        <v>1-3 MIN</v>
      </c>
      <c r="E133" s="511" t="str">
        <f>'Week 1 MASTER SHEET'!E133</f>
        <v/>
      </c>
      <c r="F133" s="85"/>
      <c r="G133" s="423"/>
      <c r="H133" s="510">
        <f>'Week 1 MASTER SHEET'!H133</f>
        <v>3</v>
      </c>
      <c r="I133" s="371">
        <f>'Week 1 MASTER SHEET'!I133</f>
        <v>30</v>
      </c>
      <c r="J133" s="371">
        <f>'Week 1 MASTER SHEET'!J133</f>
        <v>20</v>
      </c>
      <c r="K133" s="371" t="str">
        <f>'Week 1 MASTER SHEET'!K133</f>
        <v>1 MIN</v>
      </c>
      <c r="L133" s="511" t="str">
        <f>'Week 1 MASTER SHEET'!L133</f>
        <v/>
      </c>
      <c r="M133" s="85"/>
    </row>
    <row r="134" ht="16.5" customHeight="1">
      <c r="A134" s="512"/>
      <c r="G134" s="423"/>
      <c r="H134" s="423"/>
      <c r="I134" s="423"/>
      <c r="J134" s="423"/>
      <c r="K134" s="423"/>
      <c r="L134" s="423"/>
      <c r="M134" s="423"/>
    </row>
    <row r="135">
      <c r="G135" s="423"/>
      <c r="H135" s="423"/>
      <c r="I135" s="423"/>
      <c r="J135" s="423"/>
      <c r="K135" s="423"/>
      <c r="L135" s="423"/>
      <c r="M135" s="423"/>
    </row>
    <row r="136">
      <c r="A136" s="513" t="str">
        <f>'Week 1 MASTER SHEET'!A136</f>
        <v>3. DUMBBELL SIDE LATERAL RAISE</v>
      </c>
      <c r="B136" s="53"/>
      <c r="C136" s="53"/>
      <c r="D136" s="53"/>
      <c r="E136" s="53"/>
      <c r="F136" s="54"/>
    </row>
    <row r="137">
      <c r="A137" s="226" t="str">
        <f>'Week 1 MASTER SHEET'!A137</f>
        <v>SHLDR PRSS MAX</v>
      </c>
      <c r="B137" s="90">
        <f>'Week 1 MASTER SHEET'!B137</f>
        <v>65</v>
      </c>
      <c r="C137" s="13"/>
      <c r="D137" s="13"/>
      <c r="E137" s="13"/>
      <c r="F137" s="57"/>
    </row>
    <row r="138">
      <c r="A138" s="376" t="str">
        <f>'Week 1 MASTER SHEET'!A138</f>
        <v>SET</v>
      </c>
      <c r="B138" s="79" t="str">
        <f>'Week 1 MASTER SHEET'!B138</f>
        <v>WEIGHT</v>
      </c>
      <c r="C138" s="79" t="str">
        <f>'Week 1 MASTER SHEET'!C138</f>
        <v>REPS</v>
      </c>
      <c r="D138" s="79" t="str">
        <f>'Week 1 MASTER SHEET'!D138</f>
        <v>REST</v>
      </c>
      <c r="E138" s="341" t="str">
        <f>'Week 1 MASTER SHEET'!E138</f>
        <v>PREVIOUS</v>
      </c>
      <c r="F138" s="61" t="s">
        <v>55</v>
      </c>
    </row>
    <row r="139">
      <c r="A139" s="514">
        <f>'Week 1 MASTER SHEET'!A139</f>
        <v>1</v>
      </c>
      <c r="B139" s="515">
        <f>'Week 1 MASTER SHEET'!B139</f>
        <v>15</v>
      </c>
      <c r="C139" s="515">
        <f>'Week 1 MASTER SHEET'!C139</f>
        <v>20</v>
      </c>
      <c r="D139" s="515" t="str">
        <f>'Week 1 MASTER SHEET'!D139</f>
        <v>1 MIN</v>
      </c>
      <c r="E139" s="516" t="str">
        <f>'Week 1 MASTER SHEET'!E139</f>
        <v/>
      </c>
      <c r="F139" s="85"/>
    </row>
    <row r="140">
      <c r="A140" s="514">
        <f>'Week 1 MASTER SHEET'!A140</f>
        <v>2</v>
      </c>
      <c r="B140" s="515">
        <f>'Week 1 MASTER SHEET'!B140</f>
        <v>10</v>
      </c>
      <c r="C140" s="515">
        <f>'Week 1 MASTER SHEET'!C140</f>
        <v>20</v>
      </c>
      <c r="D140" s="515" t="str">
        <f>'Week 1 MASTER SHEET'!D140</f>
        <v>1 MIN</v>
      </c>
      <c r="E140" s="516" t="str">
        <f>'Week 1 MASTER SHEET'!E140</f>
        <v/>
      </c>
      <c r="F140" s="85"/>
    </row>
    <row r="141">
      <c r="A141" s="517">
        <f>'Week 1 MASTER SHEET'!A141</f>
        <v>3</v>
      </c>
      <c r="B141" s="518">
        <f>'Week 1 MASTER SHEET'!B141</f>
        <v>7.5</v>
      </c>
      <c r="C141" s="518">
        <f>'Week 1 MASTER SHEET'!C141</f>
        <v>20</v>
      </c>
      <c r="D141" s="518" t="str">
        <f>'Week 1 MASTER SHEET'!D141</f>
        <v>1 MIN</v>
      </c>
      <c r="E141" s="519" t="str">
        <f>'Week 1 MASTER SHEET'!E141</f>
        <v/>
      </c>
      <c r="F141" s="85"/>
    </row>
    <row r="142">
      <c r="A142" s="512"/>
    </row>
    <row r="144">
      <c r="A144" s="74" t="str">
        <f>'Week 1 MASTER SHEET'!A144</f>
        <v>4. TRICEPS PUSHDOWN (STRAIGHT BAR)</v>
      </c>
      <c r="B144" s="53"/>
      <c r="C144" s="53"/>
      <c r="D144" s="53"/>
      <c r="E144" s="53"/>
      <c r="F144" s="54"/>
    </row>
    <row r="145">
      <c r="A145" s="226" t="str">
        <f>'Week 1 MASTER SHEET'!A145</f>
        <v>CURRENT MAX</v>
      </c>
      <c r="B145" s="520">
        <v>100.0</v>
      </c>
      <c r="C145" s="13"/>
      <c r="D145" s="13"/>
      <c r="E145" s="13"/>
      <c r="F145" s="57"/>
    </row>
    <row r="146">
      <c r="A146" s="77" t="str">
        <f>'Week 1 MASTER SHEET'!A146</f>
        <v>SET</v>
      </c>
      <c r="B146" s="78" t="str">
        <f>'Week 1 MASTER SHEET'!B146</f>
        <v>WEIGHT</v>
      </c>
      <c r="C146" s="78" t="str">
        <f>'Week 1 MASTER SHEET'!C146</f>
        <v>REPS</v>
      </c>
      <c r="D146" s="78" t="str">
        <f>'Week 1 MASTER SHEET'!D146</f>
        <v>REST</v>
      </c>
      <c r="E146" s="80" t="str">
        <f>'Week 1 MASTER SHEET'!E146</f>
        <v>PREVIOUS</v>
      </c>
      <c r="F146" s="235" t="s">
        <v>55</v>
      </c>
    </row>
    <row r="147">
      <c r="A147" s="81">
        <f>'Week 1 MASTER SHEET'!A147</f>
        <v>1</v>
      </c>
      <c r="B147" s="82">
        <f>'Week 1 MASTER SHEET'!B147</f>
        <v>100</v>
      </c>
      <c r="C147" s="65">
        <f>'Week 1 MASTER SHEET'!C147</f>
        <v>20</v>
      </c>
      <c r="D147" s="83" t="str">
        <f>'Week 1 MASTER SHEET'!D147</f>
        <v>1MIN</v>
      </c>
      <c r="E147" s="84"/>
      <c r="F147" s="85">
        <v>0.0</v>
      </c>
    </row>
    <row r="148">
      <c r="A148" s="81">
        <f>'Week 1 MASTER SHEET'!A148</f>
        <v>2</v>
      </c>
      <c r="B148" s="82">
        <f>'Week 1 MASTER SHEET'!B148</f>
        <v>80</v>
      </c>
      <c r="C148" s="65">
        <f>'Week 1 MASTER SHEET'!C148</f>
        <v>20</v>
      </c>
      <c r="D148" s="83" t="str">
        <f>'Week 1 MASTER SHEET'!D148</f>
        <v>1MIN</v>
      </c>
      <c r="E148" s="84"/>
      <c r="F148" s="85">
        <v>0.0</v>
      </c>
    </row>
    <row r="149">
      <c r="A149" s="86">
        <f>'Week 1 MASTER SHEET'!A149</f>
        <v>3</v>
      </c>
      <c r="B149" s="87">
        <f>'Week 1 MASTER SHEET'!B149</f>
        <v>65</v>
      </c>
      <c r="C149" s="71">
        <f>'Week 1 MASTER SHEET'!C149</f>
        <v>20</v>
      </c>
      <c r="D149" s="88" t="str">
        <f>'Week 1 MASTER SHEET'!D149</f>
        <v>1MIN</v>
      </c>
      <c r="E149" s="89" t="str">
        <f>'Week 1 MASTER SHEET'!E149</f>
        <v/>
      </c>
      <c r="F149" s="85">
        <v>0.0</v>
      </c>
    </row>
    <row r="152">
      <c r="A152" s="399" t="str">
        <f>'Week 1 MASTER SHEET'!A152</f>
        <v>5. BICEP CABLE CURLS</v>
      </c>
      <c r="B152" s="25"/>
      <c r="C152" s="25"/>
      <c r="D152" s="25"/>
      <c r="E152" s="25"/>
      <c r="F152" s="26"/>
      <c r="G152" s="434" t="s">
        <v>123</v>
      </c>
      <c r="H152" s="399" t="str">
        <f>'Week 1 MASTER SHEET'!H152</f>
        <v>5. BICEP BAR CURLS</v>
      </c>
      <c r="I152" s="25"/>
      <c r="J152" s="25"/>
      <c r="K152" s="25"/>
      <c r="L152" s="25"/>
      <c r="M152" s="26"/>
    </row>
    <row r="153">
      <c r="A153" s="335" t="str">
        <f>'Week 1 MASTER SHEET'!A153</f>
        <v>WATCH THIS BEFORE MACHINE CURL</v>
      </c>
      <c r="B153" s="25"/>
      <c r="C153" s="25"/>
      <c r="D153" s="25"/>
      <c r="E153" s="25"/>
      <c r="F153" s="26"/>
      <c r="H153" s="335" t="str">
        <f>'Week 1 MASTER SHEET'!H153</f>
        <v>WATCH THIS BEFORE MACHINE CURL</v>
      </c>
      <c r="I153" s="25"/>
      <c r="J153" s="25"/>
      <c r="K153" s="25"/>
      <c r="L153" s="25"/>
      <c r="M153" s="26"/>
    </row>
    <row r="154">
      <c r="A154" s="336"/>
      <c r="B154" s="11"/>
      <c r="C154" s="11"/>
      <c r="D154" s="11"/>
      <c r="E154" s="11"/>
      <c r="F154" s="46"/>
      <c r="H154" s="336"/>
      <c r="I154" s="11"/>
      <c r="J154" s="11"/>
      <c r="K154" s="11"/>
      <c r="L154" s="11"/>
      <c r="M154" s="46"/>
    </row>
    <row r="155">
      <c r="A155" s="400" t="str">
        <f>'Week 1 MASTER SHEET'!A155</f>
        <v>SET</v>
      </c>
      <c r="B155" s="401" t="str">
        <f>'Week 1 MASTER SHEET'!B155</f>
        <v>WEIGHT</v>
      </c>
      <c r="C155" s="401" t="str">
        <f>'Week 1 MASTER SHEET'!C155</f>
        <v>REPS</v>
      </c>
      <c r="D155" s="402" t="str">
        <f>'Week 1 MASTER SHEET'!D155</f>
        <v>REST</v>
      </c>
      <c r="E155" s="403" t="str">
        <f>'Week 1 MASTER SHEET'!E155</f>
        <v>PREVIOUS</v>
      </c>
      <c r="F155" s="61" t="s">
        <v>55</v>
      </c>
      <c r="H155" s="400" t="str">
        <f>'Week 1 MASTER SHEET'!H155</f>
        <v>SET</v>
      </c>
      <c r="I155" s="401" t="str">
        <f>'Week 1 MASTER SHEET'!I155</f>
        <v>WEIGHT</v>
      </c>
      <c r="J155" s="401" t="str">
        <f>'Week 1 MASTER SHEET'!J155</f>
        <v>REPS</v>
      </c>
      <c r="K155" s="402" t="str">
        <f>'Week 1 MASTER SHEET'!K155</f>
        <v>REST</v>
      </c>
      <c r="L155" s="403" t="str">
        <f>'Week 1 MASTER SHEET'!L155</f>
        <v>PREVIOUS</v>
      </c>
      <c r="M155" s="61" t="s">
        <v>55</v>
      </c>
    </row>
    <row r="156">
      <c r="A156" s="404">
        <f>'Week 1 MASTER SHEET'!A156</f>
        <v>1</v>
      </c>
      <c r="B156" s="191">
        <f>'Week 1 MASTER SHEET'!B156</f>
        <v>15</v>
      </c>
      <c r="C156" s="171">
        <f>'Week 1 MASTER SHEET'!C156</f>
        <v>10</v>
      </c>
      <c r="D156" s="405" t="str">
        <f>'Week 1 MASTER SHEET'!D156</f>
        <v>2 MIN</v>
      </c>
      <c r="E156" s="406" t="str">
        <f>'Week 1 MASTER SHEET'!E156</f>
        <v/>
      </c>
      <c r="F156" s="521">
        <v>10.0</v>
      </c>
      <c r="H156" s="404">
        <f>'Week 1 MASTER SHEET'!H156</f>
        <v>1</v>
      </c>
      <c r="I156" s="191">
        <f>'Week 1 MASTER SHEET'!I156</f>
        <v>25</v>
      </c>
      <c r="J156" s="171">
        <f>'Week 1 MASTER SHEET'!J156</f>
        <v>4</v>
      </c>
      <c r="K156" s="405" t="str">
        <f>'Week 1 MASTER SHEET'!K156</f>
        <v>2 MIN</v>
      </c>
      <c r="L156" s="406" t="str">
        <f>'Week 1 MASTER SHEET'!L156</f>
        <v/>
      </c>
      <c r="M156" s="407"/>
    </row>
    <row r="157">
      <c r="A157" s="404">
        <f>'Week 1 MASTER SHEET'!A157</f>
        <v>2</v>
      </c>
      <c r="B157" s="191">
        <f>'Week 1 MASTER SHEET'!B157</f>
        <v>25</v>
      </c>
      <c r="C157" s="171">
        <f>'Week 1 MASTER SHEET'!C157</f>
        <v>10</v>
      </c>
      <c r="D157" s="405" t="str">
        <f>'Week 1 MASTER SHEET'!D157</f>
        <v>2 MIN</v>
      </c>
      <c r="E157" s="406" t="str">
        <f>'Week 1 MASTER SHEET'!E157</f>
        <v/>
      </c>
      <c r="F157" s="521">
        <v>10.0</v>
      </c>
      <c r="H157" s="404">
        <f>'Week 1 MASTER SHEET'!H157</f>
        <v>2</v>
      </c>
      <c r="I157" s="191">
        <f>'Week 1 MASTER SHEET'!I157</f>
        <v>45</v>
      </c>
      <c r="J157" s="171">
        <f>'Week 1 MASTER SHEET'!J157</f>
        <v>4</v>
      </c>
      <c r="K157" s="405" t="str">
        <f>'Week 1 MASTER SHEET'!K157</f>
        <v>2 MIN</v>
      </c>
      <c r="L157" s="406" t="str">
        <f>'Week 1 MASTER SHEET'!L157</f>
        <v/>
      </c>
      <c r="M157" s="407"/>
    </row>
    <row r="158">
      <c r="A158" s="404">
        <f>'Week 1 MASTER SHEET'!A158</f>
        <v>3</v>
      </c>
      <c r="B158" s="191">
        <f>'Week 1 MASTER SHEET'!B158</f>
        <v>45</v>
      </c>
      <c r="C158" s="171">
        <f>'Week 1 MASTER SHEET'!C158</f>
        <v>10</v>
      </c>
      <c r="D158" s="405" t="str">
        <f>'Week 1 MASTER SHEET'!D158</f>
        <v>2 MIN</v>
      </c>
      <c r="E158" s="406" t="str">
        <f>'Week 1 MASTER SHEET'!E158</f>
        <v/>
      </c>
      <c r="F158" s="521">
        <v>10.0</v>
      </c>
      <c r="H158" s="404">
        <f>'Week 1 MASTER SHEET'!H158</f>
        <v>3</v>
      </c>
      <c r="I158" s="191">
        <f>'Week 1 MASTER SHEET'!I158</f>
        <v>60</v>
      </c>
      <c r="J158" s="171">
        <f>'Week 1 MASTER SHEET'!J158</f>
        <v>4</v>
      </c>
      <c r="K158" s="405" t="str">
        <f>'Week 1 MASTER SHEET'!K158</f>
        <v>2 MIN</v>
      </c>
      <c r="L158" s="406" t="str">
        <f>'Week 1 MASTER SHEET'!L158</f>
        <v/>
      </c>
      <c r="M158" s="407"/>
    </row>
    <row r="159">
      <c r="A159" s="404">
        <f>'Week 1 MASTER SHEET'!A159</f>
        <v>4</v>
      </c>
      <c r="B159" s="191">
        <f>'Week 1 MASTER SHEET'!B159</f>
        <v>60</v>
      </c>
      <c r="C159" s="171">
        <f>'Week 1 MASTER SHEET'!C159</f>
        <v>10</v>
      </c>
      <c r="D159" s="405" t="str">
        <f>'Week 1 MASTER SHEET'!D159</f>
        <v>2 MIN</v>
      </c>
      <c r="E159" s="406" t="str">
        <f>'Week 1 MASTER SHEET'!E159</f>
        <v/>
      </c>
      <c r="F159" s="407"/>
      <c r="H159" s="404">
        <f>'Week 1 MASTER SHEET'!H159</f>
        <v>4</v>
      </c>
      <c r="I159" s="191">
        <f>'Week 1 MASTER SHEET'!I159</f>
        <v>70</v>
      </c>
      <c r="J159" s="171">
        <f>'Week 1 MASTER SHEET'!J159</f>
        <v>4</v>
      </c>
      <c r="K159" s="405" t="str">
        <f>'Week 1 MASTER SHEET'!K159</f>
        <v>2 MIN</v>
      </c>
      <c r="L159" s="406" t="str">
        <f>'Week 1 MASTER SHEET'!L159</f>
        <v/>
      </c>
      <c r="M159" s="407"/>
    </row>
    <row r="160">
      <c r="A160" s="404">
        <f>'Week 1 MASTER SHEET'!A160</f>
        <v>5</v>
      </c>
      <c r="B160" s="191">
        <f>'Week 1 MASTER SHEET'!B160</f>
        <v>70</v>
      </c>
      <c r="C160" s="171">
        <f>'Week 1 MASTER SHEET'!C160</f>
        <v>10</v>
      </c>
      <c r="D160" s="405" t="str">
        <f>'Week 1 MASTER SHEET'!D160</f>
        <v>2 MIN</v>
      </c>
      <c r="E160" s="406" t="str">
        <f>'Week 1 MASTER SHEET'!E160</f>
        <v/>
      </c>
      <c r="F160" s="407"/>
      <c r="H160" s="404">
        <f>'Week 1 MASTER SHEET'!H160</f>
        <v>5</v>
      </c>
      <c r="I160" s="191">
        <f>'Week 1 MASTER SHEET'!I160</f>
        <v>85</v>
      </c>
      <c r="J160" s="171">
        <f>'Week 1 MASTER SHEET'!J160</f>
        <v>4</v>
      </c>
      <c r="K160" s="405" t="str">
        <f>'Week 1 MASTER SHEET'!K160</f>
        <v>2 MIN</v>
      </c>
      <c r="L160" s="406" t="str">
        <f>'Week 1 MASTER SHEET'!L160</f>
        <v/>
      </c>
      <c r="M160" s="407"/>
    </row>
    <row r="161">
      <c r="A161" s="404">
        <f>'Week 1 MASTER SHEET'!A161</f>
        <v>6</v>
      </c>
      <c r="B161" s="191">
        <f>'Week 1 MASTER SHEET'!B161</f>
        <v>85</v>
      </c>
      <c r="C161" s="171">
        <f>'Week 1 MASTER SHEET'!C161</f>
        <v>10</v>
      </c>
      <c r="D161" s="405" t="str">
        <f>'Week 1 MASTER SHEET'!D161</f>
        <v>2 MIN</v>
      </c>
      <c r="E161" s="406" t="str">
        <f>'Week 1 MASTER SHEET'!E161</f>
        <v/>
      </c>
      <c r="F161" s="407"/>
      <c r="H161" s="404">
        <f>'Week 1 MASTER SHEET'!H161</f>
        <v>6</v>
      </c>
      <c r="I161" s="191">
        <f>'Week 1 MASTER SHEET'!I161</f>
        <v>95</v>
      </c>
      <c r="J161" s="171">
        <f>'Week 1 MASTER SHEET'!J161</f>
        <v>4</v>
      </c>
      <c r="K161" s="405" t="str">
        <f>'Week 1 MASTER SHEET'!K161</f>
        <v>2 MIN</v>
      </c>
      <c r="L161" s="406" t="str">
        <f>'Week 1 MASTER SHEET'!L161</f>
        <v/>
      </c>
      <c r="M161" s="407"/>
    </row>
    <row r="162">
      <c r="A162" s="404">
        <f>'Week 1 MASTER SHEET'!A162</f>
        <v>7</v>
      </c>
      <c r="B162" s="191">
        <f>'Week 1 MASTER SHEET'!B162</f>
        <v>95</v>
      </c>
      <c r="C162" s="171">
        <f>'Week 1 MASTER SHEET'!C162</f>
        <v>10</v>
      </c>
      <c r="D162" s="405" t="str">
        <f>'Week 1 MASTER SHEET'!D162</f>
        <v>2 MIN</v>
      </c>
      <c r="E162" s="406" t="str">
        <f>'Week 1 MASTER SHEET'!E162</f>
        <v/>
      </c>
      <c r="F162" s="407"/>
      <c r="H162" s="404">
        <f>'Week 1 MASTER SHEET'!H162</f>
        <v>7</v>
      </c>
      <c r="I162" s="191">
        <f>'Week 1 MASTER SHEET'!I162</f>
        <v>110</v>
      </c>
      <c r="J162" s="171">
        <f>'Week 1 MASTER SHEET'!J162</f>
        <v>4</v>
      </c>
      <c r="K162" s="405" t="str">
        <f>'Week 1 MASTER SHEET'!K162</f>
        <v>2 MIN</v>
      </c>
      <c r="L162" s="406" t="str">
        <f>'Week 1 MASTER SHEET'!L162</f>
        <v/>
      </c>
      <c r="M162" s="407"/>
    </row>
    <row r="163">
      <c r="A163" s="404">
        <f>'Week 1 MASTER SHEET'!A163</f>
        <v>8</v>
      </c>
      <c r="B163" s="191">
        <f>'Week 1 MASTER SHEET'!B163</f>
        <v>110</v>
      </c>
      <c r="C163" s="171">
        <f>'Week 1 MASTER SHEET'!C163</f>
        <v>10</v>
      </c>
      <c r="D163" s="405" t="str">
        <f>'Week 1 MASTER SHEET'!D163</f>
        <v>2 MIN</v>
      </c>
      <c r="E163" s="406" t="str">
        <f>'Week 1 MASTER SHEET'!E163</f>
        <v/>
      </c>
      <c r="F163" s="407"/>
      <c r="H163" s="404">
        <f>'Week 1 MASTER SHEET'!H163</f>
        <v>8</v>
      </c>
      <c r="I163" s="191">
        <f>'Week 1 MASTER SHEET'!I163</f>
        <v>120</v>
      </c>
      <c r="J163" s="171">
        <f>'Week 1 MASTER SHEET'!J163</f>
        <v>4</v>
      </c>
      <c r="K163" s="405" t="str">
        <f>'Week 1 MASTER SHEET'!K163</f>
        <v>2 MIN</v>
      </c>
      <c r="L163" s="406" t="str">
        <f>'Week 1 MASTER SHEET'!L163</f>
        <v/>
      </c>
      <c r="M163" s="407"/>
    </row>
    <row r="164">
      <c r="A164" s="404">
        <f>'Week 1 MASTER SHEET'!A164</f>
        <v>9</v>
      </c>
      <c r="B164" s="191">
        <f>'Week 1 MASTER SHEET'!B164</f>
        <v>120</v>
      </c>
      <c r="C164" s="171">
        <f>'Week 1 MASTER SHEET'!C164</f>
        <v>10</v>
      </c>
      <c r="D164" s="405" t="str">
        <f>'Week 1 MASTER SHEET'!D164</f>
        <v>2 MIN</v>
      </c>
      <c r="E164" s="406" t="str">
        <f>'Week 1 MASTER SHEET'!E164</f>
        <v/>
      </c>
      <c r="F164" s="407"/>
      <c r="H164" s="404">
        <f>'Week 1 MASTER SHEET'!H164</f>
        <v>9</v>
      </c>
      <c r="I164" s="191">
        <f>'Week 1 MASTER SHEET'!I164</f>
        <v>130</v>
      </c>
      <c r="J164" s="171">
        <f>'Week 1 MASTER SHEET'!J164</f>
        <v>4</v>
      </c>
      <c r="K164" s="405" t="str">
        <f>'Week 1 MASTER SHEET'!K164</f>
        <v>2 MIN</v>
      </c>
      <c r="L164" s="406" t="str">
        <f>'Week 1 MASTER SHEET'!L164</f>
        <v/>
      </c>
      <c r="M164" s="407"/>
    </row>
    <row r="165">
      <c r="A165" s="404">
        <v>10.0</v>
      </c>
      <c r="B165" s="191">
        <f>'Week 1 MASTER SHEET'!B165</f>
        <v>130</v>
      </c>
      <c r="C165" s="171">
        <f>'Week 1 MASTER SHEET'!C165</f>
        <v>10</v>
      </c>
      <c r="D165" s="405" t="str">
        <f>'Week 1 MASTER SHEET'!D165</f>
        <v>2 MIN</v>
      </c>
      <c r="E165" s="406" t="str">
        <f>'Week 1 MASTER SHEET'!E165</f>
        <v/>
      </c>
      <c r="F165" s="407"/>
      <c r="H165" s="404">
        <v>10.0</v>
      </c>
      <c r="I165" s="408">
        <f>'Week 1 MASTER SHEET'!I165</f>
        <v>140</v>
      </c>
      <c r="J165" s="409">
        <f>'Week 1 MASTER SHEET'!J165</f>
        <v>4</v>
      </c>
      <c r="K165" s="410" t="str">
        <f>'Week 1 MASTER SHEET'!K165</f>
        <v>2 MIN</v>
      </c>
      <c r="L165" s="411" t="str">
        <f>'Week 1 MASTER SHEET'!L165</f>
        <v/>
      </c>
      <c r="M165" s="407"/>
    </row>
    <row r="166">
      <c r="A166" s="412" t="s">
        <v>132</v>
      </c>
      <c r="B166" s="41"/>
      <c r="C166" s="36"/>
      <c r="D166" s="36"/>
      <c r="E166" s="36"/>
      <c r="F166" s="37"/>
      <c r="H166" s="412" t="s">
        <v>132</v>
      </c>
      <c r="I166" s="41"/>
      <c r="J166" s="36"/>
      <c r="K166" s="36"/>
      <c r="L166" s="36"/>
      <c r="M166" s="37"/>
    </row>
    <row r="167">
      <c r="A167" s="480"/>
    </row>
    <row r="169">
      <c r="A169" s="522" t="str">
        <f>A72</f>
        <v>CLICK TO COMPLETE WORKOUT</v>
      </c>
      <c r="B169" s="36"/>
      <c r="C169" s="36"/>
      <c r="D169" s="36"/>
      <c r="E169" s="36"/>
      <c r="F169" s="37"/>
    </row>
    <row r="170">
      <c r="A170" s="523" t="str">
        <f>'Week 1 MASTER SHEET'!A169</f>
        <v>WORKOUT COMPLETE!</v>
      </c>
      <c r="B170" s="36"/>
      <c r="C170" s="36"/>
      <c r="D170" s="36"/>
      <c r="E170" s="36"/>
      <c r="F170" s="37"/>
    </row>
    <row r="171">
      <c r="A171" s="524"/>
    </row>
    <row r="172">
      <c r="A172" s="525" t="str">
        <f>'Week 1 MASTER SHEET'!A171</f>
        <v>WANT TO LEARN MORE?</v>
      </c>
    </row>
    <row r="173">
      <c r="A173" s="11"/>
      <c r="B173" s="11"/>
      <c r="C173" s="11"/>
      <c r="D173" s="11"/>
      <c r="E173" s="11"/>
      <c r="F173" s="11"/>
    </row>
    <row r="174">
      <c r="A174" s="526"/>
      <c r="B174" s="527"/>
      <c r="C174" s="528" t="str">
        <f>'Week 1 MASTER SHEET'!C173</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74" s="28"/>
    </row>
    <row r="175">
      <c r="A175" s="526"/>
      <c r="B175" s="527"/>
      <c r="C175" s="529"/>
      <c r="F175" s="28"/>
    </row>
    <row r="176">
      <c r="A176" s="526"/>
      <c r="B176" s="527"/>
      <c r="C176" s="529"/>
      <c r="F176" s="28"/>
    </row>
    <row r="177">
      <c r="A177" s="526"/>
      <c r="B177" s="527"/>
      <c r="C177" s="529"/>
      <c r="F177" s="28"/>
    </row>
    <row r="178">
      <c r="A178" s="526"/>
      <c r="B178" s="527"/>
      <c r="C178" s="529"/>
      <c r="F178" s="28"/>
    </row>
    <row r="179">
      <c r="A179" s="526"/>
      <c r="B179" s="527"/>
      <c r="C179" s="529"/>
      <c r="F179" s="28"/>
    </row>
    <row r="180">
      <c r="A180" s="526"/>
      <c r="B180" s="527"/>
      <c r="C180" s="529"/>
      <c r="F180" s="28"/>
    </row>
    <row r="181">
      <c r="A181" s="526"/>
      <c r="B181" s="527"/>
      <c r="C181" s="529"/>
      <c r="F181" s="28"/>
    </row>
    <row r="182">
      <c r="A182" s="526"/>
      <c r="B182" s="527"/>
      <c r="C182" s="529"/>
      <c r="F182" s="28"/>
    </row>
    <row r="183">
      <c r="A183" s="526"/>
      <c r="B183" s="527"/>
      <c r="C183" s="529"/>
      <c r="F183" s="28"/>
    </row>
    <row r="184">
      <c r="A184" s="526"/>
      <c r="B184" s="527"/>
      <c r="C184" s="529"/>
      <c r="F184" s="28"/>
    </row>
    <row r="185">
      <c r="A185" s="526"/>
      <c r="B185" s="527"/>
      <c r="C185" s="529"/>
      <c r="F185" s="28"/>
    </row>
    <row r="186">
      <c r="A186" s="526"/>
      <c r="B186" s="527"/>
      <c r="C186" s="529"/>
      <c r="F186" s="28"/>
    </row>
    <row r="187">
      <c r="A187" s="526"/>
      <c r="B187" s="527"/>
      <c r="C187" s="529"/>
      <c r="F187" s="28"/>
    </row>
    <row r="188">
      <c r="A188" s="530"/>
      <c r="B188" s="531"/>
      <c r="C188" s="336"/>
      <c r="D188" s="11"/>
      <c r="E188" s="11"/>
      <c r="F188" s="46"/>
    </row>
    <row r="189">
      <c r="A189" s="532"/>
    </row>
  </sheetData>
  <mergeCells count="136">
    <mergeCell ref="H16:M17"/>
    <mergeCell ref="H18:M18"/>
    <mergeCell ref="N18:N33"/>
    <mergeCell ref="H19:M19"/>
    <mergeCell ref="I20:M20"/>
    <mergeCell ref="H26:M26"/>
    <mergeCell ref="H33:M33"/>
    <mergeCell ref="H100:M100"/>
    <mergeCell ref="I101:M101"/>
    <mergeCell ref="N100:S106"/>
    <mergeCell ref="N107:S135"/>
    <mergeCell ref="T110:T151"/>
    <mergeCell ref="N152:T166"/>
    <mergeCell ref="H29:M29"/>
    <mergeCell ref="I32:M32"/>
    <mergeCell ref="G36:G99"/>
    <mergeCell ref="H39:T99"/>
    <mergeCell ref="G100:G101"/>
    <mergeCell ref="T100:T109"/>
    <mergeCell ref="G107:M109"/>
    <mergeCell ref="G102:G106"/>
    <mergeCell ref="I106:M106"/>
    <mergeCell ref="G110:G122"/>
    <mergeCell ref="H110:M111"/>
    <mergeCell ref="H112:M112"/>
    <mergeCell ref="H113:M113"/>
    <mergeCell ref="I122:M122"/>
    <mergeCell ref="H152:M152"/>
    <mergeCell ref="H153:M154"/>
    <mergeCell ref="G154:G189"/>
    <mergeCell ref="I166:M166"/>
    <mergeCell ref="H167:T189"/>
    <mergeCell ref="G123:M127"/>
    <mergeCell ref="H128:M128"/>
    <mergeCell ref="I129:M129"/>
    <mergeCell ref="G131:G132"/>
    <mergeCell ref="G136:G151"/>
    <mergeCell ref="H136:S151"/>
    <mergeCell ref="G152:G153"/>
    <mergeCell ref="A1:F8"/>
    <mergeCell ref="G1:G11"/>
    <mergeCell ref="H1:T8"/>
    <mergeCell ref="A9:F9"/>
    <mergeCell ref="H9:M9"/>
    <mergeCell ref="N9:T11"/>
    <mergeCell ref="H10:M10"/>
    <mergeCell ref="O18:T18"/>
    <mergeCell ref="O19:T19"/>
    <mergeCell ref="P20:T20"/>
    <mergeCell ref="O26:T26"/>
    <mergeCell ref="O28:T28"/>
    <mergeCell ref="P33:T33"/>
    <mergeCell ref="N34:T38"/>
    <mergeCell ref="G12:T14"/>
    <mergeCell ref="A13:F13"/>
    <mergeCell ref="A14:F14"/>
    <mergeCell ref="H15:M15"/>
    <mergeCell ref="N15:N17"/>
    <mergeCell ref="O15:T15"/>
    <mergeCell ref="O16:T17"/>
    <mergeCell ref="A10:F11"/>
    <mergeCell ref="A12:F12"/>
    <mergeCell ref="A15:F15"/>
    <mergeCell ref="G15:G18"/>
    <mergeCell ref="A16:F17"/>
    <mergeCell ref="A18:F18"/>
    <mergeCell ref="A19:F19"/>
    <mergeCell ref="G20:G33"/>
    <mergeCell ref="G34:G35"/>
    <mergeCell ref="H34:M34"/>
    <mergeCell ref="I35:M35"/>
    <mergeCell ref="B20:F20"/>
    <mergeCell ref="A26:F26"/>
    <mergeCell ref="A29:F29"/>
    <mergeCell ref="B32:F32"/>
    <mergeCell ref="A33:F33"/>
    <mergeCell ref="A34:F34"/>
    <mergeCell ref="B35:F35"/>
    <mergeCell ref="C174:F188"/>
    <mergeCell ref="A189:F189"/>
    <mergeCell ref="A153:F154"/>
    <mergeCell ref="B166:F166"/>
    <mergeCell ref="A167:F168"/>
    <mergeCell ref="A169:F169"/>
    <mergeCell ref="A170:F170"/>
    <mergeCell ref="A171:F171"/>
    <mergeCell ref="A172:F173"/>
    <mergeCell ref="A39:F40"/>
    <mergeCell ref="A41:F41"/>
    <mergeCell ref="B42:F42"/>
    <mergeCell ref="A48:F48"/>
    <mergeCell ref="A51:F51"/>
    <mergeCell ref="B54:F54"/>
    <mergeCell ref="A55:F56"/>
    <mergeCell ref="A57:F57"/>
    <mergeCell ref="B58:F58"/>
    <mergeCell ref="A63:F64"/>
    <mergeCell ref="A65:F65"/>
    <mergeCell ref="B66:F66"/>
    <mergeCell ref="A71:F71"/>
    <mergeCell ref="A72:F72"/>
    <mergeCell ref="A73:F73"/>
    <mergeCell ref="A74:F74"/>
    <mergeCell ref="A75:F75"/>
    <mergeCell ref="A76:F76"/>
    <mergeCell ref="A77:F77"/>
    <mergeCell ref="A81:F82"/>
    <mergeCell ref="A83:F83"/>
    <mergeCell ref="B84:F84"/>
    <mergeCell ref="A90:F91"/>
    <mergeCell ref="A92:F92"/>
    <mergeCell ref="B93:F93"/>
    <mergeCell ref="A98:F99"/>
    <mergeCell ref="A100:F100"/>
    <mergeCell ref="B101:F101"/>
    <mergeCell ref="A106:F106"/>
    <mergeCell ref="A107:F108"/>
    <mergeCell ref="A109:F109"/>
    <mergeCell ref="A110:F111"/>
    <mergeCell ref="A112:F112"/>
    <mergeCell ref="A113:F113"/>
    <mergeCell ref="B114:F114"/>
    <mergeCell ref="A120:F120"/>
    <mergeCell ref="A123:F123"/>
    <mergeCell ref="B126:F126"/>
    <mergeCell ref="A127:F127"/>
    <mergeCell ref="A128:F128"/>
    <mergeCell ref="B129:F129"/>
    <mergeCell ref="A134:F135"/>
    <mergeCell ref="A136:F136"/>
    <mergeCell ref="B137:F137"/>
    <mergeCell ref="A142:F143"/>
    <mergeCell ref="A144:F144"/>
    <mergeCell ref="B145:F145"/>
    <mergeCell ref="A150:F151"/>
    <mergeCell ref="A152:F152"/>
  </mergeCells>
  <dataValidations>
    <dataValidation type="decimal" operator="greaterThanOrEqual" allowBlank="1" showDropDown="1" showErrorMessage="1" sqref="E156:E165">
      <formula1>0.0</formula1>
    </dataValidation>
    <dataValidation type="decimal" allowBlank="1" showDropDown="1" showInputMessage="1" showErrorMessage="1" prompt="Enter a number between 0 and 30" sqref="T29:T32">
      <formula1>0.0</formula1>
      <formula2>30.0</formula2>
    </dataValidation>
    <dataValidation type="decimal" allowBlank="1" showDropDown="1" showErrorMessage="1" sqref="F22:F25 M22:M25 T22:T25 T27 F27:F28 M27:M28 F30:F31 M30:M31 F37:F38 M37:M38 F44:F47 F49:F50 F52:F53 F60:F62 F68:F70 F79:F80 F86:F89 F95:F97 T100 F103:F105 M103:M105 T110 F116:F119 M116:M119 M121 F121:F122 F124:F125 F131:F133 M131:M133 F139:F141 F147 F149 F156:F165 M156:M165">
      <formula1>0.0</formula1>
      <formula2>500.0</formula2>
    </dataValidation>
    <dataValidation type="decimal" operator="greaterThan" allowBlank="1" showDropDown="1" showErrorMessage="1" sqref="M11">
      <formula1>0.0</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6.38"/>
    <col customWidth="1" min="5" max="5" width="13.13"/>
  </cols>
  <sheetData>
    <row r="1">
      <c r="A1" s="533"/>
    </row>
    <row r="8">
      <c r="A8" s="11"/>
      <c r="B8" s="11"/>
      <c r="C8" s="11"/>
      <c r="D8" s="11"/>
      <c r="E8" s="11"/>
      <c r="F8" s="11"/>
      <c r="G8" s="11"/>
      <c r="H8" s="11"/>
      <c r="I8" s="11"/>
      <c r="J8" s="11"/>
      <c r="K8" s="11"/>
      <c r="L8" s="11"/>
      <c r="M8" s="11"/>
    </row>
    <row r="9">
      <c r="A9" s="534" t="str">
        <f>'Week 2 (MASTER SHEET)'!A9</f>
        <v>Week 2</v>
      </c>
      <c r="B9" s="13"/>
      <c r="C9" s="13"/>
      <c r="D9" s="13"/>
      <c r="E9" s="13"/>
      <c r="F9" s="14"/>
      <c r="G9" s="535"/>
      <c r="H9" s="24" t="s">
        <v>35</v>
      </c>
      <c r="I9" s="25"/>
      <c r="J9" s="25"/>
      <c r="K9" s="25"/>
      <c r="L9" s="25"/>
      <c r="M9" s="26"/>
    </row>
    <row r="10">
      <c r="A10" s="536" t="str">
        <f>'Week 2 (MASTER SHEET)'!A10</f>
        <v>PRESS TO RECORD BODY WEIGHT</v>
      </c>
      <c r="B10" s="16"/>
      <c r="C10" s="16"/>
      <c r="D10" s="16"/>
      <c r="E10" s="16"/>
      <c r="F10" s="17"/>
      <c r="H10" s="27" t="s">
        <v>139</v>
      </c>
      <c r="M10" s="28"/>
    </row>
    <row r="11">
      <c r="A11" s="18"/>
      <c r="B11" s="13"/>
      <c r="C11" s="13"/>
      <c r="D11" s="13"/>
      <c r="E11" s="13"/>
      <c r="F11" s="14"/>
      <c r="H11" s="29" t="s">
        <v>140</v>
      </c>
      <c r="I11" s="30"/>
      <c r="J11" s="30"/>
      <c r="K11" s="30"/>
      <c r="L11" s="30"/>
      <c r="M11" s="31"/>
    </row>
    <row r="12">
      <c r="A12" s="19" t="s">
        <v>69</v>
      </c>
      <c r="B12" s="20"/>
      <c r="C12" s="20"/>
      <c r="D12" s="20"/>
      <c r="E12" s="20"/>
      <c r="F12" s="21"/>
      <c r="H12" s="535"/>
    </row>
    <row r="13">
      <c r="A13" s="537" t="str">
        <f>'Week 2 (MASTER SHEET)'!A13</f>
        <v>This week we are going to continue to attemp new maxes in some areas as well as go for max repititions in others. Be sure to push your hardest and keep good form.</v>
      </c>
      <c r="B13" s="20"/>
      <c r="C13" s="20"/>
      <c r="D13" s="20"/>
      <c r="E13" s="20"/>
      <c r="F13" s="21"/>
    </row>
    <row r="14">
      <c r="A14" s="428" t="s">
        <v>138</v>
      </c>
    </row>
    <row r="16">
      <c r="A16" s="538" t="s">
        <v>47</v>
      </c>
      <c r="B16" s="36"/>
      <c r="C16" s="36"/>
      <c r="D16" s="36"/>
      <c r="E16" s="36"/>
      <c r="F16" s="37"/>
      <c r="H16" s="539" t="str">
        <f>'Week 2 (MASTER SHEET)'!H16</f>
        <v>ALTERNATE WORKOUTS</v>
      </c>
      <c r="I16" s="25"/>
      <c r="J16" s="25"/>
      <c r="K16" s="25"/>
      <c r="L16" s="25"/>
      <c r="M16" s="26"/>
    </row>
    <row r="17">
      <c r="A17" s="540"/>
      <c r="H17" s="541"/>
      <c r="I17" s="25"/>
      <c r="J17" s="25"/>
      <c r="K17" s="25"/>
      <c r="L17" s="25"/>
      <c r="M17" s="25"/>
    </row>
    <row r="18">
      <c r="A18" s="120"/>
    </row>
    <row r="19">
      <c r="A19" s="542" t="str">
        <f>'Week 2 (MASTER SHEET)'!A19</f>
        <v>CHEST &amp; BACK </v>
      </c>
      <c r="B19" s="36"/>
      <c r="C19" s="36"/>
      <c r="D19" s="36"/>
      <c r="E19" s="36"/>
      <c r="F19" s="37"/>
      <c r="H19" s="542" t="str">
        <f>'Week 2 (MASTER SHEET)'!H19</f>
        <v>CHEST &amp; BACK </v>
      </c>
      <c r="I19" s="36"/>
      <c r="J19" s="36"/>
      <c r="K19" s="36"/>
      <c r="L19" s="36"/>
      <c r="M19" s="37"/>
    </row>
    <row r="20">
      <c r="A20" s="52" t="str">
        <f>'Week 2 (MASTER SHEET)'!A20</f>
        <v>1. DUMBBELL INCLINE PRESS</v>
      </c>
      <c r="B20" s="53"/>
      <c r="C20" s="53"/>
      <c r="D20" s="53"/>
      <c r="E20" s="53"/>
      <c r="F20" s="54"/>
      <c r="G20" s="543" t="s">
        <v>123</v>
      </c>
      <c r="H20" s="52" t="str">
        <f>'Week 2 (MASTER SHEET)'!H20</f>
        <v>1. MACHINE PRESS</v>
      </c>
      <c r="I20" s="53"/>
      <c r="J20" s="53"/>
      <c r="K20" s="53"/>
      <c r="L20" s="53"/>
      <c r="M20" s="54"/>
    </row>
    <row r="21">
      <c r="A21" s="228" t="str">
        <f>'Week 2 (MASTER SHEET)'!A21</f>
        <v>CURRENT MAX</v>
      </c>
      <c r="B21" s="229">
        <v>75.0</v>
      </c>
      <c r="C21" s="16"/>
      <c r="D21" s="16"/>
      <c r="E21" s="16"/>
      <c r="F21" s="230"/>
      <c r="G21" s="543"/>
      <c r="H21" s="228" t="str">
        <f>'Week 2 (MASTER SHEET)'!H21</f>
        <v>CURRENT MAX</v>
      </c>
      <c r="I21" s="229" t="str">
        <f>'Week 2 (MASTER SHEET)'!I21</f>
        <v/>
      </c>
      <c r="J21" s="16"/>
      <c r="K21" s="16"/>
      <c r="L21" s="16"/>
      <c r="M21" s="230"/>
    </row>
    <row r="22">
      <c r="A22" s="96" t="str">
        <f>'Week 2 (MASTER SHEET)'!A22</f>
        <v>SET</v>
      </c>
      <c r="B22" s="97" t="str">
        <f>'Week 2 (MASTER SHEET)'!B22</f>
        <v>WEIGHT</v>
      </c>
      <c r="C22" s="97" t="str">
        <f>'Week 2 (MASTER SHEET)'!C22</f>
        <v>REPS</v>
      </c>
      <c r="D22" s="97" t="str">
        <f>'Week 2 (MASTER SHEET)'!D22</f>
        <v>REST</v>
      </c>
      <c r="E22" s="98" t="str">
        <f>'Week 2 (MASTER SHEET)'!E22</f>
        <v>PREVIOUS</v>
      </c>
      <c r="F22" s="235" t="str">
        <f>'Week 2 (MASTER SHEET)'!F22</f>
        <v>REP LOG</v>
      </c>
      <c r="H22" s="96" t="str">
        <f>'Week 2 (MASTER SHEET)'!H22</f>
        <v>SET</v>
      </c>
      <c r="I22" s="97" t="str">
        <f>'Week 2 (MASTER SHEET)'!I22</f>
        <v>WEIGHT</v>
      </c>
      <c r="J22" s="97" t="str">
        <f>'Week 2 (MASTER SHEET)'!J22</f>
        <v>REPS</v>
      </c>
      <c r="K22" s="97" t="str">
        <f>'Week 2 (MASTER SHEET)'!K22</f>
        <v>REST</v>
      </c>
      <c r="L22" s="98" t="str">
        <f>'Week 2 (MASTER SHEET)'!L22</f>
        <v>PREVIOUS</v>
      </c>
      <c r="M22" s="235" t="str">
        <f>'Week 2 (MASTER SHEET)'!M22</f>
        <v>REP LOG</v>
      </c>
    </row>
    <row r="23">
      <c r="A23" s="240">
        <f>'Week 2 (MASTER SHEET)'!A23</f>
        <v>1</v>
      </c>
      <c r="B23" s="241">
        <f>'Week 2 (MASTER SHEET)'!B23</f>
        <v>25</v>
      </c>
      <c r="C23" s="241">
        <f>'Week 2 (MASTER SHEET)'!C23</f>
        <v>6</v>
      </c>
      <c r="D23" s="83" t="str">
        <f>'Week 2 (MASTER SHEET)'!D23</f>
        <v>1 MIN</v>
      </c>
      <c r="E23" s="544">
        <f>'Week 2 (MASTER SHEET)'!E23</f>
        <v>6</v>
      </c>
      <c r="F23" s="85">
        <v>6.0</v>
      </c>
      <c r="H23" s="244">
        <f>'Week 2 (MASTER SHEET)'!H23</f>
        <v>1</v>
      </c>
      <c r="I23" s="241">
        <f>'Week 2 (MASTER SHEET)'!I23</f>
        <v>0</v>
      </c>
      <c r="J23" s="63">
        <f>'Week 2 (MASTER SHEET)'!J23</f>
        <v>6</v>
      </c>
      <c r="K23" s="83" t="str">
        <f>'Week 2 (MASTER SHEET)'!K23</f>
        <v>1 MIN</v>
      </c>
      <c r="L23" s="84" t="str">
        <f>'Week 2 (MASTER SHEET)'!L23</f>
        <v/>
      </c>
      <c r="M23" s="85"/>
    </row>
    <row r="24">
      <c r="A24" s="240">
        <f>'Week 2 (MASTER SHEET)'!A24</f>
        <v>2</v>
      </c>
      <c r="B24" s="241">
        <f>'Week 2 (MASTER SHEET)'!B24</f>
        <v>50</v>
      </c>
      <c r="C24" s="241">
        <f>'Week 2 (MASTER SHEET)'!C24</f>
        <v>1</v>
      </c>
      <c r="D24" s="83" t="str">
        <f>'Week 2 (MASTER SHEET)'!D24</f>
        <v>1 MIN</v>
      </c>
      <c r="E24" s="544">
        <f>'Week 2 (MASTER SHEET)'!E24</f>
        <v>1</v>
      </c>
      <c r="F24" s="85">
        <v>1.0</v>
      </c>
      <c r="H24" s="240">
        <f>'Week 2 (MASTER SHEET)'!H24</f>
        <v>2</v>
      </c>
      <c r="I24" s="241">
        <f>'Week 2 (MASTER SHEET)'!I24</f>
        <v>0</v>
      </c>
      <c r="J24" s="241">
        <f>'Week 2 (MASTER SHEET)'!J24</f>
        <v>1</v>
      </c>
      <c r="K24" s="83" t="str">
        <f>'Week 2 (MASTER SHEET)'!K24</f>
        <v>1 MIN</v>
      </c>
      <c r="L24" s="84" t="str">
        <f>'Week 2 (MASTER SHEET)'!L24</f>
        <v/>
      </c>
      <c r="M24" s="85"/>
    </row>
    <row r="25">
      <c r="A25" s="240">
        <f>'Week 2 (MASTER SHEET)'!A25</f>
        <v>3</v>
      </c>
      <c r="B25" s="241">
        <f>'Week 2 (MASTER SHEET)'!B25</f>
        <v>65</v>
      </c>
      <c r="C25" s="241">
        <f>'Week 2 (MASTER SHEET)'!C25</f>
        <v>1</v>
      </c>
      <c r="D25" s="83" t="str">
        <f>'Week 2 (MASTER SHEET)'!D25</f>
        <v>1 MIN</v>
      </c>
      <c r="E25" s="544">
        <f>'Week 2 (MASTER SHEET)'!E25</f>
        <v>1</v>
      </c>
      <c r="F25" s="85">
        <v>1.0</v>
      </c>
      <c r="H25" s="240">
        <f>'Week 2 (MASTER SHEET)'!H25</f>
        <v>3</v>
      </c>
      <c r="I25" s="241">
        <f>'Week 2 (MASTER SHEET)'!I25</f>
        <v>0</v>
      </c>
      <c r="J25" s="241">
        <f>'Week 2 (MASTER SHEET)'!J25</f>
        <v>1</v>
      </c>
      <c r="K25" s="83" t="str">
        <f>'Week 2 (MASTER SHEET)'!K25</f>
        <v>1 MIN</v>
      </c>
      <c r="L25" s="84" t="str">
        <f>'Week 2 (MASTER SHEET)'!L25</f>
        <v/>
      </c>
      <c r="M25" s="85"/>
    </row>
    <row r="26">
      <c r="A26" s="240">
        <f>'Week 2 (MASTER SHEET)'!A26</f>
        <v>4</v>
      </c>
      <c r="B26" s="241">
        <f>'Week 2 (MASTER SHEET)'!B26</f>
        <v>75</v>
      </c>
      <c r="C26" s="245" t="str">
        <f>'Week 2 (MASTER SHEET)'!C26</f>
        <v>REP OUT</v>
      </c>
      <c r="D26" s="83" t="str">
        <f>'Week 2 (MASTER SHEET)'!D26</f>
        <v>1 MIN</v>
      </c>
      <c r="E26" s="544">
        <f>'Week 2 (MASTER SHEET)'!E26</f>
        <v>6</v>
      </c>
      <c r="F26" s="85">
        <v>6.0</v>
      </c>
      <c r="H26" s="240">
        <f>'Week 2 (MASTER SHEET)'!H26</f>
        <v>4</v>
      </c>
      <c r="I26" s="241">
        <f>'Week 2 (MASTER SHEET)'!I26</f>
        <v>0</v>
      </c>
      <c r="J26" s="245" t="str">
        <f>'Week 2 (MASTER SHEET)'!J26</f>
        <v>REP OUT</v>
      </c>
      <c r="K26" s="83" t="str">
        <f>'Week 2 (MASTER SHEET)'!K26</f>
        <v>1 MIN</v>
      </c>
      <c r="L26" s="84" t="str">
        <f>'Week 2 (MASTER SHEET)'!L26</f>
        <v/>
      </c>
      <c r="M26" s="85"/>
    </row>
    <row r="27">
      <c r="A27" s="248" t="str">
        <f>'Week 2 (MASTER SHEET)'!A27</f>
        <v>NEW 4 REP MAX ATTEMPT</v>
      </c>
      <c r="F27" s="28"/>
      <c r="H27" s="248" t="str">
        <f>'Week 2 (MASTER SHEET)'!H27</f>
        <v>PROCEED TO DOWNSETS</v>
      </c>
      <c r="M27" s="28"/>
    </row>
    <row r="28">
      <c r="A28" s="251">
        <f>'Week 2 (MASTER SHEET)'!A28</f>
        <v>5</v>
      </c>
      <c r="B28" s="252">
        <f>'Week 2 (MASTER SHEET)'!B28</f>
        <v>80</v>
      </c>
      <c r="C28" s="253" t="str">
        <f>'Week 2 (MASTER SHEET)'!C28</f>
        <v>REP OUT</v>
      </c>
      <c r="D28" s="254" t="str">
        <f>'Week 2 (MASTER SHEET)'!D28</f>
        <v>1 MIN</v>
      </c>
      <c r="E28" s="544">
        <f>'Week 2 (MASTER SHEET)'!E28</f>
        <v>3</v>
      </c>
      <c r="F28" s="67">
        <v>2.0</v>
      </c>
      <c r="H28" s="251" t="str">
        <f>'Week 2 (MASTER SHEET)'!H28</f>
        <v/>
      </c>
      <c r="I28" s="252" t="str">
        <f>'Week 2 (MASTER SHEET)'!I28</f>
        <v/>
      </c>
      <c r="J28" s="253" t="str">
        <f>'Week 2 (MASTER SHEET)'!J28</f>
        <v/>
      </c>
      <c r="K28" s="254" t="str">
        <f>'Week 2 (MASTER SHEET)'!K28</f>
        <v/>
      </c>
      <c r="L28" s="84" t="str">
        <f>'Week 2 (MASTER SHEET)'!L28</f>
        <v/>
      </c>
      <c r="M28" s="67"/>
    </row>
    <row r="29">
      <c r="A29" s="260" t="str">
        <f>'Week 2 (MASTER SHEET)'!A29</f>
        <v>DOWN SETS</v>
      </c>
      <c r="B29" s="16"/>
      <c r="C29" s="16"/>
      <c r="D29" s="16"/>
      <c r="E29" s="16"/>
      <c r="F29" s="230"/>
      <c r="H29" s="260" t="str">
        <f>'Week 2 (MASTER SHEET)'!H29</f>
        <v>FILL OUT REP LOG FIRST</v>
      </c>
      <c r="I29" s="16"/>
      <c r="J29" s="16"/>
      <c r="K29" s="16"/>
      <c r="L29" s="16"/>
      <c r="M29" s="230"/>
    </row>
    <row r="30">
      <c r="A30" s="545">
        <f>'Week 2 (MASTER SHEET)'!A30</f>
        <v>6</v>
      </c>
      <c r="B30" s="261">
        <f>'Week 2 (MASTER SHEET)'!B30</f>
        <v>70</v>
      </c>
      <c r="C30" s="262" t="str">
        <f>'Week 2 (MASTER SHEET)'!C30</f>
        <v>REP OUT</v>
      </c>
      <c r="D30" s="65" t="str">
        <f>'Week 2 (MASTER SHEET)'!D30</f>
        <v>1 MIN</v>
      </c>
      <c r="E30" s="544">
        <f>'Week 2 (MASTER SHEET)'!E30</f>
        <v>6</v>
      </c>
      <c r="F30" s="263"/>
      <c r="H30" s="91" t="str">
        <f>'Week 2 (MASTER SHEET)'!H30</f>
        <v/>
      </c>
      <c r="I30" s="261" t="str">
        <f>'Week 2 (MASTER SHEET)'!I30</f>
        <v/>
      </c>
      <c r="J30" s="262" t="str">
        <f>'Week 2 (MASTER SHEET)'!J30</f>
        <v/>
      </c>
      <c r="K30" s="65" t="str">
        <f>'Week 2 (MASTER SHEET)'!K30</f>
        <v/>
      </c>
      <c r="L30" s="84" t="str">
        <f>'Week 2 (MASTER SHEET)'!L30</f>
        <v/>
      </c>
      <c r="M30" s="263"/>
    </row>
    <row r="31">
      <c r="A31" s="546">
        <f>'Week 2 (MASTER SHEET)'!A31</f>
        <v>7</v>
      </c>
      <c r="B31" s="254">
        <f>'Week 2 (MASTER SHEET)'!B31</f>
        <v>55</v>
      </c>
      <c r="C31" s="253" t="str">
        <f>'Week 2 (MASTER SHEET)'!C31</f>
        <v>REP OUT</v>
      </c>
      <c r="D31" s="254" t="str">
        <f>'Week 2 (MASTER SHEET)'!D31</f>
        <v>1 MIN</v>
      </c>
      <c r="E31" s="544">
        <f>'Week 2 (MASTER SHEET)'!E31</f>
        <v>10</v>
      </c>
      <c r="F31" s="263"/>
      <c r="H31" s="269" t="str">
        <f>'Week 2 (MASTER SHEET)'!H31</f>
        <v/>
      </c>
      <c r="I31" s="254" t="str">
        <f>'Week 2 (MASTER SHEET)'!I31</f>
        <v/>
      </c>
      <c r="J31" s="253" t="str">
        <f>'Week 2 (MASTER SHEET)'!J31</f>
        <v/>
      </c>
      <c r="K31" s="254" t="str">
        <f>'Week 2 (MASTER SHEET)'!K31</f>
        <v/>
      </c>
      <c r="L31" s="84"/>
      <c r="M31" s="263"/>
    </row>
    <row r="32">
      <c r="A32" s="546" t="str">
        <f>'Week 2 (MASTER SHEET)'!A32</f>
        <v/>
      </c>
      <c r="B32" s="254" t="str">
        <f>'Week 2 (MASTER SHEET)'!B32</f>
        <v/>
      </c>
      <c r="C32" s="253" t="str">
        <f>'Week 2 (MASTER SHEET)'!C32</f>
        <v/>
      </c>
      <c r="D32" s="254" t="str">
        <f>'Week 2 (MASTER SHEET)'!D32</f>
        <v/>
      </c>
      <c r="E32" s="544" t="str">
        <f>'Week 2 (MASTER SHEET)'!E32</f>
        <v/>
      </c>
      <c r="F32" s="263"/>
      <c r="H32" s="269" t="str">
        <f>'Week 2 (MASTER SHEET)'!H32</f>
        <v/>
      </c>
      <c r="I32" s="254" t="str">
        <f>'Week 2 (MASTER SHEET)'!I32</f>
        <v/>
      </c>
      <c r="J32" s="253" t="str">
        <f>'Week 2 (MASTER SHEET)'!J32</f>
        <v/>
      </c>
      <c r="K32" s="254" t="str">
        <f>'Week 2 (MASTER SHEET)'!K32</f>
        <v/>
      </c>
      <c r="L32" s="84"/>
      <c r="M32" s="263"/>
    </row>
    <row r="33">
      <c r="A33" s="546" t="str">
        <f>'Week 2 (MASTER SHEET)'!A33</f>
        <v/>
      </c>
      <c r="B33" s="254" t="str">
        <f>'Week 2 (MASTER SHEET)'!B33</f>
        <v/>
      </c>
      <c r="C33" s="253" t="str">
        <f>'Week 2 (MASTER SHEET)'!C33</f>
        <v/>
      </c>
      <c r="D33" s="254" t="str">
        <f>'Week 2 (MASTER SHEET)'!D33</f>
        <v/>
      </c>
      <c r="E33" s="544" t="str">
        <f>'Week 2 (MASTER SHEET)'!E33</f>
        <v/>
      </c>
      <c r="F33" s="263"/>
      <c r="H33" s="269" t="str">
        <f>'Week 2 (MASTER SHEET)'!H33</f>
        <v/>
      </c>
      <c r="I33" s="254" t="str">
        <f>'Week 2 (MASTER SHEET)'!I33</f>
        <v/>
      </c>
      <c r="J33" s="253" t="str">
        <f>'Week 2 (MASTER SHEET)'!J33</f>
        <v/>
      </c>
      <c r="K33" s="254" t="str">
        <f>'Week 2 (MASTER SHEET)'!K33</f>
        <v/>
      </c>
      <c r="L33" s="84"/>
      <c r="M33" s="263"/>
    </row>
    <row r="34">
      <c r="A34" s="280" t="str">
        <f>'Week 2 (MASTER SHEET)'!A34</f>
        <v>FINAL MAX</v>
      </c>
      <c r="B34" s="273">
        <f>'Week 2 (MASTER SHEET)'!B34</f>
        <v>75</v>
      </c>
      <c r="C34" s="11"/>
      <c r="D34" s="11"/>
      <c r="E34" s="11"/>
      <c r="F34" s="46"/>
      <c r="H34" s="280" t="str">
        <f>'Week 2 (MASTER SHEET)'!H34</f>
        <v>FINAL MAX</v>
      </c>
      <c r="I34" s="273" t="str">
        <f>'Week 2 (MASTER SHEET)'!I34</f>
        <v/>
      </c>
      <c r="J34" s="11"/>
      <c r="K34" s="11"/>
      <c r="L34" s="11"/>
      <c r="M34" s="46"/>
    </row>
    <row r="35">
      <c r="A35" s="547"/>
    </row>
    <row r="37">
      <c r="A37" s="73" t="str">
        <f>'Week 2 (MASTER SHEET)'!A37</f>
        <v>2. DUMBBELL CHEST FLY</v>
      </c>
      <c r="B37" s="53"/>
      <c r="C37" s="53"/>
      <c r="D37" s="53"/>
      <c r="E37" s="53"/>
      <c r="F37" s="54"/>
      <c r="G37" s="543" t="s">
        <v>123</v>
      </c>
      <c r="H37" s="440" t="str">
        <f>'Week 2 (MASTER SHEET)'!H37</f>
        <v>2. MACHINE CHEST FLY</v>
      </c>
      <c r="I37" s="53"/>
      <c r="J37" s="53"/>
      <c r="K37" s="53"/>
      <c r="L37" s="53"/>
      <c r="M37" s="54"/>
    </row>
    <row r="38">
      <c r="A38" s="226" t="str">
        <f>'Week 2 (MASTER SHEET)'!A38</f>
        <v>DB INCLINE MAX</v>
      </c>
      <c r="B38" s="548">
        <f>'Week 2 (MASTER SHEET)'!B38</f>
        <v>75</v>
      </c>
      <c r="C38" s="13"/>
      <c r="D38" s="13"/>
      <c r="E38" s="13"/>
      <c r="F38" s="57"/>
      <c r="H38" s="228" t="str">
        <f>'Week 2 (MASTER SHEET)'!H38</f>
        <v>DB INCLINE MAX</v>
      </c>
      <c r="I38" s="549">
        <f>'Week 2 (MASTER SHEET)'!I38</f>
        <v>75</v>
      </c>
      <c r="M38" s="28"/>
    </row>
    <row r="39">
      <c r="A39" s="364" t="str">
        <f>'Week 2 (MASTER SHEET)'!A39</f>
        <v>SET</v>
      </c>
      <c r="B39" s="365" t="str">
        <f>'Week 2 (MASTER SHEET)'!B39</f>
        <v>WEIGHT</v>
      </c>
      <c r="C39" s="365" t="str">
        <f>'Week 2 (MASTER SHEET)'!C39</f>
        <v>REPS</v>
      </c>
      <c r="D39" s="365" t="str">
        <f>'Week 2 (MASTER SHEET)'!D39</f>
        <v>REST</v>
      </c>
      <c r="E39" s="550" t="str">
        <f>'Week 2 (MASTER SHEET)'!E39</f>
        <v>PREVIOUS</v>
      </c>
      <c r="F39" s="235" t="str">
        <f>'Week 2 (MASTER SHEET)'!F39</f>
        <v>REP LOG</v>
      </c>
      <c r="G39" s="551"/>
      <c r="H39" s="96" t="str">
        <f>'Week 2 (MASTER SHEET)'!H39</f>
        <v>SET</v>
      </c>
      <c r="I39" s="97" t="str">
        <f>'Week 2 (MASTER SHEET)'!I39</f>
        <v>WEIGHT</v>
      </c>
      <c r="J39" s="97" t="str">
        <f>'Week 2 (MASTER SHEET)'!J39</f>
        <v>REPS</v>
      </c>
      <c r="K39" s="97" t="str">
        <f>'Week 2 (MASTER SHEET)'!K39</f>
        <v>REST</v>
      </c>
      <c r="L39" s="507" t="str">
        <f>'Week 2 (MASTER SHEET)'!L39</f>
        <v>PREVIOUS</v>
      </c>
      <c r="M39" s="235" t="str">
        <f>'Week 2 (MASTER SHEET)'!M39</f>
        <v>REP LOG</v>
      </c>
    </row>
    <row r="40">
      <c r="A40" s="552">
        <f>'Week 2 (MASTER SHEET)'!A40</f>
        <v>1</v>
      </c>
      <c r="B40" s="553">
        <f>'Week 2 (MASTER SHEET)'!B40</f>
        <v>22.5</v>
      </c>
      <c r="C40" s="553">
        <f>'Week 2 (MASTER SHEET)'!C40</f>
        <v>15</v>
      </c>
      <c r="D40" s="553" t="str">
        <f>'Week 2 (MASTER SHEET)'!D40</f>
        <v>1 MIN</v>
      </c>
      <c r="E40" s="554" t="str">
        <f>'Week 2 (MASTER SHEET)'!E40</f>
        <v/>
      </c>
      <c r="F40" s="555">
        <v>15.0</v>
      </c>
      <c r="H40" s="556">
        <f>'Week 2 (MASTER SHEET)'!H40</f>
        <v>1</v>
      </c>
      <c r="I40" s="557">
        <f>'Week 2 (MASTER SHEET)'!I40</f>
        <v>110</v>
      </c>
      <c r="J40" s="557">
        <f>'Week 2 (MASTER SHEET)'!J40</f>
        <v>15</v>
      </c>
      <c r="K40" s="557" t="str">
        <f>'Week 2 (MASTER SHEET)'!K40</f>
        <v>1 MIN</v>
      </c>
      <c r="L40" s="557" t="str">
        <f>'Week 2 (MASTER SHEET)'!L40</f>
        <v/>
      </c>
      <c r="M40" s="555"/>
    </row>
    <row r="41">
      <c r="A41" s="558">
        <f>'Week 2 (MASTER SHEET)'!A41</f>
        <v>2</v>
      </c>
      <c r="B41" s="559">
        <f>'Week 2 (MASTER SHEET)'!B41</f>
        <v>22.5</v>
      </c>
      <c r="C41" s="559">
        <f>'Week 2 (MASTER SHEET)'!C41</f>
        <v>15</v>
      </c>
      <c r="D41" s="559" t="str">
        <f>'Week 2 (MASTER SHEET)'!D41</f>
        <v>1 MIN</v>
      </c>
      <c r="E41" s="560" t="str">
        <f>'Week 2 (MASTER SHEET)'!E41</f>
        <v/>
      </c>
      <c r="F41" s="555">
        <v>15.0</v>
      </c>
      <c r="H41" s="561">
        <f>'Week 2 (MASTER SHEET)'!H41</f>
        <v>2</v>
      </c>
      <c r="I41" s="562">
        <f>'Week 2 (MASTER SHEET)'!I41</f>
        <v>110</v>
      </c>
      <c r="J41" s="562">
        <f>'Week 2 (MASTER SHEET)'!J41</f>
        <v>15</v>
      </c>
      <c r="K41" s="562" t="str">
        <f>'Week 2 (MASTER SHEET)'!K41</f>
        <v>1 MIN</v>
      </c>
      <c r="L41" s="562" t="str">
        <f>'Week 2 (MASTER SHEET)'!L41</f>
        <v/>
      </c>
      <c r="M41" s="555"/>
    </row>
    <row r="42">
      <c r="A42" s="563"/>
    </row>
    <row r="44">
      <c r="A44" s="564" t="str">
        <f>'Week 2 (MASTER SHEET)'!A44</f>
        <v>3. MACHINE LOW ROW </v>
      </c>
      <c r="B44" s="53"/>
      <c r="C44" s="53"/>
      <c r="D44" s="53"/>
      <c r="E44" s="53"/>
      <c r="F44" s="54"/>
      <c r="G44" s="551"/>
    </row>
    <row r="45">
      <c r="A45" s="226" t="str">
        <f>'Week 2 (MASTER SHEET)'!A45</f>
        <v>CURRENT MAX</v>
      </c>
      <c r="B45" s="227">
        <f>'Week 2 (MASTER SHEET)'!B45</f>
        <v>205</v>
      </c>
      <c r="C45" s="20"/>
      <c r="D45" s="20"/>
      <c r="E45" s="20"/>
      <c r="F45" s="95"/>
    </row>
    <row r="46">
      <c r="A46" s="231" t="str">
        <f>'Week 2 (MASTER SHEET)'!A46</f>
        <v>SET</v>
      </c>
      <c r="B46" s="232" t="str">
        <f>'Week 2 (MASTER SHEET)'!B46</f>
        <v>WEIGHT</v>
      </c>
      <c r="C46" s="232" t="str">
        <f>'Week 2 (MASTER SHEET)'!C46</f>
        <v>REPS</v>
      </c>
      <c r="D46" s="232" t="str">
        <f>'Week 2 (MASTER SHEET)'!D46</f>
        <v>REST</v>
      </c>
      <c r="E46" s="233" t="str">
        <f>'Week 2 (MASTER SHEET)'!E46</f>
        <v>PREVIOUS</v>
      </c>
      <c r="F46" s="235" t="str">
        <f>'Week 2 (MASTER SHEET)'!F46</f>
        <v>REP LOG</v>
      </c>
    </row>
    <row r="47">
      <c r="A47" s="236">
        <f>'Week 2 (MASTER SHEET)'!A47</f>
        <v>1</v>
      </c>
      <c r="B47" s="237">
        <f>'Week 2 (MASTER SHEET)'!B47</f>
        <v>70</v>
      </c>
      <c r="C47" s="237">
        <f>'Week 2 (MASTER SHEET)'!C47</f>
        <v>6</v>
      </c>
      <c r="D47" s="238" t="str">
        <f>'Week 2 (MASTER SHEET)'!D47</f>
        <v>30s</v>
      </c>
      <c r="E47" s="66" t="str">
        <f>'Week 2 (MASTER SHEET)'!E47</f>
        <v/>
      </c>
      <c r="F47" s="67"/>
    </row>
    <row r="48">
      <c r="A48" s="236">
        <f>'Week 2 (MASTER SHEET)'!A48</f>
        <v>2</v>
      </c>
      <c r="B48" s="237">
        <f>'Week 2 (MASTER SHEET)'!B48</f>
        <v>135</v>
      </c>
      <c r="C48" s="238">
        <f>'Week 2 (MASTER SHEET)'!C48</f>
        <v>3</v>
      </c>
      <c r="D48" s="238" t="str">
        <f>'Week 2 (MASTER SHEET)'!D48</f>
        <v>1-2 MIN</v>
      </c>
      <c r="E48" s="66" t="str">
        <f>'Week 2 (MASTER SHEET)'!E48</f>
        <v/>
      </c>
      <c r="F48" s="67"/>
    </row>
    <row r="49">
      <c r="A49" s="242">
        <f>'Week 2 (MASTER SHEET)'!A49</f>
        <v>3</v>
      </c>
      <c r="B49" s="237">
        <f>'Week 2 (MASTER SHEET)'!B49</f>
        <v>185</v>
      </c>
      <c r="C49" s="63">
        <f>'Week 2 (MASTER SHEET)'!C49</f>
        <v>2</v>
      </c>
      <c r="D49" s="238" t="str">
        <f>'Week 2 (MASTER SHEET)'!D49</f>
        <v>1-2 MIN</v>
      </c>
      <c r="E49" s="66" t="str">
        <f>'Week 2 (MASTER SHEET)'!E49</f>
        <v/>
      </c>
      <c r="F49" s="67"/>
    </row>
    <row r="50">
      <c r="A50" s="243">
        <f>'Week 2 (MASTER SHEET)'!A50</f>
        <v>4</v>
      </c>
      <c r="B50" s="237">
        <f>'Week 2 (MASTER SHEET)'!B50</f>
        <v>205</v>
      </c>
      <c r="C50" s="63">
        <f>'Week 2 (MASTER SHEET)'!C50</f>
        <v>3</v>
      </c>
      <c r="D50" s="238" t="str">
        <f>'Week 2 (MASTER SHEET)'!D50</f>
        <v>1-5 MIN</v>
      </c>
      <c r="E50" s="66"/>
      <c r="F50" s="67"/>
    </row>
    <row r="51">
      <c r="A51" s="246" t="str">
        <f>'Week 2 (MASTER SHEET)'!A51</f>
        <v>PROCEED TO DOWN SETS</v>
      </c>
      <c r="B51" s="20"/>
      <c r="C51" s="20"/>
      <c r="D51" s="20"/>
      <c r="E51" s="20"/>
      <c r="F51" s="95"/>
    </row>
    <row r="52">
      <c r="A52" s="249" t="str">
        <f>'Week 2 (MASTER SHEET)'!A52</f>
        <v/>
      </c>
      <c r="B52" s="237" t="str">
        <f>'Week 2 (MASTER SHEET)'!B52</f>
        <v/>
      </c>
      <c r="C52" s="237" t="str">
        <f>'Week 2 (MASTER SHEET)'!C52</f>
        <v/>
      </c>
      <c r="D52" s="237" t="str">
        <f>'Week 2 (MASTER SHEET)'!D52</f>
        <v/>
      </c>
      <c r="E52" s="250"/>
      <c r="F52" s="67"/>
    </row>
    <row r="53">
      <c r="A53" s="259" t="str">
        <f>'Week 2 (MASTER SHEET)'!A53</f>
        <v/>
      </c>
      <c r="B53" s="237" t="str">
        <f>'Week 2 (MASTER SHEET)'!B53</f>
        <v/>
      </c>
      <c r="C53" s="237" t="str">
        <f>'Week 2 (MASTER SHEET)'!C53</f>
        <v/>
      </c>
      <c r="D53" s="237" t="str">
        <f>'Week 2 (MASTER SHEET)'!D53</f>
        <v/>
      </c>
      <c r="E53" s="258" t="str">
        <f>'Week 2 (MASTER SHEET)'!E53</f>
        <v/>
      </c>
      <c r="F53" s="67"/>
    </row>
    <row r="54">
      <c r="A54" s="246" t="str">
        <f>'Week 2 (MASTER SHEET)'!A54</f>
        <v>DOWN SETS</v>
      </c>
      <c r="B54" s="20"/>
      <c r="C54" s="20"/>
      <c r="D54" s="20"/>
      <c r="E54" s="20"/>
      <c r="F54" s="95"/>
    </row>
    <row r="55">
      <c r="A55" s="264" t="str">
        <f>'Week 2 (MASTER SHEET)'!A55</f>
        <v/>
      </c>
      <c r="B55" s="265">
        <f>'Week 2 (MASTER SHEET)'!B55</f>
        <v>0</v>
      </c>
      <c r="C55" s="266" t="str">
        <f>'Week 2 (MASTER SHEET)'!C55</f>
        <v>REP OUT</v>
      </c>
      <c r="D55" s="267" t="str">
        <f>'Week 2 (MASTER SHEET)'!D55</f>
        <v>1-3 MIN</v>
      </c>
      <c r="E55" s="268" t="str">
        <f>'Week 2 (MASTER SHEET)'!E55</f>
        <v/>
      </c>
      <c r="F55" s="555"/>
    </row>
    <row r="56">
      <c r="A56" s="243" t="str">
        <f>'Week 2 (MASTER SHEET)'!A56</f>
        <v/>
      </c>
      <c r="B56" s="237">
        <f>'Week 2 (MASTER SHEET)'!B56</f>
        <v>0</v>
      </c>
      <c r="C56" s="438" t="str">
        <f>'Week 2 (MASTER SHEET)'!C56</f>
        <v>REP OUT</v>
      </c>
      <c r="D56" s="237" t="str">
        <f>'Week 2 (MASTER SHEET)'!D56</f>
        <v>1-3 MIN</v>
      </c>
      <c r="E56" s="258"/>
      <c r="F56" s="555"/>
    </row>
    <row r="57">
      <c r="A57" s="272" t="str">
        <f>'Week 2 (MASTER SHEET)'!A57</f>
        <v>FINAL MAX</v>
      </c>
      <c r="B57" s="273" t="str">
        <f>'Week 2 (MASTER SHEET)'!B57</f>
        <v/>
      </c>
      <c r="C57" s="11"/>
      <c r="D57" s="11"/>
      <c r="E57" s="11"/>
      <c r="F57" s="46"/>
      <c r="G57" s="551"/>
    </row>
    <row r="58">
      <c r="A58" s="565"/>
    </row>
    <row r="59">
      <c r="A59" s="564" t="str">
        <f>'Week 2 (MASTER SHEET)'!A59</f>
        <v>4. HIGH ROW</v>
      </c>
      <c r="B59" s="53"/>
      <c r="C59" s="53"/>
      <c r="D59" s="53"/>
      <c r="E59" s="53"/>
      <c r="F59" s="54"/>
    </row>
    <row r="60">
      <c r="A60" s="226" t="str">
        <f>'Week 2 (MASTER SHEET)'!A60</f>
        <v>CURRENT MAX</v>
      </c>
      <c r="B60" s="566">
        <f>'Week 2 (MASTER SHEET)'!B60</f>
        <v>60</v>
      </c>
      <c r="C60" s="13"/>
      <c r="D60" s="13"/>
      <c r="E60" s="13"/>
      <c r="F60" s="57"/>
    </row>
    <row r="61">
      <c r="A61" s="567" t="str">
        <f>'Week 2 (MASTER SHEET)'!A61</f>
        <v>SET</v>
      </c>
      <c r="B61" s="568" t="str">
        <f>'Week 2 (MASTER SHEET)'!B61</f>
        <v>WEIGHT</v>
      </c>
      <c r="C61" s="568" t="str">
        <f>'Week 2 (MASTER SHEET)'!C61</f>
        <v>REPS</v>
      </c>
      <c r="D61" s="568" t="str">
        <f>'Week 2 (MASTER SHEET)'!D61</f>
        <v>REST</v>
      </c>
      <c r="E61" s="569" t="str">
        <f>'Week 2 (MASTER SHEET)'!A59:F59</f>
        <v/>
      </c>
      <c r="F61" s="235" t="str">
        <f>'Week 2 (MASTER SHEET)'!F61</f>
        <v>REP LOG</v>
      </c>
    </row>
    <row r="62">
      <c r="A62" s="570">
        <f>'Week 2 (MASTER SHEET)'!A62</f>
        <v>1</v>
      </c>
      <c r="B62" s="571">
        <f>'Week 2 (MASTER SHEET)'!B62</f>
        <v>50</v>
      </c>
      <c r="C62" s="572" t="str">
        <f>'Week 2 (MASTER SHEET)'!C62</f>
        <v>REP OUT</v>
      </c>
      <c r="D62" s="571" t="str">
        <f>'Week 2 (MASTER SHEET)'!D62</f>
        <v>1 MIN</v>
      </c>
      <c r="E62" s="573">
        <f>'Week 2 (MASTER SHEET)'!E62</f>
        <v>7</v>
      </c>
      <c r="F62" s="555">
        <v>10.0</v>
      </c>
    </row>
    <row r="63">
      <c r="A63" s="570">
        <f>'Week 2 (MASTER SHEET)'!A63</f>
        <v>2</v>
      </c>
      <c r="B63" s="571">
        <f>'Week 2 (MASTER SHEET)'!B63</f>
        <v>50</v>
      </c>
      <c r="C63" s="572" t="str">
        <f>'Week 2 (MASTER SHEET)'!C63</f>
        <v>REP OUT</v>
      </c>
      <c r="D63" s="571" t="str">
        <f>'Week 2 (MASTER SHEET)'!D63</f>
        <v>1 MIN</v>
      </c>
      <c r="E63" s="573">
        <f>'Week 2 (MASTER SHEET)'!E63</f>
        <v>10</v>
      </c>
      <c r="F63" s="555">
        <v>10.0</v>
      </c>
    </row>
    <row r="64">
      <c r="A64" s="574">
        <f>'Week 2 (MASTER SHEET)'!A64</f>
        <v>3</v>
      </c>
      <c r="B64" s="575">
        <f>'Week 2 (MASTER SHEET)'!B64</f>
        <v>50</v>
      </c>
      <c r="C64" s="576" t="str">
        <f>'Week 2 (MASTER SHEET)'!C64</f>
        <v>REP OUT</v>
      </c>
      <c r="D64" s="575" t="str">
        <f>'Week 2 (MASTER SHEET)'!D64</f>
        <v>1 MIN</v>
      </c>
      <c r="E64" s="577" t="str">
        <f>'Week 2 (MASTER SHEET)'!E64</f>
        <v/>
      </c>
      <c r="F64" s="555">
        <v>10.0</v>
      </c>
    </row>
    <row r="65">
      <c r="A65" s="578"/>
    </row>
    <row r="67">
      <c r="A67" s="73" t="str">
        <f>'Week 2 (MASTER SHEET)'!A67</f>
        <v>5. LAT PULL DOWN</v>
      </c>
      <c r="B67" s="53"/>
      <c r="C67" s="53"/>
      <c r="D67" s="53"/>
      <c r="E67" s="53"/>
      <c r="F67" s="54"/>
    </row>
    <row r="68">
      <c r="A68" s="226" t="str">
        <f>'Week 2 (MASTER SHEET)'!A68</f>
        <v>CURRENT MAX</v>
      </c>
      <c r="B68" s="566">
        <f>'Week 2 (MASTER SHEET)'!B68</f>
        <v>260</v>
      </c>
      <c r="C68" s="13"/>
      <c r="D68" s="13"/>
      <c r="E68" s="13"/>
      <c r="F68" s="57"/>
    </row>
    <row r="69">
      <c r="A69" s="364" t="str">
        <f>'Week 2 (MASTER SHEET)'!A69</f>
        <v>SET</v>
      </c>
      <c r="B69" s="365" t="str">
        <f>'Week 2 (MASTER SHEET)'!B69</f>
        <v>WEIGHT</v>
      </c>
      <c r="C69" s="365" t="str">
        <f>'Week 2 (MASTER SHEET)'!C69</f>
        <v>REPS</v>
      </c>
      <c r="D69" s="365" t="str">
        <f>'Week 2 (MASTER SHEET)'!D69</f>
        <v>REST</v>
      </c>
      <c r="E69" s="550" t="str">
        <f>'Week 2 (MASTER SHEET)'!E69</f>
        <v>PREVIOUS</v>
      </c>
      <c r="F69" s="235" t="str">
        <f>'Week 2 (MASTER SHEET)'!F69</f>
        <v>REP LOG</v>
      </c>
    </row>
    <row r="70">
      <c r="A70" s="244">
        <f>'Week 2 (MASTER SHEET)'!A70</f>
        <v>1</v>
      </c>
      <c r="B70" s="571">
        <f>'Week 2 (MASTER SHEET)'!B70</f>
        <v>208</v>
      </c>
      <c r="C70" s="572" t="str">
        <f>'Week 2 (MASTER SHEET)'!C70</f>
        <v>REP OUT</v>
      </c>
      <c r="D70" s="571" t="str">
        <f>'Week 2 (MASTER SHEET)'!D70</f>
        <v>1 MIN</v>
      </c>
      <c r="E70" s="573" t="str">
        <f>'Week 2 (MASTER SHEET)'!E70</f>
        <v/>
      </c>
      <c r="F70" s="555">
        <v>10.0</v>
      </c>
    </row>
    <row r="71">
      <c r="A71" s="244">
        <f>'Week 2 (MASTER SHEET)'!A71</f>
        <v>2</v>
      </c>
      <c r="B71" s="571">
        <f>'Week 2 (MASTER SHEET)'!B71</f>
        <v>200</v>
      </c>
      <c r="C71" s="572" t="str">
        <f>'Week 2 (MASTER SHEET)'!C71</f>
        <v>REP OUT</v>
      </c>
      <c r="D71" s="571" t="str">
        <f>'Week 2 (MASTER SHEET)'!D71</f>
        <v>1 MIN</v>
      </c>
      <c r="E71" s="573" t="str">
        <f>'Week 2 (MASTER SHEET)'!E71</f>
        <v/>
      </c>
      <c r="F71" s="555">
        <v>10.0</v>
      </c>
    </row>
    <row r="72">
      <c r="A72" s="579">
        <f>'Week 2 (MASTER SHEET)'!A72</f>
        <v>3</v>
      </c>
      <c r="B72" s="575">
        <f>'Week 2 (MASTER SHEET)'!B72</f>
        <v>190</v>
      </c>
      <c r="C72" s="576" t="str">
        <f>'Week 2 (MASTER SHEET)'!C72</f>
        <v>REP OUT</v>
      </c>
      <c r="D72" s="575" t="str">
        <f>'Week 2 (MASTER SHEET)'!D72</f>
        <v>1 MIN</v>
      </c>
      <c r="E72" s="577" t="str">
        <f>'Week 2 (MASTER SHEET)'!E72</f>
        <v/>
      </c>
      <c r="F72" s="555">
        <v>10.0</v>
      </c>
    </row>
    <row r="73">
      <c r="A73" s="580"/>
      <c r="B73" s="25"/>
      <c r="C73" s="25"/>
      <c r="D73" s="25"/>
      <c r="E73" s="25"/>
      <c r="F73" s="25"/>
    </row>
    <row r="74">
      <c r="A74" s="581" t="str">
        <f>'Week 2 (MASTER SHEET)'!A74</f>
        <v>CLICK TO COMPLETE WORKOUT</v>
      </c>
      <c r="B74" s="25"/>
      <c r="C74" s="25"/>
      <c r="D74" s="25"/>
      <c r="E74" s="25"/>
      <c r="F74" s="26"/>
    </row>
    <row r="75">
      <c r="A75" s="336"/>
      <c r="B75" s="11"/>
      <c r="C75" s="11"/>
      <c r="D75" s="11"/>
      <c r="E75" s="11"/>
      <c r="F75" s="46"/>
    </row>
    <row r="76">
      <c r="A76" s="582"/>
      <c r="B76" s="36"/>
      <c r="C76" s="36"/>
      <c r="D76" s="36"/>
      <c r="E76" s="36"/>
      <c r="F76" s="36"/>
    </row>
    <row r="77">
      <c r="A77" s="538" t="s">
        <v>59</v>
      </c>
      <c r="B77" s="36"/>
      <c r="C77" s="36"/>
      <c r="D77" s="36"/>
      <c r="E77" s="36"/>
      <c r="F77" s="37"/>
    </row>
    <row r="78">
      <c r="A78" s="583"/>
    </row>
    <row r="79">
      <c r="A79" s="542" t="str">
        <f>'Week 2 (MASTER SHEET)'!A79</f>
        <v>LEGS</v>
      </c>
      <c r="B79" s="36"/>
      <c r="C79" s="36"/>
      <c r="D79" s="36"/>
      <c r="E79" s="36"/>
      <c r="F79" s="37"/>
    </row>
    <row r="80">
      <c r="A80" s="73" t="str">
        <f>'Week 2 (MASTER SHEET)'!A80</f>
        <v> 1. SISSY SQUATS</v>
      </c>
      <c r="B80" s="53"/>
      <c r="C80" s="53"/>
      <c r="D80" s="53"/>
      <c r="E80" s="53"/>
      <c r="F80" s="54"/>
    </row>
    <row r="81">
      <c r="A81" s="58" t="str">
        <f>'Week 2 (MASTER SHEET)'!A81</f>
        <v>SET</v>
      </c>
      <c r="B81" s="59" t="str">
        <f>'Week 2 (MASTER SHEET)'!B81</f>
        <v>WEIGHT</v>
      </c>
      <c r="C81" s="59" t="str">
        <f>'Week 2 (MASTER SHEET)'!C81</f>
        <v>REPS</v>
      </c>
      <c r="D81" s="59" t="str">
        <f>'Week 2 (MASTER SHEET)'!D81</f>
        <v>REST</v>
      </c>
      <c r="E81" s="584" t="str">
        <f>'Week 2 (MASTER SHEET)'!E81</f>
        <v>PREVIOUS</v>
      </c>
      <c r="F81" s="235" t="str">
        <f>'Week 2 (MASTER SHEET)'!F81</f>
        <v>REP LOG</v>
      </c>
    </row>
    <row r="82">
      <c r="A82" s="62">
        <f>'Week 2 (MASTER SHEET)'!A82</f>
        <v>1</v>
      </c>
      <c r="B82" s="585" t="str">
        <f>'Week 2 (MASTER SHEET)'!B82</f>
        <v>BODY</v>
      </c>
      <c r="C82" s="585">
        <f>'Week 2 (MASTER SHEET)'!C82</f>
        <v>10</v>
      </c>
      <c r="D82" s="585" t="str">
        <f>'Week 2 (MASTER SHEET)'!D82</f>
        <v>1-2 MIN</v>
      </c>
      <c r="E82" s="586" t="str">
        <f>'Week 2 (MASTER SHEET)'!E82</f>
        <v/>
      </c>
      <c r="F82" s="555"/>
    </row>
    <row r="83">
      <c r="A83" s="68">
        <f>'Week 2 (MASTER SHEET)'!A83</f>
        <v>2</v>
      </c>
      <c r="B83" s="587" t="str">
        <f>'Week 2 (MASTER SHEET)'!B83</f>
        <v>BODY</v>
      </c>
      <c r="C83" s="587">
        <f>'Week 2 (MASTER SHEET)'!C83</f>
        <v>10</v>
      </c>
      <c r="D83" s="587" t="str">
        <f>'Week 2 (MASTER SHEET)'!D83</f>
        <v>1-2 MIN</v>
      </c>
      <c r="E83" s="588" t="str">
        <f>'Week 2 (MASTER SHEET)'!E83</f>
        <v/>
      </c>
      <c r="F83" s="555"/>
    </row>
    <row r="84">
      <c r="A84" s="578"/>
    </row>
    <row r="86">
      <c r="A86" s="73" t="str">
        <f>'Week 2 (MASTER SHEET)'!A86</f>
        <v>2. LEG PRESS</v>
      </c>
      <c r="B86" s="53"/>
      <c r="C86" s="53"/>
      <c r="D86" s="53"/>
      <c r="E86" s="53"/>
      <c r="F86" s="54"/>
    </row>
    <row r="87">
      <c r="A87" s="589" t="str">
        <f>'Week 2 (MASTER SHEET)'!A87</f>
        <v>CURRENT MAX</v>
      </c>
      <c r="B87" s="227">
        <v>240.0</v>
      </c>
      <c r="C87" s="20"/>
      <c r="D87" s="20"/>
      <c r="E87" s="20"/>
      <c r="F87" s="95"/>
    </row>
    <row r="88">
      <c r="A88" s="567" t="str">
        <f>'Week 2 (MASTER SHEET)'!A88</f>
        <v>SET</v>
      </c>
      <c r="B88" s="568" t="str">
        <f>'Week 2 (MASTER SHEET)'!B88</f>
        <v>WEIGHT</v>
      </c>
      <c r="C88" s="568" t="str">
        <f>'Week 2 (MASTER SHEET)'!C88</f>
        <v>REPS</v>
      </c>
      <c r="D88" s="568" t="str">
        <f>'Week 2 (MASTER SHEET)'!D88</f>
        <v>REST</v>
      </c>
      <c r="E88" s="569" t="str">
        <f>'Week 2 (MASTER SHEET)'!E88</f>
        <v>PREVIOUS</v>
      </c>
      <c r="F88" s="235" t="str">
        <f>'Week 2 (MASTER SHEET)'!F88</f>
        <v>REP LOG</v>
      </c>
    </row>
    <row r="89">
      <c r="A89" s="570">
        <f>'Week 2 (MASTER SHEET)'!A89</f>
        <v>1</v>
      </c>
      <c r="B89" s="571">
        <f>'Week 2 (MASTER SHEET)'!B89</f>
        <v>120</v>
      </c>
      <c r="C89" s="571">
        <f>'Week 2 (MASTER SHEET)'!C89</f>
        <v>20</v>
      </c>
      <c r="D89" s="571" t="str">
        <f>'Week 2 (MASTER SHEET)'!D89</f>
        <v>1-5 MIN</v>
      </c>
      <c r="E89" s="573" t="str">
        <f>'Week 2 (MASTER SHEET)'!E89</f>
        <v/>
      </c>
      <c r="F89" s="555">
        <v>20.0</v>
      </c>
    </row>
    <row r="90">
      <c r="A90" s="570">
        <f>'Week 2 (MASTER SHEET)'!A90</f>
        <v>2</v>
      </c>
      <c r="B90" s="571">
        <f>'Week 2 (MASTER SHEET)'!B90</f>
        <v>155</v>
      </c>
      <c r="C90" s="571">
        <f>'Week 2 (MASTER SHEET)'!C90</f>
        <v>20</v>
      </c>
      <c r="D90" s="571" t="str">
        <f>'Week 2 (MASTER SHEET)'!D90</f>
        <v>1-5 MIN</v>
      </c>
      <c r="E90" s="573" t="str">
        <f>'Week 2 (MASTER SHEET)'!E90</f>
        <v/>
      </c>
      <c r="F90" s="555">
        <v>20.0</v>
      </c>
    </row>
    <row r="91">
      <c r="A91" s="570">
        <f>'Week 2 (MASTER SHEET)'!A91</f>
        <v>3</v>
      </c>
      <c r="B91" s="571">
        <f>'Week 2 (MASTER SHEET)'!B91</f>
        <v>190</v>
      </c>
      <c r="C91" s="571">
        <f>'Week 2 (MASTER SHEET)'!C91</f>
        <v>20</v>
      </c>
      <c r="D91" s="571" t="str">
        <f>'Week 2 (MASTER SHEET)'!D91</f>
        <v>1-5 MIN</v>
      </c>
      <c r="E91" s="573" t="str">
        <f>'Week 2 (MASTER SHEET)'!E91</f>
        <v/>
      </c>
      <c r="F91" s="555">
        <v>40.0</v>
      </c>
    </row>
    <row r="92">
      <c r="A92" s="570">
        <f>'Week 2 (MASTER SHEET)'!A92</f>
        <v>4</v>
      </c>
      <c r="B92" s="571">
        <f>'Week 2 (MASTER SHEET)'!B92</f>
        <v>230</v>
      </c>
      <c r="C92" s="571">
        <f>'Week 2 (MASTER SHEET)'!C92</f>
        <v>15</v>
      </c>
      <c r="D92" s="571" t="str">
        <f>'Week 2 (MASTER SHEET)'!D92</f>
        <v>1-5 MIN</v>
      </c>
      <c r="E92" s="573" t="str">
        <f>'Week 2 (MASTER SHEET)'!E92</f>
        <v/>
      </c>
      <c r="F92" s="555">
        <v>40.0</v>
      </c>
    </row>
    <row r="93">
      <c r="A93" s="570">
        <f>'Week 2 (MASTER SHEET)'!A93</f>
        <v>5</v>
      </c>
      <c r="B93" s="571">
        <f>'Week 2 (MASTER SHEET)'!B93</f>
        <v>250</v>
      </c>
      <c r="C93" s="571" t="str">
        <f>'Week 2 (MASTER SHEET)'!C93</f>
        <v>10 - 20</v>
      </c>
      <c r="D93" s="571" t="str">
        <f>'Week 2 (MASTER SHEET)'!D93</f>
        <v>1-5 MIN</v>
      </c>
      <c r="E93" s="573" t="str">
        <f>'Week 2 (MASTER SHEET)'!E93</f>
        <v/>
      </c>
      <c r="F93" s="555">
        <v>40.0</v>
      </c>
    </row>
    <row r="94">
      <c r="A94" s="570">
        <f>'Week 2 (MASTER SHEET)'!A94</f>
        <v>6</v>
      </c>
      <c r="B94" s="571">
        <f>'Week 2 (MASTER SHEET)'!B94</f>
        <v>265</v>
      </c>
      <c r="C94" s="572" t="str">
        <f>'Week 2 (MASTER SHEET)'!C94</f>
        <v>REP OUT</v>
      </c>
      <c r="D94" s="571" t="str">
        <f>'Week 2 (MASTER SHEET)'!D94</f>
        <v>1-5 MIN</v>
      </c>
      <c r="E94" s="573" t="str">
        <f>'Week 2 (MASTER SHEET)'!E94</f>
        <v/>
      </c>
      <c r="F94" s="555">
        <v>40.0</v>
      </c>
    </row>
    <row r="95">
      <c r="A95" s="570">
        <f>'Week 2 (MASTER SHEET)'!A95</f>
        <v>7</v>
      </c>
      <c r="B95" s="571">
        <f>'Week 2 (MASTER SHEET)'!B95</f>
        <v>305</v>
      </c>
      <c r="C95" s="572" t="str">
        <f>'Week 2 (MASTER SHEET)'!C95</f>
        <v>REP OUT</v>
      </c>
      <c r="D95" s="571" t="str">
        <f>'Week 2 (MASTER SHEET)'!D95</f>
        <v>1-5 MIN</v>
      </c>
      <c r="E95" s="573" t="str">
        <f>'Week 2 (MASTER SHEET)'!E95</f>
        <v/>
      </c>
      <c r="F95" s="555">
        <v>40.0</v>
      </c>
    </row>
    <row r="96">
      <c r="A96" s="272" t="str">
        <f>'Week 2 (MASTER SHEET)'!A96</f>
        <v>FINAL MAX</v>
      </c>
      <c r="B96" s="332">
        <f>'Week 2 (MASTER SHEET)'!B96</f>
        <v>250</v>
      </c>
      <c r="C96" s="33"/>
      <c r="D96" s="33"/>
      <c r="E96" s="33"/>
      <c r="F96" s="34"/>
    </row>
    <row r="97">
      <c r="A97" s="590"/>
    </row>
    <row r="99">
      <c r="A99" s="73" t="str">
        <f>'Week 2 (MASTER SHEET)'!A99</f>
        <v>3. LEG EXTENSION</v>
      </c>
      <c r="B99" s="53"/>
      <c r="C99" s="53"/>
      <c r="D99" s="53"/>
      <c r="E99" s="53"/>
      <c r="F99" s="54"/>
    </row>
    <row r="100">
      <c r="A100" s="226" t="str">
        <f>'Week 2 (MASTER SHEET)'!A100</f>
        <v>CURRENT MAX</v>
      </c>
      <c r="B100" s="566">
        <f>'Week 2 (MASTER SHEET)'!B100</f>
        <v>80</v>
      </c>
      <c r="C100" s="13"/>
      <c r="D100" s="13"/>
      <c r="E100" s="13"/>
      <c r="F100" s="57"/>
    </row>
    <row r="101">
      <c r="A101" s="364" t="str">
        <f>'Week 2 (MASTER SHEET)'!A101</f>
        <v>SET</v>
      </c>
      <c r="B101" s="365" t="str">
        <f>'Week 2 (MASTER SHEET)'!B101</f>
        <v>WEIGHT</v>
      </c>
      <c r="C101" s="365" t="str">
        <f>'Week 2 (MASTER SHEET)'!C101</f>
        <v>REPS</v>
      </c>
      <c r="D101" s="365" t="str">
        <f>'Week 2 (MASTER SHEET)'!D101</f>
        <v>REST</v>
      </c>
      <c r="E101" s="550" t="str">
        <f>'Week 2 (MASTER SHEET)'!E101</f>
        <v>PREVIOUS</v>
      </c>
      <c r="F101" s="235" t="str">
        <f>'Week 2 (MASTER SHEET)'!F101</f>
        <v>REP LOG</v>
      </c>
    </row>
    <row r="102">
      <c r="A102" s="570">
        <f>'Week 2 (MASTER SHEET)'!A102</f>
        <v>1</v>
      </c>
      <c r="B102" s="591">
        <f>'Week 2 (MASTER SHEET)'!B102</f>
        <v>85</v>
      </c>
      <c r="C102" s="592">
        <f>'Week 2 (MASTER SHEET)'!C102</f>
        <v>20</v>
      </c>
      <c r="D102" s="591" t="str">
        <f>'Week 2 (MASTER SHEET)'!D102</f>
        <v>1 MIN</v>
      </c>
      <c r="E102" s="593" t="str">
        <f>'Week 2 (MASTER SHEET)'!E102</f>
        <v/>
      </c>
      <c r="F102" s="555">
        <v>10.0</v>
      </c>
    </row>
    <row r="103">
      <c r="A103" s="570">
        <f>'Week 2 (MASTER SHEET)'!A103</f>
        <v>2</v>
      </c>
      <c r="B103" s="591" t="str">
        <f>'Week 2 (MASTER SHEET)'!B103</f>
        <v/>
      </c>
      <c r="C103" s="592">
        <f>'Week 2 (MASTER SHEET)'!C103</f>
        <v>20</v>
      </c>
      <c r="D103" s="591" t="str">
        <f>'Week 2 (MASTER SHEET)'!D103</f>
        <v>1 MIN</v>
      </c>
      <c r="E103" s="593" t="str">
        <f>'Week 2 (MASTER SHEET)'!E103</f>
        <v/>
      </c>
      <c r="F103" s="555">
        <v>10.0</v>
      </c>
    </row>
    <row r="104">
      <c r="A104" s="570">
        <f>'Week 2 (MASTER SHEET)'!A104</f>
        <v>3</v>
      </c>
      <c r="B104" s="591">
        <f>'Week 2 (MASTER SHEET)'!B104</f>
        <v>0</v>
      </c>
      <c r="C104" s="592">
        <f>'Week 2 (MASTER SHEET)'!C104</f>
        <v>20</v>
      </c>
      <c r="D104" s="591" t="str">
        <f>'Week 2 (MASTER SHEET)'!D104</f>
        <v>1 MIN</v>
      </c>
      <c r="E104" s="593" t="str">
        <f>'Week 2 (MASTER SHEET)'!E104</f>
        <v/>
      </c>
      <c r="F104" s="555">
        <v>12.0</v>
      </c>
    </row>
    <row r="105">
      <c r="A105" s="272" t="s">
        <v>124</v>
      </c>
      <c r="B105" s="332" t="str">
        <f>'Week 2 (MASTER SHEET)'!B105</f>
        <v/>
      </c>
      <c r="C105" s="33"/>
      <c r="D105" s="33"/>
      <c r="E105" s="33"/>
      <c r="F105" s="34"/>
    </row>
    <row r="106">
      <c r="A106" s="594"/>
    </row>
    <row r="108">
      <c r="A108" s="595" t="str">
        <f>'Week 2 (MASTER SHEET)'!A108</f>
        <v>4. LEG CURL</v>
      </c>
      <c r="B108" s="53"/>
      <c r="C108" s="53"/>
      <c r="D108" s="53"/>
      <c r="E108" s="53"/>
      <c r="F108" s="54"/>
      <c r="G108" s="543" t="s">
        <v>123</v>
      </c>
      <c r="H108" s="595" t="str">
        <f>'Week 2 (MASTER SHEET)'!H108</f>
        <v>4. PRONE LEG CURL</v>
      </c>
      <c r="I108" s="53"/>
      <c r="J108" s="53"/>
      <c r="K108" s="53"/>
      <c r="L108" s="53"/>
      <c r="M108" s="54"/>
    </row>
    <row r="109">
      <c r="A109" s="226" t="str">
        <f>'Week 2 (MASTER SHEET)'!A109</f>
        <v>CURRENT MAX</v>
      </c>
      <c r="B109" s="566">
        <f>'Week 2 (MASTER SHEET)'!B109</f>
        <v>105</v>
      </c>
      <c r="C109" s="13"/>
      <c r="D109" s="13"/>
      <c r="E109" s="13"/>
      <c r="F109" s="57"/>
      <c r="H109" s="596" t="str">
        <f>'Week 2 (MASTER SHEET)'!H109</f>
        <v>CURRENT MAX</v>
      </c>
      <c r="I109" s="597">
        <f>'Week 2 (MASTER SHEET)'!I109</f>
        <v>95</v>
      </c>
      <c r="J109" s="20"/>
      <c r="K109" s="20"/>
      <c r="L109" s="20"/>
      <c r="M109" s="95"/>
    </row>
    <row r="110">
      <c r="A110" s="364" t="str">
        <f>'Week 2 (MASTER SHEET)'!A110</f>
        <v>SET</v>
      </c>
      <c r="B110" s="365" t="str">
        <f>'Week 2 (MASTER SHEET)'!B110</f>
        <v>WEIGHT</v>
      </c>
      <c r="C110" s="365" t="str">
        <f>'Week 2 (MASTER SHEET)'!C110</f>
        <v>REPS</v>
      </c>
      <c r="D110" s="365" t="str">
        <f>'Week 2 (MASTER SHEET)'!D110</f>
        <v>REST</v>
      </c>
      <c r="E110" s="550" t="str">
        <f>'Week 2 (MASTER SHEET)'!E110</f>
        <v>PREVIOUS</v>
      </c>
      <c r="F110" s="235" t="str">
        <f>'Week 2 (MASTER SHEET)'!F110</f>
        <v>REP LOG</v>
      </c>
      <c r="G110" s="598"/>
      <c r="H110" s="364" t="str">
        <f>'Week 2 (MASTER SHEET)'!H110</f>
        <v>SET</v>
      </c>
      <c r="I110" s="365" t="str">
        <f>'Week 2 (MASTER SHEET)'!I110</f>
        <v>WEIGHT</v>
      </c>
      <c r="J110" s="365" t="str">
        <f>'Week 2 (MASTER SHEET)'!J110</f>
        <v>REPS</v>
      </c>
      <c r="K110" s="365" t="str">
        <f>'Week 2 (MASTER SHEET)'!K110</f>
        <v>REST</v>
      </c>
      <c r="L110" s="550" t="str">
        <f>'Week 2 (MASTER SHEET)'!L110</f>
        <v>PREVIOUS</v>
      </c>
      <c r="M110" s="235" t="str">
        <f>'Week 2 (MASTER SHEET)'!M110</f>
        <v>REP LOG</v>
      </c>
    </row>
    <row r="111">
      <c r="A111" s="570">
        <f>'Week 2 (MASTER SHEET)'!A111</f>
        <v>1</v>
      </c>
      <c r="B111" s="591">
        <f>'Week 2 (MASTER SHEET)'!B111</f>
        <v>110</v>
      </c>
      <c r="C111" s="592">
        <f>'Week 2 (MASTER SHEET)'!C111</f>
        <v>20</v>
      </c>
      <c r="D111" s="591" t="str">
        <f>'Week 2 (MASTER SHEET)'!D111</f>
        <v>1 MIN</v>
      </c>
      <c r="E111" s="591" t="str">
        <f>'Week 2 (MASTER SHEET)'!E111</f>
        <v/>
      </c>
      <c r="F111" s="555">
        <v>12.0</v>
      </c>
      <c r="H111" s="599">
        <f>'Week 2 (MASTER SHEET)'!H111</f>
        <v>1</v>
      </c>
      <c r="I111" s="591">
        <f>'Week 2 (MASTER SHEET)'!I111</f>
        <v>95</v>
      </c>
      <c r="J111" s="592">
        <f>'Week 2 (MASTER SHEET)'!J111</f>
        <v>20</v>
      </c>
      <c r="K111" s="591" t="str">
        <f>'Week 2 (MASTER SHEET)'!K111</f>
        <v>1 MIN</v>
      </c>
      <c r="L111" s="591" t="str">
        <f>'Week 2 (MASTER SHEET)'!L111</f>
        <v/>
      </c>
      <c r="M111" s="555"/>
    </row>
    <row r="112">
      <c r="A112" s="570">
        <f>'Week 2 (MASTER SHEET)'!A112</f>
        <v>2</v>
      </c>
      <c r="B112" s="591">
        <f>'Week 2 (MASTER SHEET)'!B112</f>
        <v>105</v>
      </c>
      <c r="C112" s="592">
        <f>'Week 2 (MASTER SHEET)'!C112</f>
        <v>20</v>
      </c>
      <c r="D112" s="591" t="str">
        <f>'Week 2 (MASTER SHEET)'!D112</f>
        <v>1 MIN</v>
      </c>
      <c r="E112" s="591" t="str">
        <f>'Week 2 (MASTER SHEET)'!E112</f>
        <v/>
      </c>
      <c r="F112" s="555">
        <v>19.0</v>
      </c>
      <c r="H112" s="599">
        <f>'Week 2 (MASTER SHEET)'!H112</f>
        <v>2</v>
      </c>
      <c r="I112" s="591">
        <f>'Week 2 (MASTER SHEET)'!I112</f>
        <v>75</v>
      </c>
      <c r="J112" s="600" t="str">
        <f>'Week 2 (MASTER SHEET)'!J112</f>
        <v>REP OUT</v>
      </c>
      <c r="K112" s="591" t="str">
        <f>'Week 2 (MASTER SHEET)'!K112</f>
        <v>1 MIN</v>
      </c>
      <c r="L112" s="591" t="str">
        <f>'Week 2 (MASTER SHEET)'!L112</f>
        <v/>
      </c>
      <c r="M112" s="555"/>
    </row>
    <row r="113">
      <c r="A113" s="570">
        <f>'Week 2 (MASTER SHEET)'!A113</f>
        <v>3</v>
      </c>
      <c r="B113" s="591">
        <f>'Week 2 (MASTER SHEET)'!B113</f>
        <v>105</v>
      </c>
      <c r="C113" s="592">
        <f>'Week 2 (MASTER SHEET)'!C113</f>
        <v>20</v>
      </c>
      <c r="D113" s="591" t="str">
        <f>'Week 2 (MASTER SHEET)'!D113</f>
        <v>1 MIN</v>
      </c>
      <c r="E113" s="591" t="str">
        <f>'Week 2 (MASTER SHEET)'!E113</f>
        <v/>
      </c>
      <c r="F113" s="555">
        <v>12.0</v>
      </c>
      <c r="H113" s="599">
        <f>'Week 2 (MASTER SHEET)'!H113</f>
        <v>3</v>
      </c>
      <c r="I113" s="591">
        <f>'Week 2 (MASTER SHEET)'!I113</f>
        <v>60</v>
      </c>
      <c r="J113" s="600" t="str">
        <f>'Week 2 (MASTER SHEET)'!J113</f>
        <v>REP OUT</v>
      </c>
      <c r="K113" s="591" t="str">
        <f>'Week 2 (MASTER SHEET)'!K113</f>
        <v>1 MIN</v>
      </c>
      <c r="L113" s="591" t="str">
        <f>'Week 2 (MASTER SHEET)'!L113</f>
        <v/>
      </c>
      <c r="M113" s="555"/>
    </row>
    <row r="114">
      <c r="A114" s="272" t="s">
        <v>124</v>
      </c>
      <c r="B114" s="332">
        <f>'Week 2 (MASTER SHEET)'!B114</f>
        <v>105</v>
      </c>
      <c r="C114" s="33"/>
      <c r="D114" s="33"/>
      <c r="E114" s="33"/>
      <c r="F114" s="34"/>
      <c r="H114" s="272" t="str">
        <f>'Week 2 (MASTER SHEET)'!H114</f>
        <v>FINAL MAX</v>
      </c>
      <c r="I114" s="332">
        <f>'Week 2 (MASTER SHEET)'!I114</f>
        <v>95</v>
      </c>
      <c r="J114" s="33"/>
      <c r="K114" s="33"/>
      <c r="L114" s="33"/>
      <c r="M114" s="34"/>
    </row>
    <row r="115">
      <c r="A115" s="601"/>
      <c r="G115" s="598"/>
    </row>
    <row r="116">
      <c r="A116" s="602" t="str">
        <f>'Week 2 (MASTER SHEET)'!A116</f>
        <v>DAY 3</v>
      </c>
      <c r="B116" s="36"/>
      <c r="C116" s="36"/>
      <c r="D116" s="36"/>
      <c r="E116" s="36"/>
      <c r="F116" s="37"/>
    </row>
    <row r="117">
      <c r="A117" s="603"/>
    </row>
    <row r="118">
      <c r="A118" s="604" t="str">
        <f>'Week 2 (MASTER SHEET)'!A118</f>
        <v>CLICK TO COMPLETE WORKOUT</v>
      </c>
      <c r="B118" s="36"/>
      <c r="C118" s="36"/>
      <c r="D118" s="36"/>
      <c r="E118" s="36"/>
      <c r="F118" s="37"/>
    </row>
    <row r="119">
      <c r="A119" s="542" t="s">
        <v>131</v>
      </c>
      <c r="B119" s="36"/>
      <c r="C119" s="36"/>
      <c r="D119" s="36"/>
      <c r="E119" s="36"/>
      <c r="F119" s="37"/>
    </row>
    <row r="120">
      <c r="A120" s="595" t="str">
        <f>'Week 2 (MASTER SHEET)'!A120</f>
        <v>1. SHOULDER CLEANS</v>
      </c>
      <c r="B120" s="53"/>
      <c r="C120" s="53"/>
      <c r="D120" s="53"/>
      <c r="E120" s="53"/>
      <c r="F120" s="54"/>
    </row>
    <row r="121">
      <c r="A121" s="226" t="str">
        <f>'Week 2 (MASTER SHEET)'!A121</f>
        <v>SHLDR PRSS MAX</v>
      </c>
      <c r="B121" s="227">
        <v>30.0</v>
      </c>
      <c r="C121" s="20"/>
      <c r="D121" s="20"/>
      <c r="E121" s="20"/>
      <c r="F121" s="95"/>
    </row>
    <row r="122">
      <c r="A122" s="364" t="str">
        <f>'Week 2 (MASTER SHEET)'!A122</f>
        <v>SET</v>
      </c>
      <c r="B122" s="365" t="str">
        <f>'Week 2 (MASTER SHEET)'!B122</f>
        <v>WEIGHT</v>
      </c>
      <c r="C122" s="365" t="str">
        <f>'Week 2 (MASTER SHEET)'!C122</f>
        <v>REPS</v>
      </c>
      <c r="D122" s="365" t="str">
        <f>'Week 2 (MASTER SHEET)'!D122</f>
        <v>REST</v>
      </c>
      <c r="E122" s="550" t="str">
        <f>'Week 2 (MASTER SHEET)'!E122</f>
        <v>PREVIOUS</v>
      </c>
      <c r="F122" s="235" t="str">
        <f>'Week 2 (MASTER SHEET)'!F122</f>
        <v>REP LOG</v>
      </c>
    </row>
    <row r="123">
      <c r="A123" s="570">
        <f>'Week 2 (MASTER SHEET)'!A123</f>
        <v>1</v>
      </c>
      <c r="B123" s="571">
        <f>'Week 2 (MASTER SHEET)'!B123</f>
        <v>10</v>
      </c>
      <c r="C123" s="571">
        <f>'Week 2 (MASTER SHEET)'!C123</f>
        <v>20</v>
      </c>
      <c r="D123" s="571" t="str">
        <f>'Week 2 (MASTER SHEET)'!D123</f>
        <v>1 MIN</v>
      </c>
      <c r="E123" s="573" t="str">
        <f>'Week 2 (MASTER SHEET)'!E123</f>
        <v/>
      </c>
      <c r="F123" s="555">
        <v>20.0</v>
      </c>
    </row>
    <row r="124">
      <c r="A124" s="570">
        <f>'Week 2 (MASTER SHEET)'!A124</f>
        <v>2</v>
      </c>
      <c r="B124" s="571">
        <f>'Week 2 (MASTER SHEET)'!B124</f>
        <v>10</v>
      </c>
      <c r="C124" s="571">
        <f>'Week 2 (MASTER SHEET)'!C124</f>
        <v>20</v>
      </c>
      <c r="D124" s="571" t="str">
        <f>'Week 2 (MASTER SHEET)'!D124</f>
        <v>1 MIN</v>
      </c>
      <c r="E124" s="573" t="str">
        <f>'Week 2 (MASTER SHEET)'!E124</f>
        <v/>
      </c>
      <c r="F124" s="555">
        <v>20.0</v>
      </c>
    </row>
    <row r="125">
      <c r="A125" s="574">
        <f>'Week 2 (MASTER SHEET)'!A125</f>
        <v>3</v>
      </c>
      <c r="B125" s="575">
        <f>'Week 2 (MASTER SHEET)'!B125</f>
        <v>10</v>
      </c>
      <c r="C125" s="575">
        <f>'Week 2 (MASTER SHEET)'!C125</f>
        <v>20</v>
      </c>
      <c r="D125" s="575" t="str">
        <f>'Week 2 (MASTER SHEET)'!D125</f>
        <v>1 MIN</v>
      </c>
      <c r="E125" s="577" t="str">
        <f>'Week 2 (MASTER SHEET)'!E125</f>
        <v/>
      </c>
      <c r="F125" s="555">
        <v>20.0</v>
      </c>
    </row>
    <row r="126">
      <c r="A126" s="563"/>
    </row>
    <row r="128">
      <c r="A128" s="605" t="str">
        <f>'Week 2 (MASTER SHEET)'!A128</f>
        <v>2. Dumbbell REAR DELT FLY </v>
      </c>
      <c r="B128" s="53"/>
      <c r="C128" s="53"/>
      <c r="D128" s="53"/>
      <c r="E128" s="53"/>
      <c r="F128" s="54"/>
      <c r="G128" s="543"/>
      <c r="H128" s="606"/>
    </row>
    <row r="129">
      <c r="A129" s="226" t="str">
        <f>'Week 2 (MASTER SHEET)'!A129</f>
        <v>SHLDR PRESS MAX</v>
      </c>
      <c r="B129" s="566">
        <v>30.0</v>
      </c>
      <c r="C129" s="13"/>
      <c r="D129" s="13"/>
      <c r="E129" s="13"/>
      <c r="F129" s="57"/>
      <c r="G129" s="543"/>
    </row>
    <row r="130">
      <c r="A130" s="607" t="str">
        <f>'Week 2 (MASTER SHEET)'!A130</f>
        <v>SET</v>
      </c>
      <c r="B130" s="608" t="str">
        <f>'Week 2 (MASTER SHEET)'!B130</f>
        <v>WEIGHT</v>
      </c>
      <c r="C130" s="608" t="str">
        <f>'Week 2 (MASTER SHEET)'!C130</f>
        <v>REPS</v>
      </c>
      <c r="D130" s="608" t="str">
        <f>'Week 2 (MASTER SHEET)'!D130</f>
        <v>REST</v>
      </c>
      <c r="E130" s="609" t="str">
        <f>'Week 2 (MASTER SHEET)'!E130</f>
        <v>PREVIOUS</v>
      </c>
      <c r="F130" s="235" t="str">
        <f>'Week 2 (MASTER SHEET)'!F130</f>
        <v>REP LOG</v>
      </c>
    </row>
    <row r="131">
      <c r="A131" s="610">
        <f>'Week 2 (MASTER SHEET)'!A131</f>
        <v>1</v>
      </c>
      <c r="B131" s="591">
        <f>'Week 2 (MASTER SHEET)'!B131</f>
        <v>5</v>
      </c>
      <c r="C131" s="591">
        <f>'Week 2 (MASTER SHEET)'!C131</f>
        <v>20</v>
      </c>
      <c r="D131" s="591" t="str">
        <f>'Week 2 (MASTER SHEET)'!D131</f>
        <v>1 - MIN</v>
      </c>
      <c r="E131" s="611" t="str">
        <f>'Week 2 (MASTER SHEET)'!E131</f>
        <v/>
      </c>
      <c r="F131" s="555">
        <v>20.0</v>
      </c>
    </row>
    <row r="132">
      <c r="A132" s="610">
        <f>'Week 2 (MASTER SHEET)'!A132</f>
        <v>2</v>
      </c>
      <c r="B132" s="591">
        <f>'Week 2 (MASTER SHEET)'!B132</f>
        <v>5</v>
      </c>
      <c r="C132" s="591">
        <f>'Week 2 (MASTER SHEET)'!C132</f>
        <v>20</v>
      </c>
      <c r="D132" s="591" t="str">
        <f>'Week 2 (MASTER SHEET)'!D132</f>
        <v>1 - MIN</v>
      </c>
      <c r="E132" s="611" t="str">
        <f>'Week 2 (MASTER SHEET)'!E132</f>
        <v/>
      </c>
      <c r="F132" s="555">
        <v>20.0</v>
      </c>
    </row>
    <row r="133">
      <c r="A133" s="612">
        <f>'Week 2 (MASTER SHEET)'!A133</f>
        <v>3</v>
      </c>
      <c r="B133" s="613">
        <f>'Week 2 (MASTER SHEET)'!B133</f>
        <v>5</v>
      </c>
      <c r="C133" s="613">
        <f>'Week 2 (MASTER SHEET)'!C133</f>
        <v>20</v>
      </c>
      <c r="D133" s="613" t="str">
        <f>'Week 2 (MASTER SHEET)'!D133</f>
        <v>1 - MIN</v>
      </c>
      <c r="E133" s="614" t="str">
        <f>'Week 2 (MASTER SHEET)'!E133</f>
        <v/>
      </c>
      <c r="F133" s="555">
        <v>20.0</v>
      </c>
    </row>
    <row r="134">
      <c r="A134" s="578"/>
      <c r="G134" s="598"/>
    </row>
    <row r="136">
      <c r="A136" s="513" t="str">
        <f>'Week 2 (MASTER SHEET)'!A136</f>
        <v>3. DUMBBELL SIDE LATERAL RAISE</v>
      </c>
      <c r="B136" s="53"/>
      <c r="C136" s="53"/>
      <c r="D136" s="53"/>
      <c r="E136" s="53"/>
      <c r="F136" s="54"/>
    </row>
    <row r="137">
      <c r="A137" s="226" t="str">
        <f>'Week 2 (MASTER SHEET)'!A129</f>
        <v>SHLDR PRESS MAX</v>
      </c>
      <c r="B137" s="90">
        <v>30.0</v>
      </c>
      <c r="C137" s="13"/>
      <c r="D137" s="13"/>
      <c r="E137" s="13"/>
      <c r="F137" s="57"/>
    </row>
    <row r="138">
      <c r="A138" s="376" t="str">
        <f>'Week 2 (MASTER SHEET)'!A138</f>
        <v>SET</v>
      </c>
      <c r="B138" s="79" t="str">
        <f>'Week 2 (MASTER SHEET)'!B138</f>
        <v>WEIGHT</v>
      </c>
      <c r="C138" s="79" t="str">
        <f>'Week 2 (MASTER SHEET)'!C138</f>
        <v>REPS</v>
      </c>
      <c r="D138" s="79" t="str">
        <f>'Week 2 (MASTER SHEET)'!D138</f>
        <v>REST</v>
      </c>
      <c r="E138" s="341" t="str">
        <f>'Week 2 (MASTER SHEET)'!E138</f>
        <v>PREVIOUS</v>
      </c>
      <c r="F138" s="235" t="str">
        <f>'Week 2 (MASTER SHEET)'!F138</f>
        <v>REP LOG</v>
      </c>
    </row>
    <row r="139">
      <c r="A139" s="514">
        <f>'Week 2 (MASTER SHEET)'!A139</f>
        <v>1</v>
      </c>
      <c r="B139" s="82">
        <f>'Week 2 (MASTER SHEET)'!B139</f>
        <v>5</v>
      </c>
      <c r="C139" s="82">
        <f>'Week 2 (MASTER SHEET)'!C139</f>
        <v>20</v>
      </c>
      <c r="D139" s="82" t="str">
        <f>'Week 2 (MASTER SHEET)'!D139</f>
        <v>1 MIN</v>
      </c>
      <c r="E139" s="615" t="str">
        <f>'Week 2 (MASTER SHEET)'!E139</f>
        <v/>
      </c>
      <c r="F139" s="616">
        <v>20.0</v>
      </c>
    </row>
    <row r="140">
      <c r="A140" s="514">
        <f>'Week 2 (MASTER SHEET)'!A140</f>
        <v>2</v>
      </c>
      <c r="B140" s="82">
        <f>'Week 2 (MASTER SHEET)'!B140</f>
        <v>5</v>
      </c>
      <c r="C140" s="82">
        <f>'Week 2 (MASTER SHEET)'!C140</f>
        <v>20</v>
      </c>
      <c r="D140" s="82" t="str">
        <f>'Week 2 (MASTER SHEET)'!D140</f>
        <v>1 MIN</v>
      </c>
      <c r="E140" s="615" t="str">
        <f>'Week 2 (MASTER SHEET)'!E140</f>
        <v/>
      </c>
      <c r="F140" s="330">
        <v>20.0</v>
      </c>
    </row>
    <row r="141">
      <c r="A141" s="517">
        <f>'Week 2 (MASTER SHEET)'!A141</f>
        <v>3</v>
      </c>
      <c r="B141" s="87">
        <f>'Week 2 (MASTER SHEET)'!B141</f>
        <v>5</v>
      </c>
      <c r="C141" s="87">
        <f>'Week 2 (MASTER SHEET)'!C141</f>
        <v>20</v>
      </c>
      <c r="D141" s="87" t="str">
        <f>'Week 2 (MASTER SHEET)'!D141</f>
        <v>1 MIN</v>
      </c>
      <c r="E141" s="617" t="str">
        <f>'Week 2 (MASTER SHEET)'!E141</f>
        <v/>
      </c>
      <c r="F141" s="85">
        <v>20.0</v>
      </c>
    </row>
    <row r="142">
      <c r="A142" s="578"/>
    </row>
    <row r="144">
      <c r="A144" s="74" t="str">
        <f>HYPERLINK("https://www.youtube.com/watch?v=Yke__29qVfo","3. TRICEPS PUSHDOWN (STRAIGHT BAR)")</f>
        <v>3. TRICEPS PUSHDOWN (STRAIGHT BAR)</v>
      </c>
      <c r="B144" s="53"/>
      <c r="C144" s="53"/>
      <c r="D144" s="53"/>
      <c r="E144" s="53"/>
      <c r="F144" s="54"/>
    </row>
    <row r="145">
      <c r="A145" s="226" t="s">
        <v>119</v>
      </c>
      <c r="B145" s="618">
        <v>60.0</v>
      </c>
      <c r="C145" s="13"/>
      <c r="D145" s="13"/>
      <c r="E145" s="13"/>
      <c r="F145" s="57"/>
    </row>
    <row r="146">
      <c r="A146" s="77" t="s">
        <v>50</v>
      </c>
      <c r="B146" s="78" t="s">
        <v>51</v>
      </c>
      <c r="C146" s="78" t="s">
        <v>52</v>
      </c>
      <c r="D146" s="78" t="s">
        <v>53</v>
      </c>
      <c r="E146" s="80" t="s">
        <v>54</v>
      </c>
      <c r="F146" s="235" t="str">
        <f>'Week 2 (MASTER SHEET)'!F146</f>
        <v>REP LOG</v>
      </c>
    </row>
    <row r="147">
      <c r="A147" s="81">
        <v>1.0</v>
      </c>
      <c r="B147" s="82">
        <f>'Week 2 (MASTER SHEET)'!B147</f>
        <v>60</v>
      </c>
      <c r="C147" s="65">
        <f>'Week 2 (MASTER SHEET)'!C147</f>
        <v>20</v>
      </c>
      <c r="D147" s="83" t="str">
        <f>'Week 2 (MASTER SHEET)'!D147</f>
        <v>1MIN</v>
      </c>
      <c r="E147" s="84" t="str">
        <f>'Week 2 (MASTER SHEET)'!E147</f>
        <v/>
      </c>
      <c r="F147" s="85">
        <v>20.0</v>
      </c>
    </row>
    <row r="148">
      <c r="A148" s="81">
        <f>'Week 2 (MASTER SHEET)'!A148</f>
        <v>2</v>
      </c>
      <c r="B148" s="82">
        <f>'Week 2 (MASTER SHEET)'!B148</f>
        <v>60</v>
      </c>
      <c r="C148" s="65">
        <f>'Week 2 (MASTER SHEET)'!C148</f>
        <v>20</v>
      </c>
      <c r="D148" s="83" t="str">
        <f>'Week 2 (MASTER SHEET)'!D148</f>
        <v>1MIN</v>
      </c>
      <c r="E148" s="84"/>
      <c r="F148" s="85">
        <v>20.0</v>
      </c>
    </row>
    <row r="149">
      <c r="A149" s="86">
        <v>3.0</v>
      </c>
      <c r="B149" s="87">
        <f>'Week 2 (MASTER SHEET)'!B149</f>
        <v>60</v>
      </c>
      <c r="C149" s="71">
        <f>'Week 2 (MASTER SHEET)'!C149</f>
        <v>20</v>
      </c>
      <c r="D149" s="88" t="str">
        <f>'Week 2 (MASTER SHEET)'!D149</f>
        <v>1MIN</v>
      </c>
      <c r="E149" s="89" t="str">
        <f>'Week 2 (MASTER SHEET)'!E149</f>
        <v/>
      </c>
      <c r="F149" s="85">
        <v>20.0</v>
      </c>
    </row>
    <row r="150">
      <c r="A150" s="619"/>
      <c r="G150" s="620"/>
      <c r="H150" s="16"/>
      <c r="I150" s="16"/>
      <c r="J150" s="16"/>
      <c r="K150" s="16"/>
      <c r="L150" s="16"/>
      <c r="M150" s="16"/>
    </row>
    <row r="152">
      <c r="A152" s="75" t="str">
        <f>'Week 2 (MASTER SHEET)'!A152</f>
        <v>4. BICEP CABLE CURL</v>
      </c>
      <c r="B152" s="53"/>
      <c r="C152" s="53"/>
      <c r="D152" s="53"/>
      <c r="E152" s="53"/>
      <c r="F152" s="54"/>
      <c r="G152" s="543" t="s">
        <v>123</v>
      </c>
      <c r="H152" s="399" t="str">
        <f>'Week 2 (MASTER SHEET)'!H152</f>
        <v>4. BICEP EZ BAR CURL</v>
      </c>
      <c r="I152" s="25"/>
      <c r="J152" s="25"/>
      <c r="K152" s="25"/>
      <c r="L152" s="26"/>
      <c r="M152" s="621"/>
    </row>
    <row r="153">
      <c r="A153" s="226" t="str">
        <f>'Week 2 (MASTER SHEET)'!A153</f>
        <v>CURRENT MAX</v>
      </c>
      <c r="B153" s="618">
        <v>60.0</v>
      </c>
      <c r="C153" s="13"/>
      <c r="D153" s="13"/>
      <c r="E153" s="13"/>
      <c r="F153" s="57"/>
      <c r="H153" s="622" t="str">
        <f>'Week 2 (MASTER SHEET)'!H153</f>
        <v>HOW TO MAX PROPERLY</v>
      </c>
      <c r="I153" s="25"/>
      <c r="J153" s="25"/>
      <c r="K153" s="25"/>
      <c r="L153" s="26"/>
    </row>
    <row r="154">
      <c r="A154" s="77" t="str">
        <f>'Week 2 (MASTER SHEET)'!A154</f>
        <v>SET</v>
      </c>
      <c r="B154" s="78" t="str">
        <f>'Week 2 (MASTER SHEET)'!B154</f>
        <v>WEIGHT</v>
      </c>
      <c r="C154" s="78" t="str">
        <f>'Week 2 (MASTER SHEET)'!C154</f>
        <v>REPS</v>
      </c>
      <c r="D154" s="78" t="str">
        <f>'Week 2 (MASTER SHEET)'!D154</f>
        <v>REST</v>
      </c>
      <c r="E154" s="80" t="str">
        <f>'Week 2 (MASTER SHEET)'!E154</f>
        <v>PREVIOUS</v>
      </c>
      <c r="F154" s="235" t="str">
        <f>'Week 2 (MASTER SHEET)'!F154</f>
        <v>REP LOG</v>
      </c>
      <c r="G154" s="623"/>
      <c r="H154" s="58" t="str">
        <f>'Week 2 (MASTER SHEET)'!H154</f>
        <v>SET</v>
      </c>
      <c r="I154" s="624" t="str">
        <f>'Week 2 (MASTER SHEET)'!I154</f>
        <v>WEIGHT</v>
      </c>
      <c r="J154" s="624" t="str">
        <f>'Week 2 (MASTER SHEET)'!J154</f>
        <v>REPS</v>
      </c>
      <c r="K154" s="625" t="str">
        <f>'Week 2 (MASTER SHEET)'!K154</f>
        <v>REST</v>
      </c>
      <c r="L154" s="61" t="str">
        <f>'Week 2 (MASTER SHEET)'!L154</f>
        <v>REP LOG</v>
      </c>
    </row>
    <row r="155">
      <c r="A155" s="81">
        <f>'Week 2 (MASTER SHEET)'!A155</f>
        <v>1</v>
      </c>
      <c r="B155" s="82">
        <f>'Week 2 (MASTER SHEET)'!B155</f>
        <v>30</v>
      </c>
      <c r="C155" s="65">
        <f>'Week 2 (MASTER SHEET)'!C155</f>
        <v>20</v>
      </c>
      <c r="D155" s="83" t="str">
        <f>'Week 2 (MASTER SHEET)'!D155</f>
        <v>1MIN</v>
      </c>
      <c r="E155" s="84" t="str">
        <f>'Week 2 (MASTER SHEET)'!E155</f>
        <v/>
      </c>
      <c r="F155" s="85">
        <v>0.0</v>
      </c>
      <c r="H155" s="626">
        <f>'Week 2 (MASTER SHEET)'!H155</f>
        <v>1</v>
      </c>
      <c r="I155" s="191">
        <f>'Week 2 (MASTER SHEET)'!I155</f>
        <v>25</v>
      </c>
      <c r="J155" s="185">
        <f>'Week 2 (MASTER SHEET)'!J155</f>
        <v>4</v>
      </c>
      <c r="K155" s="172" t="str">
        <f>'Week 2 (MASTER SHEET)'!K155</f>
        <v>2 MIN</v>
      </c>
      <c r="L155" s="85"/>
    </row>
    <row r="156">
      <c r="A156" s="81">
        <f>'Week 2 (MASTER SHEET)'!A156</f>
        <v>2</v>
      </c>
      <c r="B156" s="82">
        <f>'Week 2 (MASTER SHEET)'!B156</f>
        <v>25</v>
      </c>
      <c r="C156" s="65">
        <f>'Week 2 (MASTER SHEET)'!C156</f>
        <v>20</v>
      </c>
      <c r="D156" s="83" t="str">
        <f>'Week 2 (MASTER SHEET)'!D156</f>
        <v>1MIN</v>
      </c>
      <c r="E156" s="84"/>
      <c r="F156" s="85"/>
      <c r="H156" s="249">
        <f>'Week 2 (MASTER SHEET)'!H156</f>
        <v>2</v>
      </c>
      <c r="I156" s="238">
        <f>'Week 2 (MASTER SHEET)'!I156</f>
        <v>35</v>
      </c>
      <c r="J156" s="175">
        <f>'Week 2 (MASTER SHEET)'!J156</f>
        <v>4</v>
      </c>
      <c r="K156" s="627" t="str">
        <f>'Week 2 (MASTER SHEET)'!K156</f>
        <v>2 MIN</v>
      </c>
      <c r="L156" s="628"/>
    </row>
    <row r="157">
      <c r="A157" s="629">
        <f>'Week 2 (MASTER SHEET)'!A157</f>
        <v>3</v>
      </c>
      <c r="B157" s="630">
        <f>'Week 2 (MASTER SHEET)'!B157</f>
        <v>20</v>
      </c>
      <c r="C157" s="631">
        <f>'Week 2 (MASTER SHEET)'!C157</f>
        <v>20</v>
      </c>
      <c r="D157" s="328" t="str">
        <f>'Week 2 (MASTER SHEET)'!D157</f>
        <v>1MIN</v>
      </c>
      <c r="E157" s="632" t="str">
        <f>'Week 2 (MASTER SHEET)'!E157</f>
        <v/>
      </c>
      <c r="F157" s="330"/>
      <c r="H157" s="249">
        <f>'Week 2 (MASTER SHEET)'!H157</f>
        <v>3</v>
      </c>
      <c r="I157" s="238">
        <f>'Week 2 (MASTER SHEET)'!I157</f>
        <v>45</v>
      </c>
      <c r="J157" s="175">
        <f>'Week 2 (MASTER SHEET)'!J157</f>
        <v>4</v>
      </c>
      <c r="K157" s="627" t="str">
        <f>'Week 2 (MASTER SHEET)'!K157</f>
        <v>2 MIN</v>
      </c>
      <c r="L157" s="628"/>
    </row>
    <row r="158">
      <c r="A158" s="633"/>
      <c r="B158" s="25"/>
      <c r="C158" s="25"/>
      <c r="D158" s="25"/>
      <c r="E158" s="25"/>
      <c r="F158" s="25"/>
      <c r="H158" s="249" t="str">
        <f>'Week 2 (MASTER SHEET)'!H158</f>
        <v/>
      </c>
      <c r="I158" s="191" t="str">
        <f>'Week 2 (MASTER SHEET)'!I158</f>
        <v/>
      </c>
      <c r="J158" s="175" t="str">
        <f>'Week 2 (MASTER SHEET)'!J158</f>
        <v/>
      </c>
      <c r="K158" s="172" t="str">
        <f>'Week 2 (MASTER SHEET)'!K158</f>
        <v/>
      </c>
      <c r="L158" s="85"/>
    </row>
    <row r="159">
      <c r="H159" s="249" t="str">
        <f>'Week 2 (MASTER SHEET)'!H159</f>
        <v/>
      </c>
      <c r="I159" s="191" t="str">
        <f>'Week 2 (MASTER SHEET)'!I159</f>
        <v/>
      </c>
      <c r="J159" s="175" t="str">
        <f>'Week 2 (MASTER SHEET)'!J159</f>
        <v/>
      </c>
      <c r="K159" s="172" t="str">
        <f>'Week 2 (MASTER SHEET)'!K159</f>
        <v/>
      </c>
      <c r="L159" s="85"/>
    </row>
    <row r="160">
      <c r="H160" s="249" t="str">
        <f>'Week 2 (MASTER SHEET)'!H160</f>
        <v/>
      </c>
      <c r="I160" s="191" t="str">
        <f>'Week 2 (MASTER SHEET)'!I160</f>
        <v/>
      </c>
      <c r="J160" s="175" t="str">
        <f>'Week 2 (MASTER SHEET)'!J160</f>
        <v/>
      </c>
      <c r="K160" s="172" t="str">
        <f>'Week 2 (MASTER SHEET)'!K160</f>
        <v/>
      </c>
      <c r="L160" s="85"/>
    </row>
    <row r="161">
      <c r="H161" s="249" t="str">
        <f>'Week 2 (MASTER SHEET)'!H161</f>
        <v/>
      </c>
      <c r="I161" s="408" t="str">
        <f>'Week 2 (MASTER SHEET)'!I161</f>
        <v/>
      </c>
      <c r="J161" s="634" t="str">
        <f>'Week 2 (MASTER SHEET)'!J161</f>
        <v/>
      </c>
      <c r="K161" s="416" t="str">
        <f>'Week 2 (MASTER SHEET)'!K161</f>
        <v/>
      </c>
      <c r="L161" s="330"/>
    </row>
    <row r="162">
      <c r="A162" s="635"/>
      <c r="G162" s="636"/>
      <c r="H162" s="637" t="str">
        <f>'Week 2 (MASTER SHEET)'!H162</f>
        <v>FINAL MAX</v>
      </c>
      <c r="I162" s="41"/>
      <c r="J162" s="36"/>
      <c r="K162" s="36"/>
      <c r="L162" s="37"/>
    </row>
    <row r="163">
      <c r="A163" s="638" t="str">
        <f>'Week 2 (MASTER SHEET)'!A163</f>
        <v>CLICK TO COMPLETE WORKOUT</v>
      </c>
      <c r="B163" s="36"/>
      <c r="C163" s="36"/>
      <c r="D163" s="36"/>
      <c r="E163" s="36"/>
      <c r="F163" s="37"/>
      <c r="H163" s="636"/>
    </row>
    <row r="164">
      <c r="A164" s="639" t="s">
        <v>135</v>
      </c>
      <c r="B164" s="36"/>
      <c r="C164" s="36"/>
      <c r="D164" s="36"/>
      <c r="E164" s="36"/>
      <c r="F164" s="37"/>
      <c r="G164" s="598"/>
    </row>
    <row r="165">
      <c r="A165" s="640"/>
    </row>
    <row r="166">
      <c r="A166" s="641" t="str">
        <f>HYPERLINK("https://www.amazon.com/30-Minute-Body-Investment-Champion/dp/0692791892/ref=sr_1_1?ie=UTF8&amp;qid=1490447969&amp;sr=8-1&amp;keywords=30+minute+body","WANT TO LEARN MORE?")</f>
        <v>WANT TO LEARN MORE?</v>
      </c>
      <c r="B166" s="16"/>
      <c r="C166" s="16"/>
      <c r="D166" s="16"/>
      <c r="E166" s="16"/>
      <c r="F166" s="17"/>
    </row>
    <row r="167">
      <c r="A167" s="18"/>
      <c r="B167" s="13"/>
      <c r="C167" s="13"/>
      <c r="D167" s="13"/>
      <c r="E167" s="13"/>
      <c r="F167" s="14"/>
    </row>
    <row r="168">
      <c r="A168" s="642"/>
      <c r="B168" s="643"/>
      <c r="C168" s="644" t="s">
        <v>67</v>
      </c>
      <c r="D168" s="25"/>
      <c r="E168" s="25"/>
      <c r="F168" s="26"/>
    </row>
    <row r="169">
      <c r="A169" s="645"/>
      <c r="B169" s="646"/>
      <c r="C169" s="529"/>
      <c r="F169" s="28"/>
    </row>
    <row r="170">
      <c r="A170" s="645"/>
      <c r="B170" s="646"/>
      <c r="C170" s="529"/>
      <c r="F170" s="28"/>
    </row>
    <row r="171">
      <c r="A171" s="645"/>
      <c r="B171" s="646"/>
      <c r="C171" s="529"/>
      <c r="F171" s="28"/>
    </row>
    <row r="172">
      <c r="A172" s="645"/>
      <c r="B172" s="646"/>
      <c r="C172" s="529"/>
      <c r="F172" s="28"/>
    </row>
    <row r="173">
      <c r="A173" s="645"/>
      <c r="B173" s="646"/>
      <c r="C173" s="529"/>
      <c r="F173" s="28"/>
    </row>
    <row r="174">
      <c r="A174" s="647"/>
      <c r="B174" s="646"/>
      <c r="C174" s="529"/>
      <c r="F174" s="28"/>
    </row>
    <row r="175">
      <c r="A175" s="645"/>
      <c r="B175" s="646"/>
      <c r="C175" s="529"/>
      <c r="F175" s="28"/>
    </row>
    <row r="176">
      <c r="A176" s="645"/>
      <c r="B176" s="646"/>
      <c r="C176" s="529"/>
      <c r="F176" s="28"/>
    </row>
    <row r="177">
      <c r="A177" s="648"/>
      <c r="B177" s="646"/>
      <c r="C177" s="529"/>
      <c r="F177" s="28"/>
    </row>
    <row r="178">
      <c r="A178" s="645"/>
      <c r="B178" s="646"/>
      <c r="C178" s="529"/>
      <c r="F178" s="28"/>
    </row>
    <row r="179">
      <c r="A179" s="645"/>
      <c r="C179" s="529"/>
      <c r="F179" s="28"/>
    </row>
    <row r="180">
      <c r="A180" s="645"/>
      <c r="B180" s="646"/>
      <c r="C180" s="529"/>
      <c r="F180" s="28"/>
    </row>
    <row r="181">
      <c r="A181" s="645"/>
      <c r="B181" s="646"/>
      <c r="C181" s="529"/>
      <c r="F181" s="28"/>
    </row>
    <row r="182">
      <c r="A182" s="649"/>
      <c r="B182" s="650"/>
      <c r="C182" s="336"/>
      <c r="D182" s="11"/>
      <c r="E182" s="11"/>
      <c r="F182" s="46"/>
    </row>
  </sheetData>
  <mergeCells count="112">
    <mergeCell ref="A12:F12"/>
    <mergeCell ref="A13:F13"/>
    <mergeCell ref="A14:F15"/>
    <mergeCell ref="A16:F16"/>
    <mergeCell ref="G21:G34"/>
    <mergeCell ref="A27:F27"/>
    <mergeCell ref="A29:F29"/>
    <mergeCell ref="B34:F34"/>
    <mergeCell ref="H16:M16"/>
    <mergeCell ref="A17:F18"/>
    <mergeCell ref="H17:M18"/>
    <mergeCell ref="A19:F19"/>
    <mergeCell ref="H19:M19"/>
    <mergeCell ref="A1:M8"/>
    <mergeCell ref="A9:F9"/>
    <mergeCell ref="G9:G19"/>
    <mergeCell ref="H9:M9"/>
    <mergeCell ref="A10:F11"/>
    <mergeCell ref="H10:M10"/>
    <mergeCell ref="H12:M15"/>
    <mergeCell ref="A20:F20"/>
    <mergeCell ref="H20:M20"/>
    <mergeCell ref="B21:F21"/>
    <mergeCell ref="I21:M21"/>
    <mergeCell ref="H27:M27"/>
    <mergeCell ref="H29:M29"/>
    <mergeCell ref="I34:M34"/>
    <mergeCell ref="A35:M36"/>
    <mergeCell ref="A37:F37"/>
    <mergeCell ref="G37:G38"/>
    <mergeCell ref="H37:M37"/>
    <mergeCell ref="B38:F38"/>
    <mergeCell ref="I38:M38"/>
    <mergeCell ref="G39:G41"/>
    <mergeCell ref="B57:F57"/>
    <mergeCell ref="A58:F58"/>
    <mergeCell ref="A59:F59"/>
    <mergeCell ref="B60:F60"/>
    <mergeCell ref="A65:F66"/>
    <mergeCell ref="A67:F67"/>
    <mergeCell ref="A74:F75"/>
    <mergeCell ref="A76:F76"/>
    <mergeCell ref="A77:F77"/>
    <mergeCell ref="A78:F78"/>
    <mergeCell ref="A79:F79"/>
    <mergeCell ref="A80:F80"/>
    <mergeCell ref="A84:F85"/>
    <mergeCell ref="A86:F86"/>
    <mergeCell ref="A128:F128"/>
    <mergeCell ref="B129:F129"/>
    <mergeCell ref="A116:F116"/>
    <mergeCell ref="A117:F117"/>
    <mergeCell ref="A118:F118"/>
    <mergeCell ref="A119:F119"/>
    <mergeCell ref="A120:F120"/>
    <mergeCell ref="B121:F121"/>
    <mergeCell ref="A126:F127"/>
    <mergeCell ref="H108:M108"/>
    <mergeCell ref="I109:M109"/>
    <mergeCell ref="I114:M114"/>
    <mergeCell ref="G115:M127"/>
    <mergeCell ref="H128:M133"/>
    <mergeCell ref="G129:G133"/>
    <mergeCell ref="G134:M149"/>
    <mergeCell ref="I162:L162"/>
    <mergeCell ref="H163:M163"/>
    <mergeCell ref="G150:M151"/>
    <mergeCell ref="G152:G153"/>
    <mergeCell ref="H152:L152"/>
    <mergeCell ref="M152:M162"/>
    <mergeCell ref="H153:L153"/>
    <mergeCell ref="G154:G161"/>
    <mergeCell ref="G162:G163"/>
    <mergeCell ref="G164:M182"/>
    <mergeCell ref="A166:F167"/>
    <mergeCell ref="C168:F182"/>
    <mergeCell ref="A152:F152"/>
    <mergeCell ref="B153:F153"/>
    <mergeCell ref="A158:F161"/>
    <mergeCell ref="A162:F162"/>
    <mergeCell ref="A163:F163"/>
    <mergeCell ref="A164:F164"/>
    <mergeCell ref="A165:F165"/>
    <mergeCell ref="B68:F68"/>
    <mergeCell ref="A73:F73"/>
    <mergeCell ref="B87:F87"/>
    <mergeCell ref="B96:F96"/>
    <mergeCell ref="A97:F98"/>
    <mergeCell ref="A99:F99"/>
    <mergeCell ref="B100:F100"/>
    <mergeCell ref="B105:F105"/>
    <mergeCell ref="A42:M43"/>
    <mergeCell ref="A44:F44"/>
    <mergeCell ref="G44:M56"/>
    <mergeCell ref="B45:F45"/>
    <mergeCell ref="A51:F51"/>
    <mergeCell ref="A54:F54"/>
    <mergeCell ref="G57:M107"/>
    <mergeCell ref="A106:F107"/>
    <mergeCell ref="A108:F108"/>
    <mergeCell ref="G108:G109"/>
    <mergeCell ref="B109:F109"/>
    <mergeCell ref="G110:G114"/>
    <mergeCell ref="B114:F114"/>
    <mergeCell ref="A115:F115"/>
    <mergeCell ref="A134:F135"/>
    <mergeCell ref="A136:F136"/>
    <mergeCell ref="B137:F137"/>
    <mergeCell ref="A142:F143"/>
    <mergeCell ref="A144:F144"/>
    <mergeCell ref="B145:F145"/>
    <mergeCell ref="A150:F151"/>
  </mergeCells>
  <dataValidations>
    <dataValidation type="decimal" allowBlank="1" showDropDown="1" showErrorMessage="1" sqref="F23:F26 M23:M26 F28 M28 F30:F33 M30:M33 F40:F41 M40:M41 F47:F50 F52:F53 F55:F56 F62:F64 F70:F72 F82:F83 F89:F95 F102:F104 F111:F113 M111:M113 F123:F125 F131:F133 F139:F141 F147 F149 F155 F157">
      <formula1>0.0</formula1>
      <formula2>500.0</formula2>
    </dataValidation>
    <dataValidation type="decimal" operator="greaterThan" allowBlank="1" showDropDown="1" showErrorMessage="1" sqref="M11">
      <formula1>0.0</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5.25"/>
    <col customWidth="1" min="5" max="5" width="13.13"/>
  </cols>
  <sheetData>
    <row r="1">
      <c r="A1" s="651"/>
      <c r="B1" s="652"/>
      <c r="C1" s="653"/>
      <c r="D1" s="653"/>
      <c r="E1" s="654"/>
      <c r="F1" s="653"/>
      <c r="G1" s="141"/>
    </row>
    <row r="2">
      <c r="A2" s="651"/>
      <c r="B2" s="653"/>
      <c r="C2" s="653"/>
      <c r="D2" s="653"/>
      <c r="E2" s="654"/>
      <c r="F2" s="653"/>
    </row>
    <row r="3">
      <c r="A3" s="651"/>
      <c r="B3" s="653"/>
      <c r="C3" s="653"/>
      <c r="D3" s="653"/>
      <c r="E3" s="654"/>
      <c r="F3" s="653"/>
    </row>
    <row r="4">
      <c r="A4" s="651"/>
      <c r="B4" s="653"/>
      <c r="C4" s="653"/>
      <c r="D4" s="653"/>
      <c r="E4" s="654"/>
      <c r="F4" s="653"/>
    </row>
    <row r="5">
      <c r="A5" s="651"/>
      <c r="B5" s="653"/>
      <c r="C5" s="653"/>
      <c r="D5" s="653"/>
      <c r="E5" s="654"/>
      <c r="F5" s="653"/>
    </row>
    <row r="6">
      <c r="A6" s="651"/>
      <c r="B6" s="653"/>
      <c r="C6" s="653"/>
      <c r="D6" s="653"/>
      <c r="E6" s="654"/>
      <c r="F6" s="653"/>
    </row>
    <row r="7">
      <c r="A7" s="651"/>
      <c r="B7" s="653"/>
      <c r="C7" s="653"/>
      <c r="D7" s="653"/>
      <c r="E7" s="654"/>
      <c r="F7" s="653"/>
    </row>
    <row r="8">
      <c r="A8" s="651"/>
      <c r="B8" s="653"/>
      <c r="C8" s="653"/>
      <c r="D8" s="653"/>
      <c r="E8" s="654"/>
      <c r="F8" s="653"/>
    </row>
    <row r="9">
      <c r="A9" s="424" t="s">
        <v>141</v>
      </c>
      <c r="B9" s="36"/>
      <c r="C9" s="36"/>
      <c r="D9" s="36"/>
      <c r="E9" s="36"/>
      <c r="F9" s="37"/>
    </row>
    <row r="10">
      <c r="A10" s="425" t="str">
        <f>'Week 1 MASTER SHEET'!A10</f>
        <v>PRESS TO RECORD BODY WEIGHT</v>
      </c>
      <c r="B10" s="25"/>
      <c r="C10" s="25"/>
      <c r="D10" s="25"/>
      <c r="E10" s="25"/>
      <c r="F10" s="26"/>
    </row>
    <row r="11">
      <c r="A11" s="336"/>
      <c r="B11" s="11"/>
      <c r="C11" s="11"/>
      <c r="D11" s="11"/>
      <c r="E11" s="11"/>
      <c r="F11" s="46"/>
    </row>
    <row r="12">
      <c r="A12" s="655" t="s">
        <v>69</v>
      </c>
      <c r="B12" s="36"/>
      <c r="C12" s="36"/>
      <c r="D12" s="36"/>
      <c r="E12" s="36"/>
      <c r="F12" s="37"/>
    </row>
    <row r="13">
      <c r="A13" s="656" t="s">
        <v>142</v>
      </c>
      <c r="B13" s="36"/>
      <c r="C13" s="36"/>
      <c r="D13" s="36"/>
      <c r="E13" s="36"/>
      <c r="F13" s="37"/>
    </row>
    <row r="14">
      <c r="A14" s="212"/>
    </row>
    <row r="16">
      <c r="A16" s="50" t="s">
        <v>79</v>
      </c>
      <c r="B16" s="36"/>
      <c r="C16" s="36"/>
      <c r="D16" s="36"/>
      <c r="E16" s="36"/>
      <c r="F16" s="37"/>
      <c r="G16" s="141"/>
      <c r="H16" s="50" t="s">
        <v>118</v>
      </c>
      <c r="I16" s="36"/>
      <c r="J16" s="36"/>
      <c r="K16" s="36"/>
      <c r="L16" s="36"/>
      <c r="M16" s="37"/>
      <c r="N16" s="141"/>
    </row>
    <row r="17">
      <c r="A17" s="657"/>
    </row>
    <row r="19">
      <c r="A19" s="51" t="s">
        <v>48</v>
      </c>
      <c r="B19" s="36"/>
      <c r="C19" s="36"/>
      <c r="D19" s="36"/>
      <c r="E19" s="36"/>
      <c r="F19" s="37"/>
      <c r="G19" s="141"/>
      <c r="H19" s="51" t="s">
        <v>48</v>
      </c>
      <c r="I19" s="36"/>
      <c r="J19" s="36"/>
      <c r="K19" s="36"/>
      <c r="L19" s="36"/>
      <c r="M19" s="37"/>
      <c r="N19" s="141"/>
    </row>
    <row r="20">
      <c r="A20" s="52" t="str">
        <f>HYPERLINK("https://youtu.be/ujVN-A0Z-ic","1. DUMBBELL INCLINE PRESS")</f>
        <v>1. DUMBBELL INCLINE PRESS</v>
      </c>
      <c r="B20" s="53"/>
      <c r="C20" s="53"/>
      <c r="D20" s="53"/>
      <c r="E20" s="53"/>
      <c r="F20" s="54"/>
      <c r="H20" s="52" t="str">
        <f>HYPERLINK("https://youtu.be/75e_H9Vq_Lw","1. MACHINE PRESS")</f>
        <v>1. MACHINE PRESS</v>
      </c>
      <c r="I20" s="53"/>
      <c r="J20" s="53"/>
      <c r="K20" s="53"/>
      <c r="L20" s="53"/>
      <c r="M20" s="54"/>
    </row>
    <row r="21">
      <c r="A21" s="228" t="s">
        <v>119</v>
      </c>
      <c r="B21" s="229">
        <v>20.0</v>
      </c>
      <c r="C21" s="16"/>
      <c r="D21" s="16"/>
      <c r="E21" s="16"/>
      <c r="F21" s="230"/>
      <c r="H21" s="228" t="s">
        <v>119</v>
      </c>
      <c r="I21" s="229" t="str">
        <f>'WEEK 1 '!I32</f>
        <v/>
      </c>
      <c r="J21" s="16"/>
      <c r="K21" s="16"/>
      <c r="L21" s="16"/>
      <c r="M21" s="230"/>
    </row>
    <row r="22">
      <c r="A22" s="96" t="s">
        <v>50</v>
      </c>
      <c r="B22" s="97" t="s">
        <v>51</v>
      </c>
      <c r="C22" s="97" t="s">
        <v>52</v>
      </c>
      <c r="D22" s="97" t="s">
        <v>53</v>
      </c>
      <c r="E22" s="98" t="s">
        <v>54</v>
      </c>
      <c r="F22" s="235" t="s">
        <v>55</v>
      </c>
      <c r="H22" s="96" t="s">
        <v>50</v>
      </c>
      <c r="I22" s="97" t="s">
        <v>51</v>
      </c>
      <c r="J22" s="97" t="s">
        <v>52</v>
      </c>
      <c r="K22" s="97" t="s">
        <v>53</v>
      </c>
      <c r="L22" s="98" t="s">
        <v>54</v>
      </c>
      <c r="M22" s="235" t="s">
        <v>55</v>
      </c>
    </row>
    <row r="23">
      <c r="A23" s="244">
        <v>1.0</v>
      </c>
      <c r="B23" s="241">
        <f>mround('WEEK 2'!B21*0.35,5)</f>
        <v>25</v>
      </c>
      <c r="C23" s="63">
        <v>6.0</v>
      </c>
      <c r="D23" s="83" t="s">
        <v>57</v>
      </c>
      <c r="E23" s="84">
        <f>IF('WEEK 1 '!P22='WEEK 2'!B23,'WEEK 1 '!T22,"")</f>
        <v>6</v>
      </c>
      <c r="F23" s="85"/>
      <c r="H23" s="244">
        <v>1.0</v>
      </c>
      <c r="I23" s="241">
        <f>mround('WEEK 2'!I21*0.35,5)</f>
        <v>0</v>
      </c>
      <c r="J23" s="63">
        <v>6.0</v>
      </c>
      <c r="K23" s="83" t="s">
        <v>57</v>
      </c>
      <c r="L23" s="84" t="str">
        <f>IF('WEEK 1 '!I22='WEEK 2'!I23,'WEEK 1 '!M22,"")</f>
        <v/>
      </c>
      <c r="M23" s="85"/>
    </row>
    <row r="24">
      <c r="A24" s="240">
        <v>2.0</v>
      </c>
      <c r="B24" s="241">
        <f>mround('WEEK 2'!B21*0.65,5)</f>
        <v>50</v>
      </c>
      <c r="C24" s="241">
        <v>1.0</v>
      </c>
      <c r="D24" s="83" t="s">
        <v>57</v>
      </c>
      <c r="E24" s="84">
        <f>IF('WEEK 1 '!P23='WEEK 2'!B24,'WEEK 1 '!T23,"")</f>
        <v>1</v>
      </c>
      <c r="F24" s="85"/>
      <c r="H24" s="240">
        <v>2.0</v>
      </c>
      <c r="I24" s="241">
        <f>mround('WEEK 2'!I21*0.65,5)</f>
        <v>0</v>
      </c>
      <c r="J24" s="241">
        <v>1.0</v>
      </c>
      <c r="K24" s="83" t="s">
        <v>57</v>
      </c>
      <c r="L24" s="84" t="str">
        <f>IF('WEEK 1 '!I23='WEEK 2'!I24,'WEEK 1 '!M23,"")</f>
        <v/>
      </c>
      <c r="M24" s="85"/>
    </row>
    <row r="25">
      <c r="A25" s="240">
        <v>3.0</v>
      </c>
      <c r="B25" s="241">
        <f>mround('WEEK 2'!B21*0.85,5)</f>
        <v>65</v>
      </c>
      <c r="C25" s="63">
        <v>1.0</v>
      </c>
      <c r="D25" s="83" t="s">
        <v>57</v>
      </c>
      <c r="E25" s="84">
        <f>IF('WEEK 1 '!P24='WEEK 2'!B25,'WEEK 1 '!T24,"")</f>
        <v>1</v>
      </c>
      <c r="F25" s="85"/>
      <c r="H25" s="240">
        <v>3.0</v>
      </c>
      <c r="I25" s="241">
        <f>mround('WEEK 2'!I21*0.85,5)</f>
        <v>0</v>
      </c>
      <c r="J25" s="241">
        <v>1.0</v>
      </c>
      <c r="K25" s="83" t="s">
        <v>57</v>
      </c>
      <c r="L25" s="84" t="str">
        <f>IF('WEEK 1 '!I24='WEEK 2'!I25,'WEEK 1 '!M24,"")</f>
        <v/>
      </c>
      <c r="M25" s="85"/>
    </row>
    <row r="26">
      <c r="A26" s="240">
        <v>4.0</v>
      </c>
      <c r="B26" s="241">
        <f>mround('WEEK 2'!B21*1,5)</f>
        <v>75</v>
      </c>
      <c r="C26" s="245" t="s">
        <v>65</v>
      </c>
      <c r="D26" s="83" t="s">
        <v>57</v>
      </c>
      <c r="E26" s="84">
        <f>IF('WEEK 1 '!P25='WEEK 2'!B26,'WEEK 1 '!T25,"")</f>
        <v>6</v>
      </c>
      <c r="F26" s="85"/>
      <c r="H26" s="240">
        <v>4.0</v>
      </c>
      <c r="I26" s="241">
        <f>mround('WEEK 2'!I21*1,5)</f>
        <v>0</v>
      </c>
      <c r="J26" s="245" t="s">
        <v>65</v>
      </c>
      <c r="K26" s="83" t="s">
        <v>57</v>
      </c>
      <c r="L26" s="84" t="str">
        <f>IF('WEEK 1 '!I25='WEEK 2'!I26,'WEEK 1 '!M25,"")</f>
        <v/>
      </c>
      <c r="M26" s="85"/>
    </row>
    <row r="27">
      <c r="A27" s="248" t="str">
        <f>IF(OR(ISBLANK('WEEK 2'!F26),ISBLANK('WEEK 2'!F25),ISBLANK('WEEK 2'!F24)),"PROCEED TO DOWNSETS",if('WEEK 2'!F26&gt;=6,"NEW 4 REP MAX ATTEMPT","PROCEED TO DOWN SETS"))</f>
        <v>NEW 4 REP MAX ATTEMPT</v>
      </c>
      <c r="F27" s="28"/>
      <c r="G27" s="247" t="s">
        <v>123</v>
      </c>
      <c r="H27" s="248" t="str">
        <f>IF(OR(ISBLANK('WEEK 2'!M26),ISBLANK('WEEK 2'!M25),ISBLANK('WEEK 2'!M24)),"PROCEED TO DOWNSETS",if('WEEK 2'!M26&gt;=6,"NEW 4 REP MAX ATTEMPT","PROCEED TO DOWN SETS"))</f>
        <v>PROCEED TO DOWNSETS</v>
      </c>
      <c r="M27" s="28"/>
    </row>
    <row r="28">
      <c r="A28" s="251">
        <f>IF(OR(ISBLANK('WEEK 2'!F26),ISBLANK('WEEK 2'!F25),ISBLANK('WEEK 2'!F24)),"",IF('WEEK 2'!F26&gt;=6,5,""))</f>
        <v>5</v>
      </c>
      <c r="B28" s="252">
        <f>IF(OR(ISBLANK('WEEK 2'!F26),ISBLANK('WEEK 2'!F25),ISBLANK('WEEK 2'!F24)),"",IF('WEEK 2'!F26&gt;=6,'WEEK 2'!B21+5,""))</f>
        <v>80</v>
      </c>
      <c r="C28" s="253" t="str">
        <f>IF(OR(ISBLANK('WEEK 2'!F26),ISBLANK('WEEK 2'!F25),ISBLANK('WEEK 2'!F24)),"",IF('WEEK 2'!F26&gt;=6,"REP OUT",""))</f>
        <v>REP OUT</v>
      </c>
      <c r="D28" s="254" t="str">
        <f>IF(OR(ISBLANK('WEEK 2'!F26),ISBLANK('WEEK 2'!F25),ISBLANK('WEEK 2'!F24)),"",IF('WEEK 2'!F26&gt;5,"1 MIN",""))</f>
        <v>1 MIN</v>
      </c>
      <c r="E28" s="84">
        <f>IF('WEEK 1 '!P27='WEEK 2'!B28,'WEEK 1 '!T27,"")</f>
        <v>3</v>
      </c>
      <c r="F28" s="67"/>
      <c r="H28" s="251" t="str">
        <f>IF(OR(ISBLANK('WEEK 2'!M26),ISBLANK('WEEK 2'!M25),ISBLANK('WEEK 2'!M24)),"",IF('WEEK 2'!M26&gt;=6,5,""))</f>
        <v/>
      </c>
      <c r="I28" s="252" t="str">
        <f>IF(OR(ISBLANK('WEEK 2'!M26),ISBLANK('WEEK 2'!M25),ISBLANK('WEEK 2'!M24)),"",IF('WEEK 2'!M26&gt;=6,'WEEK 2'!I21+5,""))</f>
        <v/>
      </c>
      <c r="J28" s="253" t="str">
        <f>IF(OR(ISBLANK('WEEK 2'!M26),ISBLANK('WEEK 2'!M25),ISBLANK('WEEK 2'!M24)),"",IF('WEEK 2'!M26&gt;=6,"REP OUT",""))</f>
        <v/>
      </c>
      <c r="K28" s="254" t="str">
        <f>IF(OR(ISBLANK('WEEK 2'!M26),ISBLANK('WEEK 2'!M25),ISBLANK('WEEK 2'!M24)),"",IF('WEEK 2'!M26&gt;5,"1 MIN",""))</f>
        <v/>
      </c>
      <c r="L28" s="84" t="str">
        <f>IF('WEEK 1 '!I27='WEEK 2'!I28,'WEEK 1 '!M27,"")</f>
        <v/>
      </c>
      <c r="M28" s="67"/>
    </row>
    <row r="29">
      <c r="A29" s="260" t="str">
        <f>IF(OR(ISBLANK('WEEK 2'!F26),ISBLANK('WEEK 2'!F25),ISBLANK('WEEK 2'!F24)),"FILL OUT REP LOG FIRST","DOWN SETS")</f>
        <v>DOWN SETS</v>
      </c>
      <c r="B29" s="16"/>
      <c r="C29" s="16"/>
      <c r="D29" s="16"/>
      <c r="E29" s="16"/>
      <c r="F29" s="230"/>
      <c r="G29" s="141"/>
      <c r="H29" s="260" t="str">
        <f>IF(OR(ISBLANK('WEEK 2'!M26),ISBLANK('WEEK 2'!M25),ISBLANK('WEEK 2'!M24)),"FILL OUT REP LOG FIRST","DOWN SETS")</f>
        <v>FILL OUT REP LOG FIRST</v>
      </c>
      <c r="I29" s="16"/>
      <c r="J29" s="16"/>
      <c r="K29" s="16"/>
      <c r="L29" s="16"/>
      <c r="M29" s="230"/>
    </row>
    <row r="30">
      <c r="A30" s="545">
        <f>IF('WEEK 2'!F28&gt;=4,"",IF(OR(ISBLANK('WEEK 2'!F26),ISBLANK('WEEK 2'!F25),ISBLANK('WEEK 2'!F24)),"",IF('WEEK 2'!F26&gt;5,6,5)))</f>
        <v>6</v>
      </c>
      <c r="B30" s="261">
        <f>IF('WEEK 2'!F28&gt;=4,"",IF(OR(ISBLANK('WEEK 2'!F26),ISBLANK('WEEK 2'!F25),ISBLANK('WEEK 2'!F24)),"",IF('WEEK 2'!F26&lt;6,mround('WEEK 2'!B21*0.8,5),IF('WEEK 2'!F26&lt;10,mround('WEEK 2'!B21*0.93,5),mround('WEEK 2'!B21*0.7,5)))))</f>
        <v>70</v>
      </c>
      <c r="C30" s="262" t="str">
        <f>IF('WEEK 2'!F28&gt;=4,"",IF(OR(ISBLANK('WEEK 2'!F26),ISBLANK('WEEK 2'!F25),ISBLANK('WEEK 2'!F24)),"","REP OUT"))</f>
        <v>REP OUT</v>
      </c>
      <c r="D30" s="65" t="str">
        <f>IF('WEEK 2'!F28&gt;=4,"",IF(OR(ISBLANK('WEEK 2'!F26),ISBLANK('WEEK 2'!F25),ISBLANK('WEEK 2'!F24)),"","1 MIN"))</f>
        <v>1 MIN</v>
      </c>
      <c r="E30" s="84">
        <f>IF('WEEK 1 '!P29='WEEK 2'!B30,'WEEK 1 '!T29,"")</f>
        <v>6</v>
      </c>
      <c r="F30" s="263"/>
      <c r="H30" s="91" t="str">
        <f>IF('WEEK 2'!M28&gt;=4,"",IF(OR(ISBLANK('WEEK 2'!M26),ISBLANK('WEEK 2'!M25),ISBLANK('WEEK 2'!M24)),"",IF('WEEK 2'!M26&gt;5,6,5)))</f>
        <v/>
      </c>
      <c r="I30" s="261" t="str">
        <f>IF('WEEK 2'!M28&gt;=4,"",IF(OR(ISBLANK('WEEK 2'!M26),ISBLANK('WEEK 2'!M25),ISBLANK('WEEK 2'!M24)),"",IF('WEEK 2'!M26&lt;6,mround('WEEK 2'!I21*0.8,5),IF('WEEK 2'!M26&lt;10,mround('WEEK 2'!I21*0.93,5),mround('WEEK 2'!I21*0.7,5)))))</f>
        <v/>
      </c>
      <c r="J30" s="262" t="str">
        <f>IF('WEEK 2'!M28&gt;=4,"",IF(OR(ISBLANK('WEEK 2'!M26),ISBLANK('WEEK 2'!M25),ISBLANK('WEEK 2'!M24)),"","REP OUT"))</f>
        <v/>
      </c>
      <c r="K30" s="65" t="str">
        <f>IF('WEEK 2'!M28&gt;=4,"",IF(OR(ISBLANK('WEEK 2'!M26),ISBLANK('WEEK 2'!M25),ISBLANK('WEEK 2'!M24)),"","1 MIN"))</f>
        <v/>
      </c>
      <c r="L30" s="84" t="str">
        <f>IF('WEEK 1 '!I29='WEEK 2'!I30,'WEEK 1 '!M29,"")</f>
        <v/>
      </c>
      <c r="M30" s="263"/>
    </row>
    <row r="31">
      <c r="A31" s="546">
        <f>IF('WEEK 2'!F28&gt;=4,"",IF(OR(ISBLANK('WEEK 2'!F26),ISBLANK('WEEK 2'!F25),ISBLANK('WEEK 2'!F24)),"",IF('WEEK 2'!F26&gt;5,7,6)))</f>
        <v>7</v>
      </c>
      <c r="B31" s="254">
        <f>IF('WEEK 2'!F28&gt;=4,"",IF(OR(ISBLANK('WEEK 2'!F26),ISBLANK('WEEK 2'!F25),ISBLANK('WEEK 2'!F24)),"",IF('WEEK 2'!F26&lt;6,mround('WEEK 2'!B21*0.65,5),IF('WEEK 2'!F26&lt;10,mround('WEEK 2'!B21*0.7,5),mround('WEEK 2'!B21*0.65,5)))))</f>
        <v>55</v>
      </c>
      <c r="C31" s="253" t="str">
        <f>IF('WEEK 2'!F28&gt;=4,"",IF(OR(ISBLANK('WEEK 2'!F26),ISBLANK('WEEK 2'!F25),ISBLANK('WEEK 2'!F24)),"","REP OUT"))</f>
        <v>REP OUT</v>
      </c>
      <c r="D31" s="65" t="str">
        <f>IF('WEEK 2'!F28&gt;=4,"",IF(OR(ISBLANK('WEEK 2'!F26),ISBLANK('WEEK 2'!F25),ISBLANK('WEEK 2'!F24)),"","1 MIN"))</f>
        <v>1 MIN</v>
      </c>
      <c r="E31" s="84">
        <f>IF('WEEK 1 '!P30='WEEK 2'!B31,'WEEK 1 '!T30,"")</f>
        <v>10</v>
      </c>
      <c r="F31" s="270"/>
      <c r="H31" s="269" t="str">
        <f>IF('WEEK 2'!M28&gt;=4,"",IF(OR(ISBLANK('WEEK 2'!M26),ISBLANK('WEEK 2'!M25),ISBLANK('WEEK 2'!M24)),"",IF('WEEK 2'!M26&gt;5,7,6)))</f>
        <v/>
      </c>
      <c r="I31" s="254" t="str">
        <f>IF('WEEK 2'!M28&gt;=4,"",IF(OR(ISBLANK('WEEK 2'!M26),ISBLANK('WEEK 2'!M25),ISBLANK('WEEK 2'!M24)),"",IF('WEEK 2'!M26&lt;6,mround('WEEK 2'!I21*0.65,5),IF('WEEK 2'!M26&lt;10,mround('WEEK 2'!I21*0.7,5),mround('WEEK 2'!I21*0.65,5)))))</f>
        <v/>
      </c>
      <c r="J31" s="253" t="str">
        <f>IF('WEEK 2'!M28&gt;=4,"",IF(OR(ISBLANK('WEEK 2'!M26),ISBLANK('WEEK 2'!M25),ISBLANK('WEEK 2'!M24)),"","REP OUT"))</f>
        <v/>
      </c>
      <c r="K31" s="65" t="str">
        <f>IF('WEEK 2'!M28&gt;=4,"",IF(OR(ISBLANK('WEEK 2'!M26),ISBLANK('WEEK 2'!M25),ISBLANK('WEEK 2'!M24)),"","1 MIN"))</f>
        <v/>
      </c>
      <c r="L31" s="84" t="str">
        <f>IF('WEEK 1 '!I30='WEEK 2'!I31,'WEEK 1 '!M30,"")</f>
        <v/>
      </c>
      <c r="M31" s="270"/>
    </row>
    <row r="32">
      <c r="A32" s="546" t="str">
        <f>IF('WEEK 2'!F28&lt;4,"",IF(OR(ISBLANK('WEEK 2'!F26),ISBLANK('WEEK 2'!F25),ISBLANK('WEEK 2'!F24)),"",IF('WEEK 2'!F28&gt;3,6,5)))</f>
        <v/>
      </c>
      <c r="B32" s="254" t="str">
        <f>IF('WEEK 2'!F28&lt;4,"",IF(OR(ISBLANK('WEEK 2'!F26),ISBLANK('WEEK 2'!F25),ISBLANK('WEEK 2'!F24)),"",IF('WEEK 2'!F28&lt;6,mround('WEEK 2'!B34*0.8,5),IF('WEEK 2'!F28&lt;10,mround('WEEK 2'!B34*0.93,5),mround(B34*0.7,5)))))</f>
        <v/>
      </c>
      <c r="C32" s="253" t="str">
        <f>IF('WEEK 2'!F28&lt;4,"",IF(OR(ISBLANK('WEEK 2'!F26),ISBLANK('WEEK 2'!F25),ISBLANK('WEEK 2'!F24)),"","REP OUT"))</f>
        <v/>
      </c>
      <c r="D32" s="65" t="str">
        <f>IF('WEEK 2'!F28&lt;4,"",IF(OR(ISBLANK('WEEK 2'!F26),ISBLANK('WEEK 2'!F25),ISBLANK('WEEK 2'!F24)),"","1 MIN"))</f>
        <v/>
      </c>
      <c r="E32" s="84" t="str">
        <f>IF('WEEK 1 '!P31='WEEK 2'!B32,'WEEK 1 '!T31,"")</f>
        <v/>
      </c>
      <c r="F32" s="270"/>
      <c r="G32" s="141"/>
      <c r="H32" s="269" t="str">
        <f>IF('WEEK 2'!M28&lt;4,"",IF(OR(ISBLANK('WEEK 2'!M26),ISBLANK('WEEK 2'!M25),ISBLANK('WEEK 2'!M24)),"",IF('WEEK 2'!M28&gt;3,6,5)))</f>
        <v/>
      </c>
      <c r="I32" s="254" t="str">
        <f>IF('WEEK 2'!M28&lt;4,"",IF(OR(ISBLANK('WEEK 2'!M26),ISBLANK('WEEK 2'!M25),ISBLANK('WEEK 2'!M24)),"",IF('WEEK 2'!M28&lt;6,mround('WEEK 2'!I34*0.8,5),IF('WEEK 2'!M28&lt;10,mround('WEEK 2'!I34*0.93,5),mround('WEEK 2'!I34*0.93,5)))))</f>
        <v/>
      </c>
      <c r="J32" s="253" t="str">
        <f>IF('WEEK 2'!M28&lt;4,"",IF(OR(ISBLANK('WEEK 2'!M26),ISBLANK('WEEK 2'!M25),ISBLANK('WEEK 2'!M24)),"","REP OUT"))</f>
        <v/>
      </c>
      <c r="K32" s="65" t="str">
        <f>IF('WEEK 2'!M28&lt;4,"",IF(OR(ISBLANK('WEEK 2'!M26),ISBLANK('WEEK 2'!M25),ISBLANK('WEEK 2'!M24)),"","1 MIN"))</f>
        <v/>
      </c>
      <c r="L32" s="84" t="str">
        <f>IF('WEEK 1 '!I31='WEEK 2'!I32,'WEEK 1 '!M31,"")</f>
        <v/>
      </c>
      <c r="M32" s="270"/>
      <c r="N32" s="141"/>
    </row>
    <row r="33">
      <c r="A33" s="546" t="str">
        <f>IF('WEEK 2'!F28&lt;4,"",IF(OR(ISBLANK('WEEK 2'!F26),ISBLANK('WEEK 2'!F25),ISBLANK('WEEK 2'!F24)),"",IF('WEEK 2'!F28&gt;3,7,"")))</f>
        <v/>
      </c>
      <c r="B33" s="254" t="str">
        <f>IF('WEEK 2'!F28&lt;4,"",IF(OR(ISBLANK('WEEK 2'!F26),ISBLANK('WEEK 2'!F25),ISBLANK('WEEK 2'!F24)),"",IF('WEEK 2'!F28&lt;6,mround('WEEK 2'!B34*0.65,5),IF('WEEK 2'!F28&lt;10,mround('WEEK 2'!B34*0.7,5),mround(B34*0.65,5)))))</f>
        <v/>
      </c>
      <c r="C33" s="253" t="str">
        <f>IF('WEEK 2'!F28&lt;4,"",IF(OR(ISBLANK('WEEK 2'!F26),ISBLANK('WEEK 2'!F25),ISBLANK('WEEK 2'!F24)),"","REP OUT"))</f>
        <v/>
      </c>
      <c r="D33" s="65" t="str">
        <f>IF('WEEK 2'!F28&lt;4,"",IF(OR(ISBLANK('WEEK 2'!F26),ISBLANK('WEEK 2'!F25),ISBLANK('WEEK 2'!F24)),"","1 MIN"))</f>
        <v/>
      </c>
      <c r="E33" s="84" t="str">
        <f>IF('WEEK 1 '!P32='WEEK 2'!B33,'WEEK 1 '!T32,"")</f>
        <v/>
      </c>
      <c r="F33" s="270"/>
      <c r="G33" s="141"/>
      <c r="H33" s="269" t="str">
        <f>IF('WEEK 2'!M28&lt;4,"",IF(OR(ISBLANK('WEEK 2'!M26),ISBLANK('WEEK 2'!M25),ISBLANK('WEEK 2'!M24)),"",IF('WEEK 2'!M28&gt;3,7,"")))</f>
        <v/>
      </c>
      <c r="I33" s="254" t="str">
        <f>IF('WEEK 2'!M28&lt;4,"",IF(OR(ISBLANK('WEEK 2'!M26),ISBLANK('WEEK 2'!M25),ISBLANK('WEEK 2'!M24)),"",IF('WEEK 2'!M28&lt;6,mround('WEEK 2'!I34*0.65,5),IF('WEEK 2'!M28&lt;10,mround('WEEK 2'!I34*0.7,5),mround('WEEK 2'!I34*0.7,5)))))</f>
        <v/>
      </c>
      <c r="J33" s="253" t="str">
        <f>IF('WEEK 2'!M28&lt;4,"",IF(OR(ISBLANK('WEEK 2'!M26),ISBLANK('WEEK 2'!M25),ISBLANK('WEEK 2'!M24)),"","REP OUT"))</f>
        <v/>
      </c>
      <c r="K33" s="65" t="str">
        <f>IF('WEEK 2'!M28&lt;4,"",IF(OR(ISBLANK('WEEK 2'!M26),ISBLANK('WEEK 2'!M25),ISBLANK('WEEK 2'!M24)),"","1 MIN"))</f>
        <v/>
      </c>
      <c r="L33" s="84" t="str">
        <f>IF('WEEK 1 '!I32='WEEK 2'!I33,'WEEK 1 '!M32,"")</f>
        <v/>
      </c>
      <c r="M33" s="270"/>
      <c r="N33" s="141"/>
    </row>
    <row r="34">
      <c r="A34" s="280" t="s">
        <v>124</v>
      </c>
      <c r="B34" s="273">
        <f>IF(OR(ISBLANK('WEEK 2'!F24),ISBLANK('WEEK 2'!F25),ISBLANK('WEEK 2'!F26)),"",IF('WEEK 2'!F28&gt;=4,'WEEK 2'!B28,IF('WEEK 2'!F26&lt;=3,'WEEK 2'!B26-5,'WEEK 2'!B26)))</f>
        <v>75</v>
      </c>
      <c r="C34" s="11"/>
      <c r="D34" s="11"/>
      <c r="E34" s="11"/>
      <c r="F34" s="46"/>
      <c r="G34" s="141"/>
      <c r="H34" s="280" t="s">
        <v>124</v>
      </c>
      <c r="I34" s="273" t="str">
        <f>IF(OR(ISBLANK('WEEK 2'!M24),ISBLANK('WEEK 2'!M25),ISBLANK('WEEK 2'!M26)),"",IF('WEEK 2'!M28&gt;=4,'WEEK 2'!I28,IF('WEEK 2'!M26&lt;=3,'WEEK 2'!I26-5,'WEEK 2'!I26)))</f>
        <v/>
      </c>
      <c r="J34" s="11"/>
      <c r="K34" s="11"/>
      <c r="L34" s="11"/>
      <c r="M34" s="46"/>
      <c r="N34" s="141"/>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143</v>
      </c>
      <c r="B38" s="548">
        <f>B34</f>
        <v>75</v>
      </c>
      <c r="C38" s="13"/>
      <c r="D38" s="13"/>
      <c r="E38" s="13"/>
      <c r="F38" s="57"/>
      <c r="H38" s="226" t="s">
        <v>143</v>
      </c>
      <c r="I38" s="548">
        <f>B38</f>
        <v>75</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mround(B38*0.29,2.5)</f>
        <v>22.5</v>
      </c>
      <c r="C40" s="241">
        <v>15.0</v>
      </c>
      <c r="D40" s="83" t="s">
        <v>57</v>
      </c>
      <c r="E40" s="84" t="str">
        <f>IF('WEEK 1 '!P37='WEEK 2'!B40,'WEEK 1 '!F37,"")</f>
        <v/>
      </c>
      <c r="F40" s="85"/>
      <c r="H40" s="240">
        <v>1.0</v>
      </c>
      <c r="I40" s="254">
        <f>mround(I38*2*0.75,10)</f>
        <v>110</v>
      </c>
      <c r="J40" s="241">
        <v>15.0</v>
      </c>
      <c r="K40" s="83" t="s">
        <v>57</v>
      </c>
      <c r="L40" s="84" t="str">
        <f>IF('WEEK 1 '!W37='WEEK 2'!I40,'WEEK 1 '!M37,"")</f>
        <v/>
      </c>
      <c r="M40" s="85"/>
    </row>
    <row r="41">
      <c r="A41" s="661">
        <v>2.0</v>
      </c>
      <c r="B41" s="662">
        <f>mround(B38*0.29,2.5)</f>
        <v>22.5</v>
      </c>
      <c r="C41" s="662">
        <v>15.0</v>
      </c>
      <c r="D41" s="88" t="s">
        <v>57</v>
      </c>
      <c r="E41" s="89" t="str">
        <f>IF('WEEK 1 '!P38='WEEK 2'!B41,'WEEK 1 '!F38,"")</f>
        <v/>
      </c>
      <c r="F41" s="85"/>
      <c r="H41" s="661">
        <v>2.0</v>
      </c>
      <c r="I41" s="662">
        <f>mround(I38*2*0.75,10)</f>
        <v>110</v>
      </c>
      <c r="J41" s="662">
        <v>15.0</v>
      </c>
      <c r="K41" s="88" t="s">
        <v>57</v>
      </c>
      <c r="L41" s="89" t="str">
        <f>IF('WEEK 1 '!W38='WEEK 2'!I41,'WEEK 1 '!M38,"")</f>
        <v/>
      </c>
      <c r="M41" s="85"/>
    </row>
    <row r="42">
      <c r="A42" s="212"/>
    </row>
    <row r="44">
      <c r="A44" s="73" t="str">
        <f>HYPERLINK("https://youtu.be/9YH1YvZbiY0","3. MACHINE LOW ROW ")</f>
        <v>3. MACHINE LOW ROW </v>
      </c>
      <c r="B44" s="53"/>
      <c r="C44" s="53"/>
      <c r="D44" s="53"/>
      <c r="E44" s="53"/>
      <c r="F44" s="54"/>
      <c r="G44" s="141"/>
      <c r="H44" s="141"/>
      <c r="I44" s="141"/>
      <c r="J44" s="141"/>
      <c r="K44" s="141"/>
      <c r="L44" s="141"/>
      <c r="M44" s="141"/>
      <c r="N44" s="141"/>
    </row>
    <row r="45">
      <c r="A45" s="226" t="s">
        <v>119</v>
      </c>
      <c r="B45" s="227">
        <f>'DETERMINING MAX WEEK'!E63</f>
        <v>205</v>
      </c>
      <c r="C45" s="20"/>
      <c r="D45" s="20"/>
      <c r="E45" s="20"/>
      <c r="F45" s="95"/>
      <c r="G45" s="141"/>
      <c r="H45" s="141"/>
      <c r="I45" s="141"/>
      <c r="J45" s="141"/>
      <c r="K45" s="141"/>
      <c r="L45" s="141"/>
      <c r="M45" s="141"/>
      <c r="N45" s="141"/>
    </row>
    <row r="46">
      <c r="A46" s="231" t="s">
        <v>50</v>
      </c>
      <c r="B46" s="232" t="s">
        <v>51</v>
      </c>
      <c r="C46" s="232" t="s">
        <v>52</v>
      </c>
      <c r="D46" s="232" t="s">
        <v>53</v>
      </c>
      <c r="E46" s="233" t="s">
        <v>54</v>
      </c>
      <c r="F46" s="61" t="s">
        <v>55</v>
      </c>
      <c r="G46" s="141"/>
      <c r="H46" s="141"/>
      <c r="I46" s="141"/>
      <c r="J46" s="141"/>
      <c r="K46" s="141"/>
      <c r="L46" s="141"/>
      <c r="M46" s="141"/>
      <c r="N46" s="141"/>
    </row>
    <row r="47">
      <c r="A47" s="236">
        <v>1.0</v>
      </c>
      <c r="B47" s="237">
        <f>mround('WEEK 2'!B45*0.35,5)</f>
        <v>70</v>
      </c>
      <c r="C47" s="237">
        <v>6.0</v>
      </c>
      <c r="D47" s="238" t="s">
        <v>120</v>
      </c>
      <c r="E47" s="66"/>
      <c r="F47" s="67"/>
      <c r="G47" s="141"/>
      <c r="H47" s="141"/>
      <c r="I47" s="141"/>
      <c r="J47" s="141"/>
      <c r="K47" s="141"/>
      <c r="L47" s="141"/>
      <c r="M47" s="141"/>
      <c r="N47" s="141"/>
    </row>
    <row r="48">
      <c r="A48" s="236">
        <v>2.0</v>
      </c>
      <c r="B48" s="237">
        <f>mround('WEEK 2'!B45*0.65,5)</f>
        <v>135</v>
      </c>
      <c r="C48" s="238">
        <v>3.0</v>
      </c>
      <c r="D48" s="238" t="s">
        <v>121</v>
      </c>
      <c r="E48" s="66"/>
      <c r="F48" s="67"/>
      <c r="G48" s="141"/>
      <c r="H48" s="141"/>
      <c r="I48" s="141"/>
      <c r="J48" s="141"/>
      <c r="K48" s="141"/>
      <c r="L48" s="141"/>
      <c r="M48" s="141"/>
      <c r="N48" s="141"/>
    </row>
    <row r="49">
      <c r="A49" s="242">
        <v>3.0</v>
      </c>
      <c r="B49" s="237">
        <f>mround('WEEK 2'!B45*0.9,5)</f>
        <v>185</v>
      </c>
      <c r="C49" s="63">
        <v>2.0</v>
      </c>
      <c r="D49" s="238" t="s">
        <v>121</v>
      </c>
      <c r="E49" s="66"/>
      <c r="F49" s="67"/>
      <c r="G49" s="141"/>
      <c r="H49" s="141"/>
      <c r="I49" s="141"/>
      <c r="J49" s="141"/>
      <c r="K49" s="141"/>
      <c r="L49" s="141"/>
      <c r="M49" s="141"/>
      <c r="N49" s="141"/>
    </row>
    <row r="50">
      <c r="A50" s="243">
        <v>4.0</v>
      </c>
      <c r="B50" s="237">
        <f>'WEEK 2'!B45</f>
        <v>205</v>
      </c>
      <c r="C50" s="257">
        <v>3.0</v>
      </c>
      <c r="D50" s="238" t="s">
        <v>122</v>
      </c>
      <c r="E50" s="66"/>
      <c r="F50" s="67"/>
      <c r="G50" s="141"/>
      <c r="H50" s="141"/>
      <c r="I50" s="141"/>
      <c r="J50" s="141"/>
      <c r="K50" s="141"/>
      <c r="L50" s="141"/>
      <c r="M50" s="141"/>
      <c r="N50" s="141"/>
    </row>
    <row r="51">
      <c r="A51" s="246" t="str">
        <f>IF('WEEK 2'!F50&lt;3,"PROCEED TO DOWN SETS","NEW 4 REP MAX ATTEMPT")</f>
        <v>PROCEED TO DOWN SETS</v>
      </c>
      <c r="B51" s="20"/>
      <c r="C51" s="20"/>
      <c r="D51" s="20"/>
      <c r="E51" s="20"/>
      <c r="F51" s="95"/>
      <c r="G51" s="141"/>
      <c r="H51" s="141"/>
      <c r="I51" s="141"/>
      <c r="J51" s="141"/>
      <c r="K51" s="141"/>
      <c r="L51" s="141"/>
      <c r="M51" s="141"/>
      <c r="N51" s="141"/>
    </row>
    <row r="52">
      <c r="A52" s="249" t="str">
        <f>if('WEEK 2'!F50&lt;=2,"",5)</f>
        <v/>
      </c>
      <c r="B52" s="175" t="str">
        <f>IF('WEEK 2'!F50&lt;=2,"",'WEEK 2'!B50+5)</f>
        <v/>
      </c>
      <c r="C52" s="238" t="str">
        <f>if('WEEK 2'!F50&lt;=2,"",4)</f>
        <v/>
      </c>
      <c r="D52" s="238" t="str">
        <f>if('WEEK 2'!F50&lt;=2,"","1-5 MIN")</f>
        <v/>
      </c>
      <c r="E52" s="250"/>
      <c r="F52" s="67"/>
      <c r="G52" s="141"/>
      <c r="H52" s="141"/>
      <c r="I52" s="141"/>
      <c r="J52" s="141"/>
      <c r="K52" s="141"/>
      <c r="L52" s="141"/>
      <c r="M52" s="141"/>
      <c r="N52" s="141"/>
    </row>
    <row r="53">
      <c r="A53" s="259" t="str">
        <f>IF('WEEK 2'!F52&lt;4,"","6")</f>
        <v/>
      </c>
      <c r="B53" s="237" t="str">
        <f>IF('WEEK 2'!F52&lt;4,"",'WEEK 2'!B52+5)</f>
        <v/>
      </c>
      <c r="C53" s="257" t="str">
        <f>IF('WEEK 2'!F52&lt;4,"","4")</f>
        <v/>
      </c>
      <c r="D53" s="257" t="str">
        <f>IF('WEEK 2'!F52&lt;4,"","1-5 MIN")</f>
        <v/>
      </c>
      <c r="E53" s="258"/>
      <c r="F53" s="67"/>
      <c r="G53" s="141"/>
      <c r="H53" s="141"/>
      <c r="I53" s="141"/>
      <c r="J53" s="141"/>
      <c r="K53" s="141"/>
      <c r="L53" s="141"/>
      <c r="M53" s="141"/>
      <c r="N53" s="141"/>
    </row>
    <row r="54">
      <c r="A54" s="246" t="s">
        <v>133</v>
      </c>
      <c r="B54" s="20"/>
      <c r="C54" s="20"/>
      <c r="D54" s="20"/>
      <c r="E54" s="20"/>
      <c r="F54" s="95"/>
      <c r="G54" s="141"/>
      <c r="H54" s="141"/>
      <c r="I54" s="141"/>
      <c r="J54" s="141"/>
      <c r="K54" s="141"/>
      <c r="L54" s="141"/>
      <c r="M54" s="141"/>
      <c r="N54" s="141"/>
    </row>
    <row r="55">
      <c r="A55" s="264" t="str">
        <f>IF(OR(ISBLANK('WEEK 2'!F50),ISBLANK('WEEK 2'!F49),ISBLANK('WEEK 2'!F48)),"",IF((AND('WEEK 2'!A52="",'WEEK 2'!A53="")),5,IF((AND('WEEK 2'!A52&gt;1,'WEEK 2'!A53="")),6,7)))</f>
        <v/>
      </c>
      <c r="B55" s="265">
        <f>MROUND('WEEK 2'!B57*0.8,5)</f>
        <v>0</v>
      </c>
      <c r="C55" s="266" t="s">
        <v>65</v>
      </c>
      <c r="D55" s="267" t="s">
        <v>127</v>
      </c>
      <c r="E55" s="268"/>
      <c r="F55" s="67"/>
      <c r="G55" s="141"/>
      <c r="H55" s="141"/>
      <c r="I55" s="141"/>
      <c r="J55" s="141"/>
      <c r="K55" s="141"/>
      <c r="L55" s="141"/>
      <c r="M55" s="141"/>
      <c r="N55" s="141"/>
    </row>
    <row r="56">
      <c r="A56" s="243" t="str">
        <f>IF(OR(ISBLANK('WEEK 2'!F50),ISBLANK('WEEK 2'!F49),ISBLANK('WEEK 2'!F48)),"",IF((AND('WEEK 2'!A52="",'WEEK 2'!A53="")),6,IF((AND('WEEK 2'!A52&gt;1,'WEEK 2'!A53="")),7,8)))</f>
        <v/>
      </c>
      <c r="B56" s="237">
        <f>mround('WEEK 2'!B57*0.7,5)</f>
        <v>0</v>
      </c>
      <c r="C56" s="245" t="s">
        <v>65</v>
      </c>
      <c r="D56" s="65" t="s">
        <v>127</v>
      </c>
      <c r="E56" s="258"/>
      <c r="F56" s="271"/>
      <c r="G56" s="141"/>
      <c r="H56" s="141"/>
      <c r="I56" s="141"/>
      <c r="J56" s="141"/>
      <c r="K56" s="141"/>
      <c r="L56" s="141"/>
      <c r="M56" s="141"/>
      <c r="N56" s="141"/>
    </row>
    <row r="57">
      <c r="A57" s="272" t="s">
        <v>124</v>
      </c>
      <c r="B57" s="273" t="str">
        <f>IF(OR(ISBLANK('WEEK 2'!F50),ISBLANK('WEEK 2'!F49),ISBLANK('WEEK 2'!F48)),"",IF('WEEK 2'!F53&gt;=4,'WEEK 2'!B53,IF('WEEK 2'!F52&gt;=1,'WEEK 2'!B52,IF('WEEK 2'!F50&lt;3,'WEEK 2'!B50-5,'WEEK 2'!B50))))</f>
        <v/>
      </c>
      <c r="C57" s="11"/>
      <c r="D57" s="11"/>
      <c r="E57" s="11"/>
      <c r="F57" s="46"/>
      <c r="G57" s="141"/>
      <c r="H57" s="141"/>
      <c r="I57" s="141"/>
      <c r="J57" s="141"/>
      <c r="K57" s="141"/>
      <c r="L57" s="141"/>
      <c r="M57" s="141"/>
      <c r="N57" s="141"/>
    </row>
    <row r="58">
      <c r="A58" s="292"/>
      <c r="B58" s="292"/>
      <c r="C58" s="292"/>
      <c r="D58" s="292"/>
      <c r="E58" s="292"/>
      <c r="F58" s="292"/>
      <c r="G58" s="141"/>
      <c r="H58" s="141"/>
      <c r="I58" s="141"/>
      <c r="J58" s="141"/>
      <c r="K58" s="141"/>
      <c r="L58" s="141"/>
      <c r="M58" s="141"/>
      <c r="N58" s="141"/>
    </row>
    <row r="59">
      <c r="A59" s="73" t="str">
        <f>HYPERLINK("https://youtu.be/hMUUvL3FlkE","4. HIGH ROW")</f>
        <v>4. HIGH ROW</v>
      </c>
      <c r="B59" s="53"/>
      <c r="C59" s="53"/>
      <c r="D59" s="53"/>
      <c r="E59" s="53"/>
      <c r="F59" s="54"/>
      <c r="G59" s="141"/>
      <c r="H59" s="141"/>
      <c r="I59" s="141"/>
      <c r="J59" s="141"/>
      <c r="K59" s="141"/>
      <c r="L59" s="141"/>
      <c r="M59" s="141"/>
      <c r="N59" s="141"/>
    </row>
    <row r="60">
      <c r="A60" s="282" t="s">
        <v>119</v>
      </c>
      <c r="B60" s="56">
        <f>'WEEK 1 '!B66</f>
        <v>60</v>
      </c>
      <c r="C60" s="13"/>
      <c r="D60" s="13"/>
      <c r="E60" s="13"/>
      <c r="F60" s="57"/>
      <c r="G60" s="141"/>
      <c r="H60" s="141"/>
      <c r="I60" s="141"/>
      <c r="J60" s="141"/>
      <c r="K60" s="141"/>
      <c r="L60" s="141"/>
      <c r="M60" s="141"/>
      <c r="N60" s="141"/>
    </row>
    <row r="61">
      <c r="A61" s="58" t="s">
        <v>50</v>
      </c>
      <c r="B61" s="59" t="s">
        <v>51</v>
      </c>
      <c r="C61" s="59" t="s">
        <v>52</v>
      </c>
      <c r="D61" s="59" t="s">
        <v>53</v>
      </c>
      <c r="E61" s="60" t="s">
        <v>54</v>
      </c>
      <c r="F61" s="61" t="s">
        <v>55</v>
      </c>
      <c r="G61" s="141"/>
      <c r="H61" s="141"/>
      <c r="I61" s="141"/>
      <c r="J61" s="141"/>
      <c r="K61" s="141"/>
      <c r="L61" s="141"/>
      <c r="M61" s="141"/>
      <c r="N61" s="141"/>
    </row>
    <row r="62">
      <c r="A62" s="62">
        <v>1.0</v>
      </c>
      <c r="B62" s="63">
        <f> mround('WEEK 2'!B60*0.85,5)</f>
        <v>50</v>
      </c>
      <c r="C62" s="104" t="s">
        <v>65</v>
      </c>
      <c r="D62" s="65" t="s">
        <v>57</v>
      </c>
      <c r="E62" s="84">
        <f>IF('WEEK 1 '!B68='WEEK 2'!B62,'WEEK 1 '!F68,"")</f>
        <v>7</v>
      </c>
      <c r="F62" s="67"/>
      <c r="G62" s="141"/>
      <c r="H62" s="141"/>
      <c r="I62" s="141"/>
      <c r="J62" s="141"/>
      <c r="K62" s="141"/>
      <c r="L62" s="141"/>
      <c r="M62" s="141"/>
      <c r="N62" s="141"/>
    </row>
    <row r="63">
      <c r="A63" s="62">
        <v>2.0</v>
      </c>
      <c r="B63" s="63">
        <f>IF('WEEK 2'!F62&lt;6,MROUND('WEEK 2'!B60*0.75,5),IF('WEEK 2'!F62&lt;=11,MROUND('WEEK 2'!B60*0.85,5),'WEEK 2'!B62))</f>
        <v>50</v>
      </c>
      <c r="C63" s="104" t="s">
        <v>65</v>
      </c>
      <c r="D63" s="65" t="s">
        <v>57</v>
      </c>
      <c r="E63" s="84">
        <f>IF('WEEK 1 '!B69='WEEK 2'!B63,'WEEK 1 '!F69,"")</f>
        <v>10</v>
      </c>
      <c r="F63" s="67"/>
      <c r="G63" s="141"/>
      <c r="H63" s="141"/>
      <c r="I63" s="141"/>
      <c r="J63" s="141"/>
      <c r="K63" s="141"/>
      <c r="L63" s="141"/>
      <c r="M63" s="141"/>
      <c r="N63" s="141"/>
    </row>
    <row r="64">
      <c r="A64" s="68">
        <v>3.0</v>
      </c>
      <c r="B64" s="69">
        <f>IF('WEEK 2'!F63&lt;6,MROUND('WEEK 2'!B60*0.75,5),IF('WEEK 2'!F63&lt;=11,MROUND('WEEK 2'!B60*0.85,5),'WEEK 2'!B63))</f>
        <v>50</v>
      </c>
      <c r="C64" s="105" t="s">
        <v>65</v>
      </c>
      <c r="D64" s="71" t="s">
        <v>57</v>
      </c>
      <c r="E64" s="89" t="str">
        <f>IF('WEEK 1 '!B70='WEEK 2'!B64,'WEEK 1 '!F70,"")</f>
        <v/>
      </c>
      <c r="F64" s="67"/>
      <c r="G64" s="141"/>
      <c r="H64" s="141"/>
      <c r="I64" s="141"/>
      <c r="J64" s="141"/>
      <c r="K64" s="141"/>
      <c r="L64" s="141"/>
      <c r="M64" s="141"/>
      <c r="N64" s="141"/>
    </row>
    <row r="65">
      <c r="A65" s="657"/>
      <c r="G65" s="141"/>
      <c r="H65" s="141"/>
      <c r="I65" s="141"/>
      <c r="J65" s="141"/>
      <c r="K65" s="141"/>
      <c r="L65" s="141"/>
      <c r="M65" s="141"/>
      <c r="N65" s="141"/>
    </row>
    <row r="66">
      <c r="G66" s="141"/>
      <c r="H66" s="141"/>
      <c r="I66" s="141"/>
      <c r="J66" s="141"/>
      <c r="K66" s="141"/>
      <c r="L66" s="141"/>
      <c r="M66" s="141"/>
      <c r="N66" s="141"/>
    </row>
    <row r="67">
      <c r="A67" s="440" t="str">
        <f>HYPERLINK("https://www.youtube.com/watch?v=PnaDzYh2axA","5. LAT PULL DOWN")</f>
        <v>5. LAT PULL DOWN</v>
      </c>
      <c r="B67" s="53"/>
      <c r="C67" s="53"/>
      <c r="D67" s="53"/>
      <c r="E67" s="53"/>
      <c r="F67" s="54"/>
      <c r="G67" s="141"/>
      <c r="H67" s="141"/>
      <c r="I67" s="141"/>
      <c r="J67" s="141"/>
      <c r="K67" s="141"/>
      <c r="L67" s="141"/>
      <c r="M67" s="141"/>
      <c r="N67" s="141"/>
    </row>
    <row r="68">
      <c r="A68" s="282" t="s">
        <v>119</v>
      </c>
      <c r="B68" s="56">
        <f>if('WEEK 1 '!B54="",'WEEK 1 '!B42,'WEEK 1 '!B54)</f>
        <v>260</v>
      </c>
      <c r="C68" s="13"/>
      <c r="D68" s="13"/>
      <c r="E68" s="13"/>
      <c r="F68" s="57"/>
      <c r="G68" s="141"/>
      <c r="H68" s="141"/>
      <c r="I68" s="141"/>
      <c r="J68" s="141"/>
      <c r="K68" s="141"/>
      <c r="L68" s="141"/>
      <c r="M68" s="141"/>
      <c r="N68" s="141"/>
    </row>
    <row r="69">
      <c r="A69" s="58" t="s">
        <v>50</v>
      </c>
      <c r="B69" s="59" t="s">
        <v>51</v>
      </c>
      <c r="C69" s="59" t="s">
        <v>52</v>
      </c>
      <c r="D69" s="59" t="s">
        <v>53</v>
      </c>
      <c r="E69" s="60" t="s">
        <v>54</v>
      </c>
      <c r="F69" s="61" t="s">
        <v>55</v>
      </c>
      <c r="G69" s="141"/>
      <c r="H69" s="141"/>
      <c r="I69" s="141"/>
      <c r="J69" s="141"/>
      <c r="K69" s="141"/>
      <c r="L69" s="141"/>
      <c r="M69" s="141"/>
      <c r="N69" s="141"/>
    </row>
    <row r="70">
      <c r="A70" s="62">
        <v>1.0</v>
      </c>
      <c r="B70" s="63">
        <f>'WEEK 2'!B68*0.8</f>
        <v>208</v>
      </c>
      <c r="C70" s="104" t="s">
        <v>65</v>
      </c>
      <c r="D70" s="65" t="s">
        <v>57</v>
      </c>
      <c r="E70" s="66"/>
      <c r="F70" s="67"/>
      <c r="G70" s="141"/>
      <c r="H70" s="141"/>
      <c r="I70" s="141"/>
      <c r="J70" s="141"/>
      <c r="K70" s="141"/>
      <c r="L70" s="141"/>
      <c r="M70" s="141"/>
      <c r="N70" s="141"/>
    </row>
    <row r="71">
      <c r="A71" s="62">
        <v>2.0</v>
      </c>
      <c r="B71" s="663">
        <f>IF('WEEK 2'!F70&lt;6,MROUND('WEEK 2'!B70*0.85,5),IF('WEEK 2'!F70&lt;=11,MROUND('WEEK 2'!B70*0.95,5),'WEEK 2'!B70))</f>
        <v>200</v>
      </c>
      <c r="C71" s="104" t="s">
        <v>65</v>
      </c>
      <c r="D71" s="65" t="s">
        <v>57</v>
      </c>
      <c r="E71" s="66"/>
      <c r="F71" s="67"/>
      <c r="G71" s="141"/>
      <c r="H71" s="141"/>
      <c r="I71" s="141"/>
      <c r="J71" s="141"/>
      <c r="K71" s="141"/>
      <c r="L71" s="141"/>
      <c r="M71" s="141"/>
      <c r="N71" s="141"/>
    </row>
    <row r="72">
      <c r="A72" s="325">
        <v>3.0</v>
      </c>
      <c r="B72" s="663">
        <f>IF('WEEK 2'!F71&lt;6,MROUND('WEEK 2'!B71*0.85,5),IF('WEEK 2'!F71&lt;=11,MROUND('WEEK 2'!B71*0.95,5),'WEEK 2'!B71))</f>
        <v>190</v>
      </c>
      <c r="C72" s="327" t="s">
        <v>65</v>
      </c>
      <c r="D72" s="631" t="s">
        <v>57</v>
      </c>
      <c r="E72" s="664"/>
      <c r="F72" s="665"/>
      <c r="G72" s="141"/>
      <c r="H72" s="141"/>
      <c r="I72" s="141"/>
      <c r="J72" s="141"/>
      <c r="K72" s="141"/>
      <c r="L72" s="141"/>
      <c r="M72" s="141"/>
      <c r="N72" s="141"/>
    </row>
    <row r="73">
      <c r="A73" s="580"/>
      <c r="B73" s="666"/>
      <c r="C73" s="667"/>
      <c r="D73" s="666"/>
      <c r="E73" s="668"/>
      <c r="F73" s="666"/>
      <c r="G73" s="141"/>
      <c r="H73" s="141"/>
      <c r="I73" s="141"/>
      <c r="J73" s="141"/>
      <c r="K73" s="141"/>
      <c r="L73" s="141"/>
      <c r="M73" s="141"/>
      <c r="N73" s="141"/>
    </row>
    <row r="74">
      <c r="A74" s="581" t="str">
        <f>HYPERLINK("https://docs.google.com/a/fitnessresults.com/forms/d/e/1FAIpQLSd7MoczESe8Yjv6BKpmwAZGn9Aiymrs9-UdgfYIUpbr9t5NXg/viewform?usp=pp_url&amp;entry.93370101","CLICK TO COMPLETE WORKOUT")</f>
        <v>CLICK TO COMPLETE WORKOUT</v>
      </c>
      <c r="B74" s="25"/>
      <c r="C74" s="25"/>
      <c r="D74" s="25"/>
      <c r="E74" s="25"/>
      <c r="F74" s="26"/>
      <c r="G74" s="141"/>
      <c r="H74" s="141"/>
      <c r="I74" s="141"/>
      <c r="J74" s="141"/>
      <c r="K74" s="141"/>
      <c r="L74" s="141"/>
      <c r="M74" s="141"/>
      <c r="N74" s="141"/>
    </row>
    <row r="75">
      <c r="A75" s="336"/>
      <c r="B75" s="11"/>
      <c r="C75" s="11"/>
      <c r="D75" s="11"/>
      <c r="E75" s="11"/>
      <c r="F75" s="46"/>
      <c r="G75" s="141"/>
      <c r="H75" s="141"/>
      <c r="I75" s="141"/>
      <c r="J75" s="141"/>
      <c r="K75" s="141"/>
      <c r="L75" s="141"/>
      <c r="M75" s="141"/>
      <c r="N75" s="141"/>
    </row>
    <row r="76">
      <c r="A76" s="582"/>
      <c r="B76" s="582"/>
      <c r="C76" s="582"/>
      <c r="D76" s="582"/>
      <c r="E76" s="582"/>
      <c r="F76" s="582"/>
      <c r="G76" s="141"/>
      <c r="H76" s="141"/>
      <c r="I76" s="141"/>
      <c r="J76" s="141"/>
      <c r="K76" s="141"/>
      <c r="L76" s="141"/>
      <c r="M76" s="141"/>
      <c r="N76" s="141"/>
    </row>
    <row r="77">
      <c r="A77" s="669" t="s">
        <v>128</v>
      </c>
      <c r="B77" s="11"/>
      <c r="C77" s="11"/>
      <c r="D77" s="11"/>
      <c r="E77" s="11"/>
      <c r="F77" s="46"/>
      <c r="G77" s="141"/>
      <c r="H77" s="141"/>
      <c r="I77" s="141"/>
      <c r="J77" s="141"/>
      <c r="K77" s="141"/>
      <c r="L77" s="141"/>
      <c r="M77" s="141"/>
      <c r="N77" s="141"/>
    </row>
    <row r="78">
      <c r="A78" s="657"/>
      <c r="G78" s="141"/>
      <c r="H78" s="141"/>
      <c r="I78" s="141"/>
      <c r="J78" s="141"/>
      <c r="K78" s="141"/>
      <c r="L78" s="141"/>
      <c r="M78" s="141"/>
      <c r="N78" s="141"/>
    </row>
    <row r="79">
      <c r="A79" s="657" t="s">
        <v>129</v>
      </c>
      <c r="G79" s="141"/>
      <c r="H79" s="141"/>
      <c r="I79" s="141"/>
      <c r="J79" s="141"/>
      <c r="K79" s="141"/>
      <c r="L79" s="141"/>
      <c r="M79" s="141"/>
      <c r="N79" s="141"/>
    </row>
    <row r="80">
      <c r="A80" s="323" t="str">
        <f>HYPERLINK("https://www.youtube.com/watch?v=ZjpkMnGZjTQ"," 1. SISSY SQUATS")</f>
        <v> 1. SISSY SQUATS</v>
      </c>
      <c r="B80" s="53"/>
      <c r="C80" s="53"/>
      <c r="D80" s="53"/>
      <c r="E80" s="53"/>
      <c r="F80" s="54"/>
      <c r="G80" s="141"/>
      <c r="H80" s="141"/>
      <c r="I80" s="141"/>
      <c r="J80" s="141"/>
      <c r="K80" s="141"/>
      <c r="L80" s="141"/>
      <c r="M80" s="141"/>
      <c r="N80" s="141"/>
    </row>
    <row r="81">
      <c r="A81" s="460" t="s">
        <v>50</v>
      </c>
      <c r="B81" s="461" t="s">
        <v>51</v>
      </c>
      <c r="C81" s="461" t="s">
        <v>52</v>
      </c>
      <c r="D81" s="461" t="s">
        <v>53</v>
      </c>
      <c r="E81" s="98" t="s">
        <v>54</v>
      </c>
      <c r="F81" s="235" t="s">
        <v>55</v>
      </c>
      <c r="G81" s="141"/>
      <c r="H81" s="141"/>
      <c r="I81" s="141"/>
      <c r="J81" s="141"/>
      <c r="K81" s="141"/>
      <c r="L81" s="141"/>
      <c r="M81" s="141"/>
      <c r="N81" s="141"/>
    </row>
    <row r="82">
      <c r="A82" s="342">
        <v>1.0</v>
      </c>
      <c r="B82" s="65" t="s">
        <v>130</v>
      </c>
      <c r="C82" s="65">
        <v>10.0</v>
      </c>
      <c r="D82" s="65" t="s">
        <v>121</v>
      </c>
      <c r="E82" s="312"/>
      <c r="F82" s="67"/>
      <c r="G82" s="141"/>
      <c r="H82" s="141"/>
      <c r="I82" s="141"/>
      <c r="J82" s="141"/>
      <c r="K82" s="141"/>
      <c r="L82" s="141"/>
      <c r="M82" s="141"/>
      <c r="N82" s="141"/>
    </row>
    <row r="83">
      <c r="A83" s="485">
        <v>2.0</v>
      </c>
      <c r="B83" s="71" t="s">
        <v>130</v>
      </c>
      <c r="C83" s="71">
        <v>10.0</v>
      </c>
      <c r="D83" s="71" t="s">
        <v>121</v>
      </c>
      <c r="E83" s="314"/>
      <c r="F83" s="67"/>
      <c r="G83" s="141"/>
      <c r="H83" s="141"/>
      <c r="I83" s="141"/>
      <c r="J83" s="141"/>
      <c r="K83" s="141"/>
      <c r="L83" s="141"/>
      <c r="M83" s="141"/>
      <c r="N83" s="141"/>
    </row>
    <row r="84">
      <c r="A84" s="657"/>
      <c r="G84" s="141"/>
      <c r="H84" s="141"/>
      <c r="I84" s="141"/>
      <c r="J84" s="141"/>
      <c r="K84" s="141"/>
      <c r="L84" s="141"/>
      <c r="M84" s="141"/>
      <c r="N84" s="141"/>
    </row>
    <row r="85">
      <c r="G85" s="141"/>
      <c r="H85" s="141"/>
      <c r="I85" s="141"/>
      <c r="J85" s="141"/>
      <c r="K85" s="141"/>
      <c r="L85" s="141"/>
      <c r="M85" s="141"/>
      <c r="N85" s="141"/>
    </row>
    <row r="86">
      <c r="A86" s="323" t="str">
        <f>HYPERLINK("https://www.youtube.com/watch?v=dVterVQksD4","2. LEG PRESS")</f>
        <v>2. LEG PRESS</v>
      </c>
      <c r="B86" s="53"/>
      <c r="C86" s="53"/>
      <c r="D86" s="53"/>
      <c r="E86" s="53"/>
      <c r="F86" s="54"/>
      <c r="G86" s="141"/>
      <c r="H86" s="141"/>
      <c r="I86" s="141"/>
      <c r="J86" s="141"/>
      <c r="K86" s="141"/>
      <c r="L86" s="141"/>
      <c r="M86" s="141"/>
      <c r="N86" s="141"/>
    </row>
    <row r="87">
      <c r="A87" s="670" t="s">
        <v>119</v>
      </c>
      <c r="B87" s="671">
        <f>'Week 1 MASTER SHEET'!B84</f>
        <v>100</v>
      </c>
      <c r="C87" s="36"/>
      <c r="D87" s="36"/>
      <c r="E87" s="36"/>
      <c r="F87" s="37"/>
      <c r="G87" s="141"/>
      <c r="H87" s="141"/>
      <c r="I87" s="141"/>
      <c r="J87" s="141"/>
      <c r="K87" s="141"/>
      <c r="L87" s="141"/>
      <c r="M87" s="141"/>
      <c r="N87" s="141"/>
    </row>
    <row r="88">
      <c r="A88" s="96" t="s">
        <v>50</v>
      </c>
      <c r="B88" s="672" t="s">
        <v>51</v>
      </c>
      <c r="C88" s="672" t="s">
        <v>52</v>
      </c>
      <c r="D88" s="672" t="s">
        <v>53</v>
      </c>
      <c r="E88" s="673" t="s">
        <v>54</v>
      </c>
      <c r="F88" s="235" t="s">
        <v>55</v>
      </c>
      <c r="G88" s="141"/>
      <c r="H88" s="141"/>
      <c r="I88" s="141"/>
      <c r="J88" s="141"/>
      <c r="K88" s="141"/>
      <c r="L88" s="141"/>
      <c r="M88" s="141"/>
      <c r="N88" s="141"/>
    </row>
    <row r="89">
      <c r="A89" s="342">
        <v>1.0</v>
      </c>
      <c r="B89" s="674">
        <f>mround('WEEK 2'!B87*0.5,5)</f>
        <v>120</v>
      </c>
      <c r="C89" s="675">
        <v>20.0</v>
      </c>
      <c r="D89" s="350" t="s">
        <v>122</v>
      </c>
      <c r="E89" s="84" t="str">
        <f>IF('WEEK 1 '!E86='WEEK 2'!B89,'WEEK 1 '!F86,"")</f>
        <v/>
      </c>
      <c r="F89" s="85"/>
      <c r="G89" s="141"/>
      <c r="H89" s="141"/>
      <c r="I89" s="141"/>
      <c r="J89" s="141"/>
      <c r="K89" s="141"/>
      <c r="L89" s="141"/>
      <c r="M89" s="141"/>
      <c r="N89" s="141"/>
    </row>
    <row r="90">
      <c r="A90" s="342">
        <v>2.0</v>
      </c>
      <c r="B90" s="674">
        <f>mround('WEEK 2'!B87*0.65,5)</f>
        <v>155</v>
      </c>
      <c r="C90" s="675">
        <v>20.0</v>
      </c>
      <c r="D90" s="350" t="s">
        <v>122</v>
      </c>
      <c r="E90" s="84" t="str">
        <f>IF('WEEK 1 '!E87='WEEK 2'!B90,'WEEK 1 '!F87,"")</f>
        <v/>
      </c>
      <c r="F90" s="85"/>
      <c r="G90" s="141"/>
      <c r="H90" s="141"/>
      <c r="I90" s="141"/>
      <c r="J90" s="141"/>
      <c r="K90" s="141"/>
      <c r="L90" s="141"/>
      <c r="M90" s="141"/>
      <c r="N90" s="141"/>
    </row>
    <row r="91">
      <c r="A91" s="342">
        <v>3.0</v>
      </c>
      <c r="B91" s="674">
        <f>mround('WEEK 2'!B87*0.8,5)</f>
        <v>190</v>
      </c>
      <c r="C91" s="675">
        <v>20.0</v>
      </c>
      <c r="D91" s="350" t="s">
        <v>122</v>
      </c>
      <c r="E91" s="84" t="str">
        <f>IF('WEEK 1 '!E88='WEEK 2'!B91,'WEEK 1 '!F88,"")</f>
        <v/>
      </c>
      <c r="F91" s="85"/>
      <c r="G91" s="141"/>
      <c r="H91" s="141"/>
      <c r="I91" s="141"/>
      <c r="J91" s="141"/>
      <c r="K91" s="141"/>
      <c r="L91" s="141"/>
      <c r="M91" s="141"/>
      <c r="N91" s="141"/>
    </row>
    <row r="92">
      <c r="A92" s="342">
        <v>4.0</v>
      </c>
      <c r="B92" s="99">
        <f>mround('WEEK 2'!B87*0.95,5)</f>
        <v>230</v>
      </c>
      <c r="C92" s="675">
        <v>15.0</v>
      </c>
      <c r="D92" s="350" t="s">
        <v>122</v>
      </c>
      <c r="E92" s="84" t="str">
        <f>IF('WEEK 1 '!E89='WEEK 2'!B92,'WEEK 1 '!F89,"")</f>
        <v/>
      </c>
      <c r="F92" s="85"/>
      <c r="G92" s="141"/>
      <c r="H92" s="141"/>
      <c r="I92" s="141"/>
      <c r="J92" s="141"/>
      <c r="K92" s="141"/>
      <c r="L92" s="141"/>
      <c r="M92" s="141"/>
      <c r="N92" s="141"/>
    </row>
    <row r="93">
      <c r="A93" s="342">
        <v>5.0</v>
      </c>
      <c r="B93" s="170">
        <f>mround('WEEK 2'!B87*1.05,5)</f>
        <v>250</v>
      </c>
      <c r="C93" s="343" t="s">
        <v>144</v>
      </c>
      <c r="D93" s="350" t="s">
        <v>122</v>
      </c>
      <c r="E93" s="84" t="str">
        <f>IF('WEEK 1 '!E90='WEEK 2'!B93,'WEEK 1 '!F90,"")</f>
        <v/>
      </c>
      <c r="F93" s="85"/>
      <c r="G93" s="141"/>
      <c r="H93" s="141"/>
      <c r="I93" s="141"/>
      <c r="J93" s="141"/>
      <c r="K93" s="141"/>
      <c r="L93" s="141"/>
      <c r="M93" s="141"/>
      <c r="N93" s="141"/>
    </row>
    <row r="94">
      <c r="A94" s="342">
        <v>6.0</v>
      </c>
      <c r="B94" s="674">
        <f>IF('WEEK 2'!F93&lt;11,mround('WEEK 2'!B93*0.95,5),mround('WEEK 2'!B93*1.05,5))</f>
        <v>265</v>
      </c>
      <c r="C94" s="676" t="str">
        <f>IF(F93&lt;11,"REP OUT","10 - 20")</f>
        <v>REP OUT</v>
      </c>
      <c r="D94" s="350" t="s">
        <v>122</v>
      </c>
      <c r="E94" s="84" t="str">
        <f>IF('WEEK 1 '!E91='WEEK 2'!B94,'WEEK 1 '!F91,"")</f>
        <v/>
      </c>
      <c r="F94" s="85"/>
      <c r="G94" s="141"/>
      <c r="H94" s="141"/>
      <c r="I94" s="141"/>
      <c r="J94" s="141"/>
      <c r="K94" s="141"/>
      <c r="L94" s="141"/>
      <c r="M94" s="141"/>
      <c r="N94" s="141"/>
    </row>
    <row r="95">
      <c r="A95" s="342">
        <v>7.0</v>
      </c>
      <c r="B95" s="326">
        <f>IF('WEEK 2'!F93&lt;11,mround('WEEK 2'!B94*0.95,5),IF('WEEK 2'!F94&lt;10,mround('WEEK 2'!B94*0.95,5),mround('WEEK 2'!B94*1.15,5)))</f>
        <v>305</v>
      </c>
      <c r="C95" s="676" t="str">
        <f>IF(F93&lt;11,"REP OUT","10 - 20")</f>
        <v>REP OUT</v>
      </c>
      <c r="D95" s="350" t="s">
        <v>122</v>
      </c>
      <c r="E95" s="84" t="str">
        <f>IF('WEEK 1 '!E92='WEEK 2'!B95,'WEEK 1 '!F92,"")</f>
        <v/>
      </c>
      <c r="F95" s="85"/>
      <c r="G95" s="141"/>
      <c r="H95" s="141"/>
      <c r="I95" s="141"/>
      <c r="J95" s="141"/>
      <c r="K95" s="141"/>
      <c r="L95" s="141"/>
      <c r="M95" s="141"/>
      <c r="N95" s="141"/>
    </row>
    <row r="96">
      <c r="A96" s="272" t="s">
        <v>124</v>
      </c>
      <c r="B96" s="332">
        <f>IF('WEEK 2'!F93&lt;10,'WEEK 2'!B87,IF('WEEK 2'!F93&gt;=10,'WEEK 2'!B93,'WEEK 2'!B87))</f>
        <v>250</v>
      </c>
      <c r="C96" s="33"/>
      <c r="D96" s="33"/>
      <c r="E96" s="33"/>
      <c r="F96" s="34"/>
      <c r="G96" s="141"/>
      <c r="H96" s="141"/>
      <c r="I96" s="141"/>
      <c r="J96" s="141"/>
      <c r="K96" s="141"/>
      <c r="L96" s="141"/>
      <c r="M96" s="141"/>
      <c r="N96" s="141"/>
    </row>
    <row r="97">
      <c r="A97" s="677"/>
      <c r="G97" s="141"/>
      <c r="H97" s="141"/>
      <c r="I97" s="141"/>
      <c r="J97" s="141"/>
      <c r="K97" s="141"/>
      <c r="L97" s="141"/>
      <c r="M97" s="141"/>
      <c r="N97" s="141"/>
    </row>
    <row r="98">
      <c r="G98" s="141"/>
      <c r="H98" s="141"/>
      <c r="I98" s="141"/>
      <c r="J98" s="141"/>
      <c r="K98" s="141"/>
      <c r="L98" s="141"/>
      <c r="M98" s="141"/>
      <c r="N98" s="141"/>
    </row>
    <row r="99">
      <c r="A99" s="323" t="str">
        <f>HYPERLINK("https://www.youtube.com/watch?v=NZ9KiFtbiMs","3. LEG EXTENSION")</f>
        <v>3. LEG EXTENSION</v>
      </c>
      <c r="B99" s="53"/>
      <c r="C99" s="53"/>
      <c r="D99" s="53"/>
      <c r="E99" s="53"/>
      <c r="F99" s="54"/>
      <c r="G99" s="141"/>
      <c r="H99" s="141"/>
      <c r="I99" s="141"/>
      <c r="J99" s="141"/>
      <c r="K99" s="141"/>
      <c r="L99" s="141"/>
      <c r="M99" s="141"/>
      <c r="N99" s="141"/>
    </row>
    <row r="100">
      <c r="A100" s="226" t="s">
        <v>119</v>
      </c>
      <c r="B100" s="90">
        <f>IF('Week 1 MASTER SHEET'!B95='Week 1 MASTER SHEET'!B97,'Week 1 MASTER SHEET'!B95+5,IF('WEEK 1 '!F95&lt;=9,MROUND('WEEK 1 '!B93*0.95,5),'WEEK 1 '!B95))</f>
        <v>80</v>
      </c>
      <c r="C100" s="13"/>
      <c r="D100" s="13"/>
      <c r="E100" s="13"/>
      <c r="F100" s="57"/>
      <c r="G100" s="141"/>
      <c r="H100" s="141"/>
      <c r="I100" s="141"/>
      <c r="J100" s="141"/>
      <c r="K100" s="141"/>
      <c r="L100" s="141"/>
      <c r="M100" s="141"/>
      <c r="N100" s="141"/>
    </row>
    <row r="101">
      <c r="A101" s="96" t="s">
        <v>50</v>
      </c>
      <c r="B101" s="97" t="s">
        <v>51</v>
      </c>
      <c r="C101" s="97" t="s">
        <v>52</v>
      </c>
      <c r="D101" s="97" t="s">
        <v>53</v>
      </c>
      <c r="E101" s="98" t="s">
        <v>54</v>
      </c>
      <c r="F101" s="235" t="s">
        <v>55</v>
      </c>
      <c r="G101" s="141"/>
      <c r="H101" s="141"/>
      <c r="I101" s="141"/>
      <c r="J101" s="141"/>
      <c r="K101" s="141"/>
      <c r="L101" s="141"/>
      <c r="M101" s="141"/>
      <c r="N101" s="141"/>
    </row>
    <row r="102">
      <c r="A102" s="352">
        <v>1.0</v>
      </c>
      <c r="B102" s="237">
        <f>mround('WEEK 2'!B100*1.05,5)</f>
        <v>85</v>
      </c>
      <c r="C102" s="678">
        <v>20.0</v>
      </c>
      <c r="D102" s="350" t="s">
        <v>57</v>
      </c>
      <c r="E102" s="84" t="str">
        <f>IF('WEEK 1 '!B95='WEEK 2'!B102,'WEEK 1 '!F95,"")</f>
        <v/>
      </c>
      <c r="F102" s="85"/>
      <c r="G102" s="141"/>
      <c r="H102" s="141"/>
      <c r="I102" s="141"/>
      <c r="J102" s="141"/>
      <c r="K102" s="141"/>
      <c r="L102" s="141"/>
      <c r="M102" s="141"/>
      <c r="N102" s="141"/>
    </row>
    <row r="103">
      <c r="A103" s="352">
        <v>2.0</v>
      </c>
      <c r="C103" s="678">
        <v>20.0</v>
      </c>
      <c r="D103" s="350" t="s">
        <v>57</v>
      </c>
      <c r="E103" s="679"/>
      <c r="F103" s="85"/>
      <c r="G103" s="141"/>
      <c r="H103" s="141"/>
      <c r="I103" s="141"/>
      <c r="J103" s="141"/>
      <c r="K103" s="141"/>
      <c r="L103" s="141"/>
      <c r="M103" s="141"/>
      <c r="N103" s="141"/>
    </row>
    <row r="104">
      <c r="A104" s="352">
        <v>3.0</v>
      </c>
      <c r="B104" s="237">
        <f>if('WEEK 2'!F103&lt;8,mround('WEEK 2'!B103*0.8,5),IF('WEEK 2'!F103&lt;=14,MROUND('WEEK 2'!B103*0.95,5),'WEEK 2'!B103))</f>
        <v>0</v>
      </c>
      <c r="C104" s="678">
        <v>20.0</v>
      </c>
      <c r="D104" s="350" t="s">
        <v>57</v>
      </c>
      <c r="E104" s="679"/>
      <c r="F104" s="85"/>
      <c r="G104" s="141"/>
      <c r="H104" s="141"/>
      <c r="I104" s="141"/>
      <c r="J104" s="141"/>
      <c r="K104" s="141"/>
      <c r="L104" s="141"/>
      <c r="M104" s="141"/>
      <c r="N104" s="141"/>
    </row>
    <row r="105">
      <c r="A105" s="228" t="s">
        <v>124</v>
      </c>
      <c r="B105" s="229" t="str">
        <f>IF('WEEK 2'!F102&lt;10,'WEEK 2'!B100,IF('WEEK 2'!F103&gt;=10,'WEEK 2'!B103,'WEEK 2'!B102))</f>
        <v/>
      </c>
      <c r="C105" s="16"/>
      <c r="D105" s="16"/>
      <c r="E105" s="16"/>
      <c r="F105" s="230"/>
      <c r="G105" s="141"/>
      <c r="H105" s="141"/>
      <c r="I105" s="141"/>
      <c r="J105" s="141"/>
      <c r="K105" s="141"/>
      <c r="L105" s="141"/>
      <c r="M105" s="141"/>
      <c r="N105" s="141"/>
    </row>
    <row r="106">
      <c r="A106" s="680"/>
      <c r="B106" s="25"/>
      <c r="C106" s="25"/>
      <c r="D106" s="25"/>
      <c r="E106" s="25"/>
      <c r="F106" s="25"/>
      <c r="G106" s="141"/>
      <c r="H106" s="141"/>
      <c r="I106" s="141"/>
      <c r="J106" s="141"/>
      <c r="K106" s="141"/>
      <c r="L106" s="141"/>
      <c r="M106" s="141"/>
      <c r="N106" s="141"/>
    </row>
    <row r="107">
      <c r="G107" s="141"/>
      <c r="H107" s="141"/>
      <c r="I107" s="141"/>
      <c r="J107" s="141"/>
      <c r="K107" s="141"/>
      <c r="L107" s="141"/>
      <c r="M107" s="141"/>
      <c r="N107" s="141"/>
    </row>
    <row r="108">
      <c r="A108" s="323" t="str">
        <f>HYPERLINK("https://www.youtube.com/watch?v=NZ9KiFtbiMs","4. LEG CURL")</f>
        <v>4. LEG CURL</v>
      </c>
      <c r="B108" s="53"/>
      <c r="C108" s="53"/>
      <c r="D108" s="53"/>
      <c r="E108" s="53"/>
      <c r="F108" s="54"/>
      <c r="G108" s="141"/>
      <c r="H108" s="323" t="str">
        <f>HYPERLINK("https://youtu.be/kmN9cJ79PDE","4. PRONE LEG CURL")</f>
        <v>4. PRONE LEG CURL</v>
      </c>
      <c r="I108" s="53"/>
      <c r="J108" s="53"/>
      <c r="K108" s="53"/>
      <c r="L108" s="53"/>
      <c r="M108" s="54"/>
      <c r="N108" s="141"/>
    </row>
    <row r="109">
      <c r="A109" s="226" t="s">
        <v>119</v>
      </c>
      <c r="B109" s="90">
        <f>IF('WEEK 1 '!B103='WEEK 1 '!B105,'WEEK 1 '!B103+5,IF('WEEK 1 '!F103&lt;=9,MROUND('WEEK 1 '!B101*0.95,5),'WEEK 1 '!B103))</f>
        <v>105</v>
      </c>
      <c r="C109" s="13"/>
      <c r="D109" s="13"/>
      <c r="E109" s="13"/>
      <c r="F109" s="57"/>
      <c r="H109" s="226" t="s">
        <v>119</v>
      </c>
      <c r="I109" s="316">
        <f>IF('WEEK 1 '!I103='WEEK 1 '!I105,'WEEK 1 '!I103+5,IF('WEEK 1 '!M103&lt;=9,MROUND( 'WEEK 1 '!I101*0.95,5),'WEEK 1 '!I103))</f>
        <v>95</v>
      </c>
      <c r="J109" s="20"/>
      <c r="K109" s="20"/>
      <c r="L109" s="20"/>
      <c r="M109" s="95"/>
    </row>
    <row r="110">
      <c r="A110" s="96" t="s">
        <v>50</v>
      </c>
      <c r="B110" s="97" t="s">
        <v>51</v>
      </c>
      <c r="C110" s="97" t="s">
        <v>52</v>
      </c>
      <c r="D110" s="97" t="s">
        <v>53</v>
      </c>
      <c r="E110" s="98" t="s">
        <v>54</v>
      </c>
      <c r="F110" s="235" t="s">
        <v>55</v>
      </c>
      <c r="H110" s="96" t="s">
        <v>50</v>
      </c>
      <c r="I110" s="97" t="s">
        <v>51</v>
      </c>
      <c r="J110" s="97" t="s">
        <v>52</v>
      </c>
      <c r="K110" s="97" t="s">
        <v>53</v>
      </c>
      <c r="L110" s="341" t="s">
        <v>54</v>
      </c>
      <c r="M110" s="235" t="s">
        <v>55</v>
      </c>
    </row>
    <row r="111">
      <c r="A111" s="352">
        <v>1.0</v>
      </c>
      <c r="B111" s="237">
        <f>mround('WEEK 2'!B109*1.05,5)</f>
        <v>110</v>
      </c>
      <c r="C111" s="678">
        <v>20.0</v>
      </c>
      <c r="D111" s="350" t="s">
        <v>57</v>
      </c>
      <c r="E111" s="84" t="str">
        <f>IF('WEEK 1 '!B103=B111,'WEEK 1 '!F103,"")</f>
        <v/>
      </c>
      <c r="F111" s="85"/>
      <c r="G111" s="434" t="s">
        <v>123</v>
      </c>
      <c r="H111" s="352">
        <v>1.0</v>
      </c>
      <c r="I111" s="237">
        <f>if('WEEK 1 '!I104='WEEK 1 '!I105,'WEEK 2'!I109,'WEEK 2'!I109)</f>
        <v>95</v>
      </c>
      <c r="J111" s="678">
        <v>20.0</v>
      </c>
      <c r="K111" s="350" t="s">
        <v>57</v>
      </c>
      <c r="L111" s="84" t="str">
        <f>IF('WEEK 1 '!I103=I111,'WEEK 1 '!M103,"")</f>
        <v/>
      </c>
      <c r="M111" s="85"/>
    </row>
    <row r="112">
      <c r="A112" s="352">
        <v>2.0</v>
      </c>
      <c r="B112" s="237">
        <f>if('WEEK 2'!F111&lt;8,mround('WEEK 2'!B111*0.8,5),IF('WEEK 2'!F111&lt;=14,MROUND('WEEK 2'!B111*0.95,5),'WEEK 2'!B111))</f>
        <v>105</v>
      </c>
      <c r="C112" s="678">
        <v>20.0</v>
      </c>
      <c r="D112" s="350" t="s">
        <v>57</v>
      </c>
      <c r="E112" s="84" t="str">
        <f>IF('WEEK 1 '!B104=B112,'WEEK 1 '!F104,"")</f>
        <v/>
      </c>
      <c r="F112" s="85"/>
      <c r="H112" s="352">
        <v>2.0</v>
      </c>
      <c r="I112" s="237">
        <f>if('WEEK 2'!M111&lt;5,mround('WEEK 2'!I111*0.8,5),IF('WEEK 2'!M111&lt;=10,MROUND('WEEK 2'!I111*0.95,5),'WEEK 2'!I111))</f>
        <v>75</v>
      </c>
      <c r="J112" s="681" t="s">
        <v>65</v>
      </c>
      <c r="K112" s="350" t="s">
        <v>57</v>
      </c>
      <c r="L112" s="84" t="str">
        <f>IF('WEEK 1 '!I104=I112,'WEEK 1 '!M104,"")</f>
        <v/>
      </c>
      <c r="M112" s="85"/>
    </row>
    <row r="113">
      <c r="A113" s="352">
        <v>3.0</v>
      </c>
      <c r="B113" s="237">
        <f>if('WEEK 2'!F112&lt;8,mround('WEEK 2'!B112*0.8,5),IF('WEEK 2'!F112&lt;=14,MROUND('WEEK 2'!B112*0.95,5),'WEEK 2'!B112))</f>
        <v>105</v>
      </c>
      <c r="C113" s="678">
        <v>20.0</v>
      </c>
      <c r="D113" s="350" t="s">
        <v>57</v>
      </c>
      <c r="E113" s="84" t="str">
        <f>IF('WEEK 1 '!B105=B113,'WEEK 1 '!F105,"")</f>
        <v/>
      </c>
      <c r="F113" s="85"/>
      <c r="G113" s="682"/>
      <c r="H113" s="352">
        <v>3.0</v>
      </c>
      <c r="I113" s="237">
        <f>if('WEEK 2'!M112&lt;4,mround('WEEK 2'!I112*0.8,5),IF('WEEK 2'!M112&lt;=10,MROUND('WEEK 2'!I112*0.95,5),'WEEK 2'!I112))</f>
        <v>60</v>
      </c>
      <c r="J113" s="681" t="s">
        <v>65</v>
      </c>
      <c r="K113" s="350" t="s">
        <v>57</v>
      </c>
      <c r="L113" s="84" t="str">
        <f>IF('WEEK 1 '!I105=I113,'WEEK 1 '!M105,"")</f>
        <v/>
      </c>
      <c r="M113" s="85"/>
    </row>
    <row r="114">
      <c r="A114" s="272" t="s">
        <v>124</v>
      </c>
      <c r="B114" s="332">
        <f>IF('WEEK 2'!F111&lt;10,'WEEK 2'!B109,IF('WEEK 2'!F112&gt;=10,'WEEK 2'!B112,'WEEK 2'!B111))</f>
        <v>105</v>
      </c>
      <c r="C114" s="33"/>
      <c r="D114" s="33"/>
      <c r="E114" s="33"/>
      <c r="F114" s="34"/>
      <c r="H114" s="272" t="s">
        <v>124</v>
      </c>
      <c r="I114" s="332">
        <f>IF('WEEK 2'!M111&lt;10,'WEEK 2'!I109,IF('WEEK 2'!M112&gt;=10,'WEEK 2'!I112,'WEEK 2'!I111))</f>
        <v>95</v>
      </c>
      <c r="J114" s="33"/>
      <c r="K114" s="33"/>
      <c r="L114" s="33"/>
      <c r="M114" s="34"/>
    </row>
    <row r="115">
      <c r="A115" s="683"/>
      <c r="G115" s="683"/>
    </row>
    <row r="116">
      <c r="A116" s="684" t="s">
        <v>62</v>
      </c>
      <c r="B116" s="20"/>
      <c r="C116" s="20"/>
      <c r="D116" s="20"/>
      <c r="E116" s="20"/>
      <c r="F116" s="21"/>
    </row>
    <row r="117">
      <c r="A117" s="685"/>
      <c r="B117" s="685"/>
      <c r="C117" s="685"/>
      <c r="D117" s="685"/>
      <c r="E117" s="685"/>
      <c r="F117" s="685"/>
      <c r="G117" s="686"/>
      <c r="H117" s="686"/>
      <c r="I117" s="686"/>
      <c r="J117" s="686"/>
      <c r="K117" s="686"/>
      <c r="L117" s="686"/>
      <c r="M117" s="686"/>
      <c r="N117" s="686"/>
    </row>
    <row r="118">
      <c r="A118" s="310" t="str">
        <f>HYPERLINK("https://docs.google.com/a/fitnessresults.com/forms/d/e/1FAIpQLSd7MoczESe8Yjv6BKpmwAZGn9Aiymrs9-UdgfYIUpbr9t5NXg/viewform?usp=pp_url&amp;entry.93370101","CLICK TO COMPLETE WORKOUT")</f>
        <v>CLICK TO COMPLETE WORKOUT</v>
      </c>
      <c r="B118" s="36"/>
      <c r="C118" s="36"/>
      <c r="D118" s="36"/>
      <c r="E118" s="36"/>
      <c r="F118" s="37"/>
      <c r="G118" s="141"/>
      <c r="H118" s="141"/>
      <c r="I118" s="141"/>
      <c r="J118" s="141"/>
      <c r="K118" s="141"/>
      <c r="L118" s="141"/>
      <c r="M118" s="141"/>
      <c r="N118" s="141"/>
    </row>
    <row r="119">
      <c r="A119" s="51" t="s">
        <v>131</v>
      </c>
      <c r="B119" s="36"/>
      <c r="C119" s="36"/>
      <c r="D119" s="36"/>
      <c r="E119" s="36"/>
      <c r="F119" s="37"/>
      <c r="G119" s="141"/>
      <c r="H119" s="141"/>
      <c r="I119" s="141"/>
      <c r="J119" s="141"/>
      <c r="K119" s="141"/>
      <c r="L119" s="141"/>
      <c r="M119" s="141"/>
      <c r="N119" s="141"/>
    </row>
    <row r="120">
      <c r="A120" s="323" t="str">
        <f>HYPERLINK("https://youtu.be/ZhZ733bUA9Q","1. SHOULDER CLEANS")</f>
        <v>1. SHOULDER CLEANS</v>
      </c>
      <c r="B120" s="53"/>
      <c r="C120" s="53"/>
      <c r="D120" s="53"/>
      <c r="E120" s="53"/>
      <c r="F120" s="54"/>
      <c r="G120" s="141"/>
      <c r="H120" s="141"/>
      <c r="I120" s="141"/>
      <c r="J120" s="141"/>
      <c r="K120" s="141"/>
      <c r="L120" s="141"/>
      <c r="M120" s="141"/>
      <c r="N120" s="141"/>
    </row>
    <row r="121">
      <c r="A121" s="226" t="s">
        <v>134</v>
      </c>
      <c r="B121" s="94">
        <f>'WEEK 1 '!B126</f>
        <v>65</v>
      </c>
      <c r="C121" s="20"/>
      <c r="D121" s="20"/>
      <c r="E121" s="20"/>
      <c r="F121" s="95"/>
      <c r="G121" s="141"/>
      <c r="H121" s="141"/>
      <c r="I121" s="141"/>
      <c r="J121" s="141"/>
      <c r="K121" s="141"/>
      <c r="L121" s="141"/>
      <c r="M121" s="141"/>
      <c r="N121" s="141"/>
    </row>
    <row r="122">
      <c r="A122" s="96" t="s">
        <v>50</v>
      </c>
      <c r="B122" s="97" t="s">
        <v>51</v>
      </c>
      <c r="C122" s="97" t="s">
        <v>52</v>
      </c>
      <c r="D122" s="97" t="s">
        <v>53</v>
      </c>
      <c r="E122" s="98" t="s">
        <v>54</v>
      </c>
      <c r="F122" s="235" t="s">
        <v>55</v>
      </c>
      <c r="G122" s="141"/>
      <c r="H122" s="141"/>
      <c r="I122" s="141"/>
      <c r="J122" s="141"/>
      <c r="K122" s="141"/>
      <c r="L122" s="141"/>
      <c r="M122" s="141"/>
      <c r="N122" s="141"/>
    </row>
    <row r="123">
      <c r="A123" s="62">
        <v>1.0</v>
      </c>
      <c r="B123" s="99">
        <f> mround('WEEK 2'!B121*0.4,5)</f>
        <v>10</v>
      </c>
      <c r="C123" s="99">
        <v>20.0</v>
      </c>
      <c r="D123" s="83" t="s">
        <v>57</v>
      </c>
      <c r="E123" s="100"/>
      <c r="F123" s="85"/>
      <c r="G123" s="141"/>
      <c r="H123" s="141"/>
      <c r="I123" s="141"/>
      <c r="J123" s="141"/>
      <c r="K123" s="141"/>
      <c r="L123" s="141"/>
      <c r="M123" s="141"/>
      <c r="N123" s="141"/>
    </row>
    <row r="124">
      <c r="A124" s="62">
        <v>2.0</v>
      </c>
      <c r="B124" s="99">
        <f>if('WEEK 2'!F123&lt;20,mround('WEEK 2'!B121*0.35,5),'WEEK 2'!B123)</f>
        <v>10</v>
      </c>
      <c r="C124" s="99">
        <v>20.0</v>
      </c>
      <c r="D124" s="83" t="s">
        <v>57</v>
      </c>
      <c r="E124" s="100"/>
      <c r="F124" s="85"/>
      <c r="G124" s="141"/>
      <c r="H124" s="141"/>
      <c r="I124" s="141"/>
      <c r="J124" s="141"/>
      <c r="K124" s="141"/>
      <c r="L124" s="141"/>
      <c r="M124" s="141"/>
      <c r="N124" s="141"/>
    </row>
    <row r="125">
      <c r="A125" s="68">
        <v>3.0</v>
      </c>
      <c r="B125" s="101">
        <f>if('WEEK 2'!F124&lt;20,mround('WEEK 2'!B124*0.75,5),'WEEK 2'!B124)</f>
        <v>10</v>
      </c>
      <c r="C125" s="101">
        <v>20.0</v>
      </c>
      <c r="D125" s="88" t="s">
        <v>57</v>
      </c>
      <c r="E125" s="102"/>
      <c r="F125" s="85"/>
      <c r="G125" s="141"/>
      <c r="H125" s="141"/>
      <c r="I125" s="141"/>
      <c r="J125" s="141"/>
      <c r="K125" s="141"/>
      <c r="L125" s="141"/>
      <c r="M125" s="141"/>
      <c r="N125" s="141"/>
    </row>
    <row r="126">
      <c r="A126" s="212"/>
      <c r="G126" s="141"/>
      <c r="H126" s="141"/>
      <c r="I126" s="141"/>
      <c r="J126" s="141"/>
      <c r="K126" s="141"/>
      <c r="L126" s="141"/>
      <c r="M126" s="141"/>
      <c r="N126" s="141"/>
    </row>
    <row r="127">
      <c r="G127" s="141"/>
      <c r="H127" s="141"/>
      <c r="I127" s="141"/>
      <c r="J127" s="141"/>
      <c r="K127" s="141"/>
      <c r="L127" s="141"/>
      <c r="M127" s="141"/>
      <c r="N127" s="141"/>
    </row>
    <row r="128">
      <c r="A128" s="687" t="str">
        <f>HYPERLINK("https://www.youtube.com/watch?v=XDLQt1j3qUU","2. Dumbbell REAR DELT FLY ")</f>
        <v>2. Dumbbell REAR DELT FLY </v>
      </c>
      <c r="B128" s="53"/>
      <c r="C128" s="53"/>
      <c r="D128" s="53"/>
      <c r="E128" s="53"/>
      <c r="F128" s="54"/>
      <c r="G128" s="688"/>
      <c r="H128" s="689"/>
      <c r="I128" s="690"/>
      <c r="J128" s="690"/>
      <c r="K128" s="690"/>
      <c r="L128" s="690"/>
      <c r="M128" s="690"/>
      <c r="N128" s="141"/>
    </row>
    <row r="129">
      <c r="A129" s="226" t="s">
        <v>145</v>
      </c>
      <c r="B129" s="691">
        <f>'Week 1 MASTER SHEET'!B126</f>
        <v>65</v>
      </c>
      <c r="C129" s="13"/>
      <c r="D129" s="13"/>
      <c r="E129" s="13"/>
      <c r="F129" s="57"/>
      <c r="G129" s="688"/>
      <c r="H129" s="692"/>
      <c r="I129" s="606"/>
      <c r="J129" s="606"/>
      <c r="K129" s="606"/>
      <c r="L129" s="606"/>
      <c r="M129" s="606"/>
    </row>
    <row r="130">
      <c r="A130" s="96" t="s">
        <v>50</v>
      </c>
      <c r="B130" s="97" t="s">
        <v>51</v>
      </c>
      <c r="C130" s="97" t="s">
        <v>52</v>
      </c>
      <c r="D130" s="97" t="s">
        <v>53</v>
      </c>
      <c r="E130" s="341" t="s">
        <v>54</v>
      </c>
      <c r="F130" s="235" t="s">
        <v>55</v>
      </c>
      <c r="G130" s="688"/>
      <c r="H130" s="692"/>
      <c r="I130" s="606"/>
      <c r="J130" s="606"/>
      <c r="K130" s="606"/>
      <c r="L130" s="606"/>
      <c r="M130" s="606"/>
    </row>
    <row r="131">
      <c r="A131" s="556">
        <v>1.0</v>
      </c>
      <c r="B131" s="237">
        <f>MROUND('WEEK 2'!B129*0.2,2.5)</f>
        <v>5</v>
      </c>
      <c r="C131" s="65">
        <v>20.0</v>
      </c>
      <c r="D131" s="693" t="s">
        <v>146</v>
      </c>
      <c r="E131" s="346"/>
      <c r="F131" s="694"/>
      <c r="G131" s="688"/>
      <c r="H131" s="692"/>
      <c r="I131" s="606"/>
      <c r="J131" s="606"/>
      <c r="K131" s="606"/>
      <c r="L131" s="606"/>
      <c r="M131" s="606"/>
    </row>
    <row r="132">
      <c r="A132" s="556">
        <v>2.0</v>
      </c>
      <c r="B132" s="237">
        <f>if('WEEK 2'!F131&lt;10,mround('WEEK 2'!B131*0.8,5),IF('WEEK 2'!F131&lt;=15,MROUND('WEEK 2'!B131*0.95,5),'WEEK 2'!B131))</f>
        <v>5</v>
      </c>
      <c r="C132" s="65">
        <v>20.0</v>
      </c>
      <c r="D132" s="693" t="s">
        <v>146</v>
      </c>
      <c r="E132" s="346"/>
      <c r="F132" s="694"/>
      <c r="G132" s="688"/>
      <c r="H132" s="692"/>
      <c r="I132" s="606"/>
      <c r="J132" s="606"/>
      <c r="K132" s="606"/>
      <c r="L132" s="606"/>
      <c r="M132" s="606"/>
    </row>
    <row r="133">
      <c r="A133" s="561">
        <v>3.0</v>
      </c>
      <c r="B133" s="237">
        <f>if('WEEK 2'!F132&lt;10,mround('WEEK 2'!B132*0.8,5),IF('WEEK 2'!F132&lt;=15,MROUND('WEEK 2'!B132*0.95,5),'WEEK 2'!B132))</f>
        <v>5</v>
      </c>
      <c r="C133" s="65">
        <v>20.0</v>
      </c>
      <c r="D133" s="693" t="s">
        <v>146</v>
      </c>
      <c r="E133" s="695"/>
      <c r="F133" s="694"/>
      <c r="G133" s="688"/>
      <c r="H133" s="692"/>
      <c r="I133" s="606"/>
      <c r="J133" s="606"/>
      <c r="K133" s="606"/>
      <c r="L133" s="606"/>
      <c r="M133" s="606"/>
    </row>
    <row r="134">
      <c r="A134" s="292"/>
      <c r="B134" s="292"/>
      <c r="C134" s="292"/>
      <c r="D134" s="292"/>
      <c r="E134" s="292"/>
      <c r="F134" s="292"/>
      <c r="G134" s="292"/>
      <c r="H134" s="292"/>
      <c r="I134" s="292"/>
      <c r="J134" s="292"/>
      <c r="K134" s="292"/>
      <c r="L134" s="292"/>
      <c r="M134" s="292"/>
      <c r="N134" s="292"/>
    </row>
    <row r="135">
      <c r="A135" s="292"/>
      <c r="B135" s="292"/>
      <c r="C135" s="292"/>
      <c r="D135" s="292"/>
      <c r="E135" s="292"/>
      <c r="F135" s="292"/>
      <c r="G135" s="292"/>
      <c r="H135" s="292"/>
      <c r="I135" s="292"/>
      <c r="J135" s="292"/>
      <c r="K135" s="292"/>
      <c r="L135" s="292"/>
      <c r="M135" s="292"/>
      <c r="N135" s="292"/>
    </row>
    <row r="136">
      <c r="A136" s="513" t="str">
        <f>HYPERLINK("https://youtu.be/QUNZvtb6mnY","3. DUMBBELL SIDE LATERAL RAISE")</f>
        <v>3. DUMBBELL SIDE LATERAL RAISE</v>
      </c>
      <c r="B136" s="53"/>
      <c r="C136" s="53"/>
      <c r="D136" s="53"/>
      <c r="E136" s="53"/>
      <c r="F136" s="54"/>
      <c r="G136" s="688"/>
      <c r="H136" s="688"/>
      <c r="I136" s="688"/>
      <c r="J136" s="688"/>
      <c r="K136" s="688"/>
      <c r="L136" s="688"/>
      <c r="M136" s="688"/>
      <c r="N136" s="688"/>
    </row>
    <row r="137">
      <c r="A137" s="226" t="s">
        <v>119</v>
      </c>
      <c r="B137" s="90">
        <v>60.0</v>
      </c>
      <c r="C137" s="13"/>
      <c r="D137" s="13"/>
      <c r="E137" s="13"/>
      <c r="F137" s="57"/>
      <c r="G137" s="688"/>
      <c r="H137" s="688"/>
      <c r="I137" s="688"/>
      <c r="J137" s="688"/>
      <c r="K137" s="688"/>
      <c r="L137" s="688"/>
      <c r="M137" s="688"/>
      <c r="N137" s="688"/>
    </row>
    <row r="138">
      <c r="A138" s="376" t="s">
        <v>50</v>
      </c>
      <c r="B138" s="79" t="s">
        <v>51</v>
      </c>
      <c r="C138" s="79" t="s">
        <v>52</v>
      </c>
      <c r="D138" s="79" t="s">
        <v>53</v>
      </c>
      <c r="E138" s="98" t="s">
        <v>54</v>
      </c>
      <c r="F138" s="377" t="s">
        <v>55</v>
      </c>
      <c r="G138" s="688"/>
      <c r="H138" s="688"/>
      <c r="I138" s="688"/>
      <c r="J138" s="688"/>
      <c r="K138" s="688"/>
      <c r="L138" s="688"/>
      <c r="M138" s="688"/>
      <c r="N138" s="688"/>
    </row>
    <row r="139">
      <c r="A139" s="81">
        <v>1.0</v>
      </c>
      <c r="B139" s="82">
        <f> mround('WEEK 2'!B137*0.2,5)</f>
        <v>5</v>
      </c>
      <c r="C139" s="65">
        <v>20.0</v>
      </c>
      <c r="D139" s="83" t="s">
        <v>57</v>
      </c>
      <c r="E139" s="89" t="str">
        <f>IF('WEEK 1 '!B139='WEEK 2'!B139,'WEEK 1 '!F139,"")</f>
        <v/>
      </c>
      <c r="F139" s="330"/>
      <c r="G139" s="688"/>
      <c r="H139" s="688"/>
      <c r="I139" s="688"/>
      <c r="J139" s="688"/>
      <c r="K139" s="688"/>
      <c r="L139" s="688"/>
      <c r="M139" s="688"/>
      <c r="N139" s="688"/>
    </row>
    <row r="140">
      <c r="A140" s="81">
        <v>2.0</v>
      </c>
      <c r="B140" s="82">
        <f>if('WEEK 2'!F139&lt;15,mround('WEEK 2'!B137*0.15,2.5),'WEEK 2'!B139)</f>
        <v>5</v>
      </c>
      <c r="C140" s="65">
        <v>20.0</v>
      </c>
      <c r="D140" s="83" t="s">
        <v>57</v>
      </c>
      <c r="E140" s="89" t="str">
        <f>IF('WEEK 1 '!B140='WEEK 2'!B140,'WEEK 1 '!F140,"")</f>
        <v/>
      </c>
      <c r="F140" s="330"/>
      <c r="G140" s="688"/>
      <c r="H140" s="688"/>
      <c r="I140" s="688"/>
      <c r="J140" s="688"/>
      <c r="K140" s="688"/>
      <c r="L140" s="688"/>
      <c r="M140" s="688"/>
      <c r="N140" s="688"/>
    </row>
    <row r="141">
      <c r="A141" s="86">
        <v>3.0</v>
      </c>
      <c r="B141" s="87">
        <f>if('WEEK 2'!F140&lt;15,mround('WEEK 2'!B137*0.1,2.5),'WEEK 2'!B140)</f>
        <v>5</v>
      </c>
      <c r="C141" s="71">
        <v>20.0</v>
      </c>
      <c r="D141" s="88" t="s">
        <v>57</v>
      </c>
      <c r="E141" s="89" t="str">
        <f>IF('WEEK 1 '!B141='WEEK 2'!B141,'WEEK 1 '!F141,"")</f>
        <v/>
      </c>
      <c r="F141" s="85"/>
      <c r="G141" s="688"/>
      <c r="H141" s="688"/>
      <c r="I141" s="688"/>
      <c r="J141" s="688"/>
      <c r="K141" s="688"/>
      <c r="L141" s="688"/>
      <c r="M141" s="688"/>
      <c r="N141" s="688"/>
    </row>
    <row r="142">
      <c r="A142" s="696"/>
      <c r="G142" s="688"/>
      <c r="H142" s="688"/>
      <c r="I142" s="688"/>
      <c r="J142" s="688"/>
      <c r="K142" s="688"/>
      <c r="L142" s="688"/>
      <c r="M142" s="688"/>
      <c r="N142" s="688"/>
    </row>
    <row r="143">
      <c r="G143" s="688"/>
      <c r="H143" s="688"/>
      <c r="I143" s="688"/>
      <c r="J143" s="688"/>
      <c r="K143" s="688"/>
      <c r="L143" s="688"/>
      <c r="M143" s="688"/>
      <c r="N143" s="688"/>
    </row>
    <row r="144">
      <c r="A144" s="73" t="str">
        <f>HYPERLINK("https://youtu.be/Yke__29qVfo","4. TRICEP PUSH DOWNS")</f>
        <v>4. TRICEP PUSH DOWNS</v>
      </c>
      <c r="B144" s="53"/>
      <c r="C144" s="53"/>
      <c r="D144" s="53"/>
      <c r="E144" s="53"/>
      <c r="F144" s="54"/>
      <c r="G144" s="697"/>
      <c r="H144" s="697"/>
      <c r="I144" s="697"/>
      <c r="J144" s="697"/>
      <c r="K144" s="697"/>
      <c r="L144" s="697"/>
      <c r="M144" s="697"/>
      <c r="N144" s="697"/>
    </row>
    <row r="145">
      <c r="A145" s="226" t="s">
        <v>119</v>
      </c>
      <c r="B145" s="90">
        <v>60.0</v>
      </c>
      <c r="C145" s="13"/>
      <c r="D145" s="13"/>
      <c r="E145" s="13"/>
      <c r="F145" s="57"/>
      <c r="G145" s="697"/>
      <c r="H145" s="697"/>
      <c r="I145" s="697"/>
      <c r="J145" s="697"/>
      <c r="K145" s="697"/>
      <c r="L145" s="697"/>
      <c r="M145" s="697"/>
      <c r="N145" s="697"/>
    </row>
    <row r="146">
      <c r="A146" s="77" t="s">
        <v>50</v>
      </c>
      <c r="B146" s="78" t="s">
        <v>51</v>
      </c>
      <c r="C146" s="78" t="s">
        <v>52</v>
      </c>
      <c r="D146" s="78" t="s">
        <v>53</v>
      </c>
      <c r="E146" s="80" t="s">
        <v>54</v>
      </c>
      <c r="F146" s="235" t="s">
        <v>55</v>
      </c>
      <c r="G146" s="697"/>
      <c r="H146" s="697"/>
      <c r="I146" s="697"/>
      <c r="J146" s="697"/>
      <c r="K146" s="697"/>
      <c r="L146" s="697"/>
      <c r="M146" s="697"/>
      <c r="N146" s="697"/>
    </row>
    <row r="147">
      <c r="A147" s="81">
        <v>1.0</v>
      </c>
      <c r="B147" s="82">
        <f>B145</f>
        <v>60</v>
      </c>
      <c r="C147" s="65">
        <v>20.0</v>
      </c>
      <c r="D147" s="83" t="s">
        <v>58</v>
      </c>
      <c r="E147" s="84" t="str">
        <f>IF('WEEK 1 '!B147=B147,'WEEK 1 '!F147,"")</f>
        <v/>
      </c>
      <c r="F147" s="85"/>
      <c r="G147" s="697"/>
      <c r="H147" s="697"/>
      <c r="I147" s="697"/>
      <c r="J147" s="697"/>
      <c r="K147" s="697"/>
      <c r="L147" s="697"/>
      <c r="M147" s="697"/>
      <c r="N147" s="697"/>
    </row>
    <row r="148">
      <c r="A148" s="81">
        <v>2.0</v>
      </c>
      <c r="B148" s="82">
        <f>if('WEEK 2'!F147&lt;10,mround('WEEK 2'!B147*0.8,5),IF('WEEK 2'!F147&lt;=14,MROUND('WEEK 2'!B145*0.95,5),'WEEK 2'!B147))</f>
        <v>60</v>
      </c>
      <c r="C148" s="65">
        <v>20.0</v>
      </c>
      <c r="D148" s="83" t="s">
        <v>58</v>
      </c>
      <c r="E148" s="84" t="str">
        <f>IF('WEEK 1 '!B148=B148,'WEEK 1 '!F148,"")</f>
        <v/>
      </c>
      <c r="F148" s="85"/>
      <c r="G148" s="697"/>
      <c r="H148" s="697"/>
      <c r="I148" s="697"/>
      <c r="J148" s="697"/>
      <c r="K148" s="697"/>
      <c r="L148" s="697"/>
      <c r="M148" s="697"/>
      <c r="N148" s="697"/>
    </row>
    <row r="149">
      <c r="A149" s="629">
        <v>3.0</v>
      </c>
      <c r="B149" s="630">
        <f>if('WEEK 2'!F148&lt;10,mround('WEEK 2'!B148*0.8,5),IF('WEEK 2'!F148&lt;=14,MROUND('WEEK 2'!B148*0.95,5),'WEEK 2'!B148))</f>
        <v>60</v>
      </c>
      <c r="C149" s="631">
        <v>20.0</v>
      </c>
      <c r="D149" s="328" t="s">
        <v>58</v>
      </c>
      <c r="E149" s="84" t="str">
        <f>IF('WEEK 1 '!B149=B149,'WEEK 1 '!F149,"")</f>
        <v/>
      </c>
      <c r="F149" s="330"/>
      <c r="G149" s="697"/>
      <c r="H149" s="697"/>
      <c r="I149" s="697"/>
      <c r="J149" s="697"/>
      <c r="K149" s="697"/>
      <c r="L149" s="697"/>
      <c r="M149" s="697"/>
      <c r="N149" s="697"/>
    </row>
    <row r="150">
      <c r="G150" s="697"/>
      <c r="H150" s="697"/>
      <c r="I150" s="697"/>
      <c r="J150" s="697"/>
      <c r="K150" s="697"/>
      <c r="L150" s="697"/>
      <c r="M150" s="697"/>
      <c r="N150" s="697"/>
    </row>
    <row r="151">
      <c r="G151" s="697"/>
      <c r="H151" s="697"/>
      <c r="I151" s="697"/>
      <c r="J151" s="697"/>
      <c r="K151" s="697"/>
      <c r="L151" s="697"/>
      <c r="M151" s="697"/>
      <c r="N151" s="697"/>
    </row>
    <row r="152">
      <c r="A152" s="75" t="str">
        <f>HYPERLINK("https://www.youtube.com/watch?v=9IqvmIhFxtY","4. BICEP CABLE CURL")</f>
        <v>4. BICEP CABLE CURL</v>
      </c>
      <c r="B152" s="53"/>
      <c r="C152" s="53"/>
      <c r="D152" s="53"/>
      <c r="E152" s="53"/>
      <c r="F152" s="54"/>
      <c r="G152" s="698"/>
      <c r="H152" s="399" t="str">
        <f>HYPERLINK("https://www.youtube.com/watch?v=Bi6Do6QIlpQ","4. BICEP EZ BAR CURL")</f>
        <v>4. BICEP EZ BAR CURL</v>
      </c>
      <c r="I152" s="25"/>
      <c r="J152" s="25"/>
      <c r="K152" s="25"/>
      <c r="L152" s="26"/>
      <c r="M152" s="699"/>
      <c r="N152" s="141"/>
    </row>
    <row r="153">
      <c r="A153" s="226" t="s">
        <v>119</v>
      </c>
      <c r="B153" s="618">
        <v>60.0</v>
      </c>
      <c r="C153" s="13"/>
      <c r="D153" s="13"/>
      <c r="E153" s="13"/>
      <c r="F153" s="57"/>
      <c r="G153" s="698"/>
      <c r="H153" s="622" t="s">
        <v>147</v>
      </c>
      <c r="I153" s="25"/>
      <c r="J153" s="25"/>
      <c r="K153" s="25"/>
      <c r="L153" s="25"/>
      <c r="M153" s="700"/>
    </row>
    <row r="154">
      <c r="A154" s="77" t="s">
        <v>50</v>
      </c>
      <c r="B154" s="78" t="s">
        <v>51</v>
      </c>
      <c r="C154" s="78" t="s">
        <v>52</v>
      </c>
      <c r="D154" s="78" t="s">
        <v>53</v>
      </c>
      <c r="E154" s="80" t="s">
        <v>54</v>
      </c>
      <c r="F154" s="235" t="s">
        <v>55</v>
      </c>
      <c r="G154" s="698"/>
      <c r="H154" s="58" t="s">
        <v>50</v>
      </c>
      <c r="I154" s="624" t="s">
        <v>51</v>
      </c>
      <c r="J154" s="624" t="s">
        <v>52</v>
      </c>
      <c r="K154" s="624" t="s">
        <v>53</v>
      </c>
      <c r="L154" s="625" t="s">
        <v>55</v>
      </c>
      <c r="M154" s="701"/>
    </row>
    <row r="155">
      <c r="A155" s="81">
        <v>1.0</v>
      </c>
      <c r="B155" s="82">
        <f>B153*0.5</f>
        <v>30</v>
      </c>
      <c r="C155" s="65">
        <v>20.0</v>
      </c>
      <c r="D155" s="83" t="s">
        <v>58</v>
      </c>
      <c r="E155" s="84" t="str">
        <f>IF('WEEK 1 '!B158=B155,'WEEK 1 '!F158,"")</f>
        <v/>
      </c>
      <c r="F155" s="85"/>
      <c r="G155" s="698"/>
      <c r="H155" s="702">
        <v>1.0</v>
      </c>
      <c r="I155" s="191">
        <v>25.0</v>
      </c>
      <c r="J155" s="185">
        <v>4.0</v>
      </c>
      <c r="K155" s="172" t="s">
        <v>89</v>
      </c>
      <c r="L155" s="703"/>
      <c r="M155" s="704"/>
    </row>
    <row r="156">
      <c r="A156" s="81">
        <v>2.0</v>
      </c>
      <c r="B156" s="82">
        <f>if('WEEK 2'!F155&lt;10,mround('WEEK 2'!B155*0.8,5),IF('WEEK 2'!F155&lt;=14,MROUND('WEEK 2'!B153*0.95,5),'WEEK 2'!B155))</f>
        <v>25</v>
      </c>
      <c r="C156" s="65">
        <v>20.0</v>
      </c>
      <c r="D156" s="83" t="s">
        <v>58</v>
      </c>
      <c r="E156" s="84" t="str">
        <f>IF('WEEK 1 '!B159=B156,'WEEK 1 '!F159,"")</f>
        <v/>
      </c>
      <c r="F156" s="85"/>
      <c r="G156" s="698"/>
      <c r="H156" s="705">
        <v>2.0</v>
      </c>
      <c r="I156" s="238">
        <f t="shared" ref="I156:I157" si="1">I155+10</f>
        <v>35</v>
      </c>
      <c r="J156" s="175">
        <v>4.0</v>
      </c>
      <c r="K156" s="627" t="s">
        <v>89</v>
      </c>
      <c r="L156" s="706"/>
      <c r="M156" s="701"/>
    </row>
    <row r="157">
      <c r="A157" s="629">
        <v>3.0</v>
      </c>
      <c r="B157" s="630">
        <f>if('WEEK 2'!F156&lt;10,mround('WEEK 2'!B156*0.8,5),IF('WEEK 2'!F156&lt;=14,MROUND('WEEK 2'!B156*0.95,5),'WEEK 2'!B156))</f>
        <v>20</v>
      </c>
      <c r="C157" s="631">
        <v>20.0</v>
      </c>
      <c r="D157" s="328" t="s">
        <v>58</v>
      </c>
      <c r="E157" s="632" t="str">
        <f>IF('WEEK 1 '!B160=B157,'WEEK 1 '!F160,"")</f>
        <v/>
      </c>
      <c r="F157" s="330"/>
      <c r="G157" s="698"/>
      <c r="H157" s="705">
        <v>3.0</v>
      </c>
      <c r="I157" s="238">
        <f t="shared" si="1"/>
        <v>45</v>
      </c>
      <c r="J157" s="175">
        <v>4.0</v>
      </c>
      <c r="K157" s="627" t="s">
        <v>89</v>
      </c>
      <c r="L157" s="628"/>
      <c r="M157" s="704"/>
    </row>
    <row r="158">
      <c r="A158" s="707"/>
      <c r="B158" s="707"/>
      <c r="C158" s="707"/>
      <c r="D158" s="707"/>
      <c r="E158" s="707"/>
      <c r="F158" s="707"/>
      <c r="G158" s="708"/>
      <c r="H158" s="249"/>
      <c r="I158" s="191"/>
      <c r="J158" s="175"/>
      <c r="K158" s="172"/>
      <c r="L158" s="85"/>
      <c r="M158" s="709"/>
    </row>
    <row r="159">
      <c r="A159" s="710"/>
      <c r="B159" s="710"/>
      <c r="C159" s="710"/>
      <c r="D159" s="710"/>
      <c r="E159" s="710"/>
      <c r="F159" s="710"/>
      <c r="G159" s="141"/>
      <c r="H159" s="249"/>
      <c r="I159" s="191"/>
      <c r="J159" s="175"/>
      <c r="K159" s="172"/>
      <c r="L159" s="85"/>
      <c r="M159" s="704"/>
    </row>
    <row r="160">
      <c r="A160" s="710"/>
      <c r="B160" s="710"/>
      <c r="C160" s="710"/>
      <c r="D160" s="710"/>
      <c r="E160" s="710"/>
      <c r="F160" s="710"/>
      <c r="H160" s="249"/>
      <c r="I160" s="191"/>
      <c r="J160" s="175"/>
      <c r="K160" s="172"/>
      <c r="L160" s="85"/>
      <c r="M160" s="704"/>
    </row>
    <row r="161">
      <c r="A161" s="710"/>
      <c r="B161" s="710"/>
      <c r="C161" s="710"/>
      <c r="D161" s="710"/>
      <c r="E161" s="710"/>
      <c r="F161" s="710"/>
      <c r="H161" s="249"/>
      <c r="I161" s="408"/>
      <c r="J161" s="634"/>
      <c r="K161" s="416"/>
      <c r="L161" s="330"/>
      <c r="M161" s="711"/>
    </row>
    <row r="162" ht="15.0" customHeight="1">
      <c r="A162" s="712"/>
      <c r="B162" s="712"/>
      <c r="C162" s="712"/>
      <c r="D162" s="712"/>
      <c r="E162" s="712"/>
      <c r="F162" s="712"/>
      <c r="H162" s="637" t="s">
        <v>124</v>
      </c>
      <c r="I162" s="41">
        <v>100.0</v>
      </c>
      <c r="J162" s="36"/>
      <c r="K162" s="36"/>
      <c r="L162" s="37"/>
      <c r="M162" s="712"/>
      <c r="N162" s="713"/>
    </row>
    <row r="163">
      <c r="A163" s="581" t="str">
        <f>HYPERLINK("https://docs.google.com/a/fitnessresults.com/forms/d/e/1FAIpQLSd7MoczESe8Yjv6BKpmwAZGn9Aiymrs9-UdgfYIUpbr9t5NXg/viewform?usp=pp_url&amp;entry.93370101","CLICK TO COMPLETE WORKOUT")</f>
        <v>CLICK TO COMPLETE WORKOUT</v>
      </c>
      <c r="B163" s="25"/>
      <c r="C163" s="25"/>
      <c r="D163" s="25"/>
      <c r="E163" s="25"/>
      <c r="F163" s="26"/>
      <c r="G163" s="712"/>
      <c r="M163" s="712"/>
      <c r="N163" s="712"/>
    </row>
    <row r="164">
      <c r="A164" s="336"/>
      <c r="B164" s="11"/>
      <c r="C164" s="11"/>
      <c r="D164" s="11"/>
      <c r="E164" s="11"/>
      <c r="F164" s="46"/>
      <c r="G164" s="712"/>
      <c r="H164" s="712"/>
      <c r="I164" s="712"/>
      <c r="J164" s="712"/>
      <c r="K164" s="712"/>
      <c r="L164" s="712"/>
      <c r="M164" s="712"/>
      <c r="N164" s="712"/>
    </row>
    <row r="165">
      <c r="A165" s="683"/>
      <c r="G165" s="712"/>
      <c r="H165" s="712"/>
      <c r="I165" s="712"/>
      <c r="J165" s="712"/>
      <c r="K165" s="712"/>
      <c r="L165" s="712"/>
      <c r="M165" s="712"/>
      <c r="N165" s="712"/>
    </row>
    <row r="166">
      <c r="A166" s="641" t="str">
        <f>HYPERLINK("https://www.amazon.com/30-Minute-Body-Investment-Champion/dp/0692791892/ref=sr_1_1?ie=UTF8&amp;qid=1490447969&amp;sr=8-1&amp;keywords=30+minute+body","WANT TO LEARN MORE?")</f>
        <v>WANT TO LEARN MORE?</v>
      </c>
      <c r="B166" s="16"/>
      <c r="C166" s="16"/>
      <c r="D166" s="16"/>
      <c r="E166" s="16"/>
      <c r="F166" s="17"/>
      <c r="G166" s="712"/>
      <c r="H166" s="712"/>
      <c r="I166" s="712"/>
      <c r="J166" s="712"/>
      <c r="K166" s="712"/>
      <c r="L166" s="712"/>
      <c r="M166" s="712"/>
      <c r="N166" s="712"/>
    </row>
    <row r="167">
      <c r="A167" s="18"/>
      <c r="B167" s="13"/>
      <c r="C167" s="13"/>
      <c r="D167" s="13"/>
      <c r="E167" s="13"/>
      <c r="F167" s="14"/>
      <c r="G167" s="712"/>
      <c r="H167" s="712"/>
      <c r="I167" s="712"/>
      <c r="J167" s="712"/>
      <c r="K167" s="712"/>
      <c r="L167" s="712"/>
      <c r="M167" s="712"/>
      <c r="N167" s="712"/>
    </row>
    <row r="168">
      <c r="A168" s="642"/>
      <c r="B168" s="643"/>
      <c r="C168" s="714" t="s">
        <v>67</v>
      </c>
      <c r="D168" s="25"/>
      <c r="E168" s="25"/>
      <c r="F168" s="26"/>
      <c r="G168" s="712"/>
      <c r="H168" s="712"/>
      <c r="I168" s="712"/>
      <c r="J168" s="712"/>
      <c r="K168" s="712"/>
      <c r="L168" s="712"/>
      <c r="M168" s="712"/>
      <c r="N168" s="712"/>
    </row>
    <row r="169">
      <c r="A169" s="645"/>
      <c r="B169" s="646"/>
      <c r="C169" s="529"/>
      <c r="F169" s="28"/>
      <c r="G169" s="712"/>
      <c r="H169" s="712"/>
      <c r="I169" s="712"/>
      <c r="J169" s="712"/>
      <c r="K169" s="712"/>
      <c r="L169" s="712"/>
      <c r="M169" s="712"/>
      <c r="N169" s="712"/>
    </row>
    <row r="170">
      <c r="A170" s="645"/>
      <c r="B170" s="646"/>
      <c r="C170" s="529"/>
      <c r="F170" s="28"/>
      <c r="G170" s="712"/>
      <c r="H170" s="712"/>
      <c r="I170" s="712"/>
      <c r="J170" s="712"/>
      <c r="K170" s="712"/>
      <c r="L170" s="712"/>
      <c r="M170" s="712"/>
      <c r="N170" s="712"/>
    </row>
    <row r="171">
      <c r="A171" s="645"/>
      <c r="B171" s="646"/>
      <c r="C171" s="529"/>
      <c r="F171" s="28"/>
      <c r="G171" s="712"/>
      <c r="H171" s="712"/>
      <c r="I171" s="712"/>
      <c r="J171" s="712"/>
      <c r="K171" s="712"/>
      <c r="L171" s="712"/>
      <c r="M171" s="712"/>
      <c r="N171" s="712"/>
    </row>
    <row r="172">
      <c r="A172" s="645"/>
      <c r="B172" s="646"/>
      <c r="C172" s="529"/>
      <c r="F172" s="28"/>
      <c r="G172" s="712"/>
      <c r="H172" s="712"/>
      <c r="I172" s="712"/>
      <c r="J172" s="712"/>
      <c r="K172" s="712"/>
      <c r="L172" s="712"/>
      <c r="M172" s="712"/>
      <c r="N172" s="712"/>
    </row>
    <row r="173">
      <c r="A173" s="645"/>
      <c r="B173" s="646"/>
      <c r="C173" s="529"/>
      <c r="F173" s="28"/>
      <c r="G173" s="712"/>
      <c r="H173" s="712"/>
      <c r="I173" s="712"/>
      <c r="J173" s="712"/>
      <c r="K173" s="712"/>
      <c r="L173" s="712"/>
      <c r="M173" s="712"/>
      <c r="N173" s="712"/>
    </row>
    <row r="174">
      <c r="A174" s="647"/>
      <c r="B174" s="646"/>
      <c r="C174" s="529"/>
      <c r="F174" s="28"/>
      <c r="G174" s="712"/>
      <c r="H174" s="712"/>
      <c r="I174" s="712"/>
      <c r="J174" s="712"/>
      <c r="K174" s="712"/>
      <c r="L174" s="712"/>
      <c r="M174" s="712"/>
      <c r="N174" s="712"/>
    </row>
    <row r="175">
      <c r="A175" s="645"/>
      <c r="B175" s="646"/>
      <c r="C175" s="529"/>
      <c r="F175" s="28"/>
      <c r="G175" s="712"/>
      <c r="H175" s="712"/>
      <c r="I175" s="712"/>
      <c r="J175" s="712"/>
      <c r="K175" s="712"/>
      <c r="L175" s="712"/>
      <c r="M175" s="712"/>
      <c r="N175" s="712"/>
    </row>
    <row r="176">
      <c r="A176" s="645"/>
      <c r="B176" s="646"/>
      <c r="C176" s="529"/>
      <c r="F176" s="28"/>
      <c r="G176" s="712"/>
      <c r="H176" s="712"/>
      <c r="I176" s="712"/>
      <c r="J176" s="712"/>
      <c r="K176" s="712"/>
      <c r="L176" s="712"/>
      <c r="M176" s="712"/>
      <c r="N176" s="712"/>
    </row>
    <row r="177">
      <c r="A177" s="648"/>
      <c r="B177" s="646"/>
      <c r="C177" s="529"/>
      <c r="F177" s="28"/>
      <c r="G177" s="712"/>
      <c r="H177" s="712"/>
      <c r="I177" s="712"/>
      <c r="J177" s="712"/>
      <c r="K177" s="712"/>
      <c r="L177" s="712"/>
      <c r="M177" s="712"/>
      <c r="N177" s="712"/>
    </row>
    <row r="178">
      <c r="A178" s="645"/>
      <c r="B178" s="646"/>
      <c r="C178" s="529"/>
      <c r="F178" s="28"/>
      <c r="G178" s="712"/>
      <c r="H178" s="712"/>
      <c r="I178" s="712"/>
      <c r="J178" s="712"/>
      <c r="K178" s="712"/>
      <c r="L178" s="712"/>
      <c r="M178" s="712"/>
      <c r="N178" s="712"/>
    </row>
    <row r="179">
      <c r="A179" s="645"/>
      <c r="B179" s="646"/>
      <c r="C179" s="529"/>
      <c r="F179" s="28"/>
      <c r="G179" s="712"/>
      <c r="H179" s="712"/>
      <c r="I179" s="712"/>
      <c r="J179" s="712"/>
      <c r="K179" s="712"/>
      <c r="L179" s="712"/>
      <c r="M179" s="712"/>
      <c r="N179" s="712"/>
    </row>
    <row r="180">
      <c r="A180" s="645"/>
      <c r="B180" s="646"/>
      <c r="C180" s="529"/>
      <c r="F180" s="28"/>
      <c r="G180" s="712"/>
      <c r="H180" s="712"/>
      <c r="I180" s="712"/>
      <c r="J180" s="712"/>
      <c r="K180" s="712"/>
      <c r="L180" s="712"/>
      <c r="M180" s="712"/>
      <c r="N180" s="712"/>
    </row>
    <row r="181">
      <c r="A181" s="645"/>
      <c r="B181" s="646"/>
      <c r="C181" s="529"/>
      <c r="F181" s="28"/>
      <c r="G181" s="712"/>
      <c r="H181" s="712"/>
      <c r="I181" s="712"/>
      <c r="J181" s="712"/>
      <c r="K181" s="712"/>
      <c r="L181" s="712"/>
      <c r="M181" s="712"/>
      <c r="N181" s="712"/>
    </row>
    <row r="182">
      <c r="A182" s="649"/>
      <c r="B182" s="650"/>
      <c r="C182" s="336"/>
      <c r="D182" s="11"/>
      <c r="E182" s="11"/>
      <c r="F182" s="46"/>
      <c r="G182" s="712"/>
      <c r="H182" s="712"/>
      <c r="I182" s="712"/>
      <c r="J182" s="712"/>
      <c r="K182" s="712"/>
      <c r="L182" s="712"/>
      <c r="M182" s="712"/>
      <c r="N182" s="712"/>
    </row>
  </sheetData>
  <mergeCells count="95">
    <mergeCell ref="G1:N15"/>
    <mergeCell ref="A9:F9"/>
    <mergeCell ref="A10:F11"/>
    <mergeCell ref="A12:F12"/>
    <mergeCell ref="A13:F13"/>
    <mergeCell ref="A14:F15"/>
    <mergeCell ref="A16:F16"/>
    <mergeCell ref="A20:F20"/>
    <mergeCell ref="B21:F21"/>
    <mergeCell ref="A19:F19"/>
    <mergeCell ref="A27:F27"/>
    <mergeCell ref="G27:G28"/>
    <mergeCell ref="H27:M27"/>
    <mergeCell ref="G19:G26"/>
    <mergeCell ref="G29:G31"/>
    <mergeCell ref="G37:G41"/>
    <mergeCell ref="A29:F29"/>
    <mergeCell ref="B34:F34"/>
    <mergeCell ref="H16:M16"/>
    <mergeCell ref="A17:N18"/>
    <mergeCell ref="H19:M19"/>
    <mergeCell ref="N19:N31"/>
    <mergeCell ref="H20:M20"/>
    <mergeCell ref="I21:M21"/>
    <mergeCell ref="H29:M29"/>
    <mergeCell ref="A108:F108"/>
    <mergeCell ref="B109:F109"/>
    <mergeCell ref="A99:F99"/>
    <mergeCell ref="B100:F100"/>
    <mergeCell ref="B105:F105"/>
    <mergeCell ref="A106:F107"/>
    <mergeCell ref="H108:M108"/>
    <mergeCell ref="N108:N114"/>
    <mergeCell ref="I109:M109"/>
    <mergeCell ref="G113:G114"/>
    <mergeCell ref="B114:F114"/>
    <mergeCell ref="A115:F115"/>
    <mergeCell ref="A116:F116"/>
    <mergeCell ref="A118:F118"/>
    <mergeCell ref="A119:F119"/>
    <mergeCell ref="A120:F120"/>
    <mergeCell ref="B121:F121"/>
    <mergeCell ref="A126:F127"/>
    <mergeCell ref="A128:F128"/>
    <mergeCell ref="N128:N133"/>
    <mergeCell ref="B129:F129"/>
    <mergeCell ref="A136:F136"/>
    <mergeCell ref="B137:F137"/>
    <mergeCell ref="G159:G162"/>
    <mergeCell ref="I162:L162"/>
    <mergeCell ref="A163:F164"/>
    <mergeCell ref="A165:F165"/>
    <mergeCell ref="A166:F167"/>
    <mergeCell ref="C168:F182"/>
    <mergeCell ref="A142:F143"/>
    <mergeCell ref="A144:F144"/>
    <mergeCell ref="B145:F145"/>
    <mergeCell ref="A150:F151"/>
    <mergeCell ref="A152:F152"/>
    <mergeCell ref="N152:N161"/>
    <mergeCell ref="B153:F153"/>
    <mergeCell ref="I34:M34"/>
    <mergeCell ref="A35:N36"/>
    <mergeCell ref="A37:F37"/>
    <mergeCell ref="H37:M37"/>
    <mergeCell ref="B38:F38"/>
    <mergeCell ref="I38:M38"/>
    <mergeCell ref="N38:N41"/>
    <mergeCell ref="A42:N43"/>
    <mergeCell ref="A44:F44"/>
    <mergeCell ref="B45:F45"/>
    <mergeCell ref="A51:F51"/>
    <mergeCell ref="A54:F54"/>
    <mergeCell ref="B57:F57"/>
    <mergeCell ref="A59:F59"/>
    <mergeCell ref="B60:F60"/>
    <mergeCell ref="A65:F66"/>
    <mergeCell ref="A67:F67"/>
    <mergeCell ref="B68:F68"/>
    <mergeCell ref="A74:F75"/>
    <mergeCell ref="A77:F77"/>
    <mergeCell ref="A78:F78"/>
    <mergeCell ref="A79:F79"/>
    <mergeCell ref="A80:F80"/>
    <mergeCell ref="A84:F85"/>
    <mergeCell ref="A86:F86"/>
    <mergeCell ref="B87:F87"/>
    <mergeCell ref="B96:F96"/>
    <mergeCell ref="A97:F98"/>
    <mergeCell ref="G108:G110"/>
    <mergeCell ref="G111:G112"/>
    <mergeCell ref="I114:M114"/>
    <mergeCell ref="G115:N116"/>
    <mergeCell ref="H152:L152"/>
    <mergeCell ref="H153:L153"/>
  </mergeCells>
  <dataValidations>
    <dataValidation type="decimal" operator="greaterThanOrEqual" allowBlank="1" showDropDown="1" showErrorMessage="1" sqref="F1:F8 F22:F26 F39:F41 F46:F49 F53 F55 F61:F64 F69:F73 F81:F83 F88:F95 F101:F104 F110:F113 F122:F125 F138:F141 M154:M155 M157">
      <formula1>0.0</formula1>
    </dataValidation>
    <dataValidation type="decimal" allowBlank="1" showDropDown="1" showErrorMessage="1" sqref="L155:L161">
      <formula1>0.0</formula1>
      <formula2>500.0</formula2>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25"/>
    <col customWidth="1" min="8" max="8" width="13.13"/>
    <col customWidth="1" min="12" max="12" width="13.88"/>
  </cols>
  <sheetData>
    <row r="1">
      <c r="A1" s="715"/>
      <c r="B1" s="715"/>
      <c r="C1" s="715"/>
      <c r="D1" s="715"/>
      <c r="E1" s="716"/>
      <c r="F1" s="419"/>
      <c r="G1" s="419"/>
      <c r="H1" s="419"/>
      <c r="I1" s="419"/>
      <c r="J1" s="419"/>
      <c r="K1" s="419"/>
      <c r="L1" s="717"/>
      <c r="M1" s="419"/>
      <c r="N1" s="419"/>
      <c r="O1" s="419"/>
      <c r="P1" s="419"/>
      <c r="Q1" s="419"/>
      <c r="R1" s="419"/>
      <c r="S1" s="419"/>
      <c r="T1" s="419"/>
      <c r="U1" s="419"/>
      <c r="V1" s="419"/>
      <c r="W1" s="419"/>
      <c r="X1" s="419"/>
      <c r="Y1" s="419"/>
      <c r="Z1" s="419"/>
    </row>
    <row r="2">
      <c r="A2" s="715"/>
      <c r="B2" s="715"/>
      <c r="C2" s="715"/>
      <c r="D2" s="715"/>
      <c r="E2" s="716"/>
      <c r="F2" s="419"/>
      <c r="G2" s="419"/>
      <c r="H2" s="419"/>
      <c r="I2" s="419"/>
      <c r="J2" s="419"/>
      <c r="K2" s="419"/>
      <c r="L2" s="419"/>
      <c r="M2" s="419"/>
      <c r="N2" s="419"/>
      <c r="O2" s="419"/>
      <c r="P2" s="419"/>
      <c r="Q2" s="419"/>
      <c r="R2" s="419"/>
      <c r="S2" s="419"/>
      <c r="T2" s="419"/>
      <c r="U2" s="419"/>
      <c r="V2" s="419"/>
      <c r="W2" s="419"/>
      <c r="X2" s="419"/>
      <c r="Y2" s="419"/>
      <c r="Z2" s="419"/>
    </row>
    <row r="3">
      <c r="A3" s="715"/>
      <c r="B3" s="715"/>
      <c r="C3" s="715"/>
      <c r="D3" s="715"/>
      <c r="E3" s="716"/>
      <c r="F3" s="419"/>
      <c r="G3" s="419"/>
      <c r="H3" s="419"/>
      <c r="I3" s="419"/>
      <c r="J3" s="419"/>
      <c r="K3" s="419"/>
      <c r="L3" s="419"/>
      <c r="M3" s="419"/>
      <c r="N3" s="419"/>
      <c r="O3" s="419"/>
      <c r="P3" s="419"/>
      <c r="Q3" s="419"/>
      <c r="R3" s="419"/>
      <c r="S3" s="419"/>
      <c r="T3" s="419"/>
      <c r="U3" s="419"/>
      <c r="V3" s="419"/>
      <c r="W3" s="419"/>
      <c r="X3" s="419"/>
      <c r="Y3" s="419"/>
      <c r="Z3" s="419"/>
    </row>
    <row r="4">
      <c r="A4" s="715"/>
      <c r="B4" s="715"/>
      <c r="C4" s="715"/>
      <c r="D4" s="715"/>
      <c r="E4" s="716"/>
      <c r="F4" s="419"/>
      <c r="G4" s="419"/>
      <c r="H4" s="419"/>
      <c r="I4" s="419"/>
      <c r="J4" s="419"/>
      <c r="K4" s="419"/>
      <c r="L4" s="717"/>
      <c r="M4" s="419"/>
      <c r="N4" s="419"/>
      <c r="O4" s="419"/>
      <c r="P4" s="419"/>
      <c r="Q4" s="419"/>
      <c r="R4" s="419"/>
      <c r="S4" s="419"/>
      <c r="T4" s="419"/>
      <c r="U4" s="419"/>
      <c r="V4" s="419"/>
      <c r="W4" s="419"/>
      <c r="X4" s="419"/>
      <c r="Y4" s="419"/>
      <c r="Z4" s="419"/>
    </row>
    <row r="5">
      <c r="A5" s="715"/>
      <c r="B5" s="715"/>
      <c r="C5" s="715"/>
      <c r="D5" s="715"/>
      <c r="E5" s="716"/>
      <c r="F5" s="419"/>
      <c r="G5" s="419"/>
      <c r="H5" s="419"/>
      <c r="I5" s="419"/>
      <c r="J5" s="419"/>
      <c r="K5" s="419"/>
      <c r="L5" s="717"/>
      <c r="M5" s="419"/>
      <c r="N5" s="419"/>
      <c r="O5" s="419"/>
      <c r="P5" s="419"/>
      <c r="Q5" s="419"/>
      <c r="R5" s="419"/>
      <c r="S5" s="419"/>
      <c r="T5" s="419"/>
      <c r="U5" s="419"/>
      <c r="V5" s="419"/>
      <c r="W5" s="419"/>
      <c r="X5" s="419"/>
      <c r="Y5" s="419"/>
      <c r="Z5" s="419"/>
    </row>
    <row r="6">
      <c r="A6" s="715"/>
      <c r="B6" s="715"/>
      <c r="C6" s="715"/>
      <c r="D6" s="715"/>
      <c r="E6" s="716"/>
      <c r="F6" s="419"/>
      <c r="G6" s="419"/>
      <c r="H6" s="419"/>
      <c r="I6" s="419"/>
      <c r="J6" s="419"/>
      <c r="K6" s="419"/>
      <c r="L6" s="717"/>
      <c r="M6" s="419"/>
      <c r="N6" s="419"/>
      <c r="O6" s="419"/>
      <c r="P6" s="419"/>
      <c r="Q6" s="419"/>
      <c r="R6" s="419"/>
      <c r="S6" s="419"/>
      <c r="T6" s="419"/>
      <c r="U6" s="419"/>
      <c r="V6" s="419"/>
      <c r="W6" s="419"/>
      <c r="X6" s="419"/>
      <c r="Y6" s="419"/>
      <c r="Z6" s="419"/>
    </row>
    <row r="7">
      <c r="A7" s="715"/>
      <c r="B7" s="715"/>
      <c r="C7" s="715"/>
      <c r="D7" s="715"/>
      <c r="E7" s="716"/>
      <c r="F7" s="419"/>
      <c r="G7" s="419"/>
      <c r="H7" s="419"/>
      <c r="I7" s="419"/>
      <c r="J7" s="419"/>
      <c r="K7" s="419"/>
      <c r="L7" s="717"/>
      <c r="M7" s="419"/>
      <c r="N7" s="419"/>
      <c r="O7" s="419"/>
      <c r="P7" s="419"/>
      <c r="Q7" s="419"/>
      <c r="R7" s="419"/>
      <c r="S7" s="419"/>
      <c r="T7" s="419"/>
      <c r="U7" s="419"/>
      <c r="V7" s="419"/>
      <c r="W7" s="419"/>
      <c r="X7" s="419"/>
      <c r="Y7" s="419"/>
      <c r="Z7" s="419"/>
    </row>
    <row r="8">
      <c r="A8" s="715"/>
      <c r="B8" s="715"/>
      <c r="C8" s="715"/>
      <c r="D8" s="715"/>
      <c r="E8" s="716"/>
      <c r="F8" s="419"/>
      <c r="G8" s="419"/>
      <c r="H8" s="419"/>
      <c r="I8" s="419"/>
      <c r="J8" s="419"/>
      <c r="K8" s="419"/>
      <c r="L8" s="717"/>
      <c r="M8" s="419"/>
      <c r="N8" s="419"/>
      <c r="O8" s="419"/>
      <c r="P8" s="419"/>
      <c r="Q8" s="419"/>
      <c r="R8" s="419"/>
      <c r="S8" s="419"/>
      <c r="T8" s="419"/>
      <c r="U8" s="419"/>
      <c r="V8" s="419"/>
      <c r="W8" s="419"/>
      <c r="X8" s="419"/>
      <c r="Y8" s="419"/>
      <c r="Z8" s="419"/>
    </row>
    <row r="9">
      <c r="A9" s="718" t="s">
        <v>148</v>
      </c>
      <c r="B9" s="36"/>
      <c r="C9" s="36"/>
      <c r="D9" s="36"/>
      <c r="E9" s="36"/>
      <c r="F9" s="37"/>
      <c r="G9" s="419"/>
      <c r="H9" s="419"/>
      <c r="I9" s="419"/>
      <c r="J9" s="419"/>
      <c r="K9" s="419"/>
      <c r="L9" s="717"/>
      <c r="M9" s="419"/>
      <c r="N9" s="419"/>
      <c r="O9" s="419"/>
      <c r="P9" s="419"/>
      <c r="Q9" s="419"/>
      <c r="R9" s="419"/>
      <c r="S9" s="419"/>
      <c r="T9" s="419"/>
      <c r="U9" s="419"/>
      <c r="V9" s="419"/>
      <c r="W9" s="419"/>
      <c r="X9" s="419"/>
      <c r="Y9" s="419"/>
      <c r="Z9" s="419"/>
    </row>
    <row r="10">
      <c r="A10" s="719" t="str">
        <f>HYPERLINK("https://goo.gl/forms/3ibooB993Hi7SS2d2","PRESS TO RECORD BODY WEIGHT")</f>
        <v>PRESS TO RECORD BODY WEIGHT</v>
      </c>
      <c r="B10" s="25"/>
      <c r="C10" s="25"/>
      <c r="D10" s="25"/>
      <c r="E10" s="25"/>
      <c r="F10" s="26"/>
      <c r="G10" s="419"/>
      <c r="H10" s="419"/>
      <c r="I10" s="419"/>
      <c r="J10" s="419"/>
      <c r="K10" s="419"/>
      <c r="L10" s="717"/>
      <c r="M10" s="419"/>
      <c r="N10" s="419"/>
      <c r="O10" s="419"/>
      <c r="P10" s="419"/>
      <c r="Q10" s="419"/>
      <c r="R10" s="419"/>
      <c r="S10" s="419"/>
      <c r="T10" s="419"/>
      <c r="U10" s="419"/>
      <c r="V10" s="419"/>
      <c r="W10" s="419"/>
      <c r="X10" s="419"/>
      <c r="Y10" s="419"/>
      <c r="Z10" s="419"/>
    </row>
    <row r="11">
      <c r="A11" s="336"/>
      <c r="B11" s="11"/>
      <c r="C11" s="11"/>
      <c r="D11" s="11"/>
      <c r="E11" s="11"/>
      <c r="F11" s="46"/>
      <c r="G11" s="419"/>
      <c r="H11" s="419"/>
      <c r="I11" s="419"/>
      <c r="J11" s="419"/>
      <c r="K11" s="419"/>
      <c r="L11" s="717"/>
      <c r="M11" s="419"/>
      <c r="N11" s="419"/>
      <c r="O11" s="419"/>
      <c r="P11" s="419"/>
      <c r="Q11" s="419"/>
      <c r="R11" s="419"/>
      <c r="S11" s="419"/>
      <c r="T11" s="419"/>
      <c r="U11" s="419"/>
      <c r="V11" s="419"/>
      <c r="W11" s="419"/>
      <c r="X11" s="419"/>
      <c r="Y11" s="419"/>
      <c r="Z11" s="419"/>
    </row>
    <row r="12" ht="32.25" customHeight="1">
      <c r="A12" s="720" t="s">
        <v>69</v>
      </c>
      <c r="B12" s="36"/>
      <c r="C12" s="36"/>
      <c r="D12" s="36"/>
      <c r="E12" s="36"/>
      <c r="F12" s="37"/>
      <c r="G12" s="419"/>
      <c r="H12" s="419"/>
      <c r="I12" s="419"/>
      <c r="J12" s="419"/>
      <c r="K12" s="419"/>
      <c r="L12" s="717"/>
      <c r="M12" s="419"/>
      <c r="N12" s="419"/>
      <c r="O12" s="419"/>
      <c r="P12" s="419"/>
      <c r="Q12" s="419"/>
      <c r="R12" s="419"/>
      <c r="S12" s="419"/>
      <c r="T12" s="419"/>
      <c r="U12" s="419"/>
      <c r="V12" s="419"/>
      <c r="W12" s="419"/>
      <c r="X12" s="419"/>
      <c r="Y12" s="419"/>
      <c r="Z12" s="419"/>
    </row>
    <row r="13">
      <c r="A13" s="721" t="s">
        <v>149</v>
      </c>
      <c r="B13" s="36"/>
      <c r="C13" s="36"/>
      <c r="D13" s="36"/>
      <c r="E13" s="36"/>
      <c r="F13" s="37"/>
      <c r="G13" s="419"/>
      <c r="H13" s="419"/>
      <c r="I13" s="419"/>
      <c r="J13" s="419"/>
      <c r="K13" s="419"/>
      <c r="L13" s="717"/>
      <c r="M13" s="419"/>
      <c r="N13" s="419"/>
      <c r="O13" s="419"/>
      <c r="P13" s="419"/>
      <c r="Q13" s="419"/>
      <c r="R13" s="419"/>
      <c r="S13" s="419"/>
      <c r="T13" s="419"/>
      <c r="U13" s="419"/>
      <c r="V13" s="419"/>
      <c r="W13" s="419"/>
      <c r="X13" s="419"/>
      <c r="Y13" s="419"/>
      <c r="Z13" s="419"/>
    </row>
    <row r="14">
      <c r="A14" s="653"/>
      <c r="B14" s="653"/>
      <c r="C14" s="653"/>
      <c r="D14" s="653"/>
      <c r="E14" s="654"/>
      <c r="F14" s="141"/>
      <c r="G14" s="419"/>
      <c r="H14" s="419"/>
      <c r="I14" s="419"/>
      <c r="J14" s="419"/>
      <c r="K14" s="419"/>
      <c r="L14" s="717"/>
      <c r="M14" s="419"/>
      <c r="N14" s="419"/>
      <c r="O14" s="419"/>
      <c r="P14" s="419"/>
      <c r="Q14" s="419"/>
      <c r="R14" s="419"/>
      <c r="S14" s="419"/>
      <c r="T14" s="419"/>
      <c r="U14" s="419"/>
      <c r="V14" s="419"/>
      <c r="W14" s="419"/>
      <c r="X14" s="419"/>
      <c r="Y14" s="419"/>
      <c r="Z14" s="419"/>
    </row>
    <row r="15">
      <c r="A15" s="50" t="s">
        <v>47</v>
      </c>
      <c r="B15" s="36"/>
      <c r="C15" s="36"/>
      <c r="D15" s="36"/>
      <c r="E15" s="36"/>
      <c r="F15" s="37"/>
      <c r="G15" s="722"/>
      <c r="H15" s="429" t="s">
        <v>118</v>
      </c>
      <c r="I15" s="36"/>
      <c r="J15" s="36"/>
      <c r="K15" s="36"/>
      <c r="L15" s="36"/>
      <c r="M15" s="37"/>
      <c r="N15" s="419"/>
      <c r="O15" s="429" t="s">
        <v>118</v>
      </c>
      <c r="P15" s="36"/>
      <c r="Q15" s="36"/>
      <c r="R15" s="36"/>
      <c r="S15" s="36"/>
      <c r="T15" s="37"/>
      <c r="U15" s="419"/>
      <c r="V15" s="419"/>
      <c r="W15" s="419"/>
      <c r="X15" s="419"/>
      <c r="Y15" s="419"/>
      <c r="Z15" s="419"/>
    </row>
    <row r="16">
      <c r="A16" s="657"/>
      <c r="B16" s="657"/>
      <c r="C16" s="657"/>
      <c r="D16" s="657"/>
      <c r="E16" s="657"/>
      <c r="F16" s="657"/>
      <c r="G16" s="722"/>
      <c r="H16" s="657"/>
      <c r="I16" s="657"/>
      <c r="J16" s="657"/>
      <c r="K16" s="657"/>
      <c r="L16" s="657"/>
      <c r="M16" s="657"/>
      <c r="N16" s="419"/>
      <c r="O16" s="419"/>
      <c r="P16" s="419"/>
      <c r="Q16" s="419"/>
      <c r="R16" s="419"/>
      <c r="S16" s="419"/>
      <c r="T16" s="419"/>
      <c r="U16" s="419"/>
      <c r="V16" s="419"/>
      <c r="W16" s="419"/>
      <c r="X16" s="419"/>
      <c r="Y16" s="419"/>
      <c r="Z16" s="419"/>
    </row>
    <row r="17">
      <c r="A17" s="657"/>
      <c r="B17" s="657"/>
      <c r="C17" s="657"/>
      <c r="D17" s="657"/>
      <c r="E17" s="657"/>
      <c r="F17" s="657"/>
      <c r="G17" s="722"/>
      <c r="H17" s="657"/>
      <c r="I17" s="657"/>
      <c r="J17" s="657"/>
      <c r="K17" s="657"/>
      <c r="L17" s="657"/>
      <c r="M17" s="657"/>
      <c r="N17" s="419"/>
      <c r="O17" s="419"/>
      <c r="P17" s="419"/>
      <c r="Q17" s="419"/>
      <c r="R17" s="419"/>
      <c r="S17" s="419"/>
      <c r="T17" s="419"/>
      <c r="U17" s="419"/>
      <c r="V17" s="419"/>
      <c r="W17" s="419"/>
      <c r="X17" s="419"/>
      <c r="Y17" s="419"/>
      <c r="Z17" s="419"/>
    </row>
    <row r="18">
      <c r="A18" s="51" t="s">
        <v>48</v>
      </c>
      <c r="B18" s="36"/>
      <c r="C18" s="36"/>
      <c r="D18" s="36"/>
      <c r="E18" s="36"/>
      <c r="F18" s="37"/>
      <c r="G18" s="722"/>
      <c r="H18" s="51" t="s">
        <v>48</v>
      </c>
      <c r="I18" s="36"/>
      <c r="J18" s="36"/>
      <c r="K18" s="36"/>
      <c r="L18" s="36"/>
      <c r="M18" s="37"/>
      <c r="N18" s="419"/>
      <c r="O18" s="51" t="s">
        <v>48</v>
      </c>
      <c r="P18" s="36"/>
      <c r="Q18" s="36"/>
      <c r="R18" s="36"/>
      <c r="S18" s="36"/>
      <c r="T18" s="37"/>
      <c r="U18" s="419"/>
      <c r="V18" s="419"/>
      <c r="W18" s="419"/>
      <c r="X18" s="419"/>
      <c r="Y18" s="419"/>
      <c r="Z18" s="419"/>
    </row>
    <row r="19">
      <c r="A19" s="93" t="str">
        <f>HYPERLINK("https://youtu.be/iLgUDezDMbU","1. BENCH PRESS")</f>
        <v>1. BENCH PRESS</v>
      </c>
      <c r="B19" s="53"/>
      <c r="C19" s="53"/>
      <c r="D19" s="53"/>
      <c r="E19" s="53"/>
      <c r="F19" s="54"/>
      <c r="G19" s="722"/>
      <c r="H19" s="93" t="str">
        <f>HYPERLINK("https://youtu.be/75e_H9Vq_Lw","1. MACHINE PRESS")</f>
        <v>1. MACHINE PRESS</v>
      </c>
      <c r="I19" s="53"/>
      <c r="J19" s="53"/>
      <c r="K19" s="53"/>
      <c r="L19" s="53"/>
      <c r="M19" s="54"/>
      <c r="N19" s="419"/>
      <c r="O19" s="75" t="str">
        <f>HYPERLINK("https://youtu.be/4fTS4jsJ-48","1. DUMBBELL INCLINE PRESS")</f>
        <v>1. DUMBBELL INCLINE PRESS</v>
      </c>
      <c r="P19" s="53"/>
      <c r="Q19" s="53"/>
      <c r="R19" s="53"/>
      <c r="S19" s="53"/>
      <c r="T19" s="54"/>
      <c r="U19" s="419"/>
      <c r="V19" s="419"/>
      <c r="W19" s="419"/>
      <c r="X19" s="419"/>
      <c r="Y19" s="419"/>
      <c r="Z19" s="419"/>
    </row>
    <row r="20">
      <c r="A20" s="226" t="s">
        <v>119</v>
      </c>
      <c r="B20" s="691">
        <f>'WEEK 1 '!B32</f>
        <v>100</v>
      </c>
      <c r="C20" s="13"/>
      <c r="D20" s="13"/>
      <c r="E20" s="13"/>
      <c r="F20" s="57"/>
      <c r="G20" s="722"/>
      <c r="H20" s="226" t="s">
        <v>119</v>
      </c>
      <c r="I20" s="691" t="str">
        <f>'WEEK 2'!I34</f>
        <v/>
      </c>
      <c r="J20" s="13"/>
      <c r="K20" s="13"/>
      <c r="L20" s="13"/>
      <c r="M20" s="57"/>
      <c r="N20" s="419"/>
      <c r="O20" s="226" t="s">
        <v>119</v>
      </c>
      <c r="P20" s="691">
        <f>if('WEEK 2'!B34="",'WEEK 2'!B21,'WEEK 2'!B34)</f>
        <v>75</v>
      </c>
      <c r="Q20" s="13"/>
      <c r="R20" s="13"/>
      <c r="S20" s="13"/>
      <c r="T20" s="57"/>
      <c r="U20" s="419"/>
      <c r="V20" s="419"/>
      <c r="W20" s="419"/>
      <c r="X20" s="419"/>
      <c r="Y20" s="419"/>
      <c r="Z20" s="419"/>
    </row>
    <row r="21">
      <c r="A21" s="96" t="s">
        <v>50</v>
      </c>
      <c r="B21" s="97" t="s">
        <v>51</v>
      </c>
      <c r="C21" s="97" t="s">
        <v>52</v>
      </c>
      <c r="D21" s="97" t="s">
        <v>53</v>
      </c>
      <c r="E21" s="341" t="s">
        <v>54</v>
      </c>
      <c r="F21" s="235" t="s">
        <v>55</v>
      </c>
      <c r="G21" s="723"/>
      <c r="H21" s="96" t="s">
        <v>50</v>
      </c>
      <c r="I21" s="97" t="s">
        <v>51</v>
      </c>
      <c r="J21" s="97" t="s">
        <v>52</v>
      </c>
      <c r="K21" s="97" t="s">
        <v>53</v>
      </c>
      <c r="L21" s="341" t="s">
        <v>54</v>
      </c>
      <c r="M21" s="235" t="s">
        <v>55</v>
      </c>
      <c r="N21" s="724"/>
      <c r="O21" s="96" t="s">
        <v>50</v>
      </c>
      <c r="P21" s="97" t="s">
        <v>51</v>
      </c>
      <c r="Q21" s="97" t="s">
        <v>52</v>
      </c>
      <c r="R21" s="97" t="s">
        <v>53</v>
      </c>
      <c r="S21" s="341" t="s">
        <v>54</v>
      </c>
      <c r="T21" s="235" t="s">
        <v>55</v>
      </c>
      <c r="U21" s="724"/>
      <c r="V21" s="724"/>
      <c r="W21" s="724"/>
      <c r="X21" s="724"/>
      <c r="Y21" s="724"/>
      <c r="Z21" s="724"/>
    </row>
    <row r="22">
      <c r="A22" s="725">
        <v>1.0</v>
      </c>
      <c r="B22" s="726">
        <f>IF( 'WEEK 3 '!B20&lt;125,45, mround('WEEK 3 '!B20*0.9*0.35,5))</f>
        <v>45</v>
      </c>
      <c r="C22" s="344">
        <v>6.0</v>
      </c>
      <c r="D22" s="343" t="s">
        <v>150</v>
      </c>
      <c r="E22" s="727"/>
      <c r="F22" s="85"/>
      <c r="G22" s="423"/>
      <c r="H22" s="725">
        <v>1.0</v>
      </c>
      <c r="I22" s="344">
        <f>mround('WEEK 3 '!I20*0.9*0.35,5)</f>
        <v>0</v>
      </c>
      <c r="J22" s="344">
        <v>6.0</v>
      </c>
      <c r="K22" s="343" t="s">
        <v>150</v>
      </c>
      <c r="L22" s="727"/>
      <c r="M22" s="85"/>
      <c r="N22" s="728"/>
      <c r="O22" s="725">
        <v>1.0</v>
      </c>
      <c r="P22" s="344">
        <f>mround('WEEK 3 '!P20*0.9*0.35,5)</f>
        <v>25</v>
      </c>
      <c r="Q22" s="344">
        <v>6.0</v>
      </c>
      <c r="R22" s="343" t="s">
        <v>150</v>
      </c>
      <c r="S22" s="727"/>
      <c r="T22" s="85"/>
      <c r="U22" s="728"/>
      <c r="V22" s="728"/>
      <c r="W22" s="728"/>
      <c r="X22" s="728"/>
      <c r="Y22" s="728"/>
      <c r="Z22" s="728"/>
    </row>
    <row r="23">
      <c r="A23" s="725">
        <v>2.0</v>
      </c>
      <c r="B23" s="729">
        <f>IF( 'WEEK 3 '!B20&lt;70,MROUND('WEEK 3 '!B20*0.78,5),MROUND('WEEK 3 '!B20*0.9*0.72,5))</f>
        <v>65</v>
      </c>
      <c r="C23" s="344">
        <v>1.0</v>
      </c>
      <c r="D23" s="343" t="s">
        <v>151</v>
      </c>
      <c r="E23" s="727"/>
      <c r="F23" s="85"/>
      <c r="G23" s="423"/>
      <c r="H23" s="725">
        <v>2.0</v>
      </c>
      <c r="I23" s="344">
        <f>mround('WEEK 3 '!I20*0.9*0.72,5)</f>
        <v>0</v>
      </c>
      <c r="J23" s="344">
        <v>1.0</v>
      </c>
      <c r="K23" s="343" t="s">
        <v>151</v>
      </c>
      <c r="L23" s="727"/>
      <c r="M23" s="85"/>
      <c r="N23" s="728"/>
      <c r="O23" s="725">
        <v>2.0</v>
      </c>
      <c r="P23" s="344">
        <f>mround('WEEK 3 '!P20*0.9*0.72,5)</f>
        <v>50</v>
      </c>
      <c r="Q23" s="344">
        <v>1.0</v>
      </c>
      <c r="R23" s="343" t="s">
        <v>151</v>
      </c>
      <c r="S23" s="727"/>
      <c r="T23" s="85"/>
      <c r="U23" s="728"/>
      <c r="V23" s="728"/>
      <c r="W23" s="728"/>
      <c r="X23" s="728"/>
      <c r="Y23" s="728"/>
      <c r="Z23" s="728"/>
    </row>
    <row r="24">
      <c r="A24" s="725">
        <v>3.0</v>
      </c>
      <c r="B24" s="344">
        <f>mround('WEEK 3 '!B20*0.9*0.9,5)</f>
        <v>80</v>
      </c>
      <c r="C24" s="344">
        <v>1.0</v>
      </c>
      <c r="D24" s="343" t="s">
        <v>57</v>
      </c>
      <c r="E24" s="727"/>
      <c r="F24" s="85"/>
      <c r="G24" s="423"/>
      <c r="H24" s="725">
        <v>3.0</v>
      </c>
      <c r="I24" s="344">
        <f>mround('WEEK 3 '!I20*0.9*0.9,5)</f>
        <v>0</v>
      </c>
      <c r="J24" s="344">
        <v>1.0</v>
      </c>
      <c r="K24" s="343" t="s">
        <v>57</v>
      </c>
      <c r="L24" s="727"/>
      <c r="M24" s="85"/>
      <c r="N24" s="728"/>
      <c r="O24" s="725">
        <v>3.0</v>
      </c>
      <c r="P24" s="344">
        <f>mround('WEEK 3 '!P20*0.9*0.9,5)</f>
        <v>60</v>
      </c>
      <c r="Q24" s="344">
        <v>1.0</v>
      </c>
      <c r="R24" s="343" t="s">
        <v>57</v>
      </c>
      <c r="S24" s="727"/>
      <c r="T24" s="85"/>
      <c r="U24" s="728"/>
      <c r="V24" s="728"/>
      <c r="W24" s="728"/>
      <c r="X24" s="728"/>
      <c r="Y24" s="728"/>
      <c r="Z24" s="728"/>
    </row>
    <row r="25">
      <c r="A25" s="730" t="s">
        <v>152</v>
      </c>
      <c r="B25" s="13"/>
      <c r="C25" s="13"/>
      <c r="D25" s="13"/>
      <c r="E25" s="13"/>
      <c r="F25" s="57"/>
      <c r="G25" s="731" t="s">
        <v>123</v>
      </c>
      <c r="H25" s="730" t="s">
        <v>152</v>
      </c>
      <c r="I25" s="13"/>
      <c r="J25" s="13"/>
      <c r="K25" s="13"/>
      <c r="L25" s="13"/>
      <c r="M25" s="57"/>
      <c r="N25" s="419"/>
      <c r="O25" s="730" t="s">
        <v>152</v>
      </c>
      <c r="P25" s="13"/>
      <c r="Q25" s="13"/>
      <c r="R25" s="13"/>
      <c r="S25" s="13"/>
      <c r="T25" s="57"/>
      <c r="U25" s="419"/>
      <c r="V25" s="419"/>
      <c r="W25" s="419"/>
      <c r="X25" s="419"/>
      <c r="Y25" s="419"/>
      <c r="Z25" s="419"/>
    </row>
    <row r="26">
      <c r="A26" s="96" t="s">
        <v>50</v>
      </c>
      <c r="B26" s="97" t="s">
        <v>51</v>
      </c>
      <c r="C26" s="97" t="s">
        <v>52</v>
      </c>
      <c r="D26" s="97" t="s">
        <v>53</v>
      </c>
      <c r="E26" s="341" t="s">
        <v>54</v>
      </c>
      <c r="F26" s="235" t="s">
        <v>55</v>
      </c>
      <c r="H26" s="96" t="s">
        <v>50</v>
      </c>
      <c r="I26" s="97" t="s">
        <v>51</v>
      </c>
      <c r="J26" s="97" t="s">
        <v>52</v>
      </c>
      <c r="K26" s="97" t="s">
        <v>53</v>
      </c>
      <c r="L26" s="341" t="s">
        <v>54</v>
      </c>
      <c r="M26" s="235" t="s">
        <v>55</v>
      </c>
      <c r="N26" s="724"/>
      <c r="O26" s="96" t="s">
        <v>50</v>
      </c>
      <c r="P26" s="97" t="s">
        <v>51</v>
      </c>
      <c r="Q26" s="97" t="s">
        <v>52</v>
      </c>
      <c r="R26" s="97" t="s">
        <v>53</v>
      </c>
      <c r="S26" s="341" t="s">
        <v>54</v>
      </c>
      <c r="T26" s="235" t="s">
        <v>55</v>
      </c>
      <c r="U26" s="724"/>
      <c r="V26" s="724"/>
      <c r="W26" s="724"/>
      <c r="X26" s="724"/>
      <c r="Y26" s="724"/>
      <c r="Z26" s="724"/>
    </row>
    <row r="27">
      <c r="A27" s="342">
        <v>1.0</v>
      </c>
      <c r="B27" s="348">
        <f>mround('WEEK 3 '!B20*1*0.9,5)</f>
        <v>90</v>
      </c>
      <c r="C27" s="437" t="s">
        <v>65</v>
      </c>
      <c r="D27" s="343" t="s">
        <v>122</v>
      </c>
      <c r="E27" s="727"/>
      <c r="F27" s="85"/>
      <c r="G27" s="423"/>
      <c r="H27" s="725">
        <v>1.0</v>
      </c>
      <c r="I27" s="348">
        <f>mround('WEEK 3 '!I20*1*0.9,5)</f>
        <v>0</v>
      </c>
      <c r="J27" s="437" t="s">
        <v>65</v>
      </c>
      <c r="K27" s="343" t="s">
        <v>122</v>
      </c>
      <c r="L27" s="727"/>
      <c r="M27" s="85"/>
      <c r="N27" s="728"/>
      <c r="O27" s="725">
        <v>1.0</v>
      </c>
      <c r="P27" s="348">
        <f>mround('WEEK 3 '!P20*1*0.9,5)</f>
        <v>70</v>
      </c>
      <c r="Q27" s="437" t="s">
        <v>65</v>
      </c>
      <c r="R27" s="343" t="s">
        <v>122</v>
      </c>
      <c r="S27" s="727"/>
      <c r="T27" s="85"/>
      <c r="U27" s="728"/>
      <c r="V27" s="728"/>
      <c r="W27" s="728"/>
      <c r="X27" s="728"/>
      <c r="Y27" s="728"/>
      <c r="Z27" s="728"/>
    </row>
    <row r="28">
      <c r="A28" s="725">
        <v>2.0</v>
      </c>
      <c r="B28" s="348">
        <f>IF('WEEK 3 '!F27&lt;3,MROUND('WEEK 3 '!B27*0.75,5),IF('WEEK 3 '!F27&lt;6,MROUND('WEEK 3 '!B27*0.85,5),mround('WEEK 3 '!B27*0.9,5)))</f>
        <v>80</v>
      </c>
      <c r="C28" s="437" t="s">
        <v>65</v>
      </c>
      <c r="D28" s="343" t="s">
        <v>122</v>
      </c>
      <c r="E28" s="727"/>
      <c r="F28" s="85"/>
      <c r="G28" s="722"/>
      <c r="H28" s="725">
        <v>2.0</v>
      </c>
      <c r="I28" s="348">
        <f>IF('WEEK 3 '!M27&lt;3,MROUND('WEEK 3 '!I27*0.75,5),IF('WEEK 3 '!M27&lt;6,MROUND('WEEK 3 '!I27*0.85,5),mround('WEEK 3 '!I27*0.9,5)))</f>
        <v>0</v>
      </c>
      <c r="J28" s="437" t="s">
        <v>65</v>
      </c>
      <c r="K28" s="343" t="s">
        <v>122</v>
      </c>
      <c r="L28" s="727"/>
      <c r="M28" s="85"/>
      <c r="N28" s="419"/>
      <c r="O28" s="725">
        <v>2.0</v>
      </c>
      <c r="P28" s="348">
        <f>IF('WEEK 3 '!T27&lt;3,MROUND('WEEK 3 '!P27*0.75,5),IF('WEEK 3 '!T27&lt;6,MROUND('WEEK 3 '!P27*0.85,5),mround('WEEK 3 '!P27*0.9,5)))</f>
        <v>55</v>
      </c>
      <c r="Q28" s="437" t="s">
        <v>65</v>
      </c>
      <c r="R28" s="343" t="s">
        <v>122</v>
      </c>
      <c r="S28" s="727"/>
      <c r="T28" s="85"/>
      <c r="U28" s="419"/>
      <c r="V28" s="419"/>
      <c r="W28" s="419"/>
      <c r="X28" s="419"/>
      <c r="Y28" s="419"/>
      <c r="Z28" s="419"/>
    </row>
    <row r="29">
      <c r="A29" s="485">
        <v>3.0</v>
      </c>
      <c r="B29" s="732">
        <f>IF('WEEK 3 '!F28&lt;3,MROUND('WEEK 3 '!B28*0.75,5),IF('WEEK 3 '!F28&lt;6,MROUND('WEEK 3 '!B28*0.85,5),mround('WEEK 3 '!B28*0.9,5)))</f>
        <v>70</v>
      </c>
      <c r="C29" s="733" t="s">
        <v>65</v>
      </c>
      <c r="D29" s="486" t="s">
        <v>122</v>
      </c>
      <c r="E29" s="734"/>
      <c r="F29" s="85"/>
      <c r="G29" s="722"/>
      <c r="H29" s="735">
        <v>3.0</v>
      </c>
      <c r="I29" s="736">
        <f>IF('WEEK 3 '!M28&lt;3,MROUND('WEEK 3 '!I28*0.75,5),IF('WEEK 3 '!M28&lt;6,MROUND('WEEK 3 '!I28*0.85,5),mround('WEEK 3 '!I28*0.9,5)))</f>
        <v>0</v>
      </c>
      <c r="J29" s="737" t="s">
        <v>65</v>
      </c>
      <c r="K29" s="738" t="s">
        <v>122</v>
      </c>
      <c r="L29" s="739"/>
      <c r="M29" s="330"/>
      <c r="N29" s="419"/>
      <c r="O29" s="485">
        <v>3.0</v>
      </c>
      <c r="P29" s="732">
        <f>IF('WEEK 3 '!T28&lt;3,MROUND('WEEK 3 '!P28*0.75,5),IF('WEEK 3 '!T28&lt;6,MROUND('WEEK 3 '!P28*0.85,5),mround('WEEK 3 '!P28*0.9,5)))</f>
        <v>40</v>
      </c>
      <c r="Q29" s="733" t="s">
        <v>65</v>
      </c>
      <c r="R29" s="486" t="s">
        <v>122</v>
      </c>
      <c r="S29" s="734"/>
      <c r="T29" s="85"/>
      <c r="U29" s="419"/>
      <c r="V29" s="419"/>
      <c r="W29" s="419"/>
      <c r="X29" s="419"/>
      <c r="Y29" s="419"/>
      <c r="Z29" s="419"/>
    </row>
    <row r="30">
      <c r="A30" s="740"/>
      <c r="B30" s="740"/>
      <c r="C30" s="740"/>
      <c r="D30" s="740"/>
      <c r="E30" s="741"/>
      <c r="F30" s="419"/>
      <c r="G30" s="722"/>
      <c r="H30" s="742"/>
      <c r="I30" s="742"/>
      <c r="J30" s="742"/>
      <c r="K30" s="742"/>
      <c r="L30" s="742"/>
      <c r="M30" s="742"/>
      <c r="N30" s="419"/>
      <c r="O30" s="419"/>
      <c r="P30" s="419"/>
      <c r="Q30" s="419"/>
      <c r="R30" s="419"/>
      <c r="S30" s="419"/>
      <c r="T30" s="419"/>
      <c r="U30" s="419"/>
      <c r="V30" s="419"/>
      <c r="W30" s="419"/>
      <c r="X30" s="419"/>
      <c r="Y30" s="419"/>
      <c r="Z30" s="419"/>
    </row>
    <row r="31">
      <c r="A31" s="740"/>
      <c r="B31" s="740"/>
      <c r="C31" s="740"/>
      <c r="D31" s="740"/>
      <c r="E31" s="741"/>
      <c r="F31" s="419"/>
      <c r="G31" s="419"/>
      <c r="H31" s="657"/>
      <c r="I31" s="657"/>
      <c r="J31" s="657"/>
      <c r="K31" s="657"/>
      <c r="L31" s="657"/>
      <c r="M31" s="657"/>
      <c r="N31" s="419"/>
      <c r="O31" s="419"/>
      <c r="P31" s="419"/>
      <c r="Q31" s="419"/>
      <c r="R31" s="419"/>
      <c r="S31" s="419"/>
      <c r="T31" s="419"/>
      <c r="U31" s="419"/>
      <c r="V31" s="419"/>
      <c r="W31" s="419"/>
      <c r="X31" s="419"/>
      <c r="Y31" s="419"/>
      <c r="Z31" s="419"/>
    </row>
    <row r="32">
      <c r="A32" s="440" t="str">
        <f>HYPERLINK("https://www.youtube.com/watch?v=mGv8D2DGyNQ","2. DB CHEST FLY")</f>
        <v>2. DB CHEST FLY</v>
      </c>
      <c r="B32" s="53"/>
      <c r="C32" s="53"/>
      <c r="D32" s="53"/>
      <c r="E32" s="53"/>
      <c r="F32" s="54"/>
      <c r="G32" s="419"/>
      <c r="H32" s="504" t="str">
        <f>HYPERLINK("https://www.youtube.com/watch?v=THb0dhfIu1k","2. MACHINE CHEST FLY")</f>
        <v>2. MACHINE CHEST FLY</v>
      </c>
      <c r="I32" s="53"/>
      <c r="J32" s="53"/>
      <c r="K32" s="53"/>
      <c r="L32" s="53"/>
      <c r="M32" s="54"/>
      <c r="N32" s="419"/>
      <c r="O32" s="419"/>
      <c r="P32" s="419"/>
      <c r="Q32" s="419"/>
      <c r="R32" s="419"/>
      <c r="S32" s="419"/>
      <c r="T32" s="419"/>
      <c r="U32" s="419"/>
      <c r="V32" s="419"/>
      <c r="W32" s="419"/>
      <c r="X32" s="419"/>
      <c r="Y32" s="419"/>
      <c r="Z32" s="419"/>
    </row>
    <row r="33">
      <c r="A33" s="226" t="s">
        <v>153</v>
      </c>
      <c r="B33" s="691">
        <f>'WEEK 2'!B38</f>
        <v>75</v>
      </c>
      <c r="C33" s="13"/>
      <c r="D33" s="13"/>
      <c r="E33" s="13"/>
      <c r="F33" s="57"/>
      <c r="G33" s="419"/>
      <c r="H33" s="226" t="s">
        <v>153</v>
      </c>
      <c r="I33" s="548">
        <f>B33</f>
        <v>75</v>
      </c>
      <c r="J33" s="13"/>
      <c r="K33" s="13"/>
      <c r="L33" s="13"/>
      <c r="M33" s="57"/>
      <c r="N33" s="419"/>
      <c r="O33" s="419"/>
      <c r="P33" s="419"/>
      <c r="Q33" s="419"/>
      <c r="R33" s="419"/>
      <c r="S33" s="419"/>
      <c r="T33" s="419"/>
      <c r="U33" s="419"/>
      <c r="V33" s="419"/>
      <c r="W33" s="419"/>
      <c r="X33" s="419"/>
      <c r="Y33" s="419"/>
      <c r="Z33" s="419"/>
    </row>
    <row r="34">
      <c r="A34" s="743" t="s">
        <v>50</v>
      </c>
      <c r="B34" s="744" t="s">
        <v>51</v>
      </c>
      <c r="C34" s="744" t="s">
        <v>52</v>
      </c>
      <c r="D34" s="744" t="s">
        <v>53</v>
      </c>
      <c r="E34" s="745" t="s">
        <v>54</v>
      </c>
      <c r="F34" s="746" t="s">
        <v>55</v>
      </c>
      <c r="G34" s="724"/>
      <c r="H34" s="96" t="s">
        <v>50</v>
      </c>
      <c r="I34" s="97" t="s">
        <v>51</v>
      </c>
      <c r="J34" s="97" t="s">
        <v>52</v>
      </c>
      <c r="K34" s="97" t="s">
        <v>53</v>
      </c>
      <c r="L34" s="341" t="s">
        <v>54</v>
      </c>
      <c r="M34" s="235" t="s">
        <v>55</v>
      </c>
      <c r="N34" s="724"/>
      <c r="O34" s="724"/>
      <c r="P34" s="724"/>
      <c r="Q34" s="724"/>
      <c r="R34" s="724"/>
      <c r="S34" s="724"/>
      <c r="T34" s="724"/>
      <c r="U34" s="724"/>
      <c r="V34" s="724"/>
      <c r="W34" s="724"/>
      <c r="X34" s="724"/>
      <c r="Y34" s="724"/>
      <c r="Z34" s="724"/>
    </row>
    <row r="35">
      <c r="A35" s="725">
        <v>1.0</v>
      </c>
      <c r="B35" s="254">
        <f>mround('WEEK 3 '!B33*0.29,2.5)</f>
        <v>22.5</v>
      </c>
      <c r="C35" s="343" t="s">
        <v>61</v>
      </c>
      <c r="D35" s="343" t="s">
        <v>57</v>
      </c>
      <c r="E35" s="727" t="str">
        <f>IF('WEEK 1 '!P32='WEEK 2'!B35,'WEEK 1 '!F32,"")</f>
        <v/>
      </c>
      <c r="F35" s="85"/>
      <c r="G35" s="728"/>
      <c r="H35" s="240">
        <v>1.0</v>
      </c>
      <c r="I35" s="254">
        <f>mround('WEEK 3 '!I33*2*0.75,10)</f>
        <v>110</v>
      </c>
      <c r="J35" s="343" t="s">
        <v>61</v>
      </c>
      <c r="K35" s="83" t="s">
        <v>57</v>
      </c>
      <c r="L35" s="84" t="str">
        <f>IF('WEEK 1 '!W32='WEEK 2'!I35,'WEEK 1 '!M32,"")</f>
        <v/>
      </c>
      <c r="M35" s="85"/>
      <c r="N35" s="728"/>
      <c r="O35" s="728"/>
      <c r="P35" s="728"/>
      <c r="Q35" s="728"/>
      <c r="R35" s="728"/>
      <c r="S35" s="728"/>
      <c r="T35" s="728"/>
      <c r="U35" s="728"/>
      <c r="V35" s="728"/>
      <c r="W35" s="728"/>
      <c r="X35" s="728"/>
      <c r="Y35" s="728"/>
      <c r="Z35" s="728"/>
    </row>
    <row r="36">
      <c r="A36" s="747">
        <v>2.0</v>
      </c>
      <c r="B36" s="662">
        <f>mround('WEEK 3 '!B33*0.29,2.5)</f>
        <v>22.5</v>
      </c>
      <c r="C36" s="343" t="s">
        <v>61</v>
      </c>
      <c r="D36" s="486" t="s">
        <v>57</v>
      </c>
      <c r="E36" s="734" t="str">
        <f>IF('WEEK 1 '!P33='WEEK 2'!B36,'WEEK 1 '!F33,"")</f>
        <v/>
      </c>
      <c r="F36" s="85"/>
      <c r="G36" s="728"/>
      <c r="H36" s="661">
        <v>2.0</v>
      </c>
      <c r="I36" s="662">
        <f>mround('WEEK 3 '!I33*2*0.75,10)</f>
        <v>110</v>
      </c>
      <c r="J36" s="343" t="s">
        <v>61</v>
      </c>
      <c r="K36" s="88" t="s">
        <v>57</v>
      </c>
      <c r="L36" s="89"/>
      <c r="M36" s="85"/>
      <c r="N36" s="728"/>
      <c r="O36" s="728"/>
      <c r="P36" s="728"/>
      <c r="Q36" s="728"/>
      <c r="R36" s="728"/>
      <c r="S36" s="728"/>
      <c r="T36" s="728"/>
      <c r="U36" s="728"/>
      <c r="V36" s="728"/>
      <c r="W36" s="728"/>
      <c r="X36" s="728"/>
      <c r="Y36" s="728"/>
      <c r="Z36" s="728"/>
    </row>
    <row r="37">
      <c r="A37" s="419"/>
      <c r="B37" s="419"/>
      <c r="C37" s="419"/>
      <c r="D37" s="419"/>
      <c r="E37" s="717"/>
      <c r="F37" s="419"/>
      <c r="G37" s="419"/>
      <c r="H37" s="419"/>
      <c r="I37" s="419"/>
      <c r="J37" s="419"/>
      <c r="K37" s="419"/>
      <c r="L37" s="717"/>
      <c r="M37" s="419"/>
      <c r="N37" s="419"/>
      <c r="O37" s="419"/>
      <c r="P37" s="419"/>
      <c r="Q37" s="419"/>
      <c r="R37" s="419"/>
      <c r="S37" s="419"/>
      <c r="T37" s="419"/>
      <c r="U37" s="419"/>
      <c r="V37" s="419"/>
      <c r="W37" s="419"/>
      <c r="X37" s="419"/>
      <c r="Y37" s="419"/>
      <c r="Z37" s="419"/>
    </row>
    <row r="38">
      <c r="A38" s="419"/>
      <c r="B38" s="419"/>
      <c r="C38" s="419"/>
      <c r="D38" s="419"/>
      <c r="E38" s="717"/>
      <c r="F38" s="419"/>
      <c r="G38" s="419"/>
      <c r="H38" s="419"/>
      <c r="I38" s="419"/>
      <c r="J38" s="419"/>
      <c r="K38" s="419"/>
      <c r="L38" s="717"/>
      <c r="M38" s="419"/>
      <c r="N38" s="419"/>
      <c r="O38" s="419"/>
      <c r="P38" s="419"/>
      <c r="Q38" s="419"/>
      <c r="R38" s="419"/>
      <c r="S38" s="419"/>
      <c r="T38" s="419"/>
      <c r="U38" s="419"/>
      <c r="V38" s="419"/>
      <c r="W38" s="419"/>
      <c r="X38" s="419"/>
      <c r="Y38" s="419"/>
      <c r="Z38" s="419"/>
    </row>
    <row r="39">
      <c r="A39" s="73" t="str">
        <f>HYPERLINK("https://youtu.be/hMUUvL3FlkE","3. MACHINE HIGH ROW")</f>
        <v>3. MACHINE HIGH ROW</v>
      </c>
      <c r="B39" s="53"/>
      <c r="C39" s="53"/>
      <c r="D39" s="53"/>
      <c r="E39" s="53"/>
      <c r="F39" s="54"/>
      <c r="G39" s="419"/>
      <c r="H39" s="419"/>
      <c r="I39" s="419"/>
      <c r="J39" s="419"/>
      <c r="K39" s="419"/>
      <c r="L39" s="717"/>
      <c r="M39" s="419"/>
      <c r="N39" s="419"/>
      <c r="O39" s="419"/>
      <c r="P39" s="419"/>
      <c r="Q39" s="419"/>
      <c r="R39" s="419"/>
      <c r="S39" s="419"/>
      <c r="T39" s="419"/>
      <c r="U39" s="419"/>
      <c r="V39" s="419"/>
      <c r="W39" s="419"/>
      <c r="X39" s="419"/>
      <c r="Y39" s="419"/>
      <c r="Z39" s="419"/>
    </row>
    <row r="40">
      <c r="A40" s="226" t="s">
        <v>119</v>
      </c>
      <c r="B40" s="227">
        <f>'WEEK 2'!B60</f>
        <v>60</v>
      </c>
      <c r="C40" s="20"/>
      <c r="D40" s="20"/>
      <c r="E40" s="20"/>
      <c r="F40" s="95"/>
      <c r="G40" s="419"/>
      <c r="H40" s="419"/>
      <c r="I40" s="419"/>
      <c r="J40" s="419"/>
      <c r="K40" s="419"/>
      <c r="L40" s="717"/>
      <c r="M40" s="419"/>
      <c r="N40" s="419"/>
      <c r="O40" s="419"/>
      <c r="P40" s="419"/>
      <c r="Q40" s="419"/>
      <c r="R40" s="419"/>
      <c r="S40" s="419"/>
      <c r="T40" s="419"/>
      <c r="U40" s="419"/>
      <c r="V40" s="419"/>
      <c r="W40" s="419"/>
      <c r="X40" s="419"/>
      <c r="Y40" s="419"/>
      <c r="Z40" s="419"/>
    </row>
    <row r="41">
      <c r="A41" s="231" t="s">
        <v>50</v>
      </c>
      <c r="B41" s="232" t="s">
        <v>51</v>
      </c>
      <c r="C41" s="232" t="s">
        <v>52</v>
      </c>
      <c r="D41" s="232" t="s">
        <v>53</v>
      </c>
      <c r="E41" s="233" t="s">
        <v>54</v>
      </c>
      <c r="F41" s="61" t="s">
        <v>55</v>
      </c>
      <c r="G41" s="724"/>
      <c r="H41" s="724"/>
      <c r="I41" s="724"/>
      <c r="J41" s="724"/>
      <c r="K41" s="724"/>
      <c r="L41" s="748"/>
      <c r="M41" s="724"/>
      <c r="N41" s="724"/>
      <c r="O41" s="724"/>
      <c r="P41" s="724"/>
      <c r="Q41" s="724"/>
      <c r="R41" s="724"/>
      <c r="S41" s="724"/>
      <c r="T41" s="724"/>
      <c r="U41" s="724"/>
      <c r="V41" s="724"/>
      <c r="W41" s="724"/>
      <c r="X41" s="724"/>
      <c r="Y41" s="724"/>
      <c r="Z41" s="724"/>
    </row>
    <row r="42">
      <c r="A42" s="236">
        <v>1.0</v>
      </c>
      <c r="B42" s="237">
        <f>mround('WEEK 3 '!B40*0.35,5)</f>
        <v>20</v>
      </c>
      <c r="C42" s="237">
        <v>6.0</v>
      </c>
      <c r="D42" s="238" t="s">
        <v>120</v>
      </c>
      <c r="E42" s="66"/>
      <c r="F42" s="67">
        <v>6.0</v>
      </c>
      <c r="G42" s="728"/>
      <c r="H42" s="728"/>
      <c r="I42" s="728"/>
      <c r="J42" s="728"/>
      <c r="K42" s="728"/>
      <c r="L42" s="749"/>
      <c r="M42" s="728"/>
      <c r="N42" s="728"/>
      <c r="O42" s="728"/>
      <c r="P42" s="728"/>
      <c r="Q42" s="728"/>
      <c r="R42" s="728"/>
      <c r="S42" s="728"/>
      <c r="T42" s="728"/>
      <c r="U42" s="728"/>
      <c r="V42" s="728"/>
      <c r="W42" s="728"/>
      <c r="X42" s="728"/>
      <c r="Y42" s="728"/>
      <c r="Z42" s="728"/>
    </row>
    <row r="43">
      <c r="A43" s="236">
        <v>2.0</v>
      </c>
      <c r="B43" s="237">
        <f>mround('WEEK 3 '!B40*0.65,5)</f>
        <v>40</v>
      </c>
      <c r="C43" s="238">
        <v>3.0</v>
      </c>
      <c r="D43" s="238" t="s">
        <v>121</v>
      </c>
      <c r="E43" s="66"/>
      <c r="F43" s="67">
        <v>3.0</v>
      </c>
      <c r="G43" s="728"/>
      <c r="H43" s="728"/>
      <c r="I43" s="728"/>
      <c r="J43" s="728"/>
      <c r="K43" s="728"/>
      <c r="L43" s="749"/>
      <c r="M43" s="728"/>
      <c r="N43" s="728"/>
      <c r="O43" s="728"/>
      <c r="P43" s="728"/>
      <c r="Q43" s="728"/>
      <c r="R43" s="728"/>
      <c r="S43" s="728"/>
      <c r="T43" s="728"/>
      <c r="U43" s="728"/>
      <c r="V43" s="728"/>
      <c r="W43" s="728"/>
      <c r="X43" s="728"/>
      <c r="Y43" s="728"/>
      <c r="Z43" s="728"/>
    </row>
    <row r="44">
      <c r="A44" s="242">
        <v>3.0</v>
      </c>
      <c r="B44" s="237">
        <f>mround('WEEK 3 '!B40*0.9,5)</f>
        <v>55</v>
      </c>
      <c r="C44" s="63">
        <v>2.0</v>
      </c>
      <c r="D44" s="238" t="s">
        <v>121</v>
      </c>
      <c r="E44" s="66"/>
      <c r="F44" s="67">
        <v>2.0</v>
      </c>
      <c r="G44" s="728"/>
      <c r="H44" s="728"/>
      <c r="I44" s="728"/>
      <c r="J44" s="728"/>
      <c r="K44" s="728"/>
      <c r="L44" s="749"/>
      <c r="M44" s="728"/>
      <c r="N44" s="728"/>
      <c r="O44" s="728"/>
      <c r="P44" s="728"/>
      <c r="Q44" s="728"/>
      <c r="R44" s="728"/>
      <c r="S44" s="728"/>
      <c r="T44" s="728"/>
      <c r="U44" s="728"/>
      <c r="V44" s="728"/>
      <c r="W44" s="728"/>
      <c r="X44" s="728"/>
      <c r="Y44" s="728"/>
      <c r="Z44" s="728"/>
    </row>
    <row r="45">
      <c r="A45" s="243">
        <v>4.0</v>
      </c>
      <c r="B45" s="237">
        <f>'WEEK 3 '!B40</f>
        <v>60</v>
      </c>
      <c r="C45" s="257">
        <v>3.0</v>
      </c>
      <c r="D45" s="238" t="s">
        <v>122</v>
      </c>
      <c r="E45" s="66"/>
      <c r="F45" s="67">
        <v>3.0</v>
      </c>
      <c r="G45" s="728"/>
      <c r="H45" s="728"/>
      <c r="I45" s="728"/>
      <c r="J45" s="728"/>
      <c r="K45" s="728"/>
      <c r="L45" s="749"/>
      <c r="M45" s="728"/>
      <c r="N45" s="728"/>
      <c r="O45" s="728"/>
      <c r="P45" s="728"/>
      <c r="Q45" s="728"/>
      <c r="R45" s="728"/>
      <c r="S45" s="728"/>
      <c r="T45" s="728"/>
      <c r="U45" s="728"/>
      <c r="V45" s="728"/>
      <c r="W45" s="728"/>
      <c r="X45" s="728"/>
      <c r="Y45" s="728"/>
      <c r="Z45" s="728"/>
    </row>
    <row r="46">
      <c r="A46" s="246" t="str">
        <f>IF('WEEK 3 '!F45&lt;3,"PROCEED TO DOWN SETS","NEW 4 REP MAX ATTEMPT")</f>
        <v>NEW 4 REP MAX ATTEMPT</v>
      </c>
      <c r="B46" s="20"/>
      <c r="C46" s="20"/>
      <c r="D46" s="20"/>
      <c r="E46" s="20"/>
      <c r="F46" s="95"/>
      <c r="G46" s="419"/>
      <c r="H46" s="419"/>
      <c r="I46" s="419"/>
      <c r="J46" s="419"/>
      <c r="K46" s="419"/>
      <c r="L46" s="717"/>
      <c r="M46" s="419"/>
      <c r="N46" s="419"/>
      <c r="O46" s="419"/>
      <c r="P46" s="419"/>
      <c r="Q46" s="419"/>
      <c r="R46" s="419"/>
      <c r="S46" s="419"/>
      <c r="T46" s="419"/>
      <c r="U46" s="419"/>
      <c r="V46" s="419"/>
      <c r="W46" s="419"/>
      <c r="X46" s="419"/>
      <c r="Y46" s="419"/>
      <c r="Z46" s="419"/>
    </row>
    <row r="47">
      <c r="A47" s="249">
        <f>if('WEEK 3 '!F45&lt;=2,"",5)</f>
        <v>5</v>
      </c>
      <c r="B47" s="175">
        <f>IF('WEEK 3 '!F45&lt;=2,"",'WEEK 3 '!B45+5)</f>
        <v>65</v>
      </c>
      <c r="C47" s="238">
        <f>if('WEEK 3 '!F45&lt;=2,"",4)</f>
        <v>4</v>
      </c>
      <c r="D47" s="238" t="str">
        <f>if('WEEK 3 '!F45&lt;=2,"","1-5 MIN")</f>
        <v>1-5 MIN</v>
      </c>
      <c r="E47" s="250"/>
      <c r="F47" s="67"/>
      <c r="G47" s="728"/>
      <c r="H47" s="728"/>
      <c r="I47" s="728"/>
      <c r="J47" s="728"/>
      <c r="K47" s="728"/>
      <c r="L47" s="749"/>
      <c r="M47" s="728"/>
      <c r="N47" s="728"/>
      <c r="O47" s="728"/>
      <c r="P47" s="728"/>
      <c r="Q47" s="728"/>
      <c r="R47" s="728"/>
      <c r="S47" s="728"/>
      <c r="T47" s="728"/>
      <c r="U47" s="728"/>
      <c r="V47" s="728"/>
      <c r="W47" s="728"/>
      <c r="X47" s="728"/>
      <c r="Y47" s="728"/>
      <c r="Z47" s="728"/>
    </row>
    <row r="48">
      <c r="A48" s="259" t="str">
        <f>IF('WEEK 3 '!F47&lt;4,"","6")</f>
        <v>6</v>
      </c>
      <c r="B48" s="237">
        <f>IF('WEEK 3 '!F47&lt;4,"",'WEEK 3 '!B47+5)</f>
        <v>70</v>
      </c>
      <c r="C48" s="257" t="str">
        <f>IF('WEEK 3 '!F47&lt;4,"","4")</f>
        <v>4</v>
      </c>
      <c r="D48" s="257" t="str">
        <f>IF('WEEK 3 '!F47&lt;4,"","1-5 MIN")</f>
        <v>1-5 MIN</v>
      </c>
      <c r="E48" s="258"/>
      <c r="F48" s="67"/>
      <c r="G48" s="728"/>
      <c r="H48" s="728"/>
      <c r="I48" s="728"/>
      <c r="J48" s="728"/>
      <c r="K48" s="728"/>
      <c r="L48" s="749"/>
      <c r="M48" s="728"/>
      <c r="N48" s="728"/>
      <c r="O48" s="728"/>
      <c r="P48" s="728"/>
      <c r="Q48" s="728"/>
      <c r="R48" s="728"/>
      <c r="S48" s="728"/>
      <c r="T48" s="728"/>
      <c r="U48" s="728"/>
      <c r="V48" s="728"/>
      <c r="W48" s="728"/>
      <c r="X48" s="728"/>
      <c r="Y48" s="728"/>
      <c r="Z48" s="728"/>
    </row>
    <row r="49">
      <c r="A49" s="246" t="s">
        <v>133</v>
      </c>
      <c r="B49" s="20"/>
      <c r="C49" s="20"/>
      <c r="D49" s="20"/>
      <c r="E49" s="20"/>
      <c r="F49" s="95"/>
      <c r="G49" s="728"/>
      <c r="H49" s="728"/>
      <c r="I49" s="728"/>
      <c r="J49" s="728"/>
      <c r="K49" s="728"/>
      <c r="L49" s="749"/>
      <c r="M49" s="728"/>
      <c r="N49" s="728"/>
      <c r="O49" s="728"/>
      <c r="P49" s="728"/>
      <c r="Q49" s="728"/>
      <c r="R49" s="728"/>
      <c r="S49" s="728"/>
      <c r="T49" s="728"/>
      <c r="U49" s="728"/>
      <c r="V49" s="728"/>
      <c r="W49" s="728"/>
      <c r="X49" s="728"/>
      <c r="Y49" s="728"/>
      <c r="Z49" s="728"/>
    </row>
    <row r="50">
      <c r="A50" s="264">
        <f>IF('WEEK 3 '!F47&gt;=1,7,IF('WEEK 3 '!F45&lt;1,5,6))</f>
        <v>7</v>
      </c>
      <c r="B50" s="265">
        <f>MROUND('WEEK 3 '!B52*0.8,5)</f>
        <v>55</v>
      </c>
      <c r="C50" s="266" t="s">
        <v>65</v>
      </c>
      <c r="D50" s="267" t="s">
        <v>127</v>
      </c>
      <c r="E50" s="268"/>
      <c r="F50" s="67"/>
      <c r="G50" s="419"/>
      <c r="H50" s="419"/>
      <c r="I50" s="419"/>
      <c r="J50" s="419"/>
      <c r="K50" s="419"/>
      <c r="L50" s="717"/>
      <c r="M50" s="419"/>
      <c r="N50" s="419"/>
      <c r="O50" s="419"/>
      <c r="P50" s="419"/>
      <c r="Q50" s="419"/>
      <c r="R50" s="419"/>
      <c r="S50" s="419"/>
      <c r="T50" s="419"/>
      <c r="U50" s="419"/>
      <c r="V50" s="419"/>
      <c r="W50" s="419"/>
      <c r="X50" s="419"/>
      <c r="Y50" s="419"/>
      <c r="Z50" s="419"/>
    </row>
    <row r="51">
      <c r="A51" s="243">
        <f>IF('WEEK 3 '!F47&gt;=1,8,IF('WEEK 3 '!F45&lt;1,6,7))</f>
        <v>8</v>
      </c>
      <c r="B51" s="237">
        <f>mround('WEEK 3 '!B52*0.7,5)</f>
        <v>50</v>
      </c>
      <c r="C51" s="245" t="s">
        <v>65</v>
      </c>
      <c r="D51" s="65" t="s">
        <v>127</v>
      </c>
      <c r="E51" s="258"/>
      <c r="F51" s="271"/>
      <c r="G51" s="419"/>
      <c r="H51" s="419"/>
      <c r="I51" s="419"/>
      <c r="J51" s="419"/>
      <c r="K51" s="419"/>
      <c r="L51" s="717"/>
      <c r="M51" s="419"/>
      <c r="N51" s="419"/>
      <c r="O51" s="419"/>
      <c r="P51" s="419"/>
      <c r="Q51" s="419"/>
      <c r="R51" s="419"/>
      <c r="S51" s="419"/>
      <c r="T51" s="419"/>
      <c r="U51" s="419"/>
      <c r="V51" s="419"/>
      <c r="W51" s="419"/>
      <c r="X51" s="419"/>
      <c r="Y51" s="419"/>
      <c r="Z51" s="419"/>
    </row>
    <row r="52">
      <c r="A52" s="228" t="s">
        <v>124</v>
      </c>
      <c r="B52" s="549">
        <f>IF(OR(ISBLANK('WEEK 3 '!F45),ISBLANK('WEEK 3 '!F44),ISBLANK('WEEK 3 '!F43)),"",IF('WEEK 3 '!F48&gt;=4,'WEEK 3 '!B48,IF('WEEK 3 '!F47&gt;=1,'WEEK 3 '!B47,IF('WEEK 3 '!F45&lt;3,'WEEK 3 '!B45-5,'WEEK 3 '!B45))))</f>
        <v>70</v>
      </c>
      <c r="F52" s="28"/>
      <c r="G52" s="419"/>
      <c r="H52" s="419"/>
      <c r="I52" s="419"/>
      <c r="J52" s="419"/>
      <c r="K52" s="419"/>
      <c r="L52" s="717"/>
      <c r="M52" s="419"/>
      <c r="N52" s="419"/>
      <c r="O52" s="419"/>
      <c r="P52" s="419"/>
      <c r="Q52" s="419"/>
      <c r="R52" s="419"/>
      <c r="S52" s="419"/>
      <c r="T52" s="419"/>
      <c r="U52" s="419"/>
      <c r="V52" s="419"/>
      <c r="W52" s="419"/>
      <c r="X52" s="419"/>
      <c r="Y52" s="419"/>
      <c r="Z52" s="419"/>
    </row>
    <row r="53">
      <c r="A53" s="750"/>
      <c r="B53" s="750"/>
      <c r="C53" s="750"/>
      <c r="D53" s="750"/>
      <c r="E53" s="750"/>
      <c r="F53" s="750"/>
      <c r="G53" s="419"/>
      <c r="H53" s="419"/>
      <c r="I53" s="419"/>
      <c r="J53" s="419"/>
      <c r="K53" s="419"/>
      <c r="L53" s="717"/>
      <c r="M53" s="419"/>
      <c r="N53" s="419"/>
      <c r="O53" s="419"/>
      <c r="P53" s="419"/>
      <c r="Q53" s="419"/>
      <c r="R53" s="419"/>
      <c r="S53" s="419"/>
      <c r="T53" s="419"/>
      <c r="U53" s="419"/>
      <c r="V53" s="419"/>
      <c r="W53" s="419"/>
      <c r="X53" s="419"/>
      <c r="Y53" s="419"/>
      <c r="Z53" s="419"/>
    </row>
    <row r="54">
      <c r="A54" s="751" t="str">
        <f>HYPERLINK("https://www.youtube.com/watch?v=PnaDzYh2axA","4. LAT PULL DOWN")</f>
        <v>4. LAT PULL DOWN</v>
      </c>
      <c r="B54" s="13"/>
      <c r="C54" s="13"/>
      <c r="D54" s="13"/>
      <c r="E54" s="13"/>
      <c r="F54" s="57"/>
      <c r="G54" s="419"/>
      <c r="H54" s="419"/>
      <c r="I54" s="419"/>
      <c r="J54" s="419"/>
      <c r="K54" s="419"/>
      <c r="L54" s="717"/>
      <c r="M54" s="419"/>
      <c r="N54" s="419"/>
      <c r="O54" s="419"/>
      <c r="P54" s="419"/>
      <c r="Q54" s="419"/>
      <c r="R54" s="419"/>
      <c r="S54" s="419"/>
      <c r="T54" s="419"/>
      <c r="U54" s="419"/>
      <c r="V54" s="419"/>
      <c r="W54" s="419"/>
      <c r="X54" s="419"/>
      <c r="Y54" s="419"/>
      <c r="Z54" s="419"/>
    </row>
    <row r="55">
      <c r="A55" s="226" t="s">
        <v>119</v>
      </c>
      <c r="B55" s="691">
        <f>'WEEK 2'!B68</f>
        <v>260</v>
      </c>
      <c r="C55" s="13"/>
      <c r="D55" s="13"/>
      <c r="E55" s="13"/>
      <c r="F55" s="57"/>
      <c r="G55" s="419" t="s">
        <v>41</v>
      </c>
      <c r="H55" s="419"/>
      <c r="I55" s="419"/>
      <c r="J55" s="419"/>
      <c r="K55" s="419"/>
      <c r="L55" s="717"/>
      <c r="M55" s="419"/>
      <c r="N55" s="419"/>
      <c r="O55" s="419"/>
      <c r="P55" s="419"/>
      <c r="Q55" s="419"/>
      <c r="R55" s="419"/>
      <c r="S55" s="419"/>
      <c r="T55" s="419"/>
      <c r="U55" s="419"/>
      <c r="V55" s="419"/>
      <c r="W55" s="419"/>
      <c r="X55" s="419"/>
      <c r="Y55" s="419"/>
      <c r="Z55" s="419"/>
    </row>
    <row r="56">
      <c r="A56" s="96" t="s">
        <v>50</v>
      </c>
      <c r="B56" s="97" t="s">
        <v>51</v>
      </c>
      <c r="C56" s="97" t="s">
        <v>52</v>
      </c>
      <c r="D56" s="97" t="s">
        <v>53</v>
      </c>
      <c r="E56" s="341" t="s">
        <v>54</v>
      </c>
      <c r="F56" s="235" t="s">
        <v>55</v>
      </c>
      <c r="G56" s="724"/>
      <c r="H56" s="724"/>
      <c r="I56" s="724"/>
      <c r="J56" s="724"/>
      <c r="K56" s="724"/>
      <c r="L56" s="748"/>
      <c r="M56" s="724"/>
      <c r="N56" s="724"/>
      <c r="O56" s="724"/>
      <c r="P56" s="724"/>
      <c r="Q56" s="724"/>
      <c r="R56" s="724"/>
      <c r="S56" s="724"/>
      <c r="T56" s="724"/>
      <c r="U56" s="724"/>
      <c r="V56" s="724"/>
      <c r="W56" s="724"/>
      <c r="X56" s="724"/>
      <c r="Y56" s="724"/>
      <c r="Z56" s="724"/>
    </row>
    <row r="57">
      <c r="A57" s="725">
        <v>1.0</v>
      </c>
      <c r="B57" s="344">
        <f> mround('WEEK 3 '!B55*0.9,5)</f>
        <v>235</v>
      </c>
      <c r="C57" s="437" t="s">
        <v>65</v>
      </c>
      <c r="D57" s="343" t="s">
        <v>57</v>
      </c>
      <c r="E57" s="752"/>
      <c r="F57" s="85"/>
      <c r="G57" s="728"/>
      <c r="H57" s="728"/>
      <c r="I57" s="728"/>
      <c r="J57" s="728"/>
      <c r="K57" s="728"/>
      <c r="L57" s="749"/>
      <c r="M57" s="728"/>
      <c r="N57" s="728"/>
      <c r="O57" s="728"/>
      <c r="P57" s="728"/>
      <c r="Q57" s="728"/>
      <c r="R57" s="728"/>
      <c r="S57" s="728"/>
      <c r="T57" s="728"/>
      <c r="U57" s="728"/>
      <c r="V57" s="728"/>
      <c r="W57" s="728"/>
      <c r="X57" s="728"/>
      <c r="Y57" s="728"/>
      <c r="Z57" s="728"/>
    </row>
    <row r="58">
      <c r="A58" s="725">
        <v>2.0</v>
      </c>
      <c r="B58" s="344">
        <f>IF('WEEK 3 '!F57&lt;6,MROUND('WEEK 3 '!B55*0.75,5),IF('WEEK 3 '!F57&lt;=11,MROUND('WEEK 3 '!B55*0.85,5),'WEEK 3 '!B57))</f>
        <v>195</v>
      </c>
      <c r="C58" s="437" t="s">
        <v>65</v>
      </c>
      <c r="D58" s="343" t="s">
        <v>57</v>
      </c>
      <c r="E58" s="752"/>
      <c r="F58" s="85"/>
      <c r="G58" s="728"/>
      <c r="H58" s="728"/>
      <c r="I58" s="728"/>
      <c r="J58" s="728"/>
      <c r="K58" s="728"/>
      <c r="L58" s="749"/>
      <c r="M58" s="728"/>
      <c r="N58" s="728"/>
      <c r="O58" s="728"/>
      <c r="P58" s="728"/>
      <c r="Q58" s="728"/>
      <c r="R58" s="728"/>
      <c r="S58" s="728"/>
      <c r="T58" s="728"/>
      <c r="U58" s="728"/>
      <c r="V58" s="728"/>
      <c r="W58" s="728"/>
      <c r="X58" s="728"/>
      <c r="Y58" s="728"/>
      <c r="Z58" s="728"/>
    </row>
    <row r="59">
      <c r="A59" s="753">
        <v>3.0</v>
      </c>
      <c r="B59" s="754">
        <f>IF('WEEK 3 '!F58&lt;6,MROUND('WEEK 3 '!B55*0.75,5),IF('WEEK 3 '!F58&lt;=11,MROUND('WEEK 3 '!B55*0.85,5),'WEEK 3 '!B58))</f>
        <v>220</v>
      </c>
      <c r="C59" s="733" t="s">
        <v>65</v>
      </c>
      <c r="D59" s="486" t="s">
        <v>57</v>
      </c>
      <c r="E59" s="755"/>
      <c r="F59" s="85"/>
      <c r="G59" s="728"/>
      <c r="H59" s="728"/>
      <c r="I59" s="728"/>
      <c r="J59" s="728"/>
      <c r="K59" s="728"/>
      <c r="L59" s="749"/>
      <c r="M59" s="728"/>
      <c r="N59" s="728"/>
      <c r="O59" s="728"/>
      <c r="P59" s="728"/>
      <c r="Q59" s="728"/>
      <c r="R59" s="728"/>
      <c r="S59" s="728"/>
      <c r="T59" s="728"/>
      <c r="U59" s="728"/>
      <c r="V59" s="728"/>
      <c r="W59" s="728"/>
      <c r="X59" s="728"/>
      <c r="Y59" s="728"/>
      <c r="Z59" s="728"/>
    </row>
    <row r="60">
      <c r="A60" s="756"/>
      <c r="B60" s="756"/>
      <c r="C60" s="756"/>
      <c r="D60" s="756"/>
      <c r="E60" s="757"/>
      <c r="F60" s="419"/>
      <c r="G60" s="419"/>
      <c r="H60" s="419"/>
      <c r="I60" s="419"/>
      <c r="J60" s="419"/>
      <c r="K60" s="419"/>
      <c r="L60" s="717"/>
      <c r="M60" s="419"/>
      <c r="N60" s="419"/>
      <c r="O60" s="419"/>
      <c r="P60" s="419"/>
      <c r="Q60" s="419"/>
      <c r="R60" s="419"/>
      <c r="S60" s="419"/>
      <c r="T60" s="419"/>
      <c r="U60" s="419"/>
      <c r="V60" s="419"/>
      <c r="W60" s="419"/>
      <c r="X60" s="419"/>
      <c r="Y60" s="419"/>
      <c r="Z60" s="419"/>
    </row>
    <row r="61">
      <c r="A61" s="756"/>
      <c r="B61" s="756"/>
      <c r="C61" s="756"/>
      <c r="D61" s="756"/>
      <c r="E61" s="757"/>
      <c r="F61" s="419"/>
      <c r="G61" s="419"/>
      <c r="H61" s="419"/>
      <c r="I61" s="419"/>
      <c r="J61" s="419"/>
      <c r="K61" s="419"/>
      <c r="L61" s="717"/>
      <c r="M61" s="419"/>
      <c r="N61" s="419"/>
      <c r="O61" s="419"/>
      <c r="P61" s="419"/>
      <c r="Q61" s="419"/>
      <c r="R61" s="419"/>
      <c r="S61" s="419"/>
      <c r="T61" s="419"/>
      <c r="U61" s="419"/>
      <c r="V61" s="419"/>
      <c r="W61" s="419"/>
      <c r="X61" s="419"/>
      <c r="Y61" s="419"/>
      <c r="Z61" s="419"/>
    </row>
    <row r="62">
      <c r="A62" s="73" t="str">
        <f>HYPERLINK("https://youtu.be/9YH1YvZbiY0","5. LOW ROW ")</f>
        <v>5. LOW ROW </v>
      </c>
      <c r="B62" s="53"/>
      <c r="C62" s="53"/>
      <c r="D62" s="53"/>
      <c r="E62" s="53"/>
      <c r="F62" s="54"/>
      <c r="G62" s="419"/>
      <c r="H62" s="419"/>
      <c r="I62" s="419"/>
      <c r="J62" s="419"/>
      <c r="K62" s="419"/>
      <c r="L62" s="717"/>
      <c r="M62" s="419"/>
      <c r="N62" s="419"/>
      <c r="O62" s="419"/>
      <c r="P62" s="419"/>
      <c r="Q62" s="419"/>
      <c r="R62" s="419"/>
      <c r="S62" s="419"/>
      <c r="T62" s="419"/>
      <c r="U62" s="419"/>
      <c r="V62" s="419"/>
      <c r="W62" s="419"/>
      <c r="X62" s="419"/>
      <c r="Y62" s="419"/>
      <c r="Z62" s="419"/>
    </row>
    <row r="63">
      <c r="A63" s="226" t="s">
        <v>119</v>
      </c>
      <c r="B63" s="691" t="str">
        <f>'WEEK 2'!B57</f>
        <v/>
      </c>
      <c r="C63" s="13"/>
      <c r="D63" s="13"/>
      <c r="E63" s="13"/>
      <c r="F63" s="57"/>
      <c r="G63" s="419"/>
      <c r="H63" s="419"/>
      <c r="I63" s="419"/>
      <c r="J63" s="419"/>
      <c r="K63" s="419"/>
      <c r="L63" s="717"/>
      <c r="M63" s="419"/>
      <c r="N63" s="419"/>
      <c r="O63" s="419"/>
      <c r="P63" s="419"/>
      <c r="Q63" s="419"/>
      <c r="R63" s="419"/>
      <c r="S63" s="419"/>
      <c r="T63" s="419"/>
      <c r="U63" s="419"/>
      <c r="V63" s="419"/>
      <c r="W63" s="419"/>
      <c r="X63" s="419"/>
      <c r="Y63" s="419"/>
      <c r="Z63" s="419"/>
    </row>
    <row r="64">
      <c r="A64" s="96" t="s">
        <v>50</v>
      </c>
      <c r="B64" s="97" t="s">
        <v>51</v>
      </c>
      <c r="C64" s="97" t="s">
        <v>52</v>
      </c>
      <c r="D64" s="97" t="s">
        <v>53</v>
      </c>
      <c r="E64" s="341" t="s">
        <v>54</v>
      </c>
      <c r="F64" s="235" t="s">
        <v>55</v>
      </c>
      <c r="G64" s="724"/>
      <c r="H64" s="724"/>
      <c r="I64" s="724"/>
      <c r="J64" s="724"/>
      <c r="K64" s="724"/>
      <c r="L64" s="748"/>
      <c r="M64" s="724"/>
      <c r="N64" s="724"/>
      <c r="O64" s="724"/>
      <c r="P64" s="724"/>
      <c r="Q64" s="724"/>
      <c r="R64" s="724"/>
      <c r="S64" s="724"/>
      <c r="T64" s="724"/>
      <c r="U64" s="724"/>
      <c r="V64" s="724"/>
      <c r="W64" s="724"/>
      <c r="X64" s="724"/>
      <c r="Y64" s="724"/>
      <c r="Z64" s="724"/>
    </row>
    <row r="65">
      <c r="A65" s="725">
        <v>1.0</v>
      </c>
      <c r="B65" s="344">
        <f>mround('WEEK 3 '!B63*0.85,5)</f>
        <v>0</v>
      </c>
      <c r="C65" s="437" t="s">
        <v>65</v>
      </c>
      <c r="D65" s="343" t="s">
        <v>127</v>
      </c>
      <c r="E65" s="727"/>
      <c r="F65" s="85"/>
      <c r="G65" s="419"/>
      <c r="H65" s="419"/>
      <c r="I65" s="419"/>
      <c r="J65" s="419"/>
      <c r="K65" s="419"/>
      <c r="L65" s="717"/>
      <c r="M65" s="419"/>
      <c r="N65" s="419"/>
      <c r="O65" s="419"/>
      <c r="P65" s="419"/>
      <c r="Q65" s="419"/>
      <c r="R65" s="419"/>
      <c r="S65" s="419"/>
      <c r="T65" s="419"/>
      <c r="U65" s="419"/>
      <c r="V65" s="419"/>
      <c r="W65" s="419"/>
      <c r="X65" s="419"/>
      <c r="Y65" s="419"/>
      <c r="Z65" s="419"/>
    </row>
    <row r="66">
      <c r="A66" s="725">
        <v>2.0</v>
      </c>
      <c r="B66" s="344">
        <f>IF('WEEK 3 '!F65&lt;6,MROUND('WEEK 3 '!B63*0.75,5),IF('WEEK 3 '!F65&lt;=11,MROUND('WEEK 3 '!B63*0.75,5),'WEEK 3 '!B65))</f>
        <v>0</v>
      </c>
      <c r="C66" s="437" t="s">
        <v>65</v>
      </c>
      <c r="D66" s="343" t="s">
        <v>127</v>
      </c>
      <c r="E66" s="727"/>
      <c r="F66" s="85"/>
      <c r="G66" s="419"/>
      <c r="H66" s="419"/>
      <c r="I66" s="419"/>
      <c r="J66" s="419"/>
      <c r="K66" s="419"/>
      <c r="L66" s="717"/>
      <c r="M66" s="419"/>
      <c r="N66" s="419"/>
      <c r="O66" s="419"/>
      <c r="P66" s="419"/>
      <c r="Q66" s="419"/>
      <c r="R66" s="419"/>
      <c r="S66" s="419"/>
      <c r="T66" s="419"/>
      <c r="U66" s="419"/>
      <c r="V66" s="419"/>
      <c r="W66" s="419"/>
      <c r="X66" s="419"/>
      <c r="Y66" s="419"/>
      <c r="Z66" s="419"/>
    </row>
    <row r="67">
      <c r="A67" s="753">
        <v>3.0</v>
      </c>
      <c r="B67" s="754">
        <f>IF('WEEK 3 '!F66&lt;6,MROUND('WEEK 3 '!B66*0.8,5),IF('WEEK 3 '!F66&lt;=11,MROUND('WEEK 3 '!B63*0.75,5),'WEEK 3 '!B66))</f>
        <v>0</v>
      </c>
      <c r="C67" s="733" t="s">
        <v>65</v>
      </c>
      <c r="D67" s="486" t="s">
        <v>127</v>
      </c>
      <c r="E67" s="734"/>
      <c r="F67" s="85"/>
      <c r="G67" s="419"/>
      <c r="H67" s="419"/>
      <c r="I67" s="419"/>
      <c r="J67" s="419"/>
      <c r="K67" s="419"/>
      <c r="L67" s="717"/>
      <c r="M67" s="419"/>
      <c r="N67" s="419"/>
      <c r="O67" s="419"/>
      <c r="P67" s="419"/>
      <c r="Q67" s="419"/>
      <c r="R67" s="419"/>
      <c r="S67" s="419"/>
      <c r="T67" s="419"/>
      <c r="U67" s="419"/>
      <c r="V67" s="419"/>
      <c r="W67" s="419"/>
      <c r="X67" s="419"/>
      <c r="Y67" s="419"/>
      <c r="Z67" s="419"/>
    </row>
    <row r="68">
      <c r="A68" s="758"/>
      <c r="B68" s="736"/>
      <c r="C68" s="759"/>
      <c r="D68" s="760"/>
      <c r="E68" s="761"/>
      <c r="F68" s="762"/>
      <c r="G68" s="419"/>
      <c r="H68" s="419"/>
      <c r="I68" s="419"/>
      <c r="J68" s="419"/>
      <c r="K68" s="419"/>
      <c r="L68" s="717"/>
      <c r="M68" s="419"/>
      <c r="N68" s="419"/>
      <c r="O68" s="419"/>
      <c r="P68" s="419"/>
      <c r="Q68" s="419"/>
      <c r="R68" s="419"/>
      <c r="S68" s="419"/>
      <c r="T68" s="419"/>
      <c r="U68" s="419"/>
      <c r="V68" s="419"/>
      <c r="W68" s="419"/>
      <c r="X68" s="419"/>
      <c r="Y68" s="419"/>
      <c r="Z68" s="419"/>
    </row>
    <row r="69">
      <c r="A69" s="310" t="str">
        <f>HYPERLINK("https://docs.google.com/a/fitnessresults.com/forms/d/e/1FAIpQLSd7MoczESe8Yjv6BKpmwAZGn9Aiymrs9-UdgfYIUpbr9t5NXg/viewform?usp=pp_url&amp;entry.93370101","CLICK TO COMPLETE WORKOUT")</f>
        <v>CLICK TO COMPLETE WORKOUT</v>
      </c>
      <c r="B69" s="36"/>
      <c r="C69" s="36"/>
      <c r="D69" s="36"/>
      <c r="E69" s="36"/>
      <c r="F69" s="37"/>
      <c r="G69" s="340"/>
      <c r="H69" s="340"/>
      <c r="I69" s="340"/>
      <c r="J69" s="340"/>
      <c r="K69" s="340"/>
      <c r="L69" s="340"/>
      <c r="M69" s="340"/>
      <c r="N69" s="340"/>
      <c r="O69" s="340"/>
      <c r="P69" s="340"/>
      <c r="Q69" s="340"/>
      <c r="R69" s="340"/>
      <c r="S69" s="340"/>
      <c r="T69" s="340"/>
      <c r="U69" s="340"/>
      <c r="V69" s="340"/>
      <c r="W69" s="340"/>
      <c r="X69" s="340"/>
      <c r="Y69" s="340"/>
      <c r="Z69" s="340"/>
    </row>
    <row r="70">
      <c r="A70" s="763"/>
      <c r="B70" s="764"/>
      <c r="C70" s="764"/>
      <c r="D70" s="764"/>
      <c r="E70" s="764"/>
      <c r="F70" s="764"/>
      <c r="G70" s="340"/>
      <c r="H70" s="340"/>
      <c r="I70" s="340"/>
      <c r="J70" s="340"/>
      <c r="K70" s="340"/>
      <c r="L70" s="340"/>
      <c r="M70" s="340"/>
      <c r="N70" s="340"/>
      <c r="O70" s="340"/>
      <c r="P70" s="340"/>
      <c r="Q70" s="340"/>
      <c r="R70" s="340"/>
      <c r="S70" s="340"/>
      <c r="T70" s="340"/>
      <c r="U70" s="340"/>
      <c r="V70" s="340"/>
      <c r="W70" s="340"/>
      <c r="X70" s="340"/>
      <c r="Y70" s="340"/>
      <c r="Z70" s="340"/>
    </row>
    <row r="71">
      <c r="A71" s="50" t="s">
        <v>128</v>
      </c>
      <c r="B71" s="36"/>
      <c r="C71" s="36"/>
      <c r="D71" s="36"/>
      <c r="E71" s="36"/>
      <c r="F71" s="37"/>
      <c r="G71" s="419"/>
      <c r="H71" s="419"/>
      <c r="I71" s="419"/>
      <c r="J71" s="419"/>
      <c r="K71" s="419"/>
      <c r="L71" s="717"/>
      <c r="M71" s="419"/>
      <c r="N71" s="419"/>
      <c r="O71" s="419"/>
      <c r="P71" s="419"/>
      <c r="Q71" s="419"/>
      <c r="R71" s="419"/>
      <c r="S71" s="419"/>
      <c r="T71" s="419"/>
      <c r="U71" s="419"/>
      <c r="V71" s="419"/>
      <c r="W71" s="419"/>
      <c r="X71" s="419"/>
      <c r="Y71" s="419"/>
      <c r="Z71" s="419"/>
    </row>
    <row r="72">
      <c r="A72" s="765"/>
      <c r="B72" s="765"/>
      <c r="C72" s="765"/>
      <c r="D72" s="765"/>
      <c r="E72" s="765"/>
      <c r="F72" s="765"/>
      <c r="G72" s="419"/>
      <c r="H72" s="419"/>
      <c r="I72" s="419"/>
      <c r="J72" s="419"/>
      <c r="K72" s="419"/>
      <c r="L72" s="717"/>
      <c r="M72" s="419"/>
      <c r="N72" s="419"/>
      <c r="O72" s="419"/>
      <c r="P72" s="419"/>
      <c r="Q72" s="419"/>
      <c r="R72" s="419"/>
      <c r="S72" s="419"/>
      <c r="T72" s="419"/>
      <c r="U72" s="419"/>
      <c r="V72" s="419"/>
      <c r="W72" s="419"/>
      <c r="X72" s="419"/>
      <c r="Y72" s="419"/>
      <c r="Z72" s="419"/>
    </row>
    <row r="73">
      <c r="A73" s="765"/>
      <c r="B73" s="765"/>
      <c r="C73" s="765"/>
      <c r="D73" s="765"/>
      <c r="E73" s="765"/>
      <c r="F73" s="765"/>
      <c r="G73" s="419"/>
      <c r="H73" s="419"/>
      <c r="I73" s="419"/>
      <c r="J73" s="419"/>
      <c r="K73" s="419"/>
      <c r="L73" s="717"/>
      <c r="M73" s="419"/>
      <c r="N73" s="419"/>
      <c r="O73" s="419"/>
      <c r="P73" s="419"/>
      <c r="Q73" s="419"/>
      <c r="R73" s="419"/>
      <c r="S73" s="419"/>
      <c r="T73" s="419"/>
      <c r="U73" s="419"/>
      <c r="V73" s="419"/>
      <c r="W73" s="419"/>
      <c r="X73" s="419"/>
      <c r="Y73" s="419"/>
      <c r="Z73" s="419"/>
    </row>
    <row r="74">
      <c r="A74" s="335" t="str">
        <f>HYPERLINK("https://www.youtube.com/watch?v=qrv8cCA-WCY","WATCH THIS BEFORE MACHINE SQUAT")</f>
        <v>WATCH THIS BEFORE MACHINE SQUAT</v>
      </c>
      <c r="B74" s="25"/>
      <c r="C74" s="25"/>
      <c r="D74" s="25"/>
      <c r="E74" s="25"/>
      <c r="F74" s="26"/>
      <c r="G74" s="419"/>
      <c r="H74" s="419"/>
      <c r="I74" s="419"/>
      <c r="J74" s="419"/>
      <c r="K74" s="419"/>
      <c r="L74" s="717"/>
      <c r="M74" s="419"/>
      <c r="N74" s="419"/>
      <c r="O74" s="419"/>
      <c r="P74" s="419"/>
      <c r="Q74" s="419"/>
      <c r="R74" s="419"/>
      <c r="S74" s="419"/>
      <c r="T74" s="419"/>
      <c r="U74" s="419"/>
      <c r="V74" s="419"/>
      <c r="W74" s="419"/>
      <c r="X74" s="419"/>
      <c r="Y74" s="419"/>
      <c r="Z74" s="419"/>
    </row>
    <row r="75">
      <c r="A75" s="336"/>
      <c r="B75" s="11"/>
      <c r="C75" s="11"/>
      <c r="D75" s="11"/>
      <c r="E75" s="11"/>
      <c r="F75" s="46"/>
      <c r="G75" s="419"/>
      <c r="H75" s="419"/>
      <c r="I75" s="419"/>
      <c r="J75" s="419"/>
      <c r="K75" s="419"/>
      <c r="L75" s="717"/>
      <c r="M75" s="419"/>
      <c r="N75" s="419"/>
      <c r="O75" s="419"/>
      <c r="P75" s="419"/>
      <c r="Q75" s="419"/>
      <c r="R75" s="419"/>
      <c r="S75" s="419"/>
      <c r="T75" s="419"/>
      <c r="U75" s="419"/>
      <c r="V75" s="419"/>
      <c r="W75" s="419"/>
      <c r="X75" s="419"/>
      <c r="Y75" s="419"/>
      <c r="Z75" s="419"/>
    </row>
    <row r="76">
      <c r="A76" s="51" t="s">
        <v>154</v>
      </c>
      <c r="B76" s="36"/>
      <c r="C76" s="36"/>
      <c r="D76" s="36"/>
      <c r="E76" s="36"/>
      <c r="F76" s="37"/>
      <c r="G76" s="419"/>
      <c r="H76" s="51" t="s">
        <v>154</v>
      </c>
      <c r="I76" s="36"/>
      <c r="J76" s="36"/>
      <c r="K76" s="36"/>
      <c r="L76" s="36"/>
      <c r="M76" s="37"/>
      <c r="N76" s="419"/>
      <c r="O76" s="419"/>
      <c r="P76" s="419"/>
      <c r="Q76" s="419"/>
      <c r="R76" s="419"/>
      <c r="S76" s="419"/>
      <c r="T76" s="419"/>
      <c r="U76" s="419"/>
      <c r="V76" s="419"/>
      <c r="W76" s="419"/>
      <c r="X76" s="419"/>
      <c r="Y76" s="419"/>
      <c r="Z76" s="419"/>
    </row>
    <row r="77">
      <c r="A77" s="323" t="str">
        <f>HYPERLINK("https://youtu.be/FOBCA_kCq3A","1. MACHINE SQUAT ")</f>
        <v>1. MACHINE SQUAT </v>
      </c>
      <c r="B77" s="53"/>
      <c r="C77" s="53"/>
      <c r="D77" s="53"/>
      <c r="E77" s="53"/>
      <c r="F77" s="54"/>
      <c r="G77" s="766"/>
      <c r="H77" s="323" t="str">
        <f>HYPERLINK("https://youtu.be/dVterVQksD4","1. LEG PRESS")</f>
        <v>1. LEG PRESS</v>
      </c>
      <c r="I77" s="53"/>
      <c r="J77" s="53"/>
      <c r="K77" s="53"/>
      <c r="L77" s="53"/>
      <c r="M77" s="54"/>
      <c r="N77" s="419"/>
      <c r="O77" s="419"/>
      <c r="P77" s="419"/>
      <c r="Q77" s="419"/>
      <c r="R77" s="419"/>
      <c r="S77" s="419"/>
      <c r="T77" s="419"/>
      <c r="U77" s="419"/>
      <c r="V77" s="419"/>
      <c r="W77" s="419"/>
      <c r="X77" s="419"/>
      <c r="Y77" s="419"/>
      <c r="Z77" s="419"/>
    </row>
    <row r="78">
      <c r="A78" s="96" t="s">
        <v>50</v>
      </c>
      <c r="B78" s="97" t="s">
        <v>51</v>
      </c>
      <c r="C78" s="97" t="s">
        <v>52</v>
      </c>
      <c r="D78" s="97" t="s">
        <v>53</v>
      </c>
      <c r="E78" s="341" t="s">
        <v>54</v>
      </c>
      <c r="F78" s="235" t="s">
        <v>55</v>
      </c>
      <c r="G78" s="419"/>
      <c r="H78" s="226" t="s">
        <v>119</v>
      </c>
      <c r="I78" s="691">
        <f>'WEEK 2'!B96</f>
        <v>250</v>
      </c>
      <c r="J78" s="13"/>
      <c r="K78" s="13"/>
      <c r="L78" s="13"/>
      <c r="M78" s="57"/>
      <c r="N78" s="419"/>
      <c r="O78" s="419"/>
      <c r="P78" s="419"/>
      <c r="Q78" s="419"/>
      <c r="R78" s="419"/>
      <c r="S78" s="419"/>
      <c r="T78" s="419"/>
      <c r="U78" s="419"/>
      <c r="V78" s="419"/>
      <c r="W78" s="419"/>
      <c r="X78" s="419"/>
      <c r="Y78" s="419"/>
      <c r="Z78" s="419"/>
    </row>
    <row r="79">
      <c r="A79" s="342">
        <v>1.0</v>
      </c>
      <c r="B79" s="343">
        <v>75.0</v>
      </c>
      <c r="C79" s="344">
        <v>10.0</v>
      </c>
      <c r="D79" s="345" t="s">
        <v>122</v>
      </c>
      <c r="E79" s="346"/>
      <c r="F79" s="85"/>
      <c r="G79" s="724"/>
      <c r="H79" s="96" t="s">
        <v>50</v>
      </c>
      <c r="I79" s="97" t="s">
        <v>51</v>
      </c>
      <c r="J79" s="97" t="s">
        <v>52</v>
      </c>
      <c r="K79" s="97" t="s">
        <v>53</v>
      </c>
      <c r="L79" s="341" t="s">
        <v>54</v>
      </c>
      <c r="M79" s="235" t="s">
        <v>55</v>
      </c>
      <c r="N79" s="724"/>
      <c r="O79" s="724"/>
      <c r="P79" s="724"/>
      <c r="Q79" s="724"/>
      <c r="R79" s="724"/>
      <c r="S79" s="724"/>
      <c r="T79" s="724"/>
      <c r="U79" s="724"/>
      <c r="V79" s="724"/>
      <c r="W79" s="724"/>
      <c r="X79" s="724"/>
      <c r="Y79" s="724"/>
      <c r="Z79" s="724"/>
    </row>
    <row r="80">
      <c r="A80" s="342">
        <v>2.0</v>
      </c>
      <c r="B80" s="348">
        <f t="shared" ref="B80:B83" si="1">mround(B79+10,5)</f>
        <v>85</v>
      </c>
      <c r="C80" s="344">
        <v>10.0</v>
      </c>
      <c r="D80" s="345" t="s">
        <v>122</v>
      </c>
      <c r="E80" s="346"/>
      <c r="F80" s="85"/>
      <c r="G80" s="419"/>
      <c r="H80" s="342">
        <v>1.0</v>
      </c>
      <c r="I80" s="348">
        <f>mround('WEEK 3 '!I78*0.3,5)</f>
        <v>75</v>
      </c>
      <c r="J80" s="343">
        <v>25.0</v>
      </c>
      <c r="K80" s="345" t="s">
        <v>122</v>
      </c>
      <c r="L80" s="346"/>
      <c r="M80" s="85"/>
      <c r="N80" s="419"/>
      <c r="O80" s="419"/>
      <c r="P80" s="419"/>
      <c r="Q80" s="419"/>
      <c r="R80" s="419"/>
      <c r="S80" s="419"/>
      <c r="T80" s="419"/>
      <c r="U80" s="419"/>
      <c r="V80" s="419"/>
      <c r="W80" s="419"/>
      <c r="X80" s="419"/>
      <c r="Y80" s="419"/>
      <c r="Z80" s="419"/>
    </row>
    <row r="81">
      <c r="A81" s="342">
        <v>3.0</v>
      </c>
      <c r="B81" s="348">
        <f t="shared" si="1"/>
        <v>95</v>
      </c>
      <c r="C81" s="344">
        <v>10.0</v>
      </c>
      <c r="D81" s="345" t="s">
        <v>122</v>
      </c>
      <c r="E81" s="346"/>
      <c r="F81" s="85"/>
      <c r="G81" s="419"/>
      <c r="H81" s="342">
        <v>2.0</v>
      </c>
      <c r="I81" s="348">
        <f>mround('WEEK 3 '!I78*0.5,5)</f>
        <v>125</v>
      </c>
      <c r="J81" s="191">
        <v>25.0</v>
      </c>
      <c r="K81" s="345" t="s">
        <v>122</v>
      </c>
      <c r="L81" s="346"/>
      <c r="M81" s="85"/>
      <c r="N81" s="419"/>
      <c r="O81" s="419"/>
      <c r="P81" s="419"/>
      <c r="Q81" s="419"/>
      <c r="R81" s="419"/>
      <c r="S81" s="419"/>
      <c r="T81" s="419"/>
      <c r="U81" s="419"/>
      <c r="V81" s="419"/>
      <c r="W81" s="419"/>
      <c r="X81" s="419"/>
      <c r="Y81" s="419"/>
      <c r="Z81" s="419"/>
    </row>
    <row r="82">
      <c r="A82" s="342">
        <v>4.0</v>
      </c>
      <c r="B82" s="348">
        <f t="shared" si="1"/>
        <v>105</v>
      </c>
      <c r="C82" s="344">
        <v>10.0</v>
      </c>
      <c r="D82" s="345" t="s">
        <v>122</v>
      </c>
      <c r="E82" s="346"/>
      <c r="F82" s="85"/>
      <c r="G82" s="419"/>
      <c r="H82" s="342">
        <v>3.0</v>
      </c>
      <c r="I82" s="348">
        <f>mround('WEEK 3 '!I78*0.65,5)</f>
        <v>165</v>
      </c>
      <c r="J82" s="191">
        <v>25.0</v>
      </c>
      <c r="K82" s="345" t="s">
        <v>122</v>
      </c>
      <c r="L82" s="346"/>
      <c r="M82" s="85"/>
      <c r="N82" s="419"/>
      <c r="O82" s="419"/>
      <c r="P82" s="419"/>
      <c r="Q82" s="419"/>
      <c r="R82" s="419"/>
      <c r="S82" s="419"/>
      <c r="T82" s="419"/>
      <c r="U82" s="419"/>
      <c r="V82" s="419"/>
      <c r="W82" s="419"/>
      <c r="X82" s="419"/>
      <c r="Y82" s="419"/>
      <c r="Z82" s="419"/>
    </row>
    <row r="83">
      <c r="A83" s="342">
        <v>5.0</v>
      </c>
      <c r="B83" s="348">
        <f t="shared" si="1"/>
        <v>115</v>
      </c>
      <c r="C83" s="344">
        <v>10.0</v>
      </c>
      <c r="D83" s="345" t="s">
        <v>122</v>
      </c>
      <c r="E83" s="346"/>
      <c r="F83" s="85"/>
      <c r="G83" s="419"/>
      <c r="H83" s="342">
        <v>4.0</v>
      </c>
      <c r="I83" s="348">
        <f>mround('WEEK 3 '!I78*0.75,5)</f>
        <v>190</v>
      </c>
      <c r="J83" s="191">
        <v>25.0</v>
      </c>
      <c r="K83" s="345" t="s">
        <v>122</v>
      </c>
      <c r="L83" s="346"/>
      <c r="M83" s="85"/>
      <c r="N83" s="419"/>
      <c r="O83" s="419"/>
      <c r="P83" s="419"/>
      <c r="Q83" s="419"/>
      <c r="R83" s="419"/>
      <c r="S83" s="419"/>
      <c r="T83" s="419"/>
      <c r="U83" s="419"/>
      <c r="V83" s="419"/>
      <c r="W83" s="419"/>
      <c r="X83" s="419"/>
      <c r="Y83" s="419"/>
      <c r="Z83" s="419"/>
    </row>
    <row r="84">
      <c r="A84" s="342">
        <v>6.0</v>
      </c>
      <c r="B84" s="350">
        <f>B83+10</f>
        <v>125</v>
      </c>
      <c r="C84" s="344">
        <v>10.0</v>
      </c>
      <c r="D84" s="345" t="s">
        <v>122</v>
      </c>
      <c r="E84" s="351"/>
      <c r="F84" s="85"/>
      <c r="G84" s="419"/>
      <c r="H84" s="485">
        <v>5.0</v>
      </c>
      <c r="I84" s="754">
        <f>mround('WEEK 3 '!I78*0.85,5)</f>
        <v>215</v>
      </c>
      <c r="J84" s="767">
        <v>25.0</v>
      </c>
      <c r="K84" s="488" t="s">
        <v>122</v>
      </c>
      <c r="L84" s="695"/>
      <c r="M84" s="85"/>
      <c r="N84" s="419"/>
      <c r="O84" s="419"/>
      <c r="P84" s="419"/>
      <c r="Q84" s="419"/>
      <c r="R84" s="419"/>
      <c r="S84" s="419"/>
      <c r="T84" s="419"/>
      <c r="U84" s="419"/>
      <c r="V84" s="419"/>
      <c r="W84" s="419"/>
      <c r="X84" s="419"/>
      <c r="Y84" s="419"/>
      <c r="Z84" s="419"/>
    </row>
    <row r="85">
      <c r="A85" s="352">
        <v>7.0</v>
      </c>
      <c r="B85" s="353">
        <f>mround(B84+10,5)</f>
        <v>135</v>
      </c>
      <c r="C85" s="354">
        <v>10.0</v>
      </c>
      <c r="D85" s="355" t="s">
        <v>122</v>
      </c>
      <c r="E85" s="356"/>
      <c r="F85" s="85"/>
      <c r="G85" s="419"/>
      <c r="H85" s="419"/>
      <c r="I85" s="419"/>
      <c r="J85" s="419"/>
      <c r="K85" s="419"/>
      <c r="L85" s="717"/>
      <c r="M85" s="419"/>
      <c r="N85" s="419"/>
      <c r="O85" s="419"/>
      <c r="P85" s="419"/>
      <c r="Q85" s="419"/>
      <c r="R85" s="419"/>
      <c r="S85" s="419"/>
      <c r="T85" s="419"/>
      <c r="U85" s="419"/>
      <c r="V85" s="419"/>
      <c r="W85" s="419"/>
      <c r="X85" s="419"/>
      <c r="Y85" s="419"/>
      <c r="Z85" s="419"/>
    </row>
    <row r="86">
      <c r="A86" s="357" t="s">
        <v>132</v>
      </c>
      <c r="B86" s="358"/>
      <c r="C86" s="36"/>
      <c r="D86" s="36"/>
      <c r="E86" s="36"/>
      <c r="F86" s="37"/>
      <c r="G86" s="419"/>
      <c r="H86" s="419"/>
      <c r="I86" s="419"/>
      <c r="J86" s="419"/>
      <c r="K86" s="419"/>
      <c r="L86" s="717"/>
      <c r="M86" s="419"/>
      <c r="N86" s="419"/>
      <c r="O86" s="419"/>
      <c r="P86" s="419"/>
      <c r="Q86" s="419"/>
      <c r="R86" s="419"/>
      <c r="S86" s="419"/>
      <c r="T86" s="419"/>
      <c r="U86" s="419"/>
      <c r="V86" s="419"/>
      <c r="W86" s="419"/>
      <c r="X86" s="419"/>
      <c r="Y86" s="419"/>
      <c r="Z86" s="419"/>
    </row>
    <row r="87">
      <c r="A87" s="768"/>
      <c r="B87" s="769"/>
      <c r="C87" s="769"/>
      <c r="D87" s="769"/>
      <c r="E87" s="769"/>
      <c r="F87" s="769"/>
      <c r="G87" s="419"/>
      <c r="H87" s="419"/>
      <c r="I87" s="419"/>
      <c r="J87" s="419"/>
      <c r="K87" s="419"/>
      <c r="L87" s="717"/>
      <c r="M87" s="419"/>
      <c r="N87" s="419"/>
      <c r="O87" s="419"/>
      <c r="P87" s="419"/>
      <c r="Q87" s="419"/>
      <c r="R87" s="419"/>
      <c r="S87" s="419"/>
      <c r="T87" s="419"/>
      <c r="U87" s="419"/>
      <c r="V87" s="419"/>
      <c r="W87" s="419"/>
      <c r="X87" s="419"/>
      <c r="Y87" s="419"/>
      <c r="Z87" s="419"/>
    </row>
    <row r="88">
      <c r="A88" s="768"/>
      <c r="B88" s="769"/>
      <c r="C88" s="769"/>
      <c r="D88" s="769"/>
      <c r="E88" s="769"/>
      <c r="F88" s="769"/>
      <c r="G88" s="419"/>
      <c r="H88" s="419"/>
      <c r="I88" s="419"/>
      <c r="J88" s="419"/>
      <c r="K88" s="419"/>
      <c r="L88" s="717"/>
      <c r="M88" s="419"/>
      <c r="N88" s="419"/>
      <c r="O88" s="419"/>
      <c r="P88" s="419"/>
      <c r="Q88" s="419"/>
      <c r="R88" s="419"/>
      <c r="S88" s="419"/>
      <c r="T88" s="419"/>
      <c r="U88" s="419"/>
      <c r="V88" s="419"/>
      <c r="W88" s="419"/>
      <c r="X88" s="419"/>
      <c r="Y88" s="419"/>
      <c r="Z88" s="419"/>
    </row>
    <row r="89">
      <c r="A89" s="323" t="str">
        <f>HYPERLINK("https://www.youtube.com/watch?v=NZ9KiFtbiMs","2. LEG EXTENSION")</f>
        <v>2. LEG EXTENSION</v>
      </c>
      <c r="B89" s="53"/>
      <c r="C89" s="53"/>
      <c r="D89" s="53"/>
      <c r="E89" s="53"/>
      <c r="F89" s="54"/>
      <c r="G89" s="141"/>
      <c r="H89" s="141"/>
      <c r="I89" s="141"/>
      <c r="J89" s="141"/>
      <c r="K89" s="141"/>
      <c r="L89" s="770"/>
      <c r="M89" s="141"/>
      <c r="N89" s="419"/>
      <c r="O89" s="419"/>
      <c r="P89" s="419"/>
      <c r="Q89" s="419"/>
      <c r="R89" s="419"/>
      <c r="S89" s="419"/>
      <c r="T89" s="419"/>
      <c r="U89" s="419"/>
      <c r="V89" s="419"/>
      <c r="W89" s="419"/>
      <c r="X89" s="419"/>
      <c r="Y89" s="419"/>
      <c r="Z89" s="419"/>
    </row>
    <row r="90">
      <c r="A90" s="226" t="s">
        <v>119</v>
      </c>
      <c r="B90" s="90">
        <f>IF('WEEK 2'!B102='WEEK 2'!B104,'WEEK 2'!B102+5,IF('WEEK 2'!F102&lt;=9,MROUND('WEEK 2'!B100*0.95,5),'WEEK 2'!B102))</f>
        <v>85</v>
      </c>
      <c r="C90" s="13"/>
      <c r="D90" s="13"/>
      <c r="E90" s="13"/>
      <c r="F90" s="57"/>
      <c r="G90" s="141"/>
      <c r="H90" s="141"/>
      <c r="I90" s="141"/>
      <c r="J90" s="141"/>
      <c r="K90" s="141"/>
      <c r="L90" s="770"/>
      <c r="M90" s="141"/>
      <c r="N90" s="419"/>
      <c r="O90" s="419"/>
      <c r="P90" s="419"/>
      <c r="Q90" s="419"/>
      <c r="R90" s="419"/>
      <c r="S90" s="419"/>
      <c r="T90" s="419"/>
      <c r="U90" s="419"/>
      <c r="V90" s="419"/>
      <c r="W90" s="419"/>
      <c r="X90" s="419"/>
      <c r="Y90" s="419"/>
      <c r="Z90" s="419"/>
    </row>
    <row r="91">
      <c r="A91" s="96" t="s">
        <v>50</v>
      </c>
      <c r="B91" s="97" t="s">
        <v>51</v>
      </c>
      <c r="C91" s="97" t="s">
        <v>52</v>
      </c>
      <c r="D91" s="97" t="s">
        <v>53</v>
      </c>
      <c r="E91" s="98" t="s">
        <v>54</v>
      </c>
      <c r="F91" s="235" t="s">
        <v>55</v>
      </c>
      <c r="G91" s="141"/>
      <c r="H91" s="141"/>
      <c r="I91" s="141"/>
      <c r="J91" s="141"/>
      <c r="K91" s="141"/>
      <c r="L91" s="770"/>
      <c r="M91" s="141"/>
      <c r="N91" s="419"/>
      <c r="O91" s="419"/>
      <c r="P91" s="419"/>
      <c r="Q91" s="419"/>
      <c r="R91" s="419"/>
      <c r="S91" s="419"/>
      <c r="T91" s="419"/>
      <c r="U91" s="419"/>
      <c r="V91" s="419"/>
      <c r="W91" s="419"/>
      <c r="X91" s="419"/>
      <c r="Y91" s="419"/>
      <c r="Z91" s="419"/>
    </row>
    <row r="92">
      <c r="A92" s="352">
        <v>1.0</v>
      </c>
      <c r="B92" s="237">
        <f>if('WEEK 2'!B103='WEEK 2'!B104,'WEEK 3 '!B90,'WEEK 3 '!B90)</f>
        <v>85</v>
      </c>
      <c r="C92" s="693" t="s">
        <v>61</v>
      </c>
      <c r="D92" s="350" t="s">
        <v>57</v>
      </c>
      <c r="E92" s="449"/>
      <c r="F92" s="85"/>
      <c r="G92" s="141"/>
      <c r="H92" s="141"/>
      <c r="I92" s="141"/>
      <c r="J92" s="141"/>
      <c r="K92" s="141"/>
      <c r="L92" s="770"/>
      <c r="M92" s="141"/>
      <c r="N92" s="419"/>
      <c r="O92" s="419"/>
      <c r="P92" s="419"/>
      <c r="Q92" s="419"/>
      <c r="R92" s="419"/>
      <c r="S92" s="419"/>
      <c r="T92" s="419"/>
      <c r="U92" s="419"/>
      <c r="V92" s="419"/>
      <c r="W92" s="419"/>
      <c r="X92" s="419"/>
      <c r="Y92" s="419"/>
      <c r="Z92" s="419"/>
    </row>
    <row r="93">
      <c r="A93" s="352">
        <v>2.0</v>
      </c>
      <c r="B93" s="237">
        <f>if('WEEK 3 '!F92&lt;8,mround('WEEK 3 '!B92*0.8,5),IF('WEEK 3 '!F92&lt;=14,MROUND('WEEK 3 '!B92*0.95,5),'WEEK 3 '!B92))</f>
        <v>80</v>
      </c>
      <c r="C93" s="693" t="s">
        <v>61</v>
      </c>
      <c r="D93" s="350" t="s">
        <v>57</v>
      </c>
      <c r="E93" s="679"/>
      <c r="F93" s="85"/>
      <c r="G93" s="141"/>
      <c r="H93" s="141"/>
      <c r="I93" s="141"/>
      <c r="J93" s="141"/>
      <c r="K93" s="141"/>
      <c r="L93" s="770"/>
      <c r="M93" s="141"/>
      <c r="N93" s="419"/>
      <c r="O93" s="419"/>
      <c r="P93" s="419"/>
      <c r="Q93" s="419"/>
      <c r="R93" s="419"/>
      <c r="S93" s="419"/>
      <c r="T93" s="419"/>
      <c r="U93" s="419"/>
      <c r="V93" s="419"/>
      <c r="W93" s="419"/>
      <c r="X93" s="419"/>
      <c r="Y93" s="419"/>
      <c r="Z93" s="419"/>
    </row>
    <row r="94">
      <c r="A94" s="352">
        <v>3.0</v>
      </c>
      <c r="B94" s="237">
        <f>if('WEEK 3 '!F93&lt;8,mround('WEEK 3 '!B93*0.8,5),IF('WEEK 3 '!F93&lt;=14,MROUND('WEEK 3 '!B93*0.95,5),'WEEK 3 '!B93))</f>
        <v>75</v>
      </c>
      <c r="C94" s="693" t="s">
        <v>61</v>
      </c>
      <c r="D94" s="350" t="s">
        <v>57</v>
      </c>
      <c r="E94" s="449"/>
      <c r="F94" s="85"/>
      <c r="G94" s="141"/>
      <c r="H94" s="141"/>
      <c r="I94" s="141"/>
      <c r="J94" s="141"/>
      <c r="K94" s="141"/>
      <c r="L94" s="770"/>
      <c r="M94" s="141"/>
      <c r="N94" s="419"/>
      <c r="O94" s="419"/>
      <c r="P94" s="419"/>
      <c r="Q94" s="419"/>
      <c r="R94" s="419"/>
      <c r="S94" s="419"/>
      <c r="T94" s="419"/>
      <c r="U94" s="419"/>
      <c r="V94" s="419"/>
      <c r="W94" s="419"/>
      <c r="X94" s="419"/>
      <c r="Y94" s="419"/>
      <c r="Z94" s="419"/>
    </row>
    <row r="95">
      <c r="A95" s="228" t="s">
        <v>124</v>
      </c>
      <c r="B95" s="229">
        <f>IF('WEEK 2'!F95&lt;10,'WEEK 3 '!B90,IF('WEEK 3 '!F98&gt;=10,'WEEK 3 '!B93,'WEEK 3 '!B92))</f>
        <v>85</v>
      </c>
      <c r="C95" s="16"/>
      <c r="D95" s="16"/>
      <c r="E95" s="16"/>
      <c r="F95" s="230"/>
      <c r="G95" s="141"/>
      <c r="H95" s="141"/>
      <c r="I95" s="141"/>
      <c r="J95" s="141"/>
      <c r="K95" s="141"/>
      <c r="L95" s="770"/>
      <c r="M95" s="141"/>
      <c r="N95" s="419"/>
      <c r="O95" s="419"/>
      <c r="P95" s="419"/>
      <c r="Q95" s="419"/>
      <c r="R95" s="419"/>
      <c r="S95" s="419"/>
      <c r="T95" s="419"/>
      <c r="U95" s="419"/>
      <c r="V95" s="419"/>
      <c r="W95" s="419"/>
      <c r="X95" s="419"/>
      <c r="Y95" s="419"/>
      <c r="Z95" s="419"/>
    </row>
    <row r="96">
      <c r="A96" s="771"/>
      <c r="B96" s="771"/>
      <c r="C96" s="771"/>
      <c r="D96" s="771"/>
      <c r="E96" s="772"/>
      <c r="F96" s="773"/>
      <c r="G96" s="141"/>
      <c r="H96" s="141"/>
      <c r="I96" s="141"/>
      <c r="J96" s="141"/>
      <c r="K96" s="141"/>
      <c r="L96" s="770"/>
      <c r="M96" s="141"/>
      <c r="N96" s="419"/>
      <c r="O96" s="419"/>
      <c r="P96" s="419"/>
      <c r="Q96" s="419"/>
      <c r="R96" s="419"/>
      <c r="S96" s="419"/>
      <c r="T96" s="419"/>
      <c r="U96" s="419"/>
      <c r="V96" s="419"/>
      <c r="W96" s="419"/>
      <c r="X96" s="419"/>
      <c r="Y96" s="419"/>
      <c r="Z96" s="419"/>
    </row>
    <row r="97">
      <c r="A97" s="677"/>
      <c r="B97" s="677"/>
      <c r="C97" s="677"/>
      <c r="D97" s="677"/>
      <c r="E97" s="774"/>
      <c r="F97" s="775"/>
      <c r="G97" s="141"/>
      <c r="H97" s="141"/>
      <c r="I97" s="141"/>
      <c r="J97" s="141"/>
      <c r="K97" s="141"/>
      <c r="L97" s="770"/>
      <c r="M97" s="141"/>
      <c r="N97" s="419"/>
      <c r="O97" s="419"/>
      <c r="P97" s="419"/>
      <c r="Q97" s="419"/>
      <c r="R97" s="419"/>
      <c r="S97" s="419"/>
      <c r="T97" s="419"/>
      <c r="U97" s="419"/>
      <c r="V97" s="419"/>
      <c r="W97" s="419"/>
      <c r="X97" s="419"/>
      <c r="Y97" s="419"/>
      <c r="Z97" s="419"/>
    </row>
    <row r="98" ht="17.25" customHeight="1">
      <c r="A98" s="323" t="str">
        <f>HYPERLINK("https://youtu.be/XepOfsnGFJg","3. LEG CURL")</f>
        <v>3. LEG CURL</v>
      </c>
      <c r="B98" s="53"/>
      <c r="C98" s="53"/>
      <c r="D98" s="53"/>
      <c r="E98" s="53"/>
      <c r="F98" s="54"/>
      <c r="G98" s="141"/>
      <c r="H98" s="323" t="str">
        <f>HYPERLINK("https://youtu.be/kmN9cJ79PDE","3. PRONE LEG CURL")</f>
        <v>3. PRONE LEG CURL</v>
      </c>
      <c r="I98" s="53"/>
      <c r="J98" s="53"/>
      <c r="K98" s="53"/>
      <c r="L98" s="53"/>
      <c r="M98" s="54"/>
      <c r="N98" s="419"/>
      <c r="O98" s="419"/>
      <c r="P98" s="419"/>
      <c r="Q98" s="419"/>
      <c r="R98" s="419"/>
      <c r="S98" s="419"/>
      <c r="T98" s="419"/>
      <c r="U98" s="419"/>
      <c r="V98" s="419"/>
      <c r="W98" s="419"/>
      <c r="X98" s="419"/>
      <c r="Y98" s="419"/>
      <c r="Z98" s="419"/>
    </row>
    <row r="99" ht="17.25" customHeight="1">
      <c r="A99" s="226" t="s">
        <v>119</v>
      </c>
      <c r="B99" s="90">
        <v>95.0</v>
      </c>
      <c r="C99" s="13"/>
      <c r="D99" s="13"/>
      <c r="E99" s="13"/>
      <c r="F99" s="57"/>
      <c r="G99" s="141"/>
      <c r="H99" s="226" t="s">
        <v>119</v>
      </c>
      <c r="I99" s="90">
        <f>IF('WEEK 2'!I111='WEEK 2'!I113,'WEEK 2'!I111+5,IF('WEEK 2'!M111&lt;=9,MROUND('WEEK 2'!I109*0.95,5),'WEEK 2'!I111))</f>
        <v>90</v>
      </c>
      <c r="J99" s="13"/>
      <c r="K99" s="13"/>
      <c r="L99" s="13"/>
      <c r="M99" s="57"/>
      <c r="N99" s="419"/>
      <c r="O99" s="419"/>
      <c r="P99" s="419"/>
      <c r="Q99" s="419"/>
      <c r="R99" s="419"/>
      <c r="S99" s="419"/>
      <c r="T99" s="419"/>
      <c r="U99" s="419"/>
      <c r="V99" s="419"/>
      <c r="W99" s="419"/>
      <c r="X99" s="419"/>
      <c r="Y99" s="419"/>
      <c r="Z99" s="419"/>
    </row>
    <row r="100" ht="17.25" customHeight="1">
      <c r="A100" s="96" t="s">
        <v>50</v>
      </c>
      <c r="B100" s="97" t="s">
        <v>51</v>
      </c>
      <c r="C100" s="97" t="s">
        <v>52</v>
      </c>
      <c r="D100" s="97" t="s">
        <v>53</v>
      </c>
      <c r="E100" s="98" t="s">
        <v>54</v>
      </c>
      <c r="F100" s="235" t="s">
        <v>55</v>
      </c>
      <c r="G100" s="141"/>
      <c r="H100" s="96" t="s">
        <v>50</v>
      </c>
      <c r="I100" s="97" t="s">
        <v>51</v>
      </c>
      <c r="J100" s="97" t="s">
        <v>52</v>
      </c>
      <c r="K100" s="776" t="s">
        <v>53</v>
      </c>
      <c r="L100" s="98" t="s">
        <v>54</v>
      </c>
      <c r="M100" s="235" t="s">
        <v>55</v>
      </c>
      <c r="N100" s="419"/>
      <c r="O100" s="419"/>
      <c r="P100" s="419"/>
      <c r="Q100" s="419"/>
      <c r="R100" s="419"/>
      <c r="S100" s="419"/>
      <c r="T100" s="419"/>
      <c r="U100" s="419"/>
      <c r="V100" s="419"/>
      <c r="W100" s="419"/>
      <c r="X100" s="419"/>
      <c r="Y100" s="419"/>
      <c r="Z100" s="419"/>
    </row>
    <row r="101" ht="17.25" customHeight="1">
      <c r="A101" s="352">
        <v>1.0</v>
      </c>
      <c r="B101" s="237">
        <f>if('WEEK 2'!B112='WEEK 2'!B113,'WEEK 3 '!B99,'WEEK 3 '!B99)</f>
        <v>95</v>
      </c>
      <c r="C101" s="693" t="s">
        <v>61</v>
      </c>
      <c r="D101" s="350" t="s">
        <v>57</v>
      </c>
      <c r="E101" s="449"/>
      <c r="F101" s="85"/>
      <c r="G101" s="434" t="s">
        <v>123</v>
      </c>
      <c r="H101" s="242">
        <v>1.0</v>
      </c>
      <c r="I101" s="99">
        <f>if('WEEK 2'!I112='WEEK 2'!I113,'WEEK 3 '!I99,'WEEK 3 '!I99)</f>
        <v>90</v>
      </c>
      <c r="J101" s="693" t="s">
        <v>61</v>
      </c>
      <c r="K101" s="777" t="s">
        <v>57</v>
      </c>
      <c r="L101" s="100"/>
      <c r="M101" s="85"/>
      <c r="N101" s="419"/>
      <c r="O101" s="419"/>
      <c r="P101" s="419"/>
      <c r="Q101" s="419"/>
      <c r="R101" s="419"/>
      <c r="S101" s="419"/>
      <c r="T101" s="419"/>
      <c r="U101" s="419"/>
      <c r="V101" s="419"/>
      <c r="W101" s="419"/>
      <c r="X101" s="419"/>
      <c r="Y101" s="419"/>
      <c r="Z101" s="419"/>
    </row>
    <row r="102" ht="17.25" customHeight="1">
      <c r="A102" s="352">
        <v>2.0</v>
      </c>
      <c r="B102" s="237">
        <f>if('WEEK 3 '!F101&lt;8,mround('WEEK 3 '!B101*0.8,5),IF('WEEK 3 '!F101&lt;=14,MROUND('WEEK 3 '!B101*0.95,5),'WEEK 3 '!B101))</f>
        <v>90</v>
      </c>
      <c r="C102" s="693" t="s">
        <v>61</v>
      </c>
      <c r="D102" s="350" t="s">
        <v>57</v>
      </c>
      <c r="E102" s="679"/>
      <c r="F102" s="85"/>
      <c r="H102" s="242">
        <v>2.0</v>
      </c>
      <c r="I102" s="82">
        <f>if('WEEK 3 '!M101&lt;5,mround('WEEK 3 '!I101*0.8,5),IF('WEEK 3 '!M101&lt;=10,MROUND('WEEK 3 '!I101*0.95,5),'WEEK 3 '!I101))</f>
        <v>70</v>
      </c>
      <c r="J102" s="693" t="s">
        <v>61</v>
      </c>
      <c r="K102" s="777" t="s">
        <v>57</v>
      </c>
      <c r="L102" s="351"/>
      <c r="M102" s="85"/>
      <c r="N102" s="419"/>
      <c r="O102" s="419"/>
      <c r="P102" s="419"/>
      <c r="Q102" s="419"/>
      <c r="R102" s="419"/>
      <c r="S102" s="419"/>
      <c r="T102" s="419"/>
      <c r="U102" s="419"/>
      <c r="V102" s="419"/>
      <c r="W102" s="419"/>
      <c r="X102" s="419"/>
      <c r="Y102" s="419"/>
      <c r="Z102" s="419"/>
    </row>
    <row r="103" ht="17.25" customHeight="1">
      <c r="A103" s="352">
        <v>3.0</v>
      </c>
      <c r="B103" s="237">
        <f>if('WEEK 3 '!F102&lt;8,mround('WEEK 3 '!B102*0.8,5),IF('WEEK 3 '!F102&lt;=14,MROUND('WEEK 3 '!B102*0.95,5),'WEEK 3 '!B102))</f>
        <v>85</v>
      </c>
      <c r="C103" s="693" t="s">
        <v>61</v>
      </c>
      <c r="D103" s="350" t="s">
        <v>57</v>
      </c>
      <c r="E103" s="449"/>
      <c r="F103" s="85"/>
      <c r="G103" s="682"/>
      <c r="H103" s="242">
        <v>3.0</v>
      </c>
      <c r="I103" s="82">
        <f>if('WEEK 3 '!M102&lt;4,mround('WEEK 3 '!I102*0.8,5),IF('WEEK 3 '!M102&lt;=10,MROUND('WEEK 3 '!I102*0.95,5),'WEEK 3 '!I102))</f>
        <v>55</v>
      </c>
      <c r="J103" s="693" t="s">
        <v>61</v>
      </c>
      <c r="K103" s="777" t="s">
        <v>57</v>
      </c>
      <c r="L103" s="351"/>
      <c r="M103" s="85"/>
      <c r="N103" s="419"/>
      <c r="O103" s="419"/>
      <c r="P103" s="419"/>
      <c r="Q103" s="419"/>
      <c r="R103" s="419"/>
      <c r="S103" s="419"/>
      <c r="T103" s="419"/>
      <c r="U103" s="419"/>
      <c r="V103" s="419"/>
      <c r="W103" s="419"/>
      <c r="X103" s="419"/>
      <c r="Y103" s="419"/>
      <c r="Z103" s="419"/>
    </row>
    <row r="104" ht="17.25" customHeight="1">
      <c r="A104" s="272" t="s">
        <v>124</v>
      </c>
      <c r="B104" s="332">
        <f>IF('WEEK 2'!F104&lt;10,'WEEK 3 '!B99,IF('WEEK 2'!F105&gt;=10,'WEEK 3 '!B102,'WEEK 3 '!B101))</f>
        <v>95</v>
      </c>
      <c r="C104" s="33"/>
      <c r="D104" s="33"/>
      <c r="E104" s="33"/>
      <c r="F104" s="34"/>
      <c r="G104" s="141"/>
      <c r="H104" s="272" t="s">
        <v>124</v>
      </c>
      <c r="I104" s="332">
        <f>IF('WEEK 2'!M104&lt;10,'WEEK 3 '!I99,IF('WEEK 2'!M105&gt;=10,'WEEK 3 '!I102,'WEEK 3 '!I101))</f>
        <v>90</v>
      </c>
      <c r="J104" s="33"/>
      <c r="K104" s="33"/>
      <c r="L104" s="33"/>
      <c r="M104" s="34"/>
      <c r="N104" s="419"/>
      <c r="O104" s="419"/>
      <c r="P104" s="419"/>
      <c r="Q104" s="419"/>
      <c r="R104" s="419"/>
      <c r="S104" s="419"/>
      <c r="T104" s="419"/>
      <c r="U104" s="419"/>
      <c r="V104" s="419"/>
      <c r="W104" s="419"/>
      <c r="X104" s="419"/>
      <c r="Y104" s="419"/>
      <c r="Z104" s="419"/>
    </row>
    <row r="105" ht="17.25" customHeight="1">
      <c r="A105" s="419"/>
      <c r="B105" s="419"/>
      <c r="C105" s="419"/>
      <c r="D105" s="419"/>
      <c r="E105" s="717"/>
      <c r="F105" s="419"/>
      <c r="G105" s="419"/>
      <c r="H105" s="419"/>
      <c r="I105" s="419"/>
      <c r="J105" s="419"/>
      <c r="K105" s="419"/>
      <c r="L105" s="717"/>
      <c r="M105" s="419"/>
      <c r="N105" s="419"/>
      <c r="O105" s="419"/>
      <c r="P105" s="419"/>
      <c r="Q105" s="419"/>
      <c r="R105" s="419"/>
      <c r="S105" s="419"/>
      <c r="T105" s="419"/>
      <c r="U105" s="419"/>
      <c r="V105" s="419"/>
      <c r="W105" s="419"/>
      <c r="X105" s="419"/>
      <c r="Y105" s="419"/>
      <c r="Z105" s="419"/>
    </row>
    <row r="106" ht="17.25" customHeight="1">
      <c r="A106" s="310" t="str">
        <f>HYPERLINK("https://docs.google.com/a/fitnessresults.com/forms/d/e/1FAIpQLSd7MoczESe8Yjv6BKpmwAZGn9Aiymrs9-UdgfYIUpbr9t5NXg/viewform?usp=pp_url&amp;entry.93370101","CLICK TO COMPLETE WORKOUT")</f>
        <v>CLICK TO COMPLETE WORKOUT</v>
      </c>
      <c r="B106" s="36"/>
      <c r="C106" s="36"/>
      <c r="D106" s="36"/>
      <c r="E106" s="36"/>
      <c r="F106" s="37"/>
      <c r="G106" s="419"/>
      <c r="H106" s="419"/>
      <c r="I106" s="419"/>
      <c r="J106" s="419"/>
      <c r="K106" s="419"/>
      <c r="L106" s="717"/>
      <c r="M106" s="419"/>
      <c r="N106" s="419"/>
      <c r="O106" s="419"/>
      <c r="P106" s="419"/>
      <c r="Q106" s="419"/>
      <c r="R106" s="419"/>
      <c r="S106" s="419"/>
      <c r="T106" s="419"/>
      <c r="U106" s="419"/>
      <c r="V106" s="419"/>
      <c r="W106" s="419"/>
      <c r="X106" s="419"/>
      <c r="Y106" s="419"/>
      <c r="Z106" s="419"/>
    </row>
    <row r="107" ht="17.25" customHeight="1">
      <c r="A107" s="419"/>
      <c r="B107" s="419"/>
      <c r="C107" s="419"/>
      <c r="D107" s="419"/>
      <c r="E107" s="717"/>
      <c r="F107" s="419"/>
      <c r="G107" s="419"/>
      <c r="H107" s="419"/>
      <c r="I107" s="419"/>
      <c r="J107" s="419"/>
      <c r="K107" s="419"/>
      <c r="L107" s="717"/>
      <c r="M107" s="419"/>
      <c r="N107" s="419"/>
      <c r="O107" s="419"/>
      <c r="P107" s="419"/>
      <c r="Q107" s="419"/>
      <c r="R107" s="419"/>
      <c r="S107" s="419"/>
      <c r="T107" s="419"/>
      <c r="U107" s="419"/>
      <c r="V107" s="419"/>
      <c r="W107" s="419"/>
      <c r="X107" s="419"/>
      <c r="Y107" s="419"/>
      <c r="Z107" s="419"/>
    </row>
    <row r="108">
      <c r="A108" s="50" t="s">
        <v>62</v>
      </c>
      <c r="B108" s="36"/>
      <c r="C108" s="36"/>
      <c r="D108" s="36"/>
      <c r="E108" s="36"/>
      <c r="F108" s="37"/>
      <c r="G108" s="419"/>
      <c r="H108" s="419"/>
      <c r="I108" s="419"/>
      <c r="J108" s="419"/>
      <c r="K108" s="419"/>
      <c r="L108" s="717"/>
      <c r="M108" s="419"/>
      <c r="N108" s="419"/>
      <c r="O108" s="419"/>
      <c r="P108" s="419"/>
      <c r="Q108" s="419"/>
      <c r="R108" s="419"/>
      <c r="S108" s="419"/>
      <c r="T108" s="419"/>
      <c r="U108" s="419"/>
      <c r="V108" s="419"/>
      <c r="W108" s="419"/>
      <c r="X108" s="419"/>
      <c r="Y108" s="419"/>
      <c r="Z108" s="419"/>
    </row>
    <row r="109">
      <c r="A109" s="657"/>
      <c r="B109" s="657"/>
      <c r="C109" s="657"/>
      <c r="D109" s="657"/>
      <c r="E109" s="657"/>
      <c r="F109" s="657"/>
      <c r="G109" s="419"/>
      <c r="H109" s="419"/>
      <c r="I109" s="419"/>
      <c r="J109" s="419"/>
      <c r="K109" s="419"/>
      <c r="L109" s="717"/>
      <c r="M109" s="419"/>
      <c r="N109" s="419"/>
      <c r="O109" s="419"/>
      <c r="P109" s="419"/>
      <c r="Q109" s="419"/>
      <c r="R109" s="419"/>
      <c r="S109" s="419"/>
      <c r="T109" s="419"/>
      <c r="U109" s="419"/>
      <c r="V109" s="419"/>
      <c r="W109" s="419"/>
      <c r="X109" s="419"/>
      <c r="Y109" s="419"/>
      <c r="Z109" s="419"/>
    </row>
    <row r="110">
      <c r="A110" s="657"/>
      <c r="B110" s="657"/>
      <c r="C110" s="657"/>
      <c r="D110" s="657"/>
      <c r="E110" s="657"/>
      <c r="F110" s="657"/>
      <c r="G110" s="419"/>
      <c r="H110" s="419"/>
      <c r="I110" s="419"/>
      <c r="J110" s="419"/>
      <c r="K110" s="419"/>
      <c r="L110" s="717"/>
      <c r="M110" s="419"/>
      <c r="N110" s="419"/>
      <c r="O110" s="419"/>
      <c r="P110" s="419"/>
      <c r="Q110" s="419"/>
      <c r="R110" s="419"/>
      <c r="S110" s="419"/>
      <c r="T110" s="419"/>
      <c r="U110" s="419"/>
      <c r="V110" s="419"/>
      <c r="W110" s="419"/>
      <c r="X110" s="419"/>
      <c r="Y110" s="419"/>
      <c r="Z110" s="419"/>
    </row>
    <row r="111">
      <c r="A111" s="51" t="s">
        <v>131</v>
      </c>
      <c r="B111" s="36"/>
      <c r="C111" s="36"/>
      <c r="D111" s="36"/>
      <c r="E111" s="36"/>
      <c r="F111" s="37"/>
      <c r="G111" s="419"/>
      <c r="H111" s="51" t="s">
        <v>131</v>
      </c>
      <c r="I111" s="36"/>
      <c r="J111" s="36"/>
      <c r="K111" s="36"/>
      <c r="L111" s="36"/>
      <c r="M111" s="37"/>
      <c r="N111" s="419"/>
      <c r="O111" s="419"/>
      <c r="P111" s="419"/>
      <c r="Q111" s="419"/>
      <c r="R111" s="419"/>
      <c r="S111" s="419"/>
      <c r="T111" s="419"/>
      <c r="U111" s="419"/>
      <c r="V111" s="419"/>
      <c r="W111" s="419"/>
      <c r="X111" s="419"/>
      <c r="Y111" s="419"/>
      <c r="Z111" s="419"/>
    </row>
    <row r="112">
      <c r="A112" s="504" t="str">
        <f>HYPERLINK("https://youtu.be/rmxOkkd2hUk","1. SHOULDER PRESS")</f>
        <v>1. SHOULDER PRESS</v>
      </c>
      <c r="B112" s="53"/>
      <c r="C112" s="53"/>
      <c r="D112" s="53"/>
      <c r="E112" s="53"/>
      <c r="F112" s="54"/>
      <c r="G112" s="419"/>
      <c r="H112" s="778" t="str">
        <f>HYPERLINK("https://www.youtube.com/watch?v=-cSBPE-y38M","1. MACHINE SHOULDER PRESS")</f>
        <v>1. MACHINE SHOULDER PRESS</v>
      </c>
      <c r="I112" s="53"/>
      <c r="J112" s="53"/>
      <c r="K112" s="53"/>
      <c r="L112" s="53"/>
      <c r="M112" s="54"/>
      <c r="N112" s="419"/>
      <c r="O112" s="419"/>
      <c r="P112" s="419"/>
      <c r="Q112" s="419"/>
      <c r="R112" s="419"/>
      <c r="S112" s="419"/>
      <c r="T112" s="419"/>
      <c r="U112" s="419"/>
      <c r="V112" s="419"/>
      <c r="W112" s="419"/>
      <c r="X112" s="419"/>
      <c r="Y112" s="419"/>
      <c r="Z112" s="419"/>
    </row>
    <row r="113">
      <c r="A113" s="589" t="s">
        <v>119</v>
      </c>
      <c r="B113" s="227">
        <v>80.0</v>
      </c>
      <c r="C113" s="20"/>
      <c r="D113" s="20"/>
      <c r="E113" s="20"/>
      <c r="F113" s="95"/>
      <c r="G113" s="419"/>
      <c r="H113" s="226" t="s">
        <v>145</v>
      </c>
      <c r="I113" s="227">
        <f>IF('WEEK 1 '!I122="",B113,'WEEK 1 '!I122)</f>
        <v>80</v>
      </c>
      <c r="J113" s="20"/>
      <c r="K113" s="20"/>
      <c r="L113" s="20"/>
      <c r="M113" s="95"/>
      <c r="N113" s="419"/>
      <c r="O113" s="419"/>
      <c r="P113" s="419"/>
      <c r="Q113" s="419"/>
      <c r="R113" s="419"/>
      <c r="S113" s="419"/>
      <c r="T113" s="419"/>
      <c r="U113" s="419"/>
      <c r="V113" s="419"/>
      <c r="W113" s="419"/>
      <c r="X113" s="419"/>
      <c r="Y113" s="419"/>
      <c r="Z113" s="419"/>
    </row>
    <row r="114">
      <c r="A114" s="364" t="s">
        <v>50</v>
      </c>
      <c r="B114" s="365" t="s">
        <v>51</v>
      </c>
      <c r="C114" s="365" t="s">
        <v>52</v>
      </c>
      <c r="D114" s="365" t="s">
        <v>53</v>
      </c>
      <c r="E114" s="609" t="s">
        <v>54</v>
      </c>
      <c r="F114" s="61" t="s">
        <v>55</v>
      </c>
      <c r="G114" s="724"/>
      <c r="H114" s="364" t="s">
        <v>50</v>
      </c>
      <c r="I114" s="365" t="s">
        <v>51</v>
      </c>
      <c r="J114" s="365" t="s">
        <v>52</v>
      </c>
      <c r="K114" s="365" t="s">
        <v>53</v>
      </c>
      <c r="L114" s="609" t="s">
        <v>54</v>
      </c>
      <c r="M114" s="61" t="s">
        <v>55</v>
      </c>
      <c r="N114" s="724"/>
      <c r="O114" s="724"/>
      <c r="P114" s="724"/>
      <c r="Q114" s="724"/>
      <c r="R114" s="724"/>
      <c r="S114" s="724"/>
      <c r="T114" s="724"/>
      <c r="U114" s="724"/>
      <c r="V114" s="724"/>
      <c r="W114" s="724"/>
      <c r="X114" s="724"/>
      <c r="Y114" s="724"/>
      <c r="Z114" s="724"/>
    </row>
    <row r="115">
      <c r="A115" s="236">
        <v>1.0</v>
      </c>
      <c r="B115" s="237">
        <f>mround('WEEK 3 '!B113*0.35,5)</f>
        <v>30</v>
      </c>
      <c r="C115" s="237">
        <v>6.0</v>
      </c>
      <c r="D115" s="238" t="s">
        <v>120</v>
      </c>
      <c r="E115" s="66"/>
      <c r="F115" s="67"/>
      <c r="G115" s="728"/>
      <c r="H115" s="236">
        <v>1.0</v>
      </c>
      <c r="I115" s="237">
        <f>MROUND((I113*0.4+I113)*0.35,5)</f>
        <v>40</v>
      </c>
      <c r="J115" s="237">
        <v>6.0</v>
      </c>
      <c r="K115" s="238" t="s">
        <v>120</v>
      </c>
      <c r="L115" s="66"/>
      <c r="M115" s="67"/>
      <c r="N115" s="728"/>
      <c r="O115" s="728"/>
      <c r="P115" s="728"/>
      <c r="Q115" s="728"/>
      <c r="R115" s="728"/>
      <c r="S115" s="728"/>
      <c r="T115" s="728"/>
      <c r="U115" s="728"/>
      <c r="V115" s="728"/>
      <c r="W115" s="728"/>
      <c r="X115" s="728"/>
      <c r="Y115" s="728"/>
      <c r="Z115" s="728"/>
    </row>
    <row r="116">
      <c r="A116" s="236">
        <v>2.0</v>
      </c>
      <c r="B116" s="237">
        <f>mround('WEEK 3 '!B113*0.65,5)</f>
        <v>50</v>
      </c>
      <c r="C116" s="237">
        <v>1.0</v>
      </c>
      <c r="D116" s="238" t="s">
        <v>57</v>
      </c>
      <c r="E116" s="66"/>
      <c r="F116" s="67"/>
      <c r="G116" s="728"/>
      <c r="H116" s="236">
        <v>2.0</v>
      </c>
      <c r="I116" s="237">
        <f>mround('WEEK 3 '!I113*0.65,5)</f>
        <v>50</v>
      </c>
      <c r="J116" s="237">
        <v>1.0</v>
      </c>
      <c r="K116" s="238" t="s">
        <v>57</v>
      </c>
      <c r="L116" s="66"/>
      <c r="M116" s="67"/>
      <c r="N116" s="728"/>
      <c r="O116" s="728"/>
      <c r="P116" s="728"/>
      <c r="Q116" s="728"/>
      <c r="R116" s="728"/>
      <c r="S116" s="728"/>
      <c r="T116" s="728"/>
      <c r="U116" s="728"/>
      <c r="V116" s="728"/>
      <c r="W116" s="728"/>
      <c r="X116" s="728"/>
      <c r="Y116" s="728"/>
      <c r="Z116" s="728"/>
    </row>
    <row r="117">
      <c r="A117" s="779">
        <v>3.0</v>
      </c>
      <c r="B117" s="780">
        <f> mround(B113*0.9,5)</f>
        <v>70</v>
      </c>
      <c r="C117" s="781" t="s">
        <v>65</v>
      </c>
      <c r="D117" s="782" t="s">
        <v>57</v>
      </c>
      <c r="E117" s="783"/>
      <c r="F117" s="784"/>
      <c r="G117" s="728"/>
      <c r="H117" s="779">
        <v>3.0</v>
      </c>
      <c r="I117" s="780">
        <f> mround(I113*0.9,5)</f>
        <v>70</v>
      </c>
      <c r="J117" s="781" t="s">
        <v>65</v>
      </c>
      <c r="K117" s="782" t="s">
        <v>57</v>
      </c>
      <c r="L117" s="783"/>
      <c r="M117" s="784"/>
      <c r="N117" s="728"/>
      <c r="O117" s="728"/>
      <c r="P117" s="728"/>
      <c r="Q117" s="728"/>
      <c r="R117" s="728"/>
      <c r="S117" s="728"/>
      <c r="T117" s="728"/>
      <c r="U117" s="728"/>
      <c r="V117" s="728"/>
      <c r="W117" s="728"/>
      <c r="X117" s="728"/>
      <c r="Y117" s="728"/>
      <c r="Z117" s="728"/>
    </row>
    <row r="118">
      <c r="A118" s="785">
        <v>4.0</v>
      </c>
      <c r="B118" s="388">
        <f>if(F117&lt;20,mround(B117*0.9,5),B117)</f>
        <v>65</v>
      </c>
      <c r="C118" s="781" t="s">
        <v>65</v>
      </c>
      <c r="D118" s="390" t="s">
        <v>57</v>
      </c>
      <c r="E118" s="786"/>
      <c r="F118" s="392"/>
      <c r="G118" s="728"/>
      <c r="H118" s="785">
        <v>4.0</v>
      </c>
      <c r="I118" s="388">
        <f>if(M117&lt;20,mround(I117*0.9,5),I117)</f>
        <v>65</v>
      </c>
      <c r="J118" s="781" t="s">
        <v>65</v>
      </c>
      <c r="K118" s="390" t="s">
        <v>57</v>
      </c>
      <c r="L118" s="786"/>
      <c r="M118" s="392"/>
      <c r="N118" s="728"/>
      <c r="O118" s="728"/>
      <c r="P118" s="728"/>
      <c r="Q118" s="728"/>
      <c r="R118" s="728"/>
      <c r="S118" s="728"/>
      <c r="T118" s="728"/>
      <c r="U118" s="728"/>
      <c r="V118" s="728"/>
      <c r="W118" s="728"/>
      <c r="X118" s="728"/>
      <c r="Y118" s="728"/>
      <c r="Z118" s="728"/>
    </row>
    <row r="119">
      <c r="A119" s="787">
        <v>5.0</v>
      </c>
      <c r="B119" s="788">
        <f>if(F118&lt;20,mround(B118*0.85,2.5),B118)</f>
        <v>55</v>
      </c>
      <c r="C119" s="789" t="s">
        <v>65</v>
      </c>
      <c r="D119" s="397" t="s">
        <v>57</v>
      </c>
      <c r="E119" s="790"/>
      <c r="F119" s="392"/>
      <c r="G119" s="724"/>
      <c r="H119" s="787">
        <v>5.0</v>
      </c>
      <c r="I119" s="788">
        <f>if(M118&lt;20,mround(I118*0.85,2.5),I118)</f>
        <v>55</v>
      </c>
      <c r="J119" s="789" t="s">
        <v>65</v>
      </c>
      <c r="K119" s="397" t="s">
        <v>57</v>
      </c>
      <c r="L119" s="790"/>
      <c r="M119" s="392"/>
      <c r="N119" s="724"/>
      <c r="O119" s="724"/>
      <c r="P119" s="724"/>
      <c r="Q119" s="724"/>
      <c r="R119" s="724"/>
      <c r="S119" s="724"/>
      <c r="T119" s="724"/>
      <c r="U119" s="724"/>
      <c r="V119" s="724"/>
      <c r="W119" s="724"/>
      <c r="X119" s="724"/>
      <c r="Y119" s="724"/>
      <c r="Z119" s="724"/>
    </row>
    <row r="120">
      <c r="A120" s="791"/>
      <c r="B120" s="791"/>
      <c r="C120" s="791"/>
      <c r="D120" s="792"/>
      <c r="E120" s="793"/>
      <c r="F120" s="792"/>
      <c r="G120" s="419"/>
      <c r="H120" s="419"/>
      <c r="I120" s="419"/>
      <c r="J120" s="419"/>
      <c r="K120" s="419"/>
      <c r="L120" s="717"/>
      <c r="M120" s="419"/>
      <c r="N120" s="419"/>
      <c r="O120" s="419"/>
      <c r="P120" s="419"/>
      <c r="Q120" s="419"/>
      <c r="R120" s="419"/>
      <c r="S120" s="419"/>
      <c r="T120" s="419"/>
      <c r="U120" s="419"/>
      <c r="V120" s="419"/>
      <c r="W120" s="419"/>
      <c r="X120" s="419"/>
      <c r="Y120" s="419"/>
      <c r="Z120" s="419"/>
    </row>
    <row r="121">
      <c r="A121" s="791"/>
      <c r="B121" s="791"/>
      <c r="C121" s="791"/>
      <c r="D121" s="792"/>
      <c r="E121" s="793"/>
      <c r="F121" s="792"/>
      <c r="G121" s="419"/>
      <c r="H121" s="419"/>
      <c r="I121" s="419"/>
      <c r="J121" s="419"/>
      <c r="K121" s="419"/>
      <c r="L121" s="717"/>
      <c r="M121" s="419"/>
      <c r="N121" s="419"/>
      <c r="O121" s="419"/>
      <c r="P121" s="419"/>
      <c r="Q121" s="419"/>
      <c r="R121" s="419"/>
      <c r="S121" s="419"/>
      <c r="T121" s="419"/>
      <c r="U121" s="419"/>
      <c r="V121" s="419"/>
      <c r="W121" s="419"/>
      <c r="X121" s="419"/>
      <c r="Y121" s="419"/>
      <c r="Z121" s="419"/>
    </row>
    <row r="122">
      <c r="A122" s="687" t="str">
        <f>HYPERLINK("https://www.youtube.com/watch?v=XDLQt1j3qUU","2. Dumbbell REAR DELT FLY ")</f>
        <v>2. Dumbbell REAR DELT FLY </v>
      </c>
      <c r="B122" s="53"/>
      <c r="C122" s="53"/>
      <c r="D122" s="53"/>
      <c r="E122" s="53"/>
      <c r="F122" s="54"/>
      <c r="G122" s="419"/>
      <c r="H122" s="419"/>
      <c r="I122" s="419"/>
      <c r="J122" s="419"/>
      <c r="K122" s="419"/>
      <c r="L122" s="717"/>
      <c r="M122" s="419"/>
      <c r="N122" s="419"/>
      <c r="O122" s="419"/>
      <c r="P122" s="419"/>
      <c r="Q122" s="419"/>
      <c r="R122" s="419"/>
      <c r="S122" s="419"/>
      <c r="T122" s="419"/>
      <c r="U122" s="419"/>
      <c r="V122" s="419"/>
      <c r="W122" s="419"/>
      <c r="X122" s="419"/>
      <c r="Y122" s="419"/>
      <c r="Z122" s="419"/>
    </row>
    <row r="123">
      <c r="A123" s="226" t="s">
        <v>145</v>
      </c>
      <c r="B123" s="691">
        <f>('WEEK 3 '!B113)</f>
        <v>80</v>
      </c>
      <c r="C123" s="13"/>
      <c r="D123" s="13"/>
      <c r="E123" s="13"/>
      <c r="F123" s="57"/>
      <c r="G123" s="419"/>
      <c r="H123" s="419"/>
      <c r="I123" s="419"/>
      <c r="J123" s="419"/>
      <c r="K123" s="419"/>
      <c r="L123" s="717"/>
      <c r="M123" s="419"/>
      <c r="N123" s="419"/>
      <c r="O123" s="419"/>
      <c r="P123" s="419"/>
      <c r="Q123" s="419"/>
      <c r="R123" s="419"/>
      <c r="S123" s="419"/>
      <c r="T123" s="419"/>
      <c r="U123" s="419"/>
      <c r="V123" s="419"/>
      <c r="W123" s="419"/>
      <c r="X123" s="419"/>
      <c r="Y123" s="419"/>
      <c r="Z123" s="419"/>
    </row>
    <row r="124">
      <c r="A124" s="96" t="s">
        <v>50</v>
      </c>
      <c r="B124" s="97" t="s">
        <v>51</v>
      </c>
      <c r="C124" s="97" t="s">
        <v>52</v>
      </c>
      <c r="D124" s="97" t="s">
        <v>53</v>
      </c>
      <c r="E124" s="341" t="s">
        <v>54</v>
      </c>
      <c r="F124" s="235" t="s">
        <v>55</v>
      </c>
      <c r="G124" s="724"/>
      <c r="H124" s="724"/>
      <c r="I124" s="724"/>
      <c r="J124" s="724"/>
      <c r="K124" s="724"/>
      <c r="L124" s="748"/>
      <c r="M124" s="724"/>
      <c r="N124" s="724"/>
      <c r="O124" s="724"/>
      <c r="P124" s="724"/>
      <c r="Q124" s="724"/>
      <c r="R124" s="724"/>
      <c r="S124" s="724"/>
      <c r="T124" s="724"/>
      <c r="U124" s="724"/>
      <c r="V124" s="724"/>
      <c r="W124" s="724"/>
      <c r="X124" s="724"/>
      <c r="Y124" s="724"/>
      <c r="Z124" s="724"/>
    </row>
    <row r="125">
      <c r="A125" s="556">
        <v>1.0</v>
      </c>
      <c r="B125" s="237">
        <f>MROUND('WEEK 3 '!B123*0.9*0.2,2.5)</f>
        <v>15</v>
      </c>
      <c r="C125" s="65" t="s">
        <v>61</v>
      </c>
      <c r="D125" s="693" t="s">
        <v>127</v>
      </c>
      <c r="E125" s="346"/>
      <c r="F125" s="694"/>
      <c r="G125" s="728"/>
      <c r="H125" s="728"/>
      <c r="I125" s="728"/>
      <c r="J125" s="728"/>
      <c r="K125" s="728"/>
      <c r="L125" s="749"/>
      <c r="M125" s="728"/>
      <c r="N125" s="728"/>
      <c r="O125" s="728"/>
      <c r="P125" s="728"/>
      <c r="Q125" s="728"/>
      <c r="R125" s="728"/>
      <c r="S125" s="728"/>
      <c r="T125" s="728"/>
      <c r="U125" s="728"/>
      <c r="V125" s="728"/>
      <c r="W125" s="728"/>
      <c r="X125" s="728"/>
      <c r="Y125" s="728"/>
      <c r="Z125" s="728"/>
    </row>
    <row r="126">
      <c r="A126" s="556">
        <v>2.0</v>
      </c>
      <c r="B126" s="237">
        <f>if('WEEK 3 '!F125&lt;6,mround('WEEK 3 '!B125*0.8,2.5),IF('WEEK 3 '!F125&lt;=10,MROUND('WEEK 3 '!B125*0.95,2.5),'WEEK 3 '!B125))</f>
        <v>15</v>
      </c>
      <c r="C126" s="65" t="s">
        <v>61</v>
      </c>
      <c r="D126" s="693" t="s">
        <v>127</v>
      </c>
      <c r="E126" s="346"/>
      <c r="F126" s="694"/>
      <c r="G126" s="728"/>
      <c r="H126" s="728"/>
      <c r="I126" s="728"/>
      <c r="J126" s="728"/>
      <c r="K126" s="728"/>
      <c r="L126" s="749"/>
      <c r="M126" s="728"/>
      <c r="N126" s="728"/>
      <c r="O126" s="728"/>
      <c r="P126" s="728"/>
      <c r="Q126" s="728"/>
      <c r="R126" s="728"/>
      <c r="S126" s="728"/>
      <c r="T126" s="728"/>
      <c r="U126" s="728"/>
      <c r="V126" s="728"/>
      <c r="W126" s="728"/>
      <c r="X126" s="728"/>
      <c r="Y126" s="728"/>
      <c r="Z126" s="728"/>
    </row>
    <row r="127">
      <c r="A127" s="561">
        <v>3.0</v>
      </c>
      <c r="B127" s="371">
        <f>if('WEEK 3 '!F126&lt;8,mround('WEEK 3 '!B126*0.8,5),IF('WEEK 3 '!F126&lt;=14,MROUND('WEEK 3 '!B126*0.95,5),'WEEK 3 '!B126))</f>
        <v>15</v>
      </c>
      <c r="C127" s="65" t="s">
        <v>61</v>
      </c>
      <c r="D127" s="794" t="s">
        <v>127</v>
      </c>
      <c r="E127" s="695"/>
      <c r="F127" s="694"/>
      <c r="G127" s="728"/>
      <c r="H127" s="728"/>
      <c r="I127" s="728"/>
      <c r="J127" s="728"/>
      <c r="K127" s="728"/>
      <c r="L127" s="749"/>
      <c r="M127" s="728"/>
      <c r="N127" s="728"/>
      <c r="O127" s="728"/>
      <c r="P127" s="728"/>
      <c r="Q127" s="728"/>
      <c r="R127" s="728"/>
      <c r="S127" s="728"/>
      <c r="T127" s="728"/>
      <c r="U127" s="728"/>
      <c r="V127" s="728"/>
      <c r="W127" s="728"/>
      <c r="X127" s="728"/>
      <c r="Y127" s="728"/>
      <c r="Z127" s="728"/>
    </row>
    <row r="128">
      <c r="A128" s="795"/>
      <c r="B128" s="795"/>
      <c r="C128" s="795"/>
      <c r="D128" s="792"/>
      <c r="E128" s="793"/>
      <c r="F128" s="792"/>
      <c r="G128" s="419"/>
      <c r="H128" s="419"/>
      <c r="I128" s="419"/>
      <c r="J128" s="419"/>
      <c r="K128" s="419"/>
      <c r="L128" s="717"/>
      <c r="M128" s="419"/>
      <c r="N128" s="419"/>
      <c r="O128" s="419"/>
      <c r="P128" s="419"/>
      <c r="Q128" s="419"/>
      <c r="R128" s="419"/>
      <c r="S128" s="419"/>
      <c r="T128" s="419"/>
      <c r="U128" s="419"/>
      <c r="V128" s="419"/>
      <c r="W128" s="419"/>
      <c r="X128" s="419"/>
      <c r="Y128" s="419"/>
      <c r="Z128" s="419"/>
    </row>
    <row r="129">
      <c r="A129" s="795"/>
      <c r="B129" s="795"/>
      <c r="C129" s="795"/>
      <c r="D129" s="792"/>
      <c r="E129" s="793"/>
      <c r="F129" s="792"/>
      <c r="G129" s="419"/>
      <c r="H129" s="419"/>
      <c r="I129" s="419"/>
      <c r="J129" s="419"/>
      <c r="K129" s="419"/>
      <c r="L129" s="717"/>
      <c r="M129" s="419"/>
      <c r="N129" s="419"/>
      <c r="O129" s="419"/>
      <c r="P129" s="419"/>
      <c r="Q129" s="419"/>
      <c r="R129" s="419"/>
      <c r="S129" s="419"/>
      <c r="T129" s="419"/>
      <c r="U129" s="419"/>
      <c r="V129" s="419"/>
      <c r="W129" s="419"/>
      <c r="X129" s="419"/>
      <c r="Y129" s="419"/>
      <c r="Z129" s="419"/>
    </row>
    <row r="130">
      <c r="A130" s="74" t="str">
        <f>HYPERLINK("https://youtu.be/jat-iMMa0ac","3. DUMBBELL SIDE LATERAL RAISE")</f>
        <v>3. DUMBBELL SIDE LATERAL RAISE</v>
      </c>
      <c r="B130" s="53"/>
      <c r="C130" s="53"/>
      <c r="D130" s="53"/>
      <c r="E130" s="53"/>
      <c r="F130" s="54"/>
      <c r="G130" s="419"/>
      <c r="H130" s="419"/>
      <c r="I130" s="419"/>
      <c r="J130" s="419"/>
      <c r="K130" s="419"/>
      <c r="L130" s="717"/>
      <c r="M130" s="419"/>
      <c r="N130" s="419"/>
      <c r="O130" s="419"/>
      <c r="P130" s="419"/>
      <c r="Q130" s="419"/>
      <c r="R130" s="419"/>
      <c r="S130" s="419"/>
      <c r="T130" s="419"/>
      <c r="U130" s="419"/>
      <c r="V130" s="419"/>
      <c r="W130" s="419"/>
      <c r="X130" s="419"/>
      <c r="Y130" s="419"/>
      <c r="Z130" s="419"/>
    </row>
    <row r="131">
      <c r="A131" s="226" t="s">
        <v>145</v>
      </c>
      <c r="B131" s="90">
        <f>'WEEK 2'!B137</f>
        <v>30</v>
      </c>
      <c r="C131" s="13"/>
      <c r="D131" s="13"/>
      <c r="E131" s="13"/>
      <c r="F131" s="57"/>
      <c r="G131" s="419"/>
      <c r="H131" s="419"/>
      <c r="I131" s="419"/>
      <c r="J131" s="419"/>
      <c r="K131" s="419"/>
      <c r="L131" s="717"/>
      <c r="M131" s="419"/>
      <c r="N131" s="419"/>
      <c r="O131" s="419"/>
      <c r="P131" s="419"/>
      <c r="Q131" s="419"/>
      <c r="R131" s="419"/>
      <c r="S131" s="419"/>
      <c r="T131" s="419"/>
      <c r="U131" s="419"/>
      <c r="V131" s="419"/>
      <c r="W131" s="419"/>
      <c r="X131" s="419"/>
      <c r="Y131" s="419"/>
      <c r="Z131" s="419"/>
    </row>
    <row r="132">
      <c r="A132" s="376" t="s">
        <v>50</v>
      </c>
      <c r="B132" s="79" t="s">
        <v>51</v>
      </c>
      <c r="C132" s="79" t="s">
        <v>52</v>
      </c>
      <c r="D132" s="79" t="s">
        <v>53</v>
      </c>
      <c r="E132" s="98" t="s">
        <v>54</v>
      </c>
      <c r="F132" s="377" t="s">
        <v>55</v>
      </c>
      <c r="G132" s="419"/>
      <c r="H132" s="419"/>
      <c r="I132" s="419"/>
      <c r="J132" s="419"/>
      <c r="K132" s="419"/>
      <c r="L132" s="717"/>
      <c r="M132" s="419"/>
      <c r="N132" s="419"/>
      <c r="O132" s="419"/>
      <c r="P132" s="419"/>
      <c r="Q132" s="419"/>
      <c r="R132" s="419"/>
      <c r="S132" s="419"/>
      <c r="T132" s="419"/>
      <c r="U132" s="419"/>
      <c r="V132" s="419"/>
      <c r="W132" s="419"/>
      <c r="X132" s="419"/>
      <c r="Y132" s="419"/>
      <c r="Z132" s="419"/>
    </row>
    <row r="133">
      <c r="A133" s="81">
        <v>1.0</v>
      </c>
      <c r="B133" s="82">
        <f>mround('WEEK 3 '!B131*0.9*0.2,5)</f>
        <v>15</v>
      </c>
      <c r="C133" s="65" t="s">
        <v>61</v>
      </c>
      <c r="D133" s="693" t="s">
        <v>122</v>
      </c>
      <c r="E133" s="378"/>
      <c r="F133" s="796"/>
      <c r="G133" s="419"/>
      <c r="H133" s="419"/>
      <c r="I133" s="419"/>
      <c r="J133" s="419"/>
      <c r="K133" s="419"/>
      <c r="L133" s="717"/>
      <c r="M133" s="419"/>
      <c r="N133" s="419"/>
      <c r="O133" s="419"/>
      <c r="P133" s="419"/>
      <c r="Q133" s="419"/>
      <c r="R133" s="419"/>
      <c r="S133" s="419"/>
      <c r="T133" s="419"/>
      <c r="U133" s="419"/>
      <c r="V133" s="419"/>
      <c r="W133" s="419"/>
      <c r="X133" s="419"/>
      <c r="Y133" s="419"/>
      <c r="Z133" s="419"/>
    </row>
    <row r="134">
      <c r="A134" s="81">
        <v>2.0</v>
      </c>
      <c r="B134" s="82">
        <f>if('WEEK 3 '!F133&lt;12,mround('WEEK 3 '!B131*0.15,2.5),'WEEK 3 '!B133)</f>
        <v>15</v>
      </c>
      <c r="C134" s="65" t="s">
        <v>61</v>
      </c>
      <c r="D134" s="693" t="s">
        <v>122</v>
      </c>
      <c r="E134" s="378"/>
      <c r="F134" s="330"/>
      <c r="G134" s="419"/>
      <c r="H134" s="419"/>
      <c r="I134" s="419"/>
      <c r="J134" s="419"/>
      <c r="K134" s="419"/>
      <c r="L134" s="717"/>
      <c r="M134" s="419"/>
      <c r="N134" s="419"/>
      <c r="O134" s="419"/>
      <c r="P134" s="419"/>
      <c r="Q134" s="419"/>
      <c r="R134" s="419"/>
      <c r="S134" s="419"/>
      <c r="T134" s="419"/>
      <c r="U134" s="419"/>
      <c r="V134" s="419"/>
      <c r="W134" s="419"/>
      <c r="X134" s="419"/>
      <c r="Y134" s="419"/>
      <c r="Z134" s="419"/>
    </row>
    <row r="135">
      <c r="A135" s="86">
        <v>3.0</v>
      </c>
      <c r="B135" s="87">
        <f>if('WEEK 3 '!F134&lt;12,mround('WEEK 3 '!B131*0.1,2.5),'WEEK 3 '!B134)</f>
        <v>15</v>
      </c>
      <c r="C135" s="65" t="s">
        <v>61</v>
      </c>
      <c r="D135" s="693" t="s">
        <v>122</v>
      </c>
      <c r="E135" s="379"/>
      <c r="F135" s="85"/>
      <c r="G135" s="419"/>
      <c r="H135" s="419"/>
      <c r="I135" s="419"/>
      <c r="J135" s="419"/>
      <c r="K135" s="419"/>
      <c r="L135" s="717"/>
      <c r="M135" s="419"/>
      <c r="N135" s="419"/>
      <c r="O135" s="419"/>
      <c r="P135" s="419"/>
      <c r="Q135" s="419"/>
      <c r="R135" s="419"/>
      <c r="S135" s="419"/>
      <c r="T135" s="419"/>
      <c r="U135" s="419"/>
      <c r="V135" s="419"/>
      <c r="W135" s="419"/>
      <c r="X135" s="419"/>
      <c r="Y135" s="419"/>
      <c r="Z135" s="419"/>
    </row>
    <row r="136">
      <c r="A136" s="795"/>
      <c r="B136" s="795"/>
      <c r="C136" s="795"/>
      <c r="D136" s="792"/>
      <c r="E136" s="793"/>
      <c r="F136" s="792"/>
      <c r="G136" s="419"/>
      <c r="H136" s="419"/>
      <c r="I136" s="419"/>
      <c r="J136" s="419"/>
      <c r="K136" s="419"/>
      <c r="L136" s="717"/>
      <c r="M136" s="419"/>
      <c r="N136" s="419"/>
      <c r="O136" s="419"/>
      <c r="P136" s="419"/>
      <c r="Q136" s="419"/>
      <c r="R136" s="419"/>
      <c r="S136" s="419"/>
      <c r="T136" s="419"/>
      <c r="U136" s="419"/>
      <c r="V136" s="419"/>
      <c r="W136" s="419"/>
      <c r="X136" s="419"/>
      <c r="Y136" s="419"/>
      <c r="Z136" s="419"/>
    </row>
    <row r="137">
      <c r="A137" s="795"/>
      <c r="B137" s="795"/>
      <c r="C137" s="795"/>
      <c r="D137" s="792"/>
      <c r="E137" s="793"/>
      <c r="F137" s="792"/>
      <c r="G137" s="419"/>
      <c r="H137" s="419"/>
      <c r="I137" s="419"/>
      <c r="J137" s="419"/>
      <c r="K137" s="419"/>
      <c r="L137" s="717"/>
      <c r="M137" s="419"/>
      <c r="N137" s="419"/>
      <c r="O137" s="419"/>
      <c r="P137" s="419"/>
      <c r="Q137" s="419"/>
      <c r="R137" s="419"/>
      <c r="S137" s="419"/>
      <c r="T137" s="419"/>
      <c r="U137" s="419"/>
      <c r="V137" s="419"/>
      <c r="W137" s="419"/>
      <c r="X137" s="419"/>
      <c r="Y137" s="419"/>
      <c r="Z137" s="419"/>
    </row>
    <row r="138">
      <c r="A138" s="361" t="str">
        <f>HYPERLINK("https://www.youtube.com/watch?v=Zt0LwrUdpNs","2.  TRICEP OVERHEAD ROPE EXTENSION")</f>
        <v>2.  TRICEP OVERHEAD ROPE EXTENSION</v>
      </c>
      <c r="B138" s="53"/>
      <c r="C138" s="53"/>
      <c r="D138" s="53"/>
      <c r="E138" s="53"/>
      <c r="F138" s="54"/>
      <c r="G138" s="419"/>
      <c r="N138" s="419"/>
      <c r="O138" s="419"/>
      <c r="P138" s="419"/>
      <c r="Q138" s="419"/>
      <c r="R138" s="419"/>
      <c r="S138" s="419"/>
      <c r="T138" s="419"/>
      <c r="U138" s="419"/>
      <c r="V138" s="419"/>
      <c r="W138" s="419"/>
      <c r="X138" s="419"/>
      <c r="Y138" s="419"/>
      <c r="Z138" s="419"/>
    </row>
    <row r="139">
      <c r="A139" s="226" t="s">
        <v>155</v>
      </c>
      <c r="B139" s="90">
        <f>'WEEK 2'!B145</f>
        <v>60</v>
      </c>
      <c r="C139" s="13"/>
      <c r="D139" s="13"/>
      <c r="E139" s="13"/>
      <c r="F139" s="57"/>
      <c r="G139" s="419"/>
      <c r="N139" s="419"/>
      <c r="O139" s="419"/>
      <c r="P139" s="419"/>
      <c r="Q139" s="419"/>
      <c r="R139" s="419"/>
      <c r="S139" s="419"/>
      <c r="T139" s="419"/>
      <c r="U139" s="419"/>
      <c r="V139" s="419"/>
      <c r="W139" s="419"/>
      <c r="X139" s="419"/>
      <c r="Y139" s="419"/>
      <c r="Z139" s="419"/>
    </row>
    <row r="140">
      <c r="A140" s="77" t="s">
        <v>50</v>
      </c>
      <c r="B140" s="78" t="s">
        <v>51</v>
      </c>
      <c r="C140" s="78" t="s">
        <v>52</v>
      </c>
      <c r="D140" s="78" t="s">
        <v>53</v>
      </c>
      <c r="E140" s="80" t="s">
        <v>54</v>
      </c>
      <c r="F140" s="235" t="s">
        <v>55</v>
      </c>
      <c r="G140" s="724"/>
      <c r="N140" s="724"/>
      <c r="O140" s="724"/>
      <c r="P140" s="724"/>
      <c r="Q140" s="724"/>
      <c r="R140" s="724"/>
      <c r="S140" s="724"/>
      <c r="T140" s="724"/>
      <c r="U140" s="724"/>
      <c r="V140" s="724"/>
      <c r="W140" s="724"/>
      <c r="X140" s="724"/>
      <c r="Y140" s="724"/>
      <c r="Z140" s="724"/>
    </row>
    <row r="141">
      <c r="A141" s="81">
        <v>1.0</v>
      </c>
      <c r="B141" s="82">
        <f>MROUND('WEEK 3 '!B139*0.9,10)</f>
        <v>70</v>
      </c>
      <c r="C141" s="65" t="s">
        <v>61</v>
      </c>
      <c r="D141" s="83" t="s">
        <v>58</v>
      </c>
      <c r="E141" s="84" t="str">
        <f>IF('WEEK 1 '!B144=B141,'WEEK 1 '!F144,"")</f>
        <v/>
      </c>
      <c r="F141" s="85"/>
      <c r="G141" s="728"/>
      <c r="N141" s="728"/>
      <c r="O141" s="728"/>
      <c r="P141" s="728"/>
      <c r="Q141" s="728"/>
      <c r="R141" s="728"/>
      <c r="S141" s="728"/>
      <c r="T141" s="728"/>
      <c r="U141" s="728"/>
      <c r="V141" s="728"/>
      <c r="W141" s="728"/>
      <c r="X141" s="728"/>
      <c r="Y141" s="728"/>
      <c r="Z141" s="728"/>
    </row>
    <row r="142">
      <c r="A142" s="81">
        <v>2.0</v>
      </c>
      <c r="B142" s="82">
        <f>if('WEEK 3 '!F141&lt;10,mround('WEEK 3 '!B141*0.8,5),IF('WEEK 3 '!F141&lt;=14,MROUND('WEEK 3 '!B139*0.95,5),'WEEK 3 '!B141))</f>
        <v>75</v>
      </c>
      <c r="C142" s="65" t="s">
        <v>61</v>
      </c>
      <c r="D142" s="83" t="s">
        <v>58</v>
      </c>
      <c r="E142" s="84" t="str">
        <f>IF('WEEK 1 '!B145=B142,'WEEK 1 '!F145,"")</f>
        <v/>
      </c>
      <c r="F142" s="85"/>
      <c r="G142" s="728"/>
      <c r="N142" s="728"/>
      <c r="O142" s="728"/>
      <c r="P142" s="728"/>
      <c r="Q142" s="728"/>
      <c r="R142" s="728"/>
      <c r="S142" s="728"/>
      <c r="T142" s="728"/>
      <c r="U142" s="728"/>
      <c r="V142" s="728"/>
      <c r="W142" s="728"/>
      <c r="X142" s="728"/>
      <c r="Y142" s="728"/>
      <c r="Z142" s="728"/>
    </row>
    <row r="143">
      <c r="A143" s="629">
        <v>3.0</v>
      </c>
      <c r="B143" s="82" t="str">
        <f>if('WEEK 3 '!F142&lt;10,mround('WEEK 3 '!B142*0.8,5),IF('WEEK 3 '!F142&lt;=14,MROUND('WEEK 3 '!B140*0.95,5),'WEEK 3 '!B142))</f>
        <v>#VALUE!</v>
      </c>
      <c r="C143" s="65" t="s">
        <v>61</v>
      </c>
      <c r="D143" s="328" t="s">
        <v>58</v>
      </c>
      <c r="E143" s="632" t="str">
        <f>IF('WEEK 1 '!B146=B143,'WEEK 1 '!F146,"")</f>
        <v>#VALUE!</v>
      </c>
      <c r="F143" s="330"/>
      <c r="G143" s="728"/>
      <c r="N143" s="728"/>
      <c r="O143" s="728"/>
      <c r="P143" s="728"/>
      <c r="Q143" s="728"/>
      <c r="R143" s="728"/>
      <c r="S143" s="728"/>
      <c r="T143" s="728"/>
      <c r="U143" s="728"/>
      <c r="V143" s="728"/>
      <c r="W143" s="728"/>
      <c r="X143" s="728"/>
      <c r="Y143" s="728"/>
      <c r="Z143" s="728"/>
    </row>
    <row r="144">
      <c r="A144" s="797"/>
      <c r="B144" s="798"/>
      <c r="C144" s="798"/>
      <c r="D144" s="799"/>
      <c r="E144" s="800"/>
      <c r="F144" s="799"/>
      <c r="G144" s="728"/>
      <c r="N144" s="728"/>
      <c r="O144" s="728"/>
      <c r="P144" s="728"/>
      <c r="Q144" s="728"/>
      <c r="R144" s="728"/>
      <c r="S144" s="728"/>
      <c r="T144" s="728"/>
      <c r="U144" s="728"/>
      <c r="V144" s="728"/>
      <c r="W144" s="728"/>
      <c r="X144" s="728"/>
      <c r="Y144" s="728"/>
      <c r="Z144" s="728"/>
    </row>
    <row r="145">
      <c r="G145" s="419"/>
      <c r="H145" s="419"/>
      <c r="I145" s="419"/>
      <c r="J145" s="419"/>
      <c r="K145" s="419"/>
      <c r="L145" s="717"/>
      <c r="M145" s="419"/>
      <c r="N145" s="419"/>
      <c r="O145" s="419"/>
      <c r="P145" s="419"/>
      <c r="Q145" s="419"/>
      <c r="R145" s="419"/>
      <c r="S145" s="419"/>
      <c r="T145" s="419"/>
      <c r="U145" s="419"/>
      <c r="V145" s="419"/>
      <c r="W145" s="419"/>
      <c r="X145" s="419"/>
      <c r="Y145" s="419"/>
      <c r="Z145" s="419"/>
    </row>
    <row r="146">
      <c r="A146" s="75" t="str">
        <f>HYPERLINK("https://www.youtube.com/watch?v=9IqvmIhFxtY","4. BICEP CABLE CURL")</f>
        <v>4. BICEP CABLE CURL</v>
      </c>
      <c r="B146" s="53"/>
      <c r="C146" s="53"/>
      <c r="D146" s="53"/>
      <c r="E146" s="53"/>
      <c r="F146" s="54"/>
      <c r="G146" s="419"/>
      <c r="H146" s="419"/>
      <c r="I146" s="419"/>
      <c r="J146" s="419"/>
      <c r="K146" s="419"/>
      <c r="L146" s="717"/>
      <c r="M146" s="419"/>
      <c r="N146" s="419"/>
      <c r="O146" s="419"/>
      <c r="P146" s="419"/>
      <c r="Q146" s="419"/>
      <c r="R146" s="419"/>
      <c r="S146" s="419"/>
      <c r="T146" s="419"/>
      <c r="U146" s="419"/>
      <c r="V146" s="419"/>
      <c r="W146" s="419"/>
      <c r="X146" s="419"/>
      <c r="Y146" s="419"/>
      <c r="Z146" s="419"/>
    </row>
    <row r="147">
      <c r="A147" s="226" t="s">
        <v>119</v>
      </c>
      <c r="B147" s="76">
        <f>IF('WEEK 2'!B155='WEEK 2'!B157,'WEEK 2'!B157+5,IF('WEEK 2'!F149&lt;=15,MROUND('WEEK 2'!B153*0.95,5),'WEEK 2'!B155))</f>
        <v>30</v>
      </c>
      <c r="C147" s="13"/>
      <c r="D147" s="13"/>
      <c r="E147" s="13"/>
      <c r="F147" s="57"/>
      <c r="G147" s="724"/>
      <c r="H147" s="724"/>
      <c r="I147" s="724"/>
      <c r="J147" s="724"/>
      <c r="K147" s="724"/>
      <c r="L147" s="748"/>
      <c r="M147" s="724"/>
      <c r="N147" s="724"/>
      <c r="O147" s="724"/>
      <c r="P147" s="724"/>
      <c r="Q147" s="724"/>
      <c r="R147" s="724"/>
      <c r="S147" s="724"/>
      <c r="T147" s="724"/>
      <c r="U147" s="724"/>
      <c r="V147" s="724"/>
      <c r="W147" s="724"/>
      <c r="X147" s="724"/>
      <c r="Y147" s="724"/>
      <c r="Z147" s="724"/>
    </row>
    <row r="148">
      <c r="A148" s="77" t="s">
        <v>50</v>
      </c>
      <c r="B148" s="78" t="s">
        <v>51</v>
      </c>
      <c r="C148" s="78" t="s">
        <v>52</v>
      </c>
      <c r="D148" s="78" t="s">
        <v>53</v>
      </c>
      <c r="E148" s="80" t="s">
        <v>54</v>
      </c>
      <c r="F148" s="235" t="s">
        <v>55</v>
      </c>
      <c r="G148" s="728"/>
      <c r="H148" s="728"/>
      <c r="I148" s="728"/>
      <c r="J148" s="728"/>
      <c r="K148" s="728"/>
      <c r="L148" s="749"/>
      <c r="M148" s="728"/>
      <c r="N148" s="728"/>
      <c r="O148" s="728"/>
      <c r="P148" s="728"/>
      <c r="Q148" s="728"/>
      <c r="R148" s="728"/>
      <c r="S148" s="728"/>
      <c r="T148" s="728"/>
      <c r="U148" s="728"/>
      <c r="V148" s="728"/>
      <c r="W148" s="728"/>
      <c r="X148" s="728"/>
      <c r="Y148" s="728"/>
      <c r="Z148" s="728"/>
    </row>
    <row r="149">
      <c r="A149" s="81">
        <v>1.0</v>
      </c>
      <c r="B149" s="82">
        <f>MROUND('WEEK 3 '!B147*0.9,10)</f>
        <v>30</v>
      </c>
      <c r="C149" s="65" t="s">
        <v>64</v>
      </c>
      <c r="D149" s="83" t="s">
        <v>58</v>
      </c>
      <c r="E149" s="84">
        <f>IF('WEEK 2'!B155=B149,'WEEK 2'!F155,"")</f>
        <v>0</v>
      </c>
      <c r="F149" s="85"/>
      <c r="G149" s="728"/>
      <c r="H149" s="728"/>
      <c r="I149" s="728"/>
      <c r="J149" s="728"/>
      <c r="K149" s="728"/>
      <c r="L149" s="749"/>
      <c r="M149" s="728"/>
      <c r="N149" s="728"/>
      <c r="O149" s="728"/>
      <c r="P149" s="728"/>
      <c r="Q149" s="728"/>
      <c r="R149" s="728"/>
      <c r="S149" s="728"/>
      <c r="T149" s="728"/>
      <c r="U149" s="728"/>
      <c r="V149" s="728"/>
      <c r="W149" s="728"/>
      <c r="X149" s="728"/>
      <c r="Y149" s="728"/>
      <c r="Z149" s="728"/>
    </row>
    <row r="150">
      <c r="A150" s="81">
        <v>2.0</v>
      </c>
      <c r="B150" s="82">
        <f>if('WEEK 3 '!F149&lt;15,mround('WEEK 3 '!B149*0.85,5),IF('WEEK 3 '!F149&lt;=18,MROUND('WEEK 3 '!B149*0.95,5),'WEEK 3 '!B149))</f>
        <v>30</v>
      </c>
      <c r="C150" s="65" t="s">
        <v>64</v>
      </c>
      <c r="D150" s="83" t="s">
        <v>58</v>
      </c>
      <c r="E150" s="84" t="str">
        <f>IF('WEEK 2'!B156=B150,'WEEK 2'!F156,"")</f>
        <v/>
      </c>
      <c r="F150" s="85"/>
      <c r="G150" s="728"/>
      <c r="H150" s="728"/>
      <c r="I150" s="728"/>
      <c r="J150" s="728"/>
      <c r="K150" s="728"/>
      <c r="L150" s="749"/>
      <c r="M150" s="728"/>
      <c r="N150" s="728"/>
      <c r="O150" s="728"/>
      <c r="P150" s="728"/>
      <c r="Q150" s="728"/>
      <c r="R150" s="728"/>
      <c r="S150" s="728"/>
      <c r="T150" s="728"/>
      <c r="U150" s="728"/>
      <c r="V150" s="728"/>
      <c r="W150" s="728"/>
      <c r="X150" s="728"/>
      <c r="Y150" s="728"/>
      <c r="Z150" s="728"/>
    </row>
    <row r="151">
      <c r="A151" s="629">
        <v>3.0</v>
      </c>
      <c r="B151" s="630">
        <f>if('WEEK 3 '!F150&lt;15,mround('WEEK 3 '!B150*0.85,5),IF('WEEK 3 '!F150&lt;=18,MROUND('WEEK 3 '!B150*0.95,5),'WEEK 3 '!B150))</f>
        <v>30</v>
      </c>
      <c r="C151" s="631" t="s">
        <v>64</v>
      </c>
      <c r="D151" s="328" t="s">
        <v>58</v>
      </c>
      <c r="E151" s="632" t="str">
        <f>IF('WEEK 2'!B157=B151,'WEEK 2'!F157,"")</f>
        <v/>
      </c>
      <c r="F151" s="330"/>
      <c r="G151" s="728"/>
      <c r="H151" s="728"/>
      <c r="I151" s="728"/>
      <c r="J151" s="728"/>
      <c r="K151" s="728"/>
      <c r="L151" s="749"/>
      <c r="M151" s="728"/>
      <c r="N151" s="728"/>
      <c r="O151" s="728"/>
      <c r="P151" s="728"/>
      <c r="Q151" s="728"/>
      <c r="R151" s="728"/>
      <c r="S151" s="728"/>
      <c r="T151" s="728"/>
      <c r="U151" s="728"/>
      <c r="V151" s="728"/>
      <c r="W151" s="728"/>
      <c r="X151" s="728"/>
      <c r="Y151" s="728"/>
      <c r="Z151" s="728"/>
    </row>
    <row r="152">
      <c r="A152" s="801"/>
      <c r="B152" s="802"/>
      <c r="C152" s="803"/>
      <c r="D152" s="804"/>
      <c r="E152" s="805"/>
      <c r="F152" s="802"/>
      <c r="G152" s="419"/>
      <c r="H152" s="419"/>
      <c r="I152" s="419"/>
      <c r="J152" s="419"/>
      <c r="K152" s="419"/>
      <c r="L152" s="717"/>
      <c r="M152" s="419"/>
      <c r="N152" s="419"/>
      <c r="O152" s="419"/>
      <c r="P152" s="419"/>
      <c r="Q152" s="419"/>
      <c r="R152" s="419"/>
      <c r="S152" s="419"/>
      <c r="T152" s="419"/>
      <c r="U152" s="419"/>
      <c r="V152" s="419"/>
      <c r="W152" s="419"/>
      <c r="X152" s="419"/>
      <c r="Y152" s="419"/>
      <c r="Z152" s="419"/>
    </row>
    <row r="153">
      <c r="A153" s="806"/>
      <c r="B153" s="769"/>
      <c r="C153" s="769"/>
      <c r="D153" s="769"/>
      <c r="E153" s="769"/>
      <c r="F153" s="769"/>
      <c r="G153" s="419"/>
      <c r="H153" s="419"/>
      <c r="I153" s="419"/>
      <c r="J153" s="419"/>
      <c r="K153" s="419"/>
      <c r="L153" s="717"/>
      <c r="M153" s="419"/>
      <c r="N153" s="419"/>
      <c r="O153" s="419"/>
      <c r="P153" s="419"/>
      <c r="Q153" s="419"/>
      <c r="R153" s="419"/>
      <c r="S153" s="419"/>
      <c r="T153" s="419"/>
      <c r="U153" s="419"/>
      <c r="V153" s="419"/>
      <c r="W153" s="419"/>
      <c r="X153" s="419"/>
      <c r="Y153" s="419"/>
      <c r="Z153" s="419"/>
    </row>
    <row r="154">
      <c r="A154" s="310" t="str">
        <f>HYPERLINK("https://docs.google.com/a/fitnessresults.com/forms/d/e/1FAIpQLSd7MoczESe8Yjv6BKpmwAZGn9Aiymrs9-UdgfYIUpbr9t5NXg/viewform?usp=pp_url&amp;entry.93370101","CLICK TO COMPLETE WORKOUT")</f>
        <v>CLICK TO COMPLETE WORKOUT</v>
      </c>
      <c r="B154" s="36"/>
      <c r="C154" s="36"/>
      <c r="D154" s="36"/>
      <c r="E154" s="36"/>
      <c r="F154" s="37"/>
      <c r="G154" s="419"/>
      <c r="H154" s="419"/>
      <c r="I154" s="419"/>
      <c r="J154" s="419"/>
      <c r="K154" s="419"/>
      <c r="L154" s="717"/>
      <c r="M154" s="419"/>
      <c r="N154" s="419"/>
      <c r="O154" s="419"/>
      <c r="P154" s="419"/>
      <c r="Q154" s="419"/>
      <c r="R154" s="419"/>
      <c r="S154" s="419"/>
      <c r="T154" s="419"/>
      <c r="U154" s="419"/>
      <c r="V154" s="419"/>
      <c r="W154" s="419"/>
      <c r="X154" s="419"/>
      <c r="Y154" s="419"/>
      <c r="Z154" s="419"/>
    </row>
    <row r="155">
      <c r="A155" s="806"/>
      <c r="B155" s="769"/>
      <c r="C155" s="769"/>
      <c r="D155" s="769"/>
      <c r="E155" s="769"/>
      <c r="F155" s="769"/>
      <c r="G155" s="419"/>
      <c r="H155" s="419"/>
      <c r="I155" s="419"/>
      <c r="J155" s="419"/>
      <c r="K155" s="419"/>
      <c r="L155" s="717"/>
      <c r="M155" s="419"/>
      <c r="N155" s="419"/>
      <c r="O155" s="419"/>
      <c r="P155" s="419"/>
      <c r="Q155" s="419"/>
      <c r="R155" s="419"/>
      <c r="S155" s="419"/>
      <c r="T155" s="419"/>
      <c r="U155" s="419"/>
      <c r="V155" s="419"/>
      <c r="W155" s="419"/>
      <c r="X155" s="419"/>
      <c r="Y155" s="419"/>
      <c r="Z155" s="419"/>
    </row>
    <row r="156">
      <c r="A156" s="106" t="s">
        <v>135</v>
      </c>
      <c r="B156" s="36"/>
      <c r="C156" s="36"/>
      <c r="D156" s="36"/>
      <c r="E156" s="36"/>
      <c r="F156" s="37"/>
      <c r="G156" s="419"/>
      <c r="H156" s="419"/>
      <c r="I156" s="419"/>
      <c r="J156" s="419"/>
      <c r="K156" s="419"/>
      <c r="L156" s="717"/>
      <c r="M156" s="419"/>
      <c r="N156" s="419"/>
      <c r="O156" s="419"/>
      <c r="P156" s="419"/>
      <c r="Q156" s="419"/>
      <c r="R156" s="419"/>
      <c r="S156" s="419"/>
      <c r="T156" s="419"/>
      <c r="U156" s="419"/>
      <c r="V156" s="419"/>
      <c r="W156" s="419"/>
      <c r="X156" s="419"/>
      <c r="Y156" s="419"/>
      <c r="Z156" s="419"/>
    </row>
    <row r="157">
      <c r="A157" s="103"/>
      <c r="B157" s="103"/>
      <c r="C157" s="103"/>
      <c r="D157" s="103"/>
      <c r="E157" s="222"/>
      <c r="F157" s="103"/>
      <c r="G157" s="419"/>
      <c r="H157" s="419"/>
      <c r="I157" s="419"/>
      <c r="J157" s="419"/>
      <c r="K157" s="419"/>
      <c r="L157" s="717"/>
      <c r="M157" s="419"/>
      <c r="N157" s="419"/>
      <c r="O157" s="419"/>
      <c r="P157" s="419"/>
      <c r="Q157" s="419"/>
      <c r="R157" s="419"/>
      <c r="S157" s="419"/>
      <c r="T157" s="419"/>
      <c r="U157" s="419"/>
      <c r="V157" s="419"/>
      <c r="W157" s="419"/>
      <c r="X157" s="419"/>
      <c r="Y157" s="419"/>
      <c r="Z157" s="419"/>
    </row>
    <row r="158">
      <c r="A158" s="641" t="str">
        <f>HYPERLINK("https://www.amazon.com/30-Minute-Body-Investment-Champion/dp/0692791892/ref=sr_1_1?ie=UTF8&amp;qid=1490447969&amp;sr=8-1&amp;keywords=30+minute+body","WANT TO LEARN MORE?")</f>
        <v>WANT TO LEARN MORE?</v>
      </c>
      <c r="B158" s="16"/>
      <c r="C158" s="16"/>
      <c r="D158" s="16"/>
      <c r="E158" s="16"/>
      <c r="F158" s="17"/>
      <c r="G158" s="419"/>
      <c r="H158" s="419"/>
      <c r="I158" s="419"/>
      <c r="J158" s="419"/>
      <c r="K158" s="419"/>
      <c r="L158" s="717"/>
      <c r="M158" s="419"/>
      <c r="N158" s="419"/>
      <c r="O158" s="419"/>
      <c r="P158" s="419"/>
      <c r="Q158" s="419"/>
      <c r="R158" s="419"/>
      <c r="S158" s="419"/>
      <c r="T158" s="419"/>
      <c r="U158" s="419"/>
      <c r="V158" s="419"/>
      <c r="W158" s="419"/>
      <c r="X158" s="419"/>
      <c r="Y158" s="419"/>
      <c r="Z158" s="419"/>
    </row>
    <row r="159">
      <c r="A159" s="18"/>
      <c r="B159" s="13"/>
      <c r="C159" s="13"/>
      <c r="D159" s="13"/>
      <c r="E159" s="13"/>
      <c r="F159" s="14"/>
      <c r="G159" s="419"/>
      <c r="H159" s="419"/>
      <c r="I159" s="419"/>
      <c r="J159" s="419"/>
      <c r="K159" s="419"/>
      <c r="L159" s="717"/>
      <c r="M159" s="419"/>
      <c r="N159" s="419"/>
      <c r="O159" s="419"/>
      <c r="P159" s="419"/>
      <c r="Q159" s="419"/>
      <c r="R159" s="419"/>
      <c r="S159" s="419"/>
      <c r="T159" s="419"/>
      <c r="U159" s="419"/>
      <c r="V159" s="419"/>
      <c r="W159" s="419"/>
      <c r="X159" s="419"/>
      <c r="Y159" s="419"/>
      <c r="Z159" s="419"/>
    </row>
    <row r="160">
      <c r="A160" s="419"/>
      <c r="B160" s="646"/>
      <c r="C160" s="807" t="s">
        <v>67</v>
      </c>
      <c r="D160" s="25"/>
      <c r="E160" s="25"/>
      <c r="F160" s="26"/>
      <c r="G160" s="419"/>
      <c r="H160" s="419"/>
      <c r="I160" s="419"/>
      <c r="J160" s="419"/>
      <c r="K160" s="419"/>
      <c r="L160" s="717"/>
      <c r="M160" s="419"/>
      <c r="N160" s="419"/>
      <c r="O160" s="419"/>
      <c r="P160" s="419"/>
      <c r="Q160" s="419"/>
      <c r="R160" s="419"/>
      <c r="S160" s="419"/>
      <c r="T160" s="419"/>
      <c r="U160" s="419"/>
      <c r="V160" s="419"/>
      <c r="W160" s="419"/>
      <c r="X160" s="419"/>
      <c r="Y160" s="419"/>
      <c r="Z160" s="419"/>
    </row>
    <row r="161">
      <c r="A161" s="419"/>
      <c r="B161" s="646"/>
      <c r="F161" s="28"/>
      <c r="G161" s="419"/>
      <c r="H161" s="419"/>
      <c r="I161" s="419"/>
      <c r="J161" s="419"/>
      <c r="K161" s="419"/>
      <c r="L161" s="717"/>
      <c r="M161" s="419"/>
      <c r="N161" s="419"/>
      <c r="O161" s="419"/>
      <c r="P161" s="419"/>
      <c r="Q161" s="419"/>
      <c r="R161" s="419"/>
      <c r="S161" s="419"/>
      <c r="T161" s="419"/>
      <c r="U161" s="419"/>
      <c r="V161" s="419"/>
      <c r="W161" s="419"/>
      <c r="X161" s="419"/>
      <c r="Y161" s="419"/>
      <c r="Z161" s="419"/>
    </row>
    <row r="162">
      <c r="A162" s="419"/>
      <c r="B162" s="646"/>
      <c r="F162" s="28"/>
      <c r="G162" s="419"/>
      <c r="H162" s="419"/>
      <c r="I162" s="419"/>
      <c r="J162" s="419"/>
      <c r="K162" s="419"/>
      <c r="L162" s="717"/>
      <c r="M162" s="419"/>
      <c r="N162" s="419"/>
      <c r="O162" s="419"/>
      <c r="P162" s="419"/>
      <c r="Q162" s="419"/>
      <c r="R162" s="419"/>
      <c r="S162" s="419"/>
      <c r="T162" s="419"/>
      <c r="U162" s="419"/>
      <c r="V162" s="419"/>
      <c r="W162" s="419"/>
      <c r="X162" s="419"/>
      <c r="Y162" s="419"/>
      <c r="Z162" s="419"/>
    </row>
    <row r="163">
      <c r="A163" s="419"/>
      <c r="B163" s="646"/>
      <c r="F163" s="28"/>
      <c r="G163" s="419"/>
      <c r="H163" s="419"/>
      <c r="I163" s="419"/>
      <c r="J163" s="419"/>
      <c r="K163" s="419"/>
      <c r="L163" s="717"/>
      <c r="M163" s="419"/>
      <c r="N163" s="419"/>
      <c r="O163" s="419"/>
      <c r="P163" s="419"/>
      <c r="Q163" s="419"/>
      <c r="R163" s="419"/>
      <c r="S163" s="419"/>
      <c r="T163" s="419"/>
      <c r="U163" s="419"/>
      <c r="V163" s="419"/>
      <c r="W163" s="419"/>
      <c r="X163" s="419"/>
      <c r="Y163" s="419"/>
      <c r="Z163" s="419"/>
    </row>
    <row r="164">
      <c r="A164" s="419"/>
      <c r="B164" s="646"/>
      <c r="F164" s="28"/>
      <c r="G164" s="419"/>
      <c r="H164" s="419"/>
      <c r="I164" s="419"/>
      <c r="J164" s="419"/>
      <c r="K164" s="419"/>
      <c r="L164" s="717"/>
      <c r="M164" s="419"/>
      <c r="N164" s="419"/>
      <c r="O164" s="419"/>
      <c r="P164" s="419"/>
      <c r="Q164" s="419"/>
      <c r="R164" s="419"/>
      <c r="S164" s="419"/>
      <c r="T164" s="419"/>
      <c r="U164" s="419"/>
      <c r="V164" s="419"/>
      <c r="W164" s="419"/>
      <c r="X164" s="419"/>
      <c r="Y164" s="419"/>
      <c r="Z164" s="419"/>
    </row>
    <row r="165">
      <c r="A165" s="419"/>
      <c r="B165" s="646"/>
      <c r="F165" s="28"/>
      <c r="G165" s="419"/>
      <c r="H165" s="419"/>
      <c r="I165" s="419"/>
      <c r="J165" s="419"/>
      <c r="K165" s="419"/>
      <c r="L165" s="717"/>
      <c r="M165" s="419"/>
      <c r="N165" s="419"/>
      <c r="O165" s="419"/>
      <c r="P165" s="419"/>
      <c r="Q165" s="419"/>
      <c r="R165" s="419"/>
      <c r="S165" s="419"/>
      <c r="T165" s="419"/>
      <c r="U165" s="419"/>
      <c r="V165" s="419"/>
      <c r="W165" s="419"/>
      <c r="X165" s="419"/>
      <c r="Y165" s="419"/>
      <c r="Z165" s="419"/>
    </row>
    <row r="166">
      <c r="A166" s="808"/>
      <c r="B166" s="646"/>
      <c r="F166" s="28"/>
      <c r="G166" s="419"/>
      <c r="H166" s="419"/>
      <c r="I166" s="419"/>
      <c r="J166" s="419"/>
      <c r="K166" s="419"/>
      <c r="L166" s="717"/>
      <c r="M166" s="419"/>
      <c r="N166" s="419"/>
      <c r="O166" s="419"/>
      <c r="P166" s="419"/>
      <c r="Q166" s="419"/>
      <c r="R166" s="419"/>
      <c r="S166" s="419"/>
      <c r="T166" s="419"/>
      <c r="U166" s="419"/>
      <c r="V166" s="419"/>
      <c r="W166" s="419"/>
      <c r="X166" s="419"/>
      <c r="Y166" s="419"/>
      <c r="Z166" s="419"/>
    </row>
    <row r="167">
      <c r="A167" s="419"/>
      <c r="B167" s="646"/>
      <c r="F167" s="28"/>
      <c r="G167" s="419"/>
      <c r="H167" s="419"/>
      <c r="I167" s="419"/>
      <c r="J167" s="419"/>
      <c r="K167" s="419"/>
      <c r="L167" s="717"/>
      <c r="M167" s="419"/>
      <c r="N167" s="419"/>
      <c r="O167" s="419"/>
      <c r="P167" s="419"/>
      <c r="Q167" s="419"/>
      <c r="R167" s="419"/>
      <c r="S167" s="419"/>
      <c r="T167" s="419"/>
      <c r="U167" s="419"/>
      <c r="V167" s="419"/>
      <c r="W167" s="419"/>
      <c r="X167" s="419"/>
      <c r="Y167" s="419"/>
      <c r="Z167" s="419"/>
    </row>
    <row r="168">
      <c r="A168" s="419"/>
      <c r="B168" s="646"/>
      <c r="F168" s="28"/>
      <c r="G168" s="419"/>
      <c r="H168" s="419"/>
      <c r="I168" s="419"/>
      <c r="J168" s="419"/>
      <c r="K168" s="419"/>
      <c r="L168" s="717"/>
      <c r="M168" s="419"/>
      <c r="N168" s="419"/>
      <c r="O168" s="419"/>
      <c r="P168" s="419"/>
      <c r="Q168" s="419"/>
      <c r="R168" s="419"/>
      <c r="S168" s="419"/>
      <c r="T168" s="419"/>
      <c r="U168" s="419"/>
      <c r="V168" s="419"/>
      <c r="W168" s="419"/>
      <c r="X168" s="419"/>
      <c r="Y168" s="419"/>
      <c r="Z168" s="419"/>
    </row>
    <row r="169">
      <c r="A169" s="809"/>
      <c r="B169" s="646"/>
      <c r="F169" s="28"/>
      <c r="G169" s="419"/>
      <c r="H169" s="419"/>
      <c r="I169" s="419"/>
      <c r="J169" s="419"/>
      <c r="K169" s="419"/>
      <c r="L169" s="717"/>
      <c r="M169" s="419"/>
      <c r="N169" s="419"/>
      <c r="O169" s="419"/>
      <c r="P169" s="419"/>
      <c r="Q169" s="419"/>
      <c r="R169" s="419"/>
      <c r="S169" s="419"/>
      <c r="T169" s="419"/>
      <c r="U169" s="419"/>
      <c r="V169" s="419"/>
      <c r="W169" s="419"/>
      <c r="X169" s="419"/>
      <c r="Y169" s="419"/>
      <c r="Z169" s="419"/>
    </row>
    <row r="170">
      <c r="A170" s="419"/>
      <c r="B170" s="646"/>
      <c r="F170" s="28"/>
      <c r="G170" s="419"/>
      <c r="H170" s="419"/>
      <c r="I170" s="419"/>
      <c r="J170" s="419"/>
      <c r="K170" s="419"/>
      <c r="L170" s="717"/>
      <c r="M170" s="419"/>
      <c r="N170" s="419"/>
      <c r="O170" s="419"/>
      <c r="P170" s="419"/>
      <c r="Q170" s="419"/>
      <c r="R170" s="419"/>
      <c r="S170" s="419"/>
      <c r="T170" s="419"/>
      <c r="U170" s="419"/>
      <c r="V170" s="419"/>
      <c r="W170" s="419"/>
      <c r="X170" s="419"/>
      <c r="Y170" s="419"/>
      <c r="Z170" s="419"/>
    </row>
    <row r="171">
      <c r="A171" s="419"/>
      <c r="B171" s="646"/>
      <c r="F171" s="28"/>
      <c r="G171" s="419"/>
      <c r="H171" s="419"/>
      <c r="I171" s="419"/>
      <c r="J171" s="419"/>
      <c r="K171" s="419"/>
      <c r="L171" s="717"/>
      <c r="M171" s="419"/>
      <c r="N171" s="419"/>
      <c r="O171" s="419"/>
      <c r="P171" s="419"/>
      <c r="Q171" s="419"/>
      <c r="R171" s="419"/>
      <c r="S171" s="419"/>
      <c r="T171" s="419"/>
      <c r="U171" s="419"/>
      <c r="V171" s="419"/>
      <c r="W171" s="419"/>
      <c r="X171" s="419"/>
      <c r="Y171" s="419"/>
      <c r="Z171" s="419"/>
    </row>
    <row r="172">
      <c r="A172" s="419"/>
      <c r="B172" s="646"/>
      <c r="F172" s="28"/>
      <c r="G172" s="419"/>
      <c r="H172" s="419"/>
      <c r="I172" s="419"/>
      <c r="J172" s="419"/>
      <c r="K172" s="419"/>
      <c r="L172" s="717"/>
      <c r="M172" s="419"/>
      <c r="N172" s="419"/>
      <c r="O172" s="419"/>
      <c r="P172" s="419"/>
      <c r="Q172" s="419"/>
      <c r="R172" s="419"/>
      <c r="S172" s="419"/>
      <c r="T172" s="419"/>
      <c r="U172" s="419"/>
      <c r="V172" s="419"/>
      <c r="W172" s="419"/>
      <c r="X172" s="419"/>
      <c r="Y172" s="419"/>
      <c r="Z172" s="419"/>
    </row>
    <row r="173">
      <c r="A173" s="419"/>
      <c r="B173" s="646"/>
      <c r="F173" s="28"/>
      <c r="G173" s="419"/>
      <c r="H173" s="419"/>
      <c r="I173" s="419"/>
      <c r="J173" s="419"/>
      <c r="K173" s="419"/>
      <c r="L173" s="717"/>
      <c r="M173" s="419"/>
      <c r="N173" s="419"/>
      <c r="O173" s="419"/>
      <c r="P173" s="419"/>
      <c r="Q173" s="419"/>
      <c r="R173" s="419"/>
      <c r="S173" s="419"/>
      <c r="T173" s="419"/>
      <c r="U173" s="419"/>
      <c r="V173" s="419"/>
      <c r="W173" s="419"/>
      <c r="X173" s="419"/>
      <c r="Y173" s="419"/>
      <c r="Z173" s="419"/>
    </row>
    <row r="174">
      <c r="A174" s="419"/>
      <c r="B174" s="646"/>
      <c r="C174" s="11"/>
      <c r="D174" s="11"/>
      <c r="E174" s="11"/>
      <c r="F174" s="46"/>
      <c r="G174" s="419"/>
      <c r="H174" s="419"/>
      <c r="I174" s="419"/>
      <c r="J174" s="419"/>
      <c r="K174" s="419"/>
      <c r="L174" s="717"/>
      <c r="M174" s="419"/>
      <c r="N174" s="419"/>
      <c r="O174" s="419"/>
      <c r="P174" s="419"/>
      <c r="Q174" s="419"/>
      <c r="R174" s="419"/>
      <c r="S174" s="419"/>
      <c r="T174" s="419"/>
      <c r="U174" s="419"/>
      <c r="V174" s="419"/>
      <c r="W174" s="419"/>
      <c r="X174" s="419"/>
      <c r="Y174" s="419"/>
      <c r="Z174" s="419"/>
    </row>
    <row r="175">
      <c r="A175" s="419"/>
      <c r="B175" s="419"/>
      <c r="C175" s="419"/>
      <c r="D175" s="419"/>
      <c r="E175" s="717"/>
      <c r="F175" s="419"/>
      <c r="G175" s="419"/>
      <c r="H175" s="419"/>
      <c r="I175" s="419"/>
      <c r="J175" s="419"/>
      <c r="K175" s="419"/>
      <c r="L175" s="717"/>
      <c r="M175" s="419"/>
      <c r="N175" s="419"/>
      <c r="O175" s="419"/>
      <c r="P175" s="419"/>
      <c r="Q175" s="419"/>
      <c r="R175" s="419"/>
      <c r="S175" s="419"/>
      <c r="T175" s="419"/>
      <c r="U175" s="419"/>
      <c r="V175" s="419"/>
      <c r="W175" s="419"/>
      <c r="X175" s="419"/>
      <c r="Y175" s="419"/>
      <c r="Z175" s="419"/>
    </row>
    <row r="176">
      <c r="A176" s="419"/>
      <c r="B176" s="419"/>
      <c r="C176" s="419"/>
      <c r="D176" s="419"/>
      <c r="E176" s="717"/>
      <c r="F176" s="419"/>
      <c r="G176" s="419"/>
      <c r="H176" s="419"/>
      <c r="I176" s="419"/>
      <c r="J176" s="419"/>
      <c r="K176" s="419"/>
      <c r="L176" s="717"/>
      <c r="M176" s="419"/>
      <c r="N176" s="419"/>
      <c r="O176" s="419"/>
      <c r="P176" s="419"/>
      <c r="Q176" s="419"/>
      <c r="R176" s="419"/>
      <c r="S176" s="419"/>
      <c r="T176" s="419"/>
      <c r="U176" s="419"/>
      <c r="V176" s="419"/>
      <c r="W176" s="419"/>
      <c r="X176" s="419"/>
      <c r="Y176" s="419"/>
      <c r="Z176" s="419"/>
    </row>
  </sheetData>
  <mergeCells count="72">
    <mergeCell ref="A76:F76"/>
    <mergeCell ref="A77:F77"/>
    <mergeCell ref="B86:F86"/>
    <mergeCell ref="A89:F89"/>
    <mergeCell ref="B90:F90"/>
    <mergeCell ref="B95:F95"/>
    <mergeCell ref="A98:F98"/>
    <mergeCell ref="B99:F99"/>
    <mergeCell ref="B104:F104"/>
    <mergeCell ref="A106:F106"/>
    <mergeCell ref="A108:F108"/>
    <mergeCell ref="A111:F111"/>
    <mergeCell ref="A112:F112"/>
    <mergeCell ref="B113:F113"/>
    <mergeCell ref="B147:F147"/>
    <mergeCell ref="A154:F154"/>
    <mergeCell ref="A156:F156"/>
    <mergeCell ref="A158:F159"/>
    <mergeCell ref="C160:F174"/>
    <mergeCell ref="A122:F122"/>
    <mergeCell ref="B123:F123"/>
    <mergeCell ref="A130:F130"/>
    <mergeCell ref="B131:F131"/>
    <mergeCell ref="A138:F138"/>
    <mergeCell ref="B139:F139"/>
    <mergeCell ref="A146:F146"/>
    <mergeCell ref="A9:F9"/>
    <mergeCell ref="A10:F11"/>
    <mergeCell ref="A12:F12"/>
    <mergeCell ref="A13:F13"/>
    <mergeCell ref="A15:F15"/>
    <mergeCell ref="H15:M15"/>
    <mergeCell ref="O15:T15"/>
    <mergeCell ref="O19:T19"/>
    <mergeCell ref="P20:T20"/>
    <mergeCell ref="A18:F18"/>
    <mergeCell ref="H18:M18"/>
    <mergeCell ref="O18:T18"/>
    <mergeCell ref="A19:F19"/>
    <mergeCell ref="H19:M19"/>
    <mergeCell ref="B20:F20"/>
    <mergeCell ref="I20:M20"/>
    <mergeCell ref="A25:F25"/>
    <mergeCell ref="G25:G26"/>
    <mergeCell ref="H25:M25"/>
    <mergeCell ref="O25:T25"/>
    <mergeCell ref="A32:F32"/>
    <mergeCell ref="H32:M32"/>
    <mergeCell ref="I33:M33"/>
    <mergeCell ref="B33:F33"/>
    <mergeCell ref="A39:F39"/>
    <mergeCell ref="B40:F40"/>
    <mergeCell ref="A46:F46"/>
    <mergeCell ref="A49:F49"/>
    <mergeCell ref="B52:F52"/>
    <mergeCell ref="A54:F54"/>
    <mergeCell ref="B55:F55"/>
    <mergeCell ref="A62:F62"/>
    <mergeCell ref="B63:F63"/>
    <mergeCell ref="A69:F69"/>
    <mergeCell ref="A71:F71"/>
    <mergeCell ref="A74:F75"/>
    <mergeCell ref="H76:M76"/>
    <mergeCell ref="H112:M112"/>
    <mergeCell ref="I113:M113"/>
    <mergeCell ref="H77:M77"/>
    <mergeCell ref="I78:M78"/>
    <mergeCell ref="H98:M98"/>
    <mergeCell ref="I99:M99"/>
    <mergeCell ref="G101:G102"/>
    <mergeCell ref="I104:M104"/>
    <mergeCell ref="H111:M111"/>
  </mergeCells>
  <dataValidations>
    <dataValidation type="decimal" operator="greaterThanOrEqual" allowBlank="1" showDropDown="1" showErrorMessage="1" sqref="F91:F94 F96:F97 F100:F103 F132:F135">
      <formula1>0.0</formula1>
    </dataValidation>
    <dataValidation type="decimal" operator="greaterThanOrEqual" allowBlank="1" showDropDown="1" sqref="F157">
      <formula1>0.0</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63"/>
    <col customWidth="1" min="5" max="5" width="13.25"/>
    <col customWidth="1" min="8" max="8" width="13.13"/>
    <col customWidth="1" min="11" max="11" width="13.5"/>
    <col customWidth="1" min="12" max="12" width="13.88"/>
  </cols>
  <sheetData>
    <row r="1">
      <c r="A1" s="715"/>
      <c r="N1" s="419"/>
      <c r="U1" s="419"/>
    </row>
    <row r="8">
      <c r="A8" s="11"/>
      <c r="B8" s="11"/>
      <c r="C8" s="11"/>
      <c r="D8" s="11"/>
      <c r="E8" s="11"/>
      <c r="F8" s="11"/>
      <c r="G8" s="11"/>
      <c r="H8" s="11"/>
      <c r="I8" s="11"/>
      <c r="J8" s="11"/>
      <c r="K8" s="11"/>
      <c r="L8" s="11"/>
      <c r="M8" s="11"/>
    </row>
    <row r="9">
      <c r="A9" s="810" t="s">
        <v>148</v>
      </c>
      <c r="B9" s="13"/>
      <c r="C9" s="13"/>
      <c r="D9" s="13"/>
      <c r="E9" s="13"/>
      <c r="F9" s="14"/>
      <c r="G9" s="434"/>
      <c r="H9" s="24" t="s">
        <v>35</v>
      </c>
      <c r="I9" s="25"/>
      <c r="J9" s="25"/>
      <c r="K9" s="25"/>
      <c r="L9" s="25"/>
      <c r="M9" s="26"/>
    </row>
    <row r="10">
      <c r="A10" s="15" t="str">
        <f>'Week 3 Master Sheet'!A10</f>
        <v>PRESS TO RECORD BODY WEIGHT</v>
      </c>
      <c r="B10" s="16"/>
      <c r="C10" s="16"/>
      <c r="D10" s="16"/>
      <c r="E10" s="16"/>
      <c r="F10" s="17"/>
      <c r="H10" s="27" t="s">
        <v>156</v>
      </c>
      <c r="M10" s="28"/>
    </row>
    <row r="11">
      <c r="A11" s="18"/>
      <c r="B11" s="13"/>
      <c r="C11" s="13"/>
      <c r="D11" s="13"/>
      <c r="E11" s="13"/>
      <c r="F11" s="14"/>
      <c r="H11" s="29" t="s">
        <v>157</v>
      </c>
      <c r="I11" s="30"/>
      <c r="J11" s="30"/>
      <c r="K11" s="30"/>
      <c r="L11" s="30"/>
      <c r="M11" s="31"/>
    </row>
    <row r="12">
      <c r="A12" s="811" t="str">
        <f>'Week 3 Master Sheet'!A12</f>
        <v>This Weeks Goals</v>
      </c>
      <c r="B12" s="20"/>
      <c r="C12" s="20"/>
      <c r="D12" s="20"/>
      <c r="E12" s="20"/>
      <c r="F12" s="21"/>
      <c r="H12" s="419"/>
    </row>
    <row r="13">
      <c r="A13" s="812" t="str">
        <f>'Week 3 Master Sheet'!A13</f>
        <v>This is what we call percentage week. For the most part we are going to work your body just under it's maximum potential and go for more repititions. There are however a few areas that are excluded from this principle but the general theme of the week is working under your max. </v>
      </c>
      <c r="B13" s="20"/>
      <c r="C13" s="20"/>
      <c r="D13" s="20"/>
      <c r="E13" s="20"/>
      <c r="F13" s="21"/>
    </row>
    <row r="14">
      <c r="A14" s="428" t="s">
        <v>138</v>
      </c>
    </row>
    <row r="15">
      <c r="A15" s="50" t="str">
        <f>'Week 3 Master Sheet'!A15</f>
        <v>DAY 1 </v>
      </c>
      <c r="B15" s="36"/>
      <c r="C15" s="36"/>
      <c r="D15" s="36"/>
      <c r="E15" s="36"/>
      <c r="F15" s="37"/>
      <c r="H15" s="429" t="str">
        <f>'Week 3 Master Sheet'!H15</f>
        <v>ALTERNATE WORKOUTS</v>
      </c>
      <c r="I15" s="36"/>
      <c r="J15" s="36"/>
      <c r="K15" s="36"/>
      <c r="L15" s="36"/>
      <c r="M15" s="37"/>
    </row>
    <row r="16">
      <c r="A16" s="657"/>
      <c r="H16" s="657"/>
    </row>
    <row r="18">
      <c r="A18" s="51" t="s">
        <v>158</v>
      </c>
      <c r="B18" s="36"/>
      <c r="C18" s="36"/>
      <c r="D18" s="36"/>
      <c r="E18" s="36"/>
      <c r="F18" s="37"/>
      <c r="H18" s="51" t="str">
        <f>'Week 3 Master Sheet'!H18</f>
        <v>CHEST &amp; BACK </v>
      </c>
      <c r="I18" s="36"/>
      <c r="J18" s="36"/>
      <c r="K18" s="36"/>
      <c r="L18" s="36"/>
      <c r="M18" s="37"/>
    </row>
    <row r="19">
      <c r="A19" s="93" t="str">
        <f>HYPERLINK("https://www.youtube.com/watch?v=iLgUDezDMbU","1. BENCH PRESS")</f>
        <v>1. BENCH PRESS</v>
      </c>
      <c r="B19" s="53"/>
      <c r="C19" s="53"/>
      <c r="D19" s="53"/>
      <c r="E19" s="53"/>
      <c r="F19" s="54"/>
      <c r="G19" s="434" t="s">
        <v>123</v>
      </c>
      <c r="H19" s="93" t="str">
        <f>'Week 3 Master Sheet'!H19</f>
        <v>1. MACHINE PRESS</v>
      </c>
      <c r="I19" s="53"/>
      <c r="J19" s="53"/>
      <c r="K19" s="53"/>
      <c r="L19" s="53"/>
      <c r="M19" s="54"/>
      <c r="N19" s="419"/>
      <c r="O19" s="75" t="str">
        <f>'Week 3 Master Sheet'!O19</f>
        <v>1. DUMBBELL INCLINE PRESS</v>
      </c>
      <c r="P19" s="53"/>
      <c r="Q19" s="53"/>
      <c r="R19" s="53"/>
      <c r="S19" s="53"/>
      <c r="T19" s="54"/>
    </row>
    <row r="20">
      <c r="A20" s="226" t="str">
        <f>'Week 3 Master Sheet'!A20</f>
        <v>CURRENT MAX</v>
      </c>
      <c r="B20" s="691">
        <f>'Week 3 Master Sheet'!B20</f>
        <v>100</v>
      </c>
      <c r="C20" s="13"/>
      <c r="D20" s="13"/>
      <c r="E20" s="13"/>
      <c r="F20" s="57"/>
      <c r="G20" s="434"/>
      <c r="H20" s="226" t="str">
        <f>'Week 3 Master Sheet'!H20</f>
        <v>CURRENT MAX</v>
      </c>
      <c r="I20" s="691" t="str">
        <f>'Week 3 Master Sheet'!I20</f>
        <v/>
      </c>
      <c r="J20" s="13"/>
      <c r="K20" s="13"/>
      <c r="L20" s="13"/>
      <c r="M20" s="57"/>
      <c r="O20" s="226" t="str">
        <f>'Week 3 Master Sheet'!O20</f>
        <v>CURRENT MAX</v>
      </c>
      <c r="P20" s="691">
        <f>'Week 3 Master Sheet'!P20</f>
        <v>75</v>
      </c>
      <c r="Q20" s="13"/>
      <c r="R20" s="13"/>
      <c r="S20" s="13"/>
      <c r="T20" s="57"/>
    </row>
    <row r="21">
      <c r="A21" s="96" t="str">
        <f>'Week 3 Master Sheet'!A21</f>
        <v>SET</v>
      </c>
      <c r="B21" s="97" t="str">
        <f>'Week 3 Master Sheet'!B21</f>
        <v>WEIGHT</v>
      </c>
      <c r="C21" s="97" t="str">
        <f>'Week 3 Master Sheet'!C21</f>
        <v>REPS</v>
      </c>
      <c r="D21" s="97" t="str">
        <f>'Week 3 Master Sheet'!D21</f>
        <v>REST</v>
      </c>
      <c r="E21" s="341" t="str">
        <f>'Week 3 Master Sheet'!E21</f>
        <v>PREVIOUS</v>
      </c>
      <c r="F21" s="235" t="str">
        <f>'Week 3 Master Sheet'!F21</f>
        <v>REP LOG</v>
      </c>
      <c r="H21" s="96" t="str">
        <f>'Week 3 Master Sheet'!H21</f>
        <v>SET</v>
      </c>
      <c r="I21" s="97" t="str">
        <f>'Week 3 Master Sheet'!I21</f>
        <v>WEIGHT</v>
      </c>
      <c r="J21" s="97" t="str">
        <f>'Week 3 Master Sheet'!J21</f>
        <v>REPS</v>
      </c>
      <c r="K21" s="97" t="str">
        <f>'Week 3 Master Sheet'!K21</f>
        <v>REST</v>
      </c>
      <c r="L21" s="341" t="str">
        <f>'Week 3 Master Sheet'!L21</f>
        <v>PREVIOUS</v>
      </c>
      <c r="M21" s="235" t="str">
        <f>'Week 3 Master Sheet'!M21</f>
        <v>REP LOG</v>
      </c>
      <c r="O21" s="96" t="str">
        <f>'Week 3 Master Sheet'!O21</f>
        <v>SET</v>
      </c>
      <c r="P21" s="97" t="str">
        <f>'Week 3 Master Sheet'!P21</f>
        <v>WEIGHT</v>
      </c>
      <c r="Q21" s="97" t="str">
        <f>'Week 3 Master Sheet'!Q21</f>
        <v>REPS</v>
      </c>
      <c r="R21" s="97" t="str">
        <f>'Week 3 Master Sheet'!R21</f>
        <v>REST</v>
      </c>
      <c r="S21" s="341" t="str">
        <f>'Week 3 Master Sheet'!S21</f>
        <v>PREVIOUS</v>
      </c>
      <c r="T21" s="235" t="str">
        <f>'Week 3 Master Sheet'!T21</f>
        <v>REP LOG</v>
      </c>
    </row>
    <row r="22">
      <c r="A22" s="725">
        <f>'Week 3 Master Sheet'!A22</f>
        <v>1</v>
      </c>
      <c r="B22" s="344">
        <f>'Week 3 Master Sheet'!B22</f>
        <v>45</v>
      </c>
      <c r="C22" s="344">
        <f>'Week 3 Master Sheet'!C22</f>
        <v>6</v>
      </c>
      <c r="D22" s="343" t="str">
        <f>'Week 3 Master Sheet'!D22</f>
        <v>30 sec</v>
      </c>
      <c r="E22" s="727" t="str">
        <f>'Week 3 Master Sheet'!E22</f>
        <v/>
      </c>
      <c r="F22" s="85">
        <v>6.0</v>
      </c>
      <c r="H22" s="725">
        <f>'Week 3 Master Sheet'!H22</f>
        <v>1</v>
      </c>
      <c r="I22" s="344">
        <f>'Week 3 Master Sheet'!I22</f>
        <v>0</v>
      </c>
      <c r="J22" s="344">
        <f>'Week 3 Master Sheet'!J22</f>
        <v>6</v>
      </c>
      <c r="K22" s="343" t="str">
        <f>'Week 3 Master Sheet'!K22</f>
        <v>30 sec</v>
      </c>
      <c r="L22" s="727" t="str">
        <f>'Week 3 Master Sheet'!L22</f>
        <v/>
      </c>
      <c r="M22" s="85"/>
      <c r="O22" s="725">
        <f>'Week 3 Master Sheet'!O22</f>
        <v>1</v>
      </c>
      <c r="P22" s="344">
        <f>'Week 3 Master Sheet'!P22</f>
        <v>25</v>
      </c>
      <c r="Q22" s="344">
        <f>'Week 3 Master Sheet'!Q22</f>
        <v>6</v>
      </c>
      <c r="R22" s="343" t="str">
        <f>'Week 3 Master Sheet'!R22</f>
        <v>30 sec</v>
      </c>
      <c r="S22" s="727" t="str">
        <f>'Week 3 Master Sheet'!S22</f>
        <v/>
      </c>
      <c r="T22" s="85"/>
    </row>
    <row r="23">
      <c r="A23" s="725">
        <f>'Week 3 Master Sheet'!A23</f>
        <v>2</v>
      </c>
      <c r="B23" s="344">
        <f>'Week 3 Master Sheet'!B23</f>
        <v>65</v>
      </c>
      <c r="C23" s="344">
        <f>'Week 3 Master Sheet'!C23</f>
        <v>1</v>
      </c>
      <c r="D23" s="343" t="str">
        <f>'Week 3 Master Sheet'!D23</f>
        <v>45 sec</v>
      </c>
      <c r="E23" s="727" t="str">
        <f>'Week 3 Master Sheet'!E23</f>
        <v/>
      </c>
      <c r="F23" s="85">
        <v>1.0</v>
      </c>
      <c r="H23" s="725">
        <f>'Week 3 Master Sheet'!H23</f>
        <v>2</v>
      </c>
      <c r="I23" s="344">
        <f>'Week 3 Master Sheet'!I23</f>
        <v>0</v>
      </c>
      <c r="J23" s="344">
        <f>'Week 3 Master Sheet'!J23</f>
        <v>1</v>
      </c>
      <c r="K23" s="343" t="str">
        <f>'Week 3 Master Sheet'!K23</f>
        <v>45 sec</v>
      </c>
      <c r="L23" s="727" t="str">
        <f>'Week 3 Master Sheet'!L23</f>
        <v/>
      </c>
      <c r="M23" s="85"/>
      <c r="O23" s="725">
        <f>'Week 3 Master Sheet'!O23</f>
        <v>2</v>
      </c>
      <c r="P23" s="344">
        <f>'Week 3 Master Sheet'!P23</f>
        <v>50</v>
      </c>
      <c r="Q23" s="344">
        <f>'Week 3 Master Sheet'!Q23</f>
        <v>1</v>
      </c>
      <c r="R23" s="343" t="str">
        <f>'Week 3 Master Sheet'!R23</f>
        <v>45 sec</v>
      </c>
      <c r="S23" s="727" t="str">
        <f>'Week 3 Master Sheet'!S23</f>
        <v/>
      </c>
      <c r="T23" s="85"/>
    </row>
    <row r="24">
      <c r="A24" s="725">
        <f>'Week 3 Master Sheet'!A24</f>
        <v>3</v>
      </c>
      <c r="B24" s="344">
        <f>'Week 3 Master Sheet'!B24</f>
        <v>80</v>
      </c>
      <c r="C24" s="344">
        <f>'Week 3 Master Sheet'!C24</f>
        <v>1</v>
      </c>
      <c r="D24" s="343" t="str">
        <f>'Week 3 Master Sheet'!D24</f>
        <v>1 MIN</v>
      </c>
      <c r="E24" s="727" t="str">
        <f>'Week 3 Master Sheet'!E24</f>
        <v/>
      </c>
      <c r="F24" s="85">
        <v>1.0</v>
      </c>
      <c r="H24" s="725">
        <f>'Week 3 Master Sheet'!H24</f>
        <v>3</v>
      </c>
      <c r="I24" s="344">
        <f>'Week 3 Master Sheet'!I24</f>
        <v>0</v>
      </c>
      <c r="J24" s="344">
        <f>'Week 3 Master Sheet'!J24</f>
        <v>1</v>
      </c>
      <c r="K24" s="343" t="str">
        <f>'Week 3 Master Sheet'!K24</f>
        <v>1 MIN</v>
      </c>
      <c r="L24" s="727" t="str">
        <f>'Week 3 Master Sheet'!L24</f>
        <v/>
      </c>
      <c r="M24" s="85"/>
      <c r="O24" s="725">
        <f>'Week 3 Master Sheet'!O24</f>
        <v>3</v>
      </c>
      <c r="P24" s="344">
        <f>'Week 3 Master Sheet'!P24</f>
        <v>60</v>
      </c>
      <c r="Q24" s="344">
        <f>'Week 3 Master Sheet'!Q24</f>
        <v>1</v>
      </c>
      <c r="R24" s="343" t="str">
        <f>'Week 3 Master Sheet'!R24</f>
        <v>1 MIN</v>
      </c>
      <c r="S24" s="727" t="str">
        <f>'Week 3 Master Sheet'!S24</f>
        <v/>
      </c>
      <c r="T24" s="85"/>
    </row>
    <row r="25">
      <c r="A25" s="730" t="str">
        <f>'Week 3 Master Sheet'!A25</f>
        <v>Working Set</v>
      </c>
      <c r="B25" s="13"/>
      <c r="C25" s="13"/>
      <c r="D25" s="13"/>
      <c r="E25" s="13"/>
      <c r="F25" s="57"/>
      <c r="H25" s="730" t="str">
        <f>'Week 3 Master Sheet'!H25</f>
        <v>Working Set</v>
      </c>
      <c r="I25" s="13"/>
      <c r="J25" s="13"/>
      <c r="K25" s="13"/>
      <c r="L25" s="13"/>
      <c r="M25" s="57"/>
      <c r="O25" s="730" t="str">
        <f>'Week 3 Master Sheet'!O25</f>
        <v>Working Set</v>
      </c>
      <c r="P25" s="13"/>
      <c r="Q25" s="13"/>
      <c r="R25" s="13"/>
      <c r="S25" s="13"/>
      <c r="T25" s="57"/>
    </row>
    <row r="26">
      <c r="A26" s="96" t="str">
        <f>'Week 3 Master Sheet'!A26</f>
        <v>SET</v>
      </c>
      <c r="B26" s="97" t="str">
        <f>'Week 3 Master Sheet'!B26</f>
        <v>WEIGHT</v>
      </c>
      <c r="C26" s="97" t="str">
        <f>'Week 3 Master Sheet'!C26</f>
        <v>REPS</v>
      </c>
      <c r="D26" s="97" t="str">
        <f>'Week 3 Master Sheet'!D26</f>
        <v>REST</v>
      </c>
      <c r="E26" s="341" t="str">
        <f>'Week 3 Master Sheet'!E26</f>
        <v>PREVIOUS</v>
      </c>
      <c r="F26" s="235" t="str">
        <f>'Week 3 Master Sheet'!F26</f>
        <v>REP LOG</v>
      </c>
      <c r="H26" s="96" t="str">
        <f>'Week 3 Master Sheet'!H26</f>
        <v>SET</v>
      </c>
      <c r="I26" s="97" t="str">
        <f>'Week 3 Master Sheet'!I26</f>
        <v>WEIGHT</v>
      </c>
      <c r="J26" s="97" t="str">
        <f>'Week 3 Master Sheet'!J26</f>
        <v>REPS</v>
      </c>
      <c r="K26" s="97" t="str">
        <f>'Week 3 Master Sheet'!K26</f>
        <v>REST</v>
      </c>
      <c r="L26" s="341" t="str">
        <f>'Week 3 Master Sheet'!L26</f>
        <v>PREVIOUS</v>
      </c>
      <c r="M26" s="235" t="str">
        <f>'Week 3 Master Sheet'!M26</f>
        <v>REP LOG</v>
      </c>
      <c r="O26" s="96" t="str">
        <f>'Week 3 Master Sheet'!O26</f>
        <v>SET</v>
      </c>
      <c r="P26" s="97" t="str">
        <f>'Week 3 Master Sheet'!P26</f>
        <v>WEIGHT</v>
      </c>
      <c r="Q26" s="97" t="str">
        <f>'Week 3 Master Sheet'!Q26</f>
        <v>REPS</v>
      </c>
      <c r="R26" s="97" t="str">
        <f>'Week 3 Master Sheet'!R26</f>
        <v>REST</v>
      </c>
      <c r="S26" s="341" t="str">
        <f>'Week 3 Master Sheet'!S26</f>
        <v>PREVIOUS</v>
      </c>
      <c r="T26" s="235" t="str">
        <f>'Week 3 Master Sheet'!T26</f>
        <v>REP LOG</v>
      </c>
    </row>
    <row r="27">
      <c r="A27" s="725">
        <f>'Week 3 Master Sheet'!A27</f>
        <v>1</v>
      </c>
      <c r="B27" s="348">
        <f>'Week 3 Master Sheet'!B27</f>
        <v>90</v>
      </c>
      <c r="C27" s="437" t="str">
        <f>'Week 3 Master Sheet'!C27</f>
        <v>REP OUT</v>
      </c>
      <c r="D27" s="343" t="str">
        <f>'Week 3 Master Sheet'!D27</f>
        <v>1-5 MIN</v>
      </c>
      <c r="E27" s="727" t="str">
        <f>'Week 3 Master Sheet'!E27</f>
        <v/>
      </c>
      <c r="F27" s="85">
        <v>12.0</v>
      </c>
      <c r="H27" s="725">
        <f>'Week 3 Master Sheet'!H27</f>
        <v>1</v>
      </c>
      <c r="I27" s="348">
        <f>'Week 3 Master Sheet'!I27</f>
        <v>0</v>
      </c>
      <c r="J27" s="437" t="str">
        <f>'Week 3 Master Sheet'!J27</f>
        <v>REP OUT</v>
      </c>
      <c r="K27" s="343" t="str">
        <f>'Week 3 Master Sheet'!K27</f>
        <v>1-5 MIN</v>
      </c>
      <c r="L27" s="727" t="str">
        <f>'Week 3 Master Sheet'!L27</f>
        <v/>
      </c>
      <c r="M27" s="85"/>
      <c r="O27" s="725">
        <f>'Week 3 Master Sheet'!O27</f>
        <v>1</v>
      </c>
      <c r="P27" s="348">
        <f>'Week 3 Master Sheet'!P27</f>
        <v>70</v>
      </c>
      <c r="Q27" s="437" t="str">
        <f>'Week 3 Master Sheet'!Q27</f>
        <v>REP OUT</v>
      </c>
      <c r="R27" s="343" t="str">
        <f>'Week 3 Master Sheet'!R27</f>
        <v>1-5 MIN</v>
      </c>
      <c r="S27" s="727" t="str">
        <f>'Week 3 Master Sheet'!S27</f>
        <v/>
      </c>
      <c r="T27" s="85"/>
    </row>
    <row r="28">
      <c r="A28" s="725">
        <f>'Week 3 Master Sheet'!A28</f>
        <v>2</v>
      </c>
      <c r="B28" s="348">
        <f>'Week 3 Master Sheet'!B28</f>
        <v>80</v>
      </c>
      <c r="C28" s="437" t="str">
        <f>'Week 3 Master Sheet'!C28</f>
        <v>REP OUT</v>
      </c>
      <c r="D28" s="343" t="str">
        <f>'Week 3 Master Sheet'!D28</f>
        <v>1-5 MIN</v>
      </c>
      <c r="E28" s="727" t="str">
        <f>'Week 3 Master Sheet'!E28</f>
        <v/>
      </c>
      <c r="F28" s="85">
        <v>18.0</v>
      </c>
      <c r="H28" s="725">
        <f>'Week 3 Master Sheet'!H28</f>
        <v>2</v>
      </c>
      <c r="I28" s="348">
        <f>'Week 3 Master Sheet'!I28</f>
        <v>0</v>
      </c>
      <c r="J28" s="437" t="str">
        <f>'Week 3 Master Sheet'!J28</f>
        <v>REP OUT</v>
      </c>
      <c r="K28" s="343" t="str">
        <f>'Week 3 Master Sheet'!K28</f>
        <v>1-5 MIN</v>
      </c>
      <c r="L28" s="727" t="str">
        <f>'Week 3 Master Sheet'!L28</f>
        <v/>
      </c>
      <c r="M28" s="85"/>
      <c r="O28" s="725">
        <f>'Week 3 Master Sheet'!O28</f>
        <v>2</v>
      </c>
      <c r="P28" s="348">
        <f>'Week 3 Master Sheet'!P28</f>
        <v>55</v>
      </c>
      <c r="Q28" s="437" t="str">
        <f>'Week 3 Master Sheet'!Q28</f>
        <v>REP OUT</v>
      </c>
      <c r="R28" s="343" t="str">
        <f>'Week 3 Master Sheet'!R28</f>
        <v>1-5 MIN</v>
      </c>
      <c r="S28" s="727" t="str">
        <f>'Week 3 Master Sheet'!S28</f>
        <v/>
      </c>
      <c r="T28" s="85"/>
    </row>
    <row r="29">
      <c r="A29" s="753">
        <f>'Week 3 Master Sheet'!A29</f>
        <v>3</v>
      </c>
      <c r="B29" s="732">
        <f>'Week 3 Master Sheet'!B29</f>
        <v>70</v>
      </c>
      <c r="C29" s="733" t="str">
        <f>'Week 3 Master Sheet'!C29</f>
        <v>REP OUT</v>
      </c>
      <c r="D29" s="486" t="str">
        <f>'Week 3 Master Sheet'!D29</f>
        <v>1-5 MIN</v>
      </c>
      <c r="E29" s="734" t="str">
        <f>'Week 3 Master Sheet'!E29</f>
        <v/>
      </c>
      <c r="F29" s="85">
        <v>10.0</v>
      </c>
      <c r="H29" s="735">
        <f>'Week 3 Master Sheet'!H29</f>
        <v>3</v>
      </c>
      <c r="I29" s="736">
        <f>'Week 3 Master Sheet'!I29</f>
        <v>0</v>
      </c>
      <c r="J29" s="737" t="str">
        <f>'Week 3 Master Sheet'!J29</f>
        <v>REP OUT</v>
      </c>
      <c r="K29" s="738" t="str">
        <f>'Week 3 Master Sheet'!K29</f>
        <v>1-5 MIN</v>
      </c>
      <c r="L29" s="739" t="str">
        <f>'Week 3 Master Sheet'!L29</f>
        <v/>
      </c>
      <c r="M29" s="85"/>
      <c r="O29" s="753">
        <f>'Week 3 Master Sheet'!O29</f>
        <v>3</v>
      </c>
      <c r="P29" s="732">
        <f>'Week 3 Master Sheet'!P29</f>
        <v>40</v>
      </c>
      <c r="Q29" s="733" t="str">
        <f>'Week 3 Master Sheet'!Q29</f>
        <v>REP OUT</v>
      </c>
      <c r="R29" s="486" t="str">
        <f>'Week 3 Master Sheet'!R29</f>
        <v>1-5 MIN</v>
      </c>
      <c r="S29" s="734" t="str">
        <f>'Week 3 Master Sheet'!S29</f>
        <v/>
      </c>
      <c r="T29" s="85"/>
    </row>
    <row r="30">
      <c r="A30" s="740"/>
      <c r="H30" s="742"/>
      <c r="I30" s="25"/>
      <c r="J30" s="25"/>
      <c r="K30" s="25"/>
      <c r="L30" s="25"/>
      <c r="M30" s="25"/>
      <c r="N30" s="25"/>
      <c r="O30" s="25"/>
      <c r="P30" s="25"/>
      <c r="Q30" s="25"/>
      <c r="R30" s="25"/>
      <c r="S30" s="25"/>
      <c r="T30" s="25"/>
    </row>
    <row r="32">
      <c r="A32" s="440" t="str">
        <f>'Week 3 Master Sheet'!A32</f>
        <v>2. DB CHEST FLY</v>
      </c>
      <c r="B32" s="53"/>
      <c r="C32" s="53"/>
      <c r="D32" s="53"/>
      <c r="E32" s="53"/>
      <c r="F32" s="54"/>
      <c r="G32" s="434" t="s">
        <v>123</v>
      </c>
      <c r="H32" s="440" t="str">
        <f>'Week 3 Master Sheet'!H32</f>
        <v>2. MACHINE CHEST FLY</v>
      </c>
      <c r="I32" s="53"/>
      <c r="J32" s="53"/>
      <c r="K32" s="53"/>
      <c r="L32" s="53"/>
      <c r="M32" s="54"/>
      <c r="N32" s="657"/>
    </row>
    <row r="33">
      <c r="A33" s="226" t="str">
        <f>'Week 3 Master Sheet'!A33</f>
        <v>DB INCL MAX</v>
      </c>
      <c r="B33" s="691">
        <f>'Week 3 Master Sheet'!B33</f>
        <v>75</v>
      </c>
      <c r="C33" s="13"/>
      <c r="D33" s="13"/>
      <c r="E33" s="13"/>
      <c r="F33" s="57"/>
      <c r="G33" s="434"/>
      <c r="H33" s="226" t="str">
        <f>'Week 3 Master Sheet'!H33</f>
        <v>DB INCL MAX</v>
      </c>
      <c r="I33" s="691">
        <f>'Week 3 Master Sheet'!I33</f>
        <v>75</v>
      </c>
      <c r="J33" s="13"/>
      <c r="K33" s="13"/>
      <c r="L33" s="13"/>
      <c r="M33" s="57"/>
    </row>
    <row r="34">
      <c r="A34" s="743" t="str">
        <f>'Week 3 Master Sheet'!A34</f>
        <v>SET</v>
      </c>
      <c r="B34" s="744" t="str">
        <f>'Week 3 Master Sheet'!B34</f>
        <v>WEIGHT</v>
      </c>
      <c r="C34" s="744" t="str">
        <f>'Week 3 Master Sheet'!C34</f>
        <v>REPS</v>
      </c>
      <c r="D34" s="744" t="str">
        <f>'Week 3 Master Sheet'!D34</f>
        <v>REST</v>
      </c>
      <c r="E34" s="745" t="str">
        <f>'Week 3 Master Sheet'!E34</f>
        <v>PREVIOUS</v>
      </c>
      <c r="F34" s="235" t="str">
        <f>'Week 3 Master Sheet'!F34</f>
        <v>REP LOG</v>
      </c>
      <c r="H34" s="743" t="str">
        <f>'Week 3 Master Sheet'!H34</f>
        <v>SET</v>
      </c>
      <c r="I34" s="744" t="str">
        <f>'Week 3 Master Sheet'!I34</f>
        <v>WEIGHT</v>
      </c>
      <c r="J34" s="744" t="str">
        <f>'Week 3 Master Sheet'!J34</f>
        <v>REPS</v>
      </c>
      <c r="K34" s="744" t="str">
        <f>'Week 3 Master Sheet'!K34</f>
        <v>REST</v>
      </c>
      <c r="L34" s="745" t="str">
        <f>'Week 3 Master Sheet'!L34</f>
        <v>PREVIOUS</v>
      </c>
      <c r="M34" s="235" t="str">
        <f>'Week 3 Master Sheet'!M34</f>
        <v>REP LOG</v>
      </c>
    </row>
    <row r="35">
      <c r="A35" s="725">
        <f>'Week 3 Master Sheet'!A35</f>
        <v>1</v>
      </c>
      <c r="B35" s="254">
        <f>'Week 3 Master Sheet'!B35</f>
        <v>22.5</v>
      </c>
      <c r="C35" s="344" t="str">
        <f>'Week 3 Master Sheet'!C35</f>
        <v>10 - 15</v>
      </c>
      <c r="D35" s="343" t="str">
        <f>'Week 3 Master Sheet'!D35</f>
        <v>1 MIN</v>
      </c>
      <c r="E35" s="727" t="str">
        <f>'Week 3 Master Sheet'!E35</f>
        <v/>
      </c>
      <c r="F35" s="85">
        <v>15.0</v>
      </c>
      <c r="H35" s="725">
        <f>'Week 3 Master Sheet'!H35</f>
        <v>1</v>
      </c>
      <c r="I35" s="254">
        <f>'Week 3 Master Sheet'!I35</f>
        <v>110</v>
      </c>
      <c r="J35" s="344" t="str">
        <f>'Week 3 Master Sheet'!J35</f>
        <v>10 - 15</v>
      </c>
      <c r="K35" s="343" t="str">
        <f>'Week 3 Master Sheet'!K35</f>
        <v>1 MIN</v>
      </c>
      <c r="L35" s="727" t="str">
        <f>'Week 3 Master Sheet'!L35</f>
        <v/>
      </c>
      <c r="M35" s="85"/>
    </row>
    <row r="36">
      <c r="A36" s="747">
        <f>'Week 3 Master Sheet'!A36</f>
        <v>2</v>
      </c>
      <c r="B36" s="662">
        <f>'Week 3 Master Sheet'!B36</f>
        <v>22.5</v>
      </c>
      <c r="C36" s="813" t="str">
        <f>'Week 3 Master Sheet'!C36</f>
        <v>10 - 15</v>
      </c>
      <c r="D36" s="486" t="str">
        <f>'Week 3 Master Sheet'!D36</f>
        <v>1 MIN</v>
      </c>
      <c r="E36" s="734" t="str">
        <f>'Week 3 Master Sheet'!E36</f>
        <v/>
      </c>
      <c r="F36" s="85">
        <v>15.0</v>
      </c>
      <c r="H36" s="747">
        <f>'Week 3 Master Sheet'!H36</f>
        <v>2</v>
      </c>
      <c r="I36" s="662">
        <f>'Week 3 Master Sheet'!I36</f>
        <v>110</v>
      </c>
      <c r="J36" s="813" t="str">
        <f>'Week 3 Master Sheet'!J36</f>
        <v>10 - 15</v>
      </c>
      <c r="K36" s="486" t="str">
        <f>'Week 3 Master Sheet'!K36</f>
        <v>1 MIN</v>
      </c>
      <c r="L36" s="734" t="str">
        <f>'Week 3 Master Sheet'!L36</f>
        <v/>
      </c>
      <c r="M36" s="85"/>
    </row>
    <row r="37">
      <c r="A37" s="419"/>
      <c r="H37" s="657"/>
    </row>
    <row r="39">
      <c r="A39" s="73" t="str">
        <f>'Week 3 Master Sheet'!A39</f>
        <v>3. MACHINE HIGH ROW</v>
      </c>
      <c r="B39" s="53"/>
      <c r="C39" s="53"/>
      <c r="D39" s="53"/>
      <c r="E39" s="53"/>
      <c r="F39" s="54"/>
    </row>
    <row r="40">
      <c r="A40" s="226" t="str">
        <f>'Week 3 Master Sheet'!A40</f>
        <v>CURRENT MAX</v>
      </c>
      <c r="B40" s="227">
        <f>'Week 3 Master Sheet'!B40</f>
        <v>60</v>
      </c>
      <c r="C40" s="20"/>
      <c r="D40" s="20"/>
      <c r="E40" s="20"/>
      <c r="F40" s="95"/>
    </row>
    <row r="41">
      <c r="A41" s="231" t="str">
        <f>'Week 3 Master Sheet'!A41</f>
        <v>SET</v>
      </c>
      <c r="B41" s="232" t="str">
        <f>'Week 3 Master Sheet'!B41</f>
        <v>WEIGHT</v>
      </c>
      <c r="C41" s="232" t="str">
        <f>'Week 3 Master Sheet'!C41</f>
        <v>REPS</v>
      </c>
      <c r="D41" s="232" t="str">
        <f>'Week 3 Master Sheet'!D41</f>
        <v>REST</v>
      </c>
      <c r="E41" s="233" t="str">
        <f>'Week 3 Master Sheet'!E41</f>
        <v>PREVIOUS</v>
      </c>
      <c r="F41" s="235" t="str">
        <f>'Week 3 Master Sheet'!F41</f>
        <v>REP LOG</v>
      </c>
    </row>
    <row r="42">
      <c r="A42" s="236">
        <f>'Week 3 Master Sheet'!A42</f>
        <v>1</v>
      </c>
      <c r="B42" s="237">
        <f>'Week 3 Master Sheet'!B42</f>
        <v>20</v>
      </c>
      <c r="C42" s="237">
        <f>'Week 3 Master Sheet'!C42</f>
        <v>6</v>
      </c>
      <c r="D42" s="238" t="str">
        <f>'Week 3 Master Sheet'!D42</f>
        <v>30s</v>
      </c>
      <c r="E42" s="66" t="str">
        <f>'Week 3 Master Sheet'!E42</f>
        <v/>
      </c>
      <c r="F42" s="67">
        <v>6.0</v>
      </c>
    </row>
    <row r="43">
      <c r="A43" s="236">
        <f>'Week 3 Master Sheet'!A43</f>
        <v>2</v>
      </c>
      <c r="B43" s="237">
        <f>'Week 3 Master Sheet'!B43</f>
        <v>40</v>
      </c>
      <c r="C43" s="238">
        <f>'Week 3 Master Sheet'!C43</f>
        <v>3</v>
      </c>
      <c r="D43" s="238" t="str">
        <f>'Week 3 Master Sheet'!D43</f>
        <v>1-2 MIN</v>
      </c>
      <c r="E43" s="66" t="str">
        <f>'Week 3 Master Sheet'!E43</f>
        <v/>
      </c>
      <c r="F43" s="67">
        <v>3.0</v>
      </c>
    </row>
    <row r="44">
      <c r="A44" s="242">
        <f>'Week 3 Master Sheet'!A44</f>
        <v>3</v>
      </c>
      <c r="B44" s="237">
        <f>'Week 3 Master Sheet'!B44</f>
        <v>55</v>
      </c>
      <c r="C44" s="63">
        <f>'Week 3 Master Sheet'!C44</f>
        <v>2</v>
      </c>
      <c r="D44" s="238" t="str">
        <f>'Week 3 Master Sheet'!D44</f>
        <v>1-2 MIN</v>
      </c>
      <c r="E44" s="66" t="str">
        <f>'Week 3 Master Sheet'!E44</f>
        <v/>
      </c>
      <c r="F44" s="67">
        <v>2.0</v>
      </c>
    </row>
    <row r="45">
      <c r="A45" s="243">
        <f>'Week 3 Master Sheet'!A45</f>
        <v>4</v>
      </c>
      <c r="B45" s="237">
        <f>'Week 3 Master Sheet'!B45</f>
        <v>60</v>
      </c>
      <c r="C45" s="257">
        <f>'Week 3 Master Sheet'!C45</f>
        <v>3</v>
      </c>
      <c r="D45" s="238" t="str">
        <f>'Week 3 Master Sheet'!D45</f>
        <v>1-5 MIN</v>
      </c>
      <c r="E45" s="66" t="str">
        <f>'Week 3 Master Sheet'!E45</f>
        <v/>
      </c>
      <c r="F45" s="67">
        <v>3.0</v>
      </c>
    </row>
    <row r="46">
      <c r="A46" s="246" t="str">
        <f>'Week 3 Master Sheet'!A46</f>
        <v>NEW 4 REP MAX ATTEMPT</v>
      </c>
      <c r="B46" s="20"/>
      <c r="C46" s="20"/>
      <c r="D46" s="20"/>
      <c r="E46" s="20"/>
      <c r="F46" s="95"/>
    </row>
    <row r="47">
      <c r="A47" s="249">
        <f>'Week 3 Master Sheet'!A47</f>
        <v>5</v>
      </c>
      <c r="B47" s="175">
        <f>'Week 3 Master Sheet'!B47</f>
        <v>65</v>
      </c>
      <c r="C47" s="238">
        <f>'Week 3 Master Sheet'!C47</f>
        <v>4</v>
      </c>
      <c r="D47" s="238" t="str">
        <f>'Week 3 Master Sheet'!D47</f>
        <v>1-5 MIN</v>
      </c>
      <c r="E47" s="250" t="str">
        <f>'Week 3 Master Sheet'!E47</f>
        <v/>
      </c>
      <c r="F47" s="67">
        <v>4.0</v>
      </c>
    </row>
    <row r="48">
      <c r="A48" s="259" t="str">
        <f>'Week 3 Master Sheet'!A48</f>
        <v>6</v>
      </c>
      <c r="B48" s="237">
        <f>'Week 3 Master Sheet'!B48</f>
        <v>70</v>
      </c>
      <c r="C48" s="257" t="str">
        <f>'Week 3 Master Sheet'!C48</f>
        <v>4</v>
      </c>
      <c r="D48" s="257" t="str">
        <f>'Week 3 Master Sheet'!D48</f>
        <v>1-5 MIN</v>
      </c>
      <c r="E48" s="258" t="str">
        <f>'Week 3 Master Sheet'!E48</f>
        <v/>
      </c>
      <c r="F48" s="67">
        <v>4.0</v>
      </c>
    </row>
    <row r="49">
      <c r="A49" s="246" t="str">
        <f>'Week 3 Master Sheet'!A49</f>
        <v>DOWN SETS</v>
      </c>
      <c r="B49" s="20"/>
      <c r="C49" s="20"/>
      <c r="D49" s="20"/>
      <c r="E49" s="20"/>
      <c r="F49" s="95"/>
    </row>
    <row r="50">
      <c r="A50" s="249">
        <f>'Week 3 Master Sheet'!A50</f>
        <v>7</v>
      </c>
      <c r="B50" s="175">
        <f>'Week 3 Master Sheet'!B50</f>
        <v>55</v>
      </c>
      <c r="C50" s="437" t="str">
        <f>'Week 3 Master Sheet'!C50</f>
        <v>REP OUT</v>
      </c>
      <c r="D50" s="238" t="str">
        <f>'Week 3 Master Sheet'!D50</f>
        <v>1-3 MIN</v>
      </c>
      <c r="E50" s="268"/>
      <c r="F50" s="85">
        <v>12.0</v>
      </c>
    </row>
    <row r="51">
      <c r="A51" s="259">
        <f>'Week 3 Master Sheet'!A51</f>
        <v>8</v>
      </c>
      <c r="B51" s="237">
        <f>'Week 3 Master Sheet'!B51</f>
        <v>50</v>
      </c>
      <c r="C51" s="814" t="str">
        <f>'Week 3 Master Sheet'!C51</f>
        <v>REP OUT</v>
      </c>
      <c r="D51" s="257" t="str">
        <f>'Week 3 Master Sheet'!D51</f>
        <v>1-3 MIN</v>
      </c>
      <c r="E51" s="258"/>
      <c r="F51" s="85">
        <v>17.0</v>
      </c>
    </row>
    <row r="52">
      <c r="A52" s="226" t="str">
        <f>'Week 3 Master Sheet'!A52</f>
        <v>FINAL MAX</v>
      </c>
      <c r="B52" s="691">
        <f>'Week 3 Master Sheet'!B52</f>
        <v>70</v>
      </c>
      <c r="C52" s="13"/>
      <c r="D52" s="13"/>
      <c r="E52" s="13"/>
      <c r="F52" s="57"/>
    </row>
    <row r="53">
      <c r="A53" s="815"/>
      <c r="B53" s="816"/>
      <c r="C53" s="816"/>
      <c r="D53" s="816"/>
      <c r="E53" s="816"/>
      <c r="F53" s="816"/>
    </row>
    <row r="54">
      <c r="A54" s="751" t="str">
        <f>'Week 3 Master Sheet'!A54</f>
        <v>4. LAT PULL DOWN</v>
      </c>
      <c r="B54" s="13"/>
      <c r="C54" s="13"/>
      <c r="D54" s="13"/>
      <c r="E54" s="13"/>
      <c r="F54" s="57"/>
    </row>
    <row r="55">
      <c r="A55" s="226" t="str">
        <f>'Week 3 Master Sheet'!A55</f>
        <v>CURRENT MAX</v>
      </c>
      <c r="B55" s="691">
        <f>'Week 3 Master Sheet'!B55</f>
        <v>260</v>
      </c>
      <c r="C55" s="13"/>
      <c r="D55" s="13"/>
      <c r="E55" s="13"/>
      <c r="F55" s="57"/>
    </row>
    <row r="56">
      <c r="A56" s="96" t="str">
        <f>'Week 3 Master Sheet'!A56</f>
        <v>SET</v>
      </c>
      <c r="B56" s="97" t="str">
        <f>'Week 3 Master Sheet'!B56</f>
        <v>WEIGHT</v>
      </c>
      <c r="C56" s="97" t="str">
        <f>'Week 3 Master Sheet'!C56</f>
        <v>REPS</v>
      </c>
      <c r="D56" s="97" t="str">
        <f>'Week 3 Master Sheet'!D56</f>
        <v>REST</v>
      </c>
      <c r="E56" s="341" t="str">
        <f>'Week 3 Master Sheet'!E56</f>
        <v>PREVIOUS</v>
      </c>
      <c r="F56" s="235" t="str">
        <f>'Week 3 Master Sheet'!F56</f>
        <v>REP LOG</v>
      </c>
    </row>
    <row r="57">
      <c r="A57" s="725">
        <f>'Week 3 Master Sheet'!A57</f>
        <v>1</v>
      </c>
      <c r="B57" s="344">
        <f>'Week 3 Master Sheet'!B57</f>
        <v>235</v>
      </c>
      <c r="C57" s="437" t="str">
        <f>'Week 3 Master Sheet'!C57</f>
        <v>REP OUT</v>
      </c>
      <c r="D57" s="343" t="str">
        <f>'Week 3 Master Sheet'!D57</f>
        <v>1 MIN</v>
      </c>
      <c r="E57" s="752" t="str">
        <f>'Week 3 Master Sheet'!E57</f>
        <v/>
      </c>
      <c r="F57" s="85">
        <v>4.0</v>
      </c>
    </row>
    <row r="58">
      <c r="A58" s="725">
        <f>'Week 3 Master Sheet'!A58</f>
        <v>2</v>
      </c>
      <c r="B58" s="344">
        <f>'Week 3 Master Sheet'!B58</f>
        <v>195</v>
      </c>
      <c r="C58" s="437" t="str">
        <f>'Week 3 Master Sheet'!C58</f>
        <v>REP OUT</v>
      </c>
      <c r="D58" s="343" t="str">
        <f>'Week 3 Master Sheet'!D58</f>
        <v>1 MIN</v>
      </c>
      <c r="E58" s="752" t="str">
        <f>'Week 3 Master Sheet'!E58</f>
        <v/>
      </c>
      <c r="F58" s="85">
        <v>8.0</v>
      </c>
    </row>
    <row r="59">
      <c r="A59" s="753">
        <f>'Week 3 Master Sheet'!A59</f>
        <v>3</v>
      </c>
      <c r="B59" s="486">
        <v>185.0</v>
      </c>
      <c r="C59" s="733" t="str">
        <f>'Week 3 Master Sheet'!C59</f>
        <v>REP OUT</v>
      </c>
      <c r="D59" s="486" t="str">
        <f>'Week 3 Master Sheet'!D59</f>
        <v>1 MIN</v>
      </c>
      <c r="E59" s="755" t="str">
        <f>'Week 3 Master Sheet'!E59</f>
        <v/>
      </c>
      <c r="F59" s="817">
        <v>8.0</v>
      </c>
    </row>
    <row r="60">
      <c r="A60" s="756"/>
    </row>
    <row r="62">
      <c r="A62" s="73" t="str">
        <f>'Week 3 Master Sheet'!A62</f>
        <v>5. LOW ROW </v>
      </c>
      <c r="B62" s="53"/>
      <c r="C62" s="53"/>
      <c r="D62" s="53"/>
      <c r="E62" s="53"/>
      <c r="F62" s="54"/>
    </row>
    <row r="63">
      <c r="A63" s="226" t="str">
        <f>'Week 3 Master Sheet'!A63</f>
        <v>CURRENT MAX</v>
      </c>
      <c r="B63" s="691" t="str">
        <f>'Week 3 Master Sheet'!B63</f>
        <v/>
      </c>
      <c r="C63" s="13"/>
      <c r="D63" s="13"/>
      <c r="E63" s="13"/>
      <c r="F63" s="57"/>
    </row>
    <row r="64">
      <c r="A64" s="96" t="str">
        <f>'Week 3 Master Sheet'!A56</f>
        <v>SET</v>
      </c>
      <c r="B64" s="97" t="str">
        <f>'Week 3 Master Sheet'!B56</f>
        <v>WEIGHT</v>
      </c>
      <c r="C64" s="97" t="str">
        <f>'Week 3 Master Sheet'!C56</f>
        <v>REPS</v>
      </c>
      <c r="D64" s="97" t="str">
        <f>'Week 3 Master Sheet'!D56</f>
        <v>REST</v>
      </c>
      <c r="E64" s="341" t="str">
        <f>'Week 3 Master Sheet'!E56</f>
        <v>PREVIOUS</v>
      </c>
      <c r="F64" s="235" t="str">
        <f>'Week 3 Master Sheet'!F64</f>
        <v>REP LOG</v>
      </c>
    </row>
    <row r="65">
      <c r="A65" s="725">
        <f>'Week 3 Master Sheet'!A65</f>
        <v>1</v>
      </c>
      <c r="B65" s="344">
        <f>'Week 3 Master Sheet'!B65</f>
        <v>0</v>
      </c>
      <c r="C65" s="437" t="str">
        <f>'Week 3 Master Sheet'!C65</f>
        <v>REP OUT</v>
      </c>
      <c r="D65" s="343" t="str">
        <f>'Week 3 Master Sheet'!D65</f>
        <v>1-3 MIN</v>
      </c>
      <c r="E65" s="727" t="str">
        <f>'Week 3 Master Sheet'!E65</f>
        <v/>
      </c>
      <c r="F65" s="85">
        <v>5.0</v>
      </c>
    </row>
    <row r="66">
      <c r="A66" s="725">
        <f>'Week 3 Master Sheet'!A66</f>
        <v>2</v>
      </c>
      <c r="B66" s="344">
        <f>'Week 3 Master Sheet'!B66</f>
        <v>0</v>
      </c>
      <c r="C66" s="437" t="str">
        <f>'Week 3 Master Sheet'!C66</f>
        <v>REP OUT</v>
      </c>
      <c r="D66" s="343" t="str">
        <f>'Week 3 Master Sheet'!D66</f>
        <v>1-3 MIN</v>
      </c>
      <c r="E66" s="727" t="str">
        <f>'Week 3 Master Sheet'!E66</f>
        <v/>
      </c>
      <c r="F66" s="85">
        <v>6.0</v>
      </c>
    </row>
    <row r="67">
      <c r="A67" s="753">
        <f>'Week 3 Master Sheet'!A67</f>
        <v>3</v>
      </c>
      <c r="B67" s="754">
        <f>'Week 3 Master Sheet'!B67</f>
        <v>0</v>
      </c>
      <c r="C67" s="733" t="str">
        <f>'Week 3 Master Sheet'!C67</f>
        <v>REP OUT</v>
      </c>
      <c r="D67" s="486" t="str">
        <f>'Week 3 Master Sheet'!D67</f>
        <v>1-3 MIN</v>
      </c>
      <c r="E67" s="734" t="str">
        <f>'Week 3 Master Sheet'!E67</f>
        <v/>
      </c>
      <c r="F67" s="85"/>
    </row>
    <row r="68">
      <c r="A68" s="419"/>
    </row>
    <row r="69">
      <c r="A69" s="818" t="str">
        <f>'Week 3 Master Sheet'!A69</f>
        <v>CLICK TO COMPLETE WORKOUT</v>
      </c>
      <c r="B69" s="36"/>
      <c r="C69" s="36"/>
      <c r="D69" s="36"/>
      <c r="E69" s="36"/>
      <c r="F69" s="37"/>
    </row>
    <row r="70">
      <c r="A70" s="819"/>
    </row>
    <row r="71">
      <c r="A71" s="50" t="str">
        <f>'Week 3 Master Sheet'!A71</f>
        <v>DAY 2 </v>
      </c>
      <c r="B71" s="36"/>
      <c r="C71" s="36"/>
      <c r="D71" s="36"/>
      <c r="E71" s="36"/>
      <c r="F71" s="37"/>
    </row>
    <row r="72">
      <c r="A72" s="765"/>
    </row>
    <row r="74">
      <c r="A74" s="335" t="str">
        <f>'Week 3 Master Sheet'!A74</f>
        <v>WATCH THIS BEFORE MACHINE SQUAT</v>
      </c>
      <c r="B74" s="25"/>
      <c r="C74" s="25"/>
      <c r="D74" s="25"/>
      <c r="E74" s="25"/>
      <c r="F74" s="26"/>
    </row>
    <row r="75">
      <c r="A75" s="336"/>
      <c r="B75" s="11"/>
      <c r="C75" s="11"/>
      <c r="D75" s="11"/>
      <c r="E75" s="11"/>
      <c r="F75" s="46"/>
    </row>
    <row r="76">
      <c r="A76" s="51" t="str">
        <f>'Week 3 Master Sheet'!A76</f>
        <v>LEGS </v>
      </c>
      <c r="B76" s="36"/>
      <c r="C76" s="36"/>
      <c r="D76" s="36"/>
      <c r="E76" s="36"/>
      <c r="F76" s="37"/>
      <c r="H76" s="51" t="str">
        <f>'Week 3 Master Sheet'!H76</f>
        <v>LEGS </v>
      </c>
      <c r="I76" s="36"/>
      <c r="J76" s="36"/>
      <c r="K76" s="36"/>
      <c r="L76" s="36"/>
      <c r="M76" s="37"/>
      <c r="N76" s="419"/>
    </row>
    <row r="77">
      <c r="A77" s="820" t="str">
        <f>'Week 3 Master Sheet'!A77</f>
        <v>1. MACHINE SQUAT </v>
      </c>
      <c r="B77" s="53"/>
      <c r="C77" s="53"/>
      <c r="D77" s="53"/>
      <c r="E77" s="53"/>
      <c r="F77" s="54"/>
      <c r="G77" s="434" t="s">
        <v>123</v>
      </c>
      <c r="H77" s="323" t="str">
        <f>'Week 3 Master Sheet'!H77</f>
        <v>1. LEG PRESS</v>
      </c>
      <c r="I77" s="53"/>
      <c r="J77" s="53"/>
      <c r="K77" s="53"/>
      <c r="L77" s="53"/>
      <c r="M77" s="54"/>
    </row>
    <row r="78">
      <c r="A78" s="96" t="str">
        <f>'Week 3 Master Sheet'!A78</f>
        <v>SET</v>
      </c>
      <c r="B78" s="97" t="str">
        <f>'Week 3 Master Sheet'!B78</f>
        <v>WEIGHT</v>
      </c>
      <c r="C78" s="97" t="str">
        <f>'Week 3 Master Sheet'!C78</f>
        <v>REPS</v>
      </c>
      <c r="D78" s="97" t="str">
        <f>'Week 3 Master Sheet'!D78</f>
        <v>REST</v>
      </c>
      <c r="E78" s="341" t="str">
        <f>'Week 3 Master Sheet'!E78</f>
        <v>PREVIOUS</v>
      </c>
      <c r="F78" s="235" t="str">
        <f>'Week 3 Master Sheet'!F78</f>
        <v>REP LOG</v>
      </c>
      <c r="G78" s="434"/>
      <c r="H78" s="226" t="str">
        <f>'Week 3 Master Sheet'!H78</f>
        <v>CURRENT MAX</v>
      </c>
      <c r="I78" s="691">
        <f>'Week 3 Master Sheet'!I78</f>
        <v>250</v>
      </c>
      <c r="J78" s="13"/>
      <c r="K78" s="13"/>
      <c r="L78" s="13"/>
      <c r="M78" s="57"/>
    </row>
    <row r="79">
      <c r="A79" s="342">
        <f>'Week 3 Master Sheet'!A79</f>
        <v>1</v>
      </c>
      <c r="B79" s="343">
        <f>'Week 3 Master Sheet'!B79</f>
        <v>75</v>
      </c>
      <c r="C79" s="344">
        <f>'Week 3 Master Sheet'!C79</f>
        <v>10</v>
      </c>
      <c r="D79" s="345" t="str">
        <f>'Week 3 Master Sheet'!D79</f>
        <v>1-5 MIN</v>
      </c>
      <c r="E79" s="346" t="str">
        <f>'Week 3 Master Sheet'!E79</f>
        <v/>
      </c>
      <c r="F79" s="85"/>
      <c r="H79" s="96" t="str">
        <f>'Week 3 Master Sheet'!H79</f>
        <v>SET</v>
      </c>
      <c r="I79" s="97" t="str">
        <f>'Week 3 Master Sheet'!I79</f>
        <v>WEIGHT</v>
      </c>
      <c r="J79" s="97" t="str">
        <f>'Week 3 Master Sheet'!J79</f>
        <v>REPS</v>
      </c>
      <c r="K79" s="97" t="str">
        <f>'Week 3 Master Sheet'!K79</f>
        <v>REST</v>
      </c>
      <c r="L79" s="341" t="str">
        <f>'Week 3 Master Sheet'!L79</f>
        <v>PREVIOUS</v>
      </c>
      <c r="M79" s="235" t="str">
        <f>'Week 3 Master Sheet'!M79</f>
        <v>REP LOG</v>
      </c>
    </row>
    <row r="80">
      <c r="A80" s="342">
        <f>'Week 3 Master Sheet'!A80</f>
        <v>2</v>
      </c>
      <c r="B80" s="348">
        <f>'Week 3 Master Sheet'!B80</f>
        <v>85</v>
      </c>
      <c r="C80" s="344">
        <f>'Week 3 Master Sheet'!C80</f>
        <v>10</v>
      </c>
      <c r="D80" s="345" t="str">
        <f>'Week 3 Master Sheet'!D80</f>
        <v>1-5 MIN</v>
      </c>
      <c r="E80" s="346" t="str">
        <f>'Week 3 Master Sheet'!E80</f>
        <v/>
      </c>
      <c r="F80" s="85"/>
      <c r="H80" s="342">
        <f>'Week 3 Master Sheet'!H80</f>
        <v>1</v>
      </c>
      <c r="I80" s="348">
        <f>'Week 3 Master Sheet'!I80</f>
        <v>75</v>
      </c>
      <c r="J80" s="343">
        <f>'Week 3 Master Sheet'!J80</f>
        <v>25</v>
      </c>
      <c r="K80" s="345" t="str">
        <f>'Week 3 Master Sheet'!K80</f>
        <v>1-5 MIN</v>
      </c>
      <c r="L80" s="346" t="str">
        <f>'Week 3 Master Sheet'!L80</f>
        <v/>
      </c>
      <c r="M80" s="85">
        <v>25.0</v>
      </c>
    </row>
    <row r="81">
      <c r="A81" s="342">
        <f>'Week 3 Master Sheet'!A81</f>
        <v>3</v>
      </c>
      <c r="B81" s="348">
        <f>'Week 3 Master Sheet'!B81</f>
        <v>95</v>
      </c>
      <c r="C81" s="344">
        <f>'Week 3 Master Sheet'!C81</f>
        <v>10</v>
      </c>
      <c r="D81" s="345" t="str">
        <f>'Week 3 Master Sheet'!D81</f>
        <v>1-5 MIN</v>
      </c>
      <c r="E81" s="346" t="str">
        <f>'Week 3 Master Sheet'!E81</f>
        <v/>
      </c>
      <c r="F81" s="85"/>
      <c r="H81" s="342">
        <f>'Week 3 Master Sheet'!H81</f>
        <v>2</v>
      </c>
      <c r="I81" s="348">
        <f>'Week 3 Master Sheet'!I81</f>
        <v>125</v>
      </c>
      <c r="J81" s="191">
        <f>'Week 3 Master Sheet'!J81</f>
        <v>25</v>
      </c>
      <c r="K81" s="345" t="str">
        <f>'Week 3 Master Sheet'!K81</f>
        <v>1-5 MIN</v>
      </c>
      <c r="L81" s="346" t="str">
        <f>'Week 3 Master Sheet'!L81</f>
        <v/>
      </c>
      <c r="M81" s="85">
        <v>25.0</v>
      </c>
    </row>
    <row r="82">
      <c r="A82" s="342">
        <f>'Week 3 Master Sheet'!A82</f>
        <v>4</v>
      </c>
      <c r="B82" s="348">
        <f>'Week 3 Master Sheet'!B82</f>
        <v>105</v>
      </c>
      <c r="C82" s="344">
        <f>'Week 3 Master Sheet'!C82</f>
        <v>10</v>
      </c>
      <c r="D82" s="345" t="str">
        <f>'Week 3 Master Sheet'!D82</f>
        <v>1-5 MIN</v>
      </c>
      <c r="E82" s="346" t="str">
        <f>'Week 3 Master Sheet'!E82</f>
        <v/>
      </c>
      <c r="F82" s="85"/>
      <c r="H82" s="342">
        <f>'Week 3 Master Sheet'!H82</f>
        <v>3</v>
      </c>
      <c r="I82" s="348">
        <f>'Week 3 Master Sheet'!I82</f>
        <v>165</v>
      </c>
      <c r="J82" s="191">
        <f>'Week 3 Master Sheet'!J82</f>
        <v>25</v>
      </c>
      <c r="K82" s="345" t="str">
        <f>'Week 3 Master Sheet'!K82</f>
        <v>1-5 MIN</v>
      </c>
      <c r="L82" s="346" t="str">
        <f>'Week 3 Master Sheet'!L82</f>
        <v/>
      </c>
      <c r="M82" s="85">
        <v>25.0</v>
      </c>
    </row>
    <row r="83">
      <c r="A83" s="342">
        <f>'Week 3 Master Sheet'!A83</f>
        <v>5</v>
      </c>
      <c r="B83" s="348">
        <f>'Week 3 Master Sheet'!B83</f>
        <v>115</v>
      </c>
      <c r="C83" s="344">
        <f>'Week 3 Master Sheet'!C83</f>
        <v>10</v>
      </c>
      <c r="D83" s="345" t="str">
        <f>'Week 3 Master Sheet'!D83</f>
        <v>1-5 MIN</v>
      </c>
      <c r="E83" s="346" t="str">
        <f>'Week 3 Master Sheet'!E83</f>
        <v/>
      </c>
      <c r="F83" s="85"/>
      <c r="H83" s="342">
        <f>'Week 3 Master Sheet'!H83</f>
        <v>4</v>
      </c>
      <c r="I83" s="348">
        <f>'Week 3 Master Sheet'!I83</f>
        <v>190</v>
      </c>
      <c r="J83" s="191">
        <f>'Week 3 Master Sheet'!J83</f>
        <v>25</v>
      </c>
      <c r="K83" s="345" t="str">
        <f>'Week 3 Master Sheet'!K83</f>
        <v>1-5 MIN</v>
      </c>
      <c r="L83" s="346" t="str">
        <f>'Week 3 Master Sheet'!L83</f>
        <v/>
      </c>
      <c r="M83" s="85">
        <v>25.0</v>
      </c>
    </row>
    <row r="84">
      <c r="A84" s="342">
        <f>'Week 3 Master Sheet'!A84</f>
        <v>6</v>
      </c>
      <c r="B84" s="350">
        <f>'Week 3 Master Sheet'!B84</f>
        <v>125</v>
      </c>
      <c r="C84" s="344">
        <f>'Week 3 Master Sheet'!C84</f>
        <v>10</v>
      </c>
      <c r="D84" s="345" t="str">
        <f>'Week 3 Master Sheet'!D84</f>
        <v>1-5 MIN</v>
      </c>
      <c r="E84" s="351" t="str">
        <f>'Week 3 Master Sheet'!E84</f>
        <v/>
      </c>
      <c r="F84" s="85"/>
      <c r="H84" s="485">
        <f>'Week 3 Master Sheet'!H84</f>
        <v>5</v>
      </c>
      <c r="I84" s="754">
        <f>'Week 3 Master Sheet'!I84</f>
        <v>215</v>
      </c>
      <c r="J84" s="767">
        <f>'Week 3 Master Sheet'!J84</f>
        <v>25</v>
      </c>
      <c r="K84" s="488" t="str">
        <f>'Week 3 Master Sheet'!K84</f>
        <v>1-5 MIN</v>
      </c>
      <c r="L84" s="695" t="str">
        <f>'Week 3 Master Sheet'!L84</f>
        <v/>
      </c>
      <c r="M84" s="85">
        <v>210.0</v>
      </c>
    </row>
    <row r="85">
      <c r="A85" s="352">
        <f>'Week 3 Master Sheet'!A85</f>
        <v>7</v>
      </c>
      <c r="B85" s="353">
        <f>'Week 3 Master Sheet'!B85</f>
        <v>135</v>
      </c>
      <c r="C85" s="354">
        <f>'Week 3 Master Sheet'!C85</f>
        <v>10</v>
      </c>
      <c r="D85" s="355" t="str">
        <f>'Week 3 Master Sheet'!D85</f>
        <v>1-5 MIN</v>
      </c>
      <c r="E85" s="356" t="str">
        <f>'Week 3 Master Sheet'!E85</f>
        <v/>
      </c>
      <c r="F85" s="85"/>
      <c r="H85" s="419"/>
    </row>
    <row r="86">
      <c r="A86" s="357" t="str">
        <f>'Week 3 Master Sheet'!A86</f>
        <v>INSERT MAX</v>
      </c>
      <c r="B86" s="358"/>
      <c r="C86" s="36"/>
      <c r="D86" s="36"/>
      <c r="E86" s="36"/>
      <c r="F86" s="37"/>
    </row>
    <row r="87">
      <c r="A87" s="768"/>
    </row>
    <row r="89">
      <c r="A89" s="323" t="str">
        <f>'Week 3 Master Sheet'!A89</f>
        <v>2. LEG EXTENSION</v>
      </c>
      <c r="B89" s="53"/>
      <c r="C89" s="53"/>
      <c r="D89" s="53"/>
      <c r="E89" s="53"/>
      <c r="F89" s="54"/>
    </row>
    <row r="90">
      <c r="A90" s="226" t="str">
        <f>'Week 3 Master Sheet'!A90</f>
        <v>CURRENT MAX</v>
      </c>
      <c r="B90" s="90">
        <f>'Week 3 Master Sheet'!B90</f>
        <v>85</v>
      </c>
      <c r="C90" s="13"/>
      <c r="D90" s="13"/>
      <c r="E90" s="13"/>
      <c r="F90" s="57"/>
    </row>
    <row r="91">
      <c r="A91" s="96" t="str">
        <f>'Week 3 Master Sheet'!A91</f>
        <v>SET</v>
      </c>
      <c r="B91" s="97" t="str">
        <f>'Week 3 Master Sheet'!B91</f>
        <v>WEIGHT</v>
      </c>
      <c r="C91" s="97" t="str">
        <f>'Week 3 Master Sheet'!C91</f>
        <v>REPS</v>
      </c>
      <c r="D91" s="97" t="str">
        <f>'Week 3 Master Sheet'!D91</f>
        <v>REST</v>
      </c>
      <c r="E91" s="98" t="str">
        <f>'Week 3 Master Sheet'!E91</f>
        <v>PREVIOUS</v>
      </c>
      <c r="F91" s="235" t="str">
        <f>'Week 3 Master Sheet'!F91</f>
        <v>REP LOG</v>
      </c>
    </row>
    <row r="92">
      <c r="A92" s="352">
        <f>'Week 3 Master Sheet'!A92</f>
        <v>1</v>
      </c>
      <c r="B92" s="237">
        <f>'Week 3 Master Sheet'!B92</f>
        <v>85</v>
      </c>
      <c r="C92" s="678" t="str">
        <f>'Week 3 Master Sheet'!C92</f>
        <v>10 - 15</v>
      </c>
      <c r="D92" s="350" t="str">
        <f>'Week 3 Master Sheet'!D92</f>
        <v>1 MIN</v>
      </c>
      <c r="E92" s="449" t="str">
        <f>'Week 3 Master Sheet'!E92</f>
        <v/>
      </c>
      <c r="F92" s="85">
        <v>10.0</v>
      </c>
    </row>
    <row r="93">
      <c r="A93" s="352">
        <f>'Week 3 Master Sheet'!A93</f>
        <v>2</v>
      </c>
      <c r="B93" s="237">
        <f>'Week 3 Master Sheet'!B93</f>
        <v>80</v>
      </c>
      <c r="C93" s="678" t="str">
        <f>'Week 3 Master Sheet'!C93</f>
        <v>10 - 15</v>
      </c>
      <c r="D93" s="350" t="str">
        <f>'Week 3 Master Sheet'!D93</f>
        <v>1 MIN</v>
      </c>
      <c r="E93" s="679" t="str">
        <f>'Week 3 Master Sheet'!E93</f>
        <v/>
      </c>
      <c r="F93" s="85">
        <v>10.0</v>
      </c>
    </row>
    <row r="94">
      <c r="A94" s="352">
        <f>'Week 3 Master Sheet'!A94</f>
        <v>3</v>
      </c>
      <c r="B94" s="237">
        <f>'Week 3 Master Sheet'!B94</f>
        <v>75</v>
      </c>
      <c r="C94" s="678" t="str">
        <f>'Week 3 Master Sheet'!C94</f>
        <v>10 - 15</v>
      </c>
      <c r="D94" s="350" t="str">
        <f>'Week 3 Master Sheet'!D94</f>
        <v>1 MIN</v>
      </c>
      <c r="E94" s="449" t="str">
        <f>'Week 3 Master Sheet'!E94</f>
        <v/>
      </c>
      <c r="F94" s="85">
        <v>15.0</v>
      </c>
    </row>
    <row r="95">
      <c r="A95" s="228" t="str">
        <f>'Week 3 Master Sheet'!A95</f>
        <v>FINAL MAX</v>
      </c>
      <c r="B95" s="229">
        <f>'Week 3 Master Sheet'!B95</f>
        <v>85</v>
      </c>
      <c r="C95" s="16"/>
      <c r="D95" s="16"/>
      <c r="E95" s="16"/>
      <c r="F95" s="230"/>
    </row>
    <row r="96">
      <c r="A96" s="771"/>
      <c r="B96" s="25"/>
      <c r="C96" s="25"/>
      <c r="D96" s="25"/>
      <c r="E96" s="25"/>
      <c r="F96" s="25"/>
    </row>
    <row r="98" ht="17.25" customHeight="1">
      <c r="A98" s="323" t="str">
        <f>'Week 3 Master Sheet'!A98</f>
        <v>3. LEG CURL</v>
      </c>
      <c r="B98" s="53"/>
      <c r="C98" s="53"/>
      <c r="D98" s="53"/>
      <c r="E98" s="53"/>
      <c r="F98" s="54"/>
      <c r="G98" s="434" t="s">
        <v>123</v>
      </c>
      <c r="H98" s="323" t="str">
        <f>'Week 3 Master Sheet'!H98</f>
        <v>3. PRONE LEG CURL</v>
      </c>
      <c r="I98" s="53"/>
      <c r="J98" s="53"/>
      <c r="K98" s="53"/>
      <c r="L98" s="53"/>
      <c r="M98" s="54"/>
      <c r="N98" s="419"/>
    </row>
    <row r="99" ht="17.25" customHeight="1">
      <c r="A99" s="226" t="str">
        <f>'Week 3 Master Sheet'!A99</f>
        <v>CURRENT MAX</v>
      </c>
      <c r="B99" s="90">
        <f>'Week 3 Master Sheet'!B99</f>
        <v>95</v>
      </c>
      <c r="C99" s="13"/>
      <c r="D99" s="13"/>
      <c r="E99" s="13"/>
      <c r="F99" s="57"/>
      <c r="G99" s="434"/>
      <c r="H99" s="226" t="str">
        <f>'Week 3 Master Sheet'!H99</f>
        <v>CURRENT MAX</v>
      </c>
      <c r="I99" s="316">
        <f>'Week 3 Master Sheet'!I99</f>
        <v>90</v>
      </c>
      <c r="J99" s="20"/>
      <c r="K99" s="20"/>
      <c r="L99" s="20"/>
      <c r="M99" s="95"/>
    </row>
    <row r="100" ht="17.25" customHeight="1">
      <c r="A100" s="96" t="str">
        <f>'Week 3 Master Sheet'!A100</f>
        <v>SET</v>
      </c>
      <c r="B100" s="97" t="str">
        <f>'Week 3 Master Sheet'!B100</f>
        <v>WEIGHT</v>
      </c>
      <c r="C100" s="97" t="str">
        <f>'Week 3 Master Sheet'!C100</f>
        <v>REPS</v>
      </c>
      <c r="D100" s="97" t="str">
        <f>'Week 3 Master Sheet'!D100</f>
        <v>REST</v>
      </c>
      <c r="E100" s="98" t="str">
        <f>'Week 3 Master Sheet'!E100</f>
        <v>PREVIOUS</v>
      </c>
      <c r="F100" s="235" t="str">
        <f>'Week 3 Master Sheet'!F100</f>
        <v>REP LOG</v>
      </c>
      <c r="H100" s="96" t="str">
        <f>'Week 3 Master Sheet'!H100</f>
        <v>SET</v>
      </c>
      <c r="I100" s="97" t="str">
        <f>'Week 3 Master Sheet'!I100</f>
        <v>WEIGHT</v>
      </c>
      <c r="J100" s="97" t="str">
        <f>'Week 3 Master Sheet'!J100</f>
        <v>REPS</v>
      </c>
      <c r="K100" s="97" t="str">
        <f>'Week 3 Master Sheet'!K100</f>
        <v>REST</v>
      </c>
      <c r="L100" s="341" t="str">
        <f>'Week 3 Master Sheet'!L100</f>
        <v>PREVIOUS</v>
      </c>
      <c r="M100" s="235" t="str">
        <f>'Week 3 Master Sheet'!M100</f>
        <v>REP LOG</v>
      </c>
    </row>
    <row r="101" ht="17.25" customHeight="1">
      <c r="A101" s="352">
        <f>'Week 3 Master Sheet'!A101</f>
        <v>1</v>
      </c>
      <c r="B101" s="237">
        <f>'Week 3 Master Sheet'!B101</f>
        <v>95</v>
      </c>
      <c r="C101" s="678" t="str">
        <f>'Week 3 Master Sheet'!C101</f>
        <v>10 - 15</v>
      </c>
      <c r="D101" s="350" t="str">
        <f>'Week 3 Master Sheet'!D101</f>
        <v>1 MIN</v>
      </c>
      <c r="E101" s="821" t="str">
        <f>'Week 3 Master Sheet'!E101</f>
        <v/>
      </c>
      <c r="F101" s="85">
        <v>8.0</v>
      </c>
      <c r="H101" s="352">
        <f>'Week 3 Master Sheet'!H101</f>
        <v>1</v>
      </c>
      <c r="I101" s="237">
        <f>'Week 3 Master Sheet'!I101</f>
        <v>90</v>
      </c>
      <c r="J101" s="678" t="str">
        <f>'Week 3 Master Sheet'!J101</f>
        <v>10 - 15</v>
      </c>
      <c r="K101" s="350" t="str">
        <f>'Week 3 Master Sheet'!K101</f>
        <v>1 MIN</v>
      </c>
      <c r="L101" s="822" t="str">
        <f>'Week 3 Master Sheet'!L101</f>
        <v/>
      </c>
      <c r="M101" s="85"/>
    </row>
    <row r="102" ht="17.25" customHeight="1">
      <c r="A102" s="352">
        <f>'Week 3 Master Sheet'!A102</f>
        <v>2</v>
      </c>
      <c r="B102" s="237">
        <f>'Week 3 Master Sheet'!B102</f>
        <v>90</v>
      </c>
      <c r="C102" s="678" t="str">
        <f>'Week 3 Master Sheet'!C102</f>
        <v>10 - 15</v>
      </c>
      <c r="D102" s="350" t="str">
        <f>'Week 3 Master Sheet'!D102</f>
        <v>1 MIN</v>
      </c>
      <c r="E102" s="821" t="str">
        <f>'Week 3 Master Sheet'!E102</f>
        <v/>
      </c>
      <c r="F102" s="85">
        <v>12.0</v>
      </c>
      <c r="H102" s="352">
        <f>'Week 3 Master Sheet'!H102</f>
        <v>2</v>
      </c>
      <c r="I102" s="237">
        <f>'Week 3 Master Sheet'!I102</f>
        <v>70</v>
      </c>
      <c r="J102" s="681" t="str">
        <f>'Week 3 Master Sheet'!J102</f>
        <v>10 - 15</v>
      </c>
      <c r="K102" s="350" t="str">
        <f>'Week 3 Master Sheet'!K102</f>
        <v>1 MIN</v>
      </c>
      <c r="L102" s="822" t="str">
        <f>'Week 3 Master Sheet'!L102</f>
        <v/>
      </c>
      <c r="M102" s="85"/>
    </row>
    <row r="103" ht="17.25" customHeight="1">
      <c r="A103" s="352">
        <f>'Week 3 Master Sheet'!A103</f>
        <v>3</v>
      </c>
      <c r="B103" s="237">
        <f>'Week 3 Master Sheet'!B103</f>
        <v>85</v>
      </c>
      <c r="C103" s="678" t="str">
        <f>'Week 3 Master Sheet'!C103</f>
        <v>10 - 15</v>
      </c>
      <c r="D103" s="350" t="str">
        <f>'Week 3 Master Sheet'!D103</f>
        <v>1 MIN</v>
      </c>
      <c r="E103" s="823" t="str">
        <f>'Week 3 Master Sheet'!E103</f>
        <v/>
      </c>
      <c r="F103" s="85">
        <v>12.0</v>
      </c>
      <c r="H103" s="352">
        <f>'Week 3 Master Sheet'!H103</f>
        <v>3</v>
      </c>
      <c r="I103" s="237">
        <f>'Week 3 Master Sheet'!I103</f>
        <v>55</v>
      </c>
      <c r="J103" s="681" t="str">
        <f>'Week 3 Master Sheet'!J103</f>
        <v>10 - 15</v>
      </c>
      <c r="K103" s="350" t="str">
        <f>'Week 3 Master Sheet'!K103</f>
        <v>1 MIN</v>
      </c>
      <c r="L103" s="822" t="str">
        <f>'Week 3 Master Sheet'!L103</f>
        <v/>
      </c>
      <c r="M103" s="85"/>
    </row>
    <row r="104" ht="17.25" customHeight="1">
      <c r="A104" s="272" t="str">
        <f>'Week 3 Master Sheet'!A104</f>
        <v>FINAL MAX</v>
      </c>
      <c r="B104" s="332">
        <f>'Week 3 Master Sheet'!B104</f>
        <v>95</v>
      </c>
      <c r="C104" s="33"/>
      <c r="D104" s="33"/>
      <c r="E104" s="33"/>
      <c r="F104" s="34"/>
      <c r="H104" s="272" t="str">
        <f>'Week 3 Master Sheet'!H104</f>
        <v>FINAL MAX</v>
      </c>
      <c r="I104" s="332">
        <f>'Week 3 Master Sheet'!I104</f>
        <v>90</v>
      </c>
      <c r="J104" s="33"/>
      <c r="K104" s="33"/>
      <c r="L104" s="33"/>
      <c r="M104" s="34"/>
    </row>
    <row r="105" ht="17.25" customHeight="1">
      <c r="A105" s="419"/>
      <c r="H105" s="419"/>
    </row>
    <row r="106" ht="17.25" customHeight="1">
      <c r="A106" s="310" t="str">
        <f>'Week 3 Master Sheet'!A106</f>
        <v>CLICK TO COMPLETE WORKOUT</v>
      </c>
      <c r="B106" s="36"/>
      <c r="C106" s="36"/>
      <c r="D106" s="36"/>
      <c r="E106" s="36"/>
      <c r="F106" s="37"/>
    </row>
    <row r="107" ht="17.25" customHeight="1">
      <c r="A107" s="419"/>
    </row>
    <row r="108">
      <c r="A108" s="50" t="str">
        <f>'Week 3 Master Sheet'!A108</f>
        <v>DAY 3</v>
      </c>
      <c r="B108" s="36"/>
      <c r="C108" s="36"/>
      <c r="D108" s="36"/>
      <c r="E108" s="36"/>
      <c r="F108" s="37"/>
    </row>
    <row r="109">
      <c r="A109" s="657"/>
    </row>
    <row r="111">
      <c r="A111" s="51" t="str">
        <f>'Week 3 Master Sheet'!A111</f>
        <v>SHOULDERS &amp; ARMS</v>
      </c>
      <c r="B111" s="36"/>
      <c r="C111" s="36"/>
      <c r="D111" s="36"/>
      <c r="E111" s="36"/>
      <c r="F111" s="37"/>
      <c r="H111" s="51" t="str">
        <f>'Week 3 Master Sheet'!H111</f>
        <v>SHOULDERS &amp; ARMS</v>
      </c>
      <c r="I111" s="36"/>
      <c r="J111" s="36"/>
      <c r="K111" s="36"/>
      <c r="L111" s="36"/>
      <c r="M111" s="37"/>
      <c r="N111" s="419"/>
    </row>
    <row r="112">
      <c r="A112" s="504" t="str">
        <f>'Week 3 Master Sheet'!A112</f>
        <v>1. SHOULDER PRESS</v>
      </c>
      <c r="B112" s="53"/>
      <c r="C112" s="53"/>
      <c r="D112" s="53"/>
      <c r="E112" s="53"/>
      <c r="F112" s="54"/>
      <c r="H112" s="778" t="str">
        <f>'Week 3 Master Sheet'!H112</f>
        <v>1. MACHINE SHOULDER PRESS</v>
      </c>
      <c r="I112" s="53"/>
      <c r="J112" s="53"/>
      <c r="K112" s="53"/>
      <c r="L112" s="53"/>
      <c r="M112" s="54"/>
    </row>
    <row r="113">
      <c r="A113" s="589" t="str">
        <f>'Week 3 Master Sheet'!A113</f>
        <v>CURRENT MAX</v>
      </c>
      <c r="B113" s="227">
        <v>80.0</v>
      </c>
      <c r="C113" s="20"/>
      <c r="D113" s="20"/>
      <c r="E113" s="20"/>
      <c r="F113" s="95"/>
      <c r="H113" s="589" t="str">
        <f>'Week 3 Master Sheet'!H113</f>
        <v>SHLDR PRESS MAX</v>
      </c>
      <c r="I113" s="227">
        <f>'Week 3 Master Sheet'!I113</f>
        <v>80</v>
      </c>
      <c r="J113" s="20"/>
      <c r="K113" s="20"/>
      <c r="L113" s="20"/>
      <c r="M113" s="95"/>
    </row>
    <row r="114">
      <c r="A114" s="364" t="str">
        <f>'Week 3 Master Sheet'!A114</f>
        <v>SET</v>
      </c>
      <c r="B114" s="365" t="str">
        <f>'Week 3 Master Sheet'!B114</f>
        <v>WEIGHT</v>
      </c>
      <c r="C114" s="365" t="str">
        <f>'Week 3 Master Sheet'!C114</f>
        <v>REPS</v>
      </c>
      <c r="D114" s="365" t="str">
        <f>'Week 3 Master Sheet'!D114</f>
        <v>REST</v>
      </c>
      <c r="E114" s="609" t="str">
        <f>'Week 3 Master Sheet'!E114</f>
        <v>PREVIOUS</v>
      </c>
      <c r="F114" s="235" t="str">
        <f>'Week 3 Master Sheet'!F114</f>
        <v>REP LOG</v>
      </c>
      <c r="H114" s="364" t="str">
        <f>'Week 3 Master Sheet'!H114</f>
        <v>SET</v>
      </c>
      <c r="I114" s="365" t="str">
        <f>'Week 3 Master Sheet'!I114</f>
        <v>WEIGHT</v>
      </c>
      <c r="J114" s="365" t="str">
        <f>'Week 3 Master Sheet'!J114</f>
        <v>REPS</v>
      </c>
      <c r="K114" s="365" t="str">
        <f>'Week 3 Master Sheet'!K114</f>
        <v>REST</v>
      </c>
      <c r="L114" s="609" t="str">
        <f>'Week 3 Master Sheet'!L114</f>
        <v>PREVIOUS</v>
      </c>
      <c r="M114" s="235" t="str">
        <f>'Week 3 Master Sheet'!M114</f>
        <v>REP LOG</v>
      </c>
    </row>
    <row r="115">
      <c r="A115" s="236">
        <f>'Week 3 Master Sheet'!A115</f>
        <v>1</v>
      </c>
      <c r="B115" s="237">
        <f>'Week 3 Master Sheet'!B115</f>
        <v>30</v>
      </c>
      <c r="C115" s="237">
        <f>'Week 3 Master Sheet'!C115</f>
        <v>6</v>
      </c>
      <c r="D115" s="238" t="str">
        <f>'Week 3 Master Sheet'!D115</f>
        <v>30s</v>
      </c>
      <c r="E115" s="66" t="str">
        <f>'Week 3 Master Sheet'!E115</f>
        <v/>
      </c>
      <c r="F115" s="67">
        <v>6.0</v>
      </c>
      <c r="H115" s="236">
        <f>'Week 3 Master Sheet'!H115</f>
        <v>1</v>
      </c>
      <c r="I115" s="237">
        <f>'Week 3 Master Sheet'!I115</f>
        <v>40</v>
      </c>
      <c r="J115" s="237">
        <f>'Week 3 Master Sheet'!J115</f>
        <v>6</v>
      </c>
      <c r="K115" s="238" t="str">
        <f>'Week 3 Master Sheet'!K115</f>
        <v>30s</v>
      </c>
      <c r="L115" s="66" t="str">
        <f>'Week 3 Master Sheet'!L115</f>
        <v/>
      </c>
      <c r="M115" s="67">
        <v>6.0</v>
      </c>
    </row>
    <row r="116">
      <c r="A116" s="236">
        <f>'Week 3 Master Sheet'!A116</f>
        <v>2</v>
      </c>
      <c r="B116" s="237">
        <f>'Week 3 Master Sheet'!B116</f>
        <v>50</v>
      </c>
      <c r="C116" s="237">
        <f>'Week 3 Master Sheet'!C116</f>
        <v>1</v>
      </c>
      <c r="D116" s="238" t="str">
        <f>'Week 3 Master Sheet'!D116</f>
        <v>1 MIN</v>
      </c>
      <c r="E116" s="66" t="str">
        <f>'Week 3 Master Sheet'!E116</f>
        <v/>
      </c>
      <c r="F116" s="67">
        <v>1.0</v>
      </c>
      <c r="H116" s="236">
        <f>'Week 3 Master Sheet'!H116</f>
        <v>2</v>
      </c>
      <c r="I116" s="237">
        <f>'Week 3 Master Sheet'!I116</f>
        <v>50</v>
      </c>
      <c r="J116" s="237">
        <f>'Week 3 Master Sheet'!J116</f>
        <v>1</v>
      </c>
      <c r="K116" s="238" t="str">
        <f>'Week 3 Master Sheet'!K116</f>
        <v>1 MIN</v>
      </c>
      <c r="L116" s="66" t="str">
        <f>'Week 3 Master Sheet'!L116</f>
        <v/>
      </c>
      <c r="M116" s="67">
        <v>1.0</v>
      </c>
    </row>
    <row r="117">
      <c r="A117" s="242">
        <f>'Week 3 Master Sheet'!A117</f>
        <v>3</v>
      </c>
      <c r="B117" s="237">
        <f>'Week 3 Master Sheet'!B117</f>
        <v>70</v>
      </c>
      <c r="C117" s="824" t="str">
        <f>'Week 3 Master Sheet'!C117</f>
        <v>REP OUT</v>
      </c>
      <c r="D117" s="65" t="str">
        <f>'Week 3 Master Sheet'!D117</f>
        <v>1 MIN</v>
      </c>
      <c r="E117" s="66" t="str">
        <f>'Week 3 Master Sheet'!E117</f>
        <v/>
      </c>
      <c r="F117" s="67">
        <v>10.0</v>
      </c>
      <c r="H117" s="242">
        <f>'Week 3 Master Sheet'!H117</f>
        <v>3</v>
      </c>
      <c r="I117" s="237">
        <f>'Week 3 Master Sheet'!I117</f>
        <v>70</v>
      </c>
      <c r="J117" s="824" t="str">
        <f>'Week 3 Master Sheet'!J117</f>
        <v>REP OUT</v>
      </c>
      <c r="K117" s="65" t="str">
        <f>'Week 3 Master Sheet'!K117</f>
        <v>1 MIN</v>
      </c>
      <c r="L117" s="66" t="str">
        <f>'Week 3 Master Sheet'!L117</f>
        <v/>
      </c>
      <c r="M117" s="67">
        <v>30.0</v>
      </c>
    </row>
    <row r="118">
      <c r="A118" s="242">
        <f>'Week 3 Master Sheet'!A118</f>
        <v>4</v>
      </c>
      <c r="B118" s="237">
        <f>'Week 3 Master Sheet'!B118</f>
        <v>65</v>
      </c>
      <c r="C118" s="824" t="str">
        <f>'Week 3 Master Sheet'!C118</f>
        <v>REP OUT</v>
      </c>
      <c r="D118" s="65" t="str">
        <f>'Week 3 Master Sheet'!D118</f>
        <v>1 MIN</v>
      </c>
      <c r="E118" s="66" t="str">
        <f>'Week 3 Master Sheet'!E118</f>
        <v/>
      </c>
      <c r="F118" s="665">
        <v>12.0</v>
      </c>
      <c r="H118" s="242">
        <f>'Week 3 Master Sheet'!H118</f>
        <v>4</v>
      </c>
      <c r="I118" s="237">
        <f>'Week 3 Master Sheet'!I118</f>
        <v>65</v>
      </c>
      <c r="J118" s="824" t="str">
        <f>'Week 3 Master Sheet'!J118</f>
        <v>REP OUT</v>
      </c>
      <c r="K118" s="65" t="str">
        <f>'Week 3 Master Sheet'!K118</f>
        <v>1 MIN</v>
      </c>
      <c r="L118" s="66" t="str">
        <f>'Week 3 Master Sheet'!L118</f>
        <v/>
      </c>
      <c r="M118" s="665"/>
    </row>
    <row r="119">
      <c r="A119" s="825">
        <f>'Week 3 Master Sheet'!A119</f>
        <v>5</v>
      </c>
      <c r="B119" s="371">
        <f>'Week 3 Master Sheet'!B119</f>
        <v>55</v>
      </c>
      <c r="C119" s="826" t="str">
        <f>'Week 3 Master Sheet'!C119</f>
        <v>REP OUT</v>
      </c>
      <c r="D119" s="71" t="str">
        <f>'Week 3 Master Sheet'!D119</f>
        <v>1 MIN</v>
      </c>
      <c r="E119" s="72" t="str">
        <f>'Week 3 Master Sheet'!E119</f>
        <v/>
      </c>
      <c r="F119" s="67">
        <v>16.0</v>
      </c>
      <c r="H119" s="825">
        <f>'Week 3 Master Sheet'!H119</f>
        <v>5</v>
      </c>
      <c r="I119" s="371">
        <f>'Week 3 Master Sheet'!I119</f>
        <v>55</v>
      </c>
      <c r="J119" s="826" t="str">
        <f>'Week 3 Master Sheet'!J119</f>
        <v>REP OUT</v>
      </c>
      <c r="K119" s="71" t="str">
        <f>'Week 3 Master Sheet'!K119</f>
        <v>1 MIN</v>
      </c>
      <c r="L119" s="72" t="str">
        <f>'Week 3 Master Sheet'!L119</f>
        <v/>
      </c>
      <c r="M119" s="67"/>
    </row>
    <row r="120">
      <c r="A120" s="791"/>
      <c r="H120" s="419"/>
    </row>
    <row r="122">
      <c r="A122" s="687" t="str">
        <f>'Week 3 Master Sheet'!A122</f>
        <v>2. Dumbbell REAR DELT FLY </v>
      </c>
      <c r="B122" s="53"/>
      <c r="C122" s="53"/>
      <c r="D122" s="53"/>
      <c r="E122" s="53"/>
      <c r="F122" s="54"/>
    </row>
    <row r="123">
      <c r="A123" s="226" t="str">
        <f>'Week 3 Master Sheet'!A123</f>
        <v>SHLDR PRESS MAX</v>
      </c>
      <c r="B123" s="691">
        <f>'Week 3 Master Sheet'!B123</f>
        <v>80</v>
      </c>
      <c r="C123" s="13"/>
      <c r="D123" s="13"/>
      <c r="E123" s="13"/>
      <c r="F123" s="57"/>
    </row>
    <row r="124">
      <c r="A124" s="96" t="str">
        <f>'Week 3 Master Sheet'!A124</f>
        <v>SET</v>
      </c>
      <c r="B124" s="97" t="str">
        <f>'Week 3 Master Sheet'!B124</f>
        <v>WEIGHT</v>
      </c>
      <c r="C124" s="97" t="str">
        <f>'Week 3 Master Sheet'!C124</f>
        <v>REPS</v>
      </c>
      <c r="D124" s="97" t="str">
        <f>'Week 3 Master Sheet'!D124</f>
        <v>REST</v>
      </c>
      <c r="E124" s="341" t="str">
        <f>'Week 3 Master Sheet'!E124</f>
        <v>PREVIOUS</v>
      </c>
      <c r="F124" s="235" t="str">
        <f>'Week 3 Master Sheet'!F124</f>
        <v>REP LOG</v>
      </c>
    </row>
    <row r="125">
      <c r="A125" s="556">
        <f>'Week 3 Master Sheet'!A125</f>
        <v>1</v>
      </c>
      <c r="B125" s="237">
        <f>'Week 3 Master Sheet'!B125</f>
        <v>15</v>
      </c>
      <c r="C125" s="827" t="str">
        <f>'Week 3 Master Sheet'!C125</f>
        <v>10 - 15</v>
      </c>
      <c r="D125" s="693" t="str">
        <f>'Week 3 Master Sheet'!D125</f>
        <v>1-3 MIN</v>
      </c>
      <c r="E125" s="346" t="str">
        <f>'Week 3 Master Sheet'!E125</f>
        <v/>
      </c>
      <c r="F125" s="85">
        <v>15.0</v>
      </c>
    </row>
    <row r="126">
      <c r="A126" s="556">
        <f>'Week 3 Master Sheet'!A126</f>
        <v>2</v>
      </c>
      <c r="B126" s="237">
        <f>'Week 3 Master Sheet'!B126</f>
        <v>15</v>
      </c>
      <c r="C126" s="827" t="str">
        <f>'Week 3 Master Sheet'!C126</f>
        <v>10 - 15</v>
      </c>
      <c r="D126" s="693" t="str">
        <f>'Week 3 Master Sheet'!D126</f>
        <v>1-3 MIN</v>
      </c>
      <c r="E126" s="346" t="str">
        <f>'Week 3 Master Sheet'!E126</f>
        <v/>
      </c>
      <c r="F126" s="85">
        <v>15.0</v>
      </c>
    </row>
    <row r="127">
      <c r="A127" s="561">
        <f>'Week 3 Master Sheet'!A127</f>
        <v>3</v>
      </c>
      <c r="B127" s="371">
        <f>'Week 3 Master Sheet'!B127</f>
        <v>15</v>
      </c>
      <c r="C127" s="828" t="str">
        <f>'Week 3 Master Sheet'!C127</f>
        <v>10 - 15</v>
      </c>
      <c r="D127" s="794" t="str">
        <f>'Week 3 Master Sheet'!D127</f>
        <v>1-3 MIN</v>
      </c>
      <c r="E127" s="695" t="str">
        <f>'Week 3 Master Sheet'!E127</f>
        <v/>
      </c>
      <c r="F127" s="85">
        <v>15.0</v>
      </c>
    </row>
    <row r="128">
      <c r="A128" s="795"/>
    </row>
    <row r="130">
      <c r="A130" s="513" t="str">
        <f>'Week 3 Master Sheet'!A130</f>
        <v>3. DUMBBELL SIDE LATERAL RAISE</v>
      </c>
      <c r="B130" s="53"/>
      <c r="C130" s="53"/>
      <c r="D130" s="53"/>
      <c r="E130" s="53"/>
      <c r="F130" s="54"/>
    </row>
    <row r="131">
      <c r="A131" s="226" t="str">
        <f>'Week 3 Master Sheet'!A131</f>
        <v>SHLDR PRESS MAX</v>
      </c>
      <c r="B131" s="90">
        <v>80.0</v>
      </c>
      <c r="C131" s="13"/>
      <c r="D131" s="13"/>
      <c r="E131" s="13"/>
      <c r="F131" s="57"/>
    </row>
    <row r="132">
      <c r="A132" s="376" t="str">
        <f>'Week 3 Master Sheet'!A132</f>
        <v>SET</v>
      </c>
      <c r="B132" s="79" t="str">
        <f>'Week 3 Master Sheet'!B132</f>
        <v>WEIGHT</v>
      </c>
      <c r="C132" s="79" t="str">
        <f>'Week 3 Master Sheet'!C132</f>
        <v>REPS</v>
      </c>
      <c r="D132" s="79" t="str">
        <f>'Week 3 Master Sheet'!D132</f>
        <v>REST</v>
      </c>
      <c r="E132" s="98" t="str">
        <f>'Week 3 Master Sheet'!E132</f>
        <v>PREVIOUS</v>
      </c>
      <c r="F132" s="235" t="str">
        <f>'Week 3 Master Sheet'!F132</f>
        <v>REP LOG</v>
      </c>
    </row>
    <row r="133">
      <c r="A133" s="81">
        <f>'Week 3 Master Sheet'!A133</f>
        <v>1</v>
      </c>
      <c r="B133" s="82">
        <f>'Week 3 Master Sheet'!B133</f>
        <v>15</v>
      </c>
      <c r="C133" s="65" t="str">
        <f>'Week 3 Master Sheet'!C133</f>
        <v>10 - 15</v>
      </c>
      <c r="D133" s="83" t="str">
        <f>'Week 3 Master Sheet'!D133</f>
        <v>1-5 MIN</v>
      </c>
      <c r="E133" s="378" t="str">
        <f>'Week 3 Master Sheet'!E133</f>
        <v/>
      </c>
      <c r="F133" s="85">
        <v>15.0</v>
      </c>
    </row>
    <row r="134">
      <c r="A134" s="81">
        <f>'Week 3 Master Sheet'!A134</f>
        <v>2</v>
      </c>
      <c r="B134" s="82">
        <f>'Week 3 Master Sheet'!B134</f>
        <v>15</v>
      </c>
      <c r="C134" s="65" t="str">
        <f>'Week 3 Master Sheet'!C134</f>
        <v>10 - 15</v>
      </c>
      <c r="D134" s="83" t="str">
        <f>'Week 3 Master Sheet'!D134</f>
        <v>1-5 MIN</v>
      </c>
      <c r="E134" s="378" t="str">
        <f>'Week 3 Master Sheet'!E134</f>
        <v/>
      </c>
      <c r="F134" s="85">
        <v>15.0</v>
      </c>
    </row>
    <row r="135">
      <c r="A135" s="86">
        <f>'Week 3 Master Sheet'!A135</f>
        <v>3</v>
      </c>
      <c r="B135" s="87">
        <f>'Week 3 Master Sheet'!B135</f>
        <v>15</v>
      </c>
      <c r="C135" s="71" t="str">
        <f>'Week 3 Master Sheet'!C135</f>
        <v>10 - 15</v>
      </c>
      <c r="D135" s="88" t="str">
        <f>'Week 3 Master Sheet'!D135</f>
        <v>1-5 MIN</v>
      </c>
      <c r="E135" s="379" t="str">
        <f>'Week 3 Master Sheet'!E135</f>
        <v/>
      </c>
      <c r="F135" s="85">
        <v>15.0</v>
      </c>
    </row>
    <row r="136">
      <c r="A136" s="795"/>
    </row>
    <row r="138">
      <c r="A138" s="361" t="str">
        <f>'Week 3 Master Sheet'!A138</f>
        <v>2.  TRICEP OVERHEAD ROPE EXTENSION</v>
      </c>
      <c r="B138" s="53"/>
      <c r="C138" s="53"/>
      <c r="D138" s="53"/>
      <c r="E138" s="53"/>
      <c r="F138" s="54"/>
    </row>
    <row r="139">
      <c r="A139" s="226" t="str">
        <f>'Week 3 Master Sheet'!A139</f>
        <v>TRI PSH DWN MAX</v>
      </c>
      <c r="B139" s="90">
        <v>80.0</v>
      </c>
      <c r="C139" s="13"/>
      <c r="D139" s="13"/>
      <c r="E139" s="13"/>
      <c r="F139" s="57"/>
    </row>
    <row r="140">
      <c r="A140" s="77" t="str">
        <f>'Week 3 Master Sheet'!A140</f>
        <v>SET</v>
      </c>
      <c r="B140" s="78" t="str">
        <f>'Week 3 Master Sheet'!B140</f>
        <v>WEIGHT</v>
      </c>
      <c r="C140" s="78" t="str">
        <f>'Week 3 Master Sheet'!C140</f>
        <v>REPS</v>
      </c>
      <c r="D140" s="78" t="str">
        <f>'Week 3 Master Sheet'!D140</f>
        <v>REST</v>
      </c>
      <c r="E140" s="80" t="str">
        <f>'Week 3 Master Sheet'!E140</f>
        <v>PREVIOUS</v>
      </c>
      <c r="F140" s="235" t="str">
        <f>'Week 3 Master Sheet'!F140</f>
        <v>REP LOG</v>
      </c>
    </row>
    <row r="141">
      <c r="A141" s="81">
        <f>'Week 3 Master Sheet'!A141</f>
        <v>1</v>
      </c>
      <c r="B141" s="82">
        <f>'Week 3 Master Sheet'!B141</f>
        <v>70</v>
      </c>
      <c r="C141" s="65" t="str">
        <f>'Week 3 Master Sheet'!C141</f>
        <v>10 - 15</v>
      </c>
      <c r="D141" s="83" t="str">
        <f>'Week 3 Master Sheet'!D141</f>
        <v>1MIN</v>
      </c>
      <c r="E141" s="84" t="str">
        <f>'Week 3 Master Sheet'!E141</f>
        <v/>
      </c>
      <c r="F141" s="85">
        <v>12.0</v>
      </c>
    </row>
    <row r="142">
      <c r="A142" s="81">
        <f>'Week 3 Master Sheet'!A142</f>
        <v>2</v>
      </c>
      <c r="B142" s="82">
        <f>'Week 3 Master Sheet'!B142</f>
        <v>75</v>
      </c>
      <c r="C142" s="65" t="str">
        <f>'Week 3 Master Sheet'!C142</f>
        <v>10 - 15</v>
      </c>
      <c r="D142" s="83" t="str">
        <f>'Week 3 Master Sheet'!D142</f>
        <v>1MIN</v>
      </c>
      <c r="E142" s="84" t="str">
        <f>'Week 3 Master Sheet'!E142</f>
        <v/>
      </c>
      <c r="F142" s="85">
        <v>10.0</v>
      </c>
    </row>
    <row r="143">
      <c r="A143" s="629">
        <f>'Week 3 Master Sheet'!A143</f>
        <v>3</v>
      </c>
      <c r="B143" s="630" t="str">
        <f>'Week 3 Master Sheet'!B143</f>
        <v>#VALUE!</v>
      </c>
      <c r="C143" s="631" t="str">
        <f>'Week 3 Master Sheet'!C143</f>
        <v>10 - 15</v>
      </c>
      <c r="D143" s="328" t="str">
        <f>'Week 3 Master Sheet'!D143</f>
        <v>1MIN</v>
      </c>
      <c r="E143" s="632" t="str">
        <f>'Week 3 Master Sheet'!E143</f>
        <v>#VALUE!</v>
      </c>
      <c r="F143" s="330"/>
    </row>
    <row r="144">
      <c r="A144" s="797"/>
      <c r="B144" s="798"/>
      <c r="C144" s="798"/>
      <c r="D144" s="799"/>
      <c r="E144" s="800"/>
      <c r="F144" s="799"/>
    </row>
    <row r="146">
      <c r="A146" s="687" t="str">
        <f>'Week 3 Master Sheet'!A146</f>
        <v>4. BICEP CABLE CURL</v>
      </c>
      <c r="B146" s="53"/>
      <c r="C146" s="53"/>
      <c r="D146" s="53"/>
      <c r="E146" s="53"/>
      <c r="F146" s="54"/>
    </row>
    <row r="147">
      <c r="A147" s="226" t="str">
        <f>'Week 3 Master Sheet'!A147</f>
        <v>CURRENT MAX</v>
      </c>
      <c r="B147" s="691">
        <f>'Week 3 Master Sheet'!B147</f>
        <v>30</v>
      </c>
      <c r="C147" s="13"/>
      <c r="D147" s="13"/>
      <c r="E147" s="13"/>
      <c r="F147" s="57"/>
    </row>
    <row r="148">
      <c r="A148" s="96" t="str">
        <f>'Week 3 Master Sheet'!A148</f>
        <v>SET</v>
      </c>
      <c r="B148" s="97" t="str">
        <f>'Week 3 Master Sheet'!B148</f>
        <v>WEIGHT</v>
      </c>
      <c r="C148" s="97" t="str">
        <f>'Week 3 Master Sheet'!C148</f>
        <v>REPS</v>
      </c>
      <c r="D148" s="97" t="str">
        <f>'Week 3 Master Sheet'!D148</f>
        <v>REST</v>
      </c>
      <c r="E148" s="341" t="str">
        <f>'Week 3 Master Sheet'!E148</f>
        <v>PREVIOUS</v>
      </c>
      <c r="F148" s="235" t="str">
        <f>'Week 3 Master Sheet'!F148</f>
        <v>REP LOG</v>
      </c>
    </row>
    <row r="149">
      <c r="A149" s="725">
        <f>'Week 3 Master Sheet'!A149</f>
        <v>1</v>
      </c>
      <c r="B149" s="344">
        <f>'Week 3 Master Sheet'!B149</f>
        <v>30</v>
      </c>
      <c r="C149" s="344" t="str">
        <f>'Week 3 Master Sheet'!C149</f>
        <v>15 - 20</v>
      </c>
      <c r="D149" s="693" t="str">
        <f>'Week 3 Master Sheet'!D149</f>
        <v>1MIN</v>
      </c>
      <c r="E149" s="346">
        <f>'Week 3 Master Sheet'!E149</f>
        <v>0</v>
      </c>
      <c r="F149" s="85">
        <v>20.0</v>
      </c>
    </row>
    <row r="150">
      <c r="A150" s="725">
        <f>'Week 3 Master Sheet'!A150</f>
        <v>2</v>
      </c>
      <c r="B150" s="344">
        <f>'Week 3 Master Sheet'!B150</f>
        <v>30</v>
      </c>
      <c r="C150" s="829" t="str">
        <f>'Week 3 Master Sheet'!C150</f>
        <v>15 - 20</v>
      </c>
      <c r="D150" s="693" t="str">
        <f>'Week 3 Master Sheet'!D150</f>
        <v>1MIN</v>
      </c>
      <c r="E150" s="346" t="str">
        <f>'Week 3 Master Sheet'!E150</f>
        <v/>
      </c>
      <c r="F150" s="85">
        <v>20.0</v>
      </c>
    </row>
    <row r="151">
      <c r="A151" s="753">
        <f>'Week 3 Master Sheet'!A151</f>
        <v>3</v>
      </c>
      <c r="B151" s="754">
        <f>'Week 3 Master Sheet'!B151</f>
        <v>30</v>
      </c>
      <c r="C151" s="830" t="str">
        <f>'Week 3 Master Sheet'!C151</f>
        <v>15 - 20</v>
      </c>
      <c r="D151" s="794" t="str">
        <f>'Week 3 Master Sheet'!D151</f>
        <v>1MIN</v>
      </c>
      <c r="E151" s="695" t="str">
        <f>'Week 3 Master Sheet'!E151</f>
        <v/>
      </c>
      <c r="F151" s="85">
        <v>20.0</v>
      </c>
    </row>
    <row r="152">
      <c r="A152" s="806"/>
    </row>
    <row r="154">
      <c r="A154" s="310" t="str">
        <f>'Week 3 Master Sheet'!A154</f>
        <v>CLICK TO COMPLETE WORKOUT</v>
      </c>
      <c r="B154" s="36"/>
      <c r="C154" s="36"/>
      <c r="D154" s="36"/>
      <c r="E154" s="36"/>
      <c r="F154" s="37"/>
    </row>
    <row r="155">
      <c r="A155" s="831"/>
      <c r="B155" s="25"/>
      <c r="C155" s="25"/>
      <c r="D155" s="25"/>
      <c r="E155" s="25"/>
      <c r="F155" s="25"/>
    </row>
    <row r="156">
      <c r="A156" s="106" t="str">
        <f>'Week 3 Master Sheet'!A156</f>
        <v>WORKOUT COMPLETE!</v>
      </c>
      <c r="B156" s="36"/>
      <c r="C156" s="36"/>
      <c r="D156" s="36"/>
      <c r="E156" s="36"/>
      <c r="F156" s="37"/>
    </row>
    <row r="157">
      <c r="A157" s="103"/>
    </row>
    <row r="158">
      <c r="A158" s="641" t="str">
        <f>'Week 3 Master Sheet'!A158</f>
        <v>WANT TO LEARN MORE?</v>
      </c>
      <c r="B158" s="16"/>
      <c r="C158" s="16"/>
      <c r="D158" s="16"/>
      <c r="E158" s="16"/>
      <c r="F158" s="17"/>
    </row>
    <row r="159">
      <c r="A159" s="18"/>
      <c r="B159" s="13"/>
      <c r="C159" s="13"/>
      <c r="D159" s="13"/>
      <c r="E159" s="13"/>
      <c r="F159" s="14"/>
    </row>
    <row r="160">
      <c r="A160" s="419"/>
      <c r="B160" s="832"/>
      <c r="C160" s="833" t="str">
        <f>'Week 3 Master Sheet'!C160</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60" s="25"/>
      <c r="E160" s="25"/>
      <c r="F160" s="26"/>
    </row>
    <row r="161">
      <c r="A161" s="419"/>
      <c r="B161" s="832"/>
      <c r="F161" s="28"/>
    </row>
    <row r="162">
      <c r="A162" s="419"/>
      <c r="B162" s="832"/>
      <c r="F162" s="28"/>
    </row>
    <row r="163">
      <c r="A163" s="419"/>
      <c r="B163" s="832"/>
      <c r="F163" s="28"/>
    </row>
    <row r="164">
      <c r="A164" s="419"/>
      <c r="B164" s="832"/>
      <c r="F164" s="28"/>
    </row>
    <row r="165">
      <c r="A165" s="419"/>
      <c r="B165" s="832"/>
      <c r="F165" s="28"/>
    </row>
    <row r="166">
      <c r="A166" s="808"/>
      <c r="B166" s="832"/>
      <c r="F166" s="28"/>
    </row>
    <row r="167">
      <c r="A167" s="419"/>
      <c r="B167" s="832"/>
      <c r="F167" s="28"/>
    </row>
    <row r="168">
      <c r="A168" s="419"/>
      <c r="B168" s="832"/>
      <c r="F168" s="28"/>
    </row>
    <row r="169">
      <c r="A169" s="809"/>
      <c r="B169" s="832"/>
      <c r="F169" s="28"/>
    </row>
    <row r="170">
      <c r="A170" s="419"/>
      <c r="B170" s="832"/>
      <c r="F170" s="28"/>
    </row>
    <row r="171">
      <c r="A171" s="419"/>
      <c r="B171" s="832"/>
      <c r="F171" s="28"/>
    </row>
    <row r="172">
      <c r="A172" s="419"/>
      <c r="B172" s="832"/>
      <c r="F172" s="28"/>
    </row>
    <row r="173">
      <c r="A173" s="419"/>
      <c r="B173" s="832"/>
      <c r="F173" s="28"/>
    </row>
    <row r="174">
      <c r="A174" s="419"/>
      <c r="B174" s="832"/>
      <c r="C174" s="11"/>
      <c r="D174" s="11"/>
      <c r="E174" s="11"/>
      <c r="F174" s="46"/>
    </row>
    <row r="175">
      <c r="A175" s="419"/>
    </row>
  </sheetData>
  <mergeCells count="111">
    <mergeCell ref="A10:F11"/>
    <mergeCell ref="A12:F12"/>
    <mergeCell ref="H12:M14"/>
    <mergeCell ref="A13:F13"/>
    <mergeCell ref="A14:F14"/>
    <mergeCell ref="A15:F15"/>
    <mergeCell ref="H15:M15"/>
    <mergeCell ref="A16:F17"/>
    <mergeCell ref="H16:M17"/>
    <mergeCell ref="A18:F18"/>
    <mergeCell ref="H18:M18"/>
    <mergeCell ref="A19:F19"/>
    <mergeCell ref="H19:M19"/>
    <mergeCell ref="G9:G18"/>
    <mergeCell ref="G20:G31"/>
    <mergeCell ref="N1:T18"/>
    <mergeCell ref="O19:T19"/>
    <mergeCell ref="I20:M20"/>
    <mergeCell ref="P20:T20"/>
    <mergeCell ref="A25:F25"/>
    <mergeCell ref="H25:M25"/>
    <mergeCell ref="B20:F20"/>
    <mergeCell ref="A30:F31"/>
    <mergeCell ref="H30:T31"/>
    <mergeCell ref="A32:F32"/>
    <mergeCell ref="H32:M32"/>
    <mergeCell ref="N32:T36"/>
    <mergeCell ref="B33:F33"/>
    <mergeCell ref="I33:M33"/>
    <mergeCell ref="A9:F9"/>
    <mergeCell ref="A37:F38"/>
    <mergeCell ref="B55:F55"/>
    <mergeCell ref="A60:F61"/>
    <mergeCell ref="A62:F62"/>
    <mergeCell ref="B63:F63"/>
    <mergeCell ref="A68:F68"/>
    <mergeCell ref="A69:F69"/>
    <mergeCell ref="A70:F70"/>
    <mergeCell ref="A71:F71"/>
    <mergeCell ref="A72:F73"/>
    <mergeCell ref="A74:F75"/>
    <mergeCell ref="A76:F76"/>
    <mergeCell ref="H76:M76"/>
    <mergeCell ref="N76:T84"/>
    <mergeCell ref="A77:F77"/>
    <mergeCell ref="G33:G76"/>
    <mergeCell ref="A39:F39"/>
    <mergeCell ref="B40:F40"/>
    <mergeCell ref="A46:F46"/>
    <mergeCell ref="A49:F49"/>
    <mergeCell ref="B52:F52"/>
    <mergeCell ref="A54:F54"/>
    <mergeCell ref="H77:M77"/>
    <mergeCell ref="G78:G97"/>
    <mergeCell ref="I78:M78"/>
    <mergeCell ref="H85:T97"/>
    <mergeCell ref="B86:F86"/>
    <mergeCell ref="B90:F90"/>
    <mergeCell ref="B95:F95"/>
    <mergeCell ref="A87:F88"/>
    <mergeCell ref="A89:F89"/>
    <mergeCell ref="A96:F97"/>
    <mergeCell ref="A98:F98"/>
    <mergeCell ref="H98:M98"/>
    <mergeCell ref="N98:T104"/>
    <mergeCell ref="I99:M99"/>
    <mergeCell ref="I104:M104"/>
    <mergeCell ref="A105:F105"/>
    <mergeCell ref="H105:T110"/>
    <mergeCell ref="A155:F155"/>
    <mergeCell ref="A156:F156"/>
    <mergeCell ref="A157:F157"/>
    <mergeCell ref="A158:F159"/>
    <mergeCell ref="A1:M8"/>
    <mergeCell ref="U1:U175"/>
    <mergeCell ref="H9:M9"/>
    <mergeCell ref="H10:M10"/>
    <mergeCell ref="N19:N29"/>
    <mergeCell ref="O25:T25"/>
    <mergeCell ref="H37:T75"/>
    <mergeCell ref="C160:F174"/>
    <mergeCell ref="A175:F175"/>
    <mergeCell ref="A120:F121"/>
    <mergeCell ref="H120:T175"/>
    <mergeCell ref="A122:F122"/>
    <mergeCell ref="A128:F129"/>
    <mergeCell ref="A130:F130"/>
    <mergeCell ref="A136:F137"/>
    <mergeCell ref="A138:F138"/>
    <mergeCell ref="B99:F99"/>
    <mergeCell ref="G99:G175"/>
    <mergeCell ref="B104:F104"/>
    <mergeCell ref="B113:F113"/>
    <mergeCell ref="B123:F123"/>
    <mergeCell ref="B131:F131"/>
    <mergeCell ref="B139:F139"/>
    <mergeCell ref="B147:F147"/>
    <mergeCell ref="A106:F106"/>
    <mergeCell ref="A107:F107"/>
    <mergeCell ref="A108:F108"/>
    <mergeCell ref="A109:F110"/>
    <mergeCell ref="A111:F111"/>
    <mergeCell ref="H111:M111"/>
    <mergeCell ref="N111:T119"/>
    <mergeCell ref="A112:F112"/>
    <mergeCell ref="H112:M112"/>
    <mergeCell ref="I113:M113"/>
    <mergeCell ref="A145:F145"/>
    <mergeCell ref="A146:F146"/>
    <mergeCell ref="A152:F153"/>
    <mergeCell ref="A154:F154"/>
  </mergeCells>
  <dataValidations>
    <dataValidation type="decimal" allowBlank="1" showDropDown="1" showErrorMessage="1" sqref="F22:F24 M22:M24 T22:T24 F27:F29 M27:M29 T27:T29 F35:F36 M35:M36 F42:F45 F47:F48 F50:F51 F53 F57:F59 F65:F67 M80:M84 F79:F85 F92:F94 F101:F103 M101:M103 F115:F119 M115:M119 F125:F127 F133:F135 F142:F144 F149:F151">
      <formula1>0.0</formula1>
      <formula2>500.0</formula2>
    </dataValidation>
    <dataValidation type="decimal" operator="greaterThan" allowBlank="1" showDropDown="1" showErrorMessage="1" sqref="M11">
      <formula1>0.0</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63"/>
    <col customWidth="1" min="5" max="5" width="13.25"/>
    <col customWidth="1" min="8" max="8" width="13.13"/>
    <col customWidth="1" min="11" max="11" width="13.5"/>
    <col customWidth="1" min="12" max="12" width="13.88"/>
  </cols>
  <sheetData>
    <row r="1">
      <c r="A1" s="715"/>
      <c r="N1" s="419"/>
      <c r="U1" s="419"/>
    </row>
    <row r="8">
      <c r="A8" s="11"/>
      <c r="B8" s="11"/>
      <c r="C8" s="11"/>
      <c r="D8" s="11"/>
      <c r="E8" s="11"/>
      <c r="F8" s="11"/>
      <c r="G8" s="11"/>
      <c r="H8" s="11"/>
      <c r="I8" s="11"/>
      <c r="J8" s="11"/>
      <c r="K8" s="11"/>
      <c r="L8" s="11"/>
      <c r="M8" s="11"/>
    </row>
    <row r="9">
      <c r="A9" s="810" t="s">
        <v>148</v>
      </c>
      <c r="B9" s="13"/>
      <c r="C9" s="13"/>
      <c r="D9" s="13"/>
      <c r="E9" s="13"/>
      <c r="F9" s="14"/>
      <c r="G9" s="434"/>
      <c r="H9" s="24" t="s">
        <v>35</v>
      </c>
      <c r="I9" s="25"/>
      <c r="J9" s="25"/>
      <c r="K9" s="25"/>
      <c r="L9" s="25"/>
      <c r="M9" s="26"/>
    </row>
    <row r="10">
      <c r="A10" s="15" t="str">
        <f>'Week 3 Master Sheet'!A10</f>
        <v>PRESS TO RECORD BODY WEIGHT</v>
      </c>
      <c r="B10" s="16"/>
      <c r="C10" s="16"/>
      <c r="D10" s="16"/>
      <c r="E10" s="16"/>
      <c r="F10" s="17"/>
      <c r="H10" s="27" t="s">
        <v>159</v>
      </c>
      <c r="M10" s="28"/>
    </row>
    <row r="11">
      <c r="A11" s="18"/>
      <c r="B11" s="13"/>
      <c r="C11" s="13"/>
      <c r="D11" s="13"/>
      <c r="E11" s="13"/>
      <c r="F11" s="14"/>
      <c r="H11" s="29" t="s">
        <v>160</v>
      </c>
      <c r="I11" s="30"/>
      <c r="J11" s="30"/>
      <c r="K11" s="30"/>
      <c r="L11" s="30"/>
      <c r="M11" s="31"/>
    </row>
    <row r="12">
      <c r="A12" s="811" t="str">
        <f>'Week 3 Master Sheet'!A12</f>
        <v>This Weeks Goals</v>
      </c>
      <c r="B12" s="20"/>
      <c r="C12" s="20"/>
      <c r="D12" s="20"/>
      <c r="E12" s="20"/>
      <c r="F12" s="21"/>
      <c r="H12" s="419"/>
    </row>
    <row r="13">
      <c r="A13" s="812" t="str">
        <f>'Week 3 Master Sheet'!A13</f>
        <v>This is what we call percentage week. For the most part we are going to work your body just under it's maximum potential and go for more repititions. There are however a few areas that are excluded from this principle but the general theme of the week is working under your max. </v>
      </c>
      <c r="B13" s="20"/>
      <c r="C13" s="20"/>
      <c r="D13" s="20"/>
      <c r="E13" s="20"/>
      <c r="F13" s="21"/>
    </row>
    <row r="14">
      <c r="A14" s="428" t="s">
        <v>138</v>
      </c>
    </row>
    <row r="15">
      <c r="A15" s="50" t="str">
        <f>'Week 3 Master Sheet'!A15</f>
        <v>DAY 1 </v>
      </c>
      <c r="B15" s="36"/>
      <c r="C15" s="36"/>
      <c r="D15" s="36"/>
      <c r="E15" s="36"/>
      <c r="F15" s="37"/>
      <c r="H15" s="429" t="str">
        <f>'Week 3 Master Sheet'!H15</f>
        <v>ALTERNATE WORKOUTS</v>
      </c>
      <c r="I15" s="36"/>
      <c r="J15" s="36"/>
      <c r="K15" s="36"/>
      <c r="L15" s="36"/>
      <c r="M15" s="37"/>
    </row>
    <row r="16">
      <c r="A16" s="657"/>
      <c r="H16" s="657"/>
    </row>
    <row r="18">
      <c r="A18" s="51" t="s">
        <v>158</v>
      </c>
      <c r="B18" s="36"/>
      <c r="C18" s="36"/>
      <c r="D18" s="36"/>
      <c r="E18" s="36"/>
      <c r="F18" s="37"/>
      <c r="H18" s="51" t="str">
        <f>'Week 3 Master Sheet'!H18</f>
        <v>CHEST &amp; BACK </v>
      </c>
      <c r="I18" s="36"/>
      <c r="J18" s="36"/>
      <c r="K18" s="36"/>
      <c r="L18" s="36"/>
      <c r="M18" s="37"/>
    </row>
    <row r="19">
      <c r="A19" s="93" t="str">
        <f>HYPERLINK("https://www.youtube.com/watch?v=iLgUDezDMbU","1. BENCH PRESS")</f>
        <v>1. BENCH PRESS</v>
      </c>
      <c r="B19" s="53"/>
      <c r="C19" s="53"/>
      <c r="D19" s="53"/>
      <c r="E19" s="53"/>
      <c r="F19" s="54"/>
      <c r="G19" s="434" t="s">
        <v>123</v>
      </c>
      <c r="H19" s="93" t="str">
        <f>'Week 3 Master Sheet'!H19</f>
        <v>1. MACHINE PRESS</v>
      </c>
      <c r="I19" s="53"/>
      <c r="J19" s="53"/>
      <c r="K19" s="53"/>
      <c r="L19" s="53"/>
      <c r="M19" s="54"/>
      <c r="N19" s="419"/>
      <c r="O19" s="75" t="str">
        <f>'Week 3 Master Sheet'!O19</f>
        <v>1. DUMBBELL INCLINE PRESS</v>
      </c>
      <c r="P19" s="53"/>
      <c r="Q19" s="53"/>
      <c r="R19" s="53"/>
      <c r="S19" s="53"/>
      <c r="T19" s="54"/>
    </row>
    <row r="20">
      <c r="A20" s="226" t="str">
        <f>'Week 3 Master Sheet'!A20</f>
        <v>CURRENT MAX</v>
      </c>
      <c r="B20" s="691">
        <f>'Week 3 Master Sheet'!B20</f>
        <v>100</v>
      </c>
      <c r="C20" s="13"/>
      <c r="D20" s="13"/>
      <c r="E20" s="13"/>
      <c r="F20" s="57"/>
      <c r="G20" s="434"/>
      <c r="H20" s="226" t="str">
        <f>'Week 3 Master Sheet'!H20</f>
        <v>CURRENT MAX</v>
      </c>
      <c r="I20" s="691" t="str">
        <f>'Week 3 Master Sheet'!I20</f>
        <v/>
      </c>
      <c r="J20" s="13"/>
      <c r="K20" s="13"/>
      <c r="L20" s="13"/>
      <c r="M20" s="57"/>
      <c r="O20" s="226" t="str">
        <f>'Week 3 Master Sheet'!O20</f>
        <v>CURRENT MAX</v>
      </c>
      <c r="P20" s="691">
        <f>'Week 3 Master Sheet'!P20</f>
        <v>75</v>
      </c>
      <c r="Q20" s="13"/>
      <c r="R20" s="13"/>
      <c r="S20" s="13"/>
      <c r="T20" s="57"/>
    </row>
    <row r="21">
      <c r="A21" s="96" t="str">
        <f>'Week 3 Master Sheet'!A21</f>
        <v>SET</v>
      </c>
      <c r="B21" s="97" t="str">
        <f>'Week 3 Master Sheet'!B21</f>
        <v>WEIGHT</v>
      </c>
      <c r="C21" s="97" t="str">
        <f>'Week 3 Master Sheet'!C21</f>
        <v>REPS</v>
      </c>
      <c r="D21" s="97" t="str">
        <f>'Week 3 Master Sheet'!D21</f>
        <v>REST</v>
      </c>
      <c r="E21" s="341" t="str">
        <f>'Week 3 Master Sheet'!E21</f>
        <v>PREVIOUS</v>
      </c>
      <c r="F21" s="235" t="str">
        <f>'Week 3 Master Sheet'!F21</f>
        <v>REP LOG</v>
      </c>
      <c r="H21" s="96" t="str">
        <f>'Week 3 Master Sheet'!H21</f>
        <v>SET</v>
      </c>
      <c r="I21" s="97" t="str">
        <f>'Week 3 Master Sheet'!I21</f>
        <v>WEIGHT</v>
      </c>
      <c r="J21" s="97" t="str">
        <f>'Week 3 Master Sheet'!J21</f>
        <v>REPS</v>
      </c>
      <c r="K21" s="97" t="str">
        <f>'Week 3 Master Sheet'!K21</f>
        <v>REST</v>
      </c>
      <c r="L21" s="341" t="str">
        <f>'Week 3 Master Sheet'!L21</f>
        <v>PREVIOUS</v>
      </c>
      <c r="M21" s="235" t="str">
        <f>'Week 3 Master Sheet'!M21</f>
        <v>REP LOG</v>
      </c>
      <c r="O21" s="96" t="str">
        <f>'Week 3 Master Sheet'!O21</f>
        <v>SET</v>
      </c>
      <c r="P21" s="97" t="str">
        <f>'Week 3 Master Sheet'!P21</f>
        <v>WEIGHT</v>
      </c>
      <c r="Q21" s="97" t="str">
        <f>'Week 3 Master Sheet'!Q21</f>
        <v>REPS</v>
      </c>
      <c r="R21" s="97" t="str">
        <f>'Week 3 Master Sheet'!R21</f>
        <v>REST</v>
      </c>
      <c r="S21" s="341" t="str">
        <f>'Week 3 Master Sheet'!S21</f>
        <v>PREVIOUS</v>
      </c>
      <c r="T21" s="235" t="str">
        <f>'Week 3 Master Sheet'!T21</f>
        <v>REP LOG</v>
      </c>
    </row>
    <row r="22">
      <c r="A22" s="725">
        <f>'Week 3 Master Sheet'!A22</f>
        <v>1</v>
      </c>
      <c r="B22" s="344">
        <f>'Week 3 Master Sheet'!B22</f>
        <v>45</v>
      </c>
      <c r="C22" s="344">
        <f>'Week 3 Master Sheet'!C22</f>
        <v>6</v>
      </c>
      <c r="D22" s="343" t="str">
        <f>'Week 3 Master Sheet'!D22</f>
        <v>30 sec</v>
      </c>
      <c r="E22" s="727" t="str">
        <f>'Week 3 Master Sheet'!E22</f>
        <v/>
      </c>
      <c r="F22" s="85">
        <v>6.0</v>
      </c>
      <c r="H22" s="725">
        <f>'Week 3 Master Sheet'!H22</f>
        <v>1</v>
      </c>
      <c r="I22" s="344">
        <f>'Week 3 Master Sheet'!I22</f>
        <v>0</v>
      </c>
      <c r="J22" s="344">
        <f>'Week 3 Master Sheet'!J22</f>
        <v>6</v>
      </c>
      <c r="K22" s="343" t="str">
        <f>'Week 3 Master Sheet'!K22</f>
        <v>30 sec</v>
      </c>
      <c r="L22" s="727" t="str">
        <f>'Week 3 Master Sheet'!L22</f>
        <v/>
      </c>
      <c r="M22" s="85"/>
      <c r="O22" s="725">
        <f>'Week 3 Master Sheet'!O22</f>
        <v>1</v>
      </c>
      <c r="P22" s="344">
        <f>'Week 3 Master Sheet'!P22</f>
        <v>25</v>
      </c>
      <c r="Q22" s="344">
        <f>'Week 3 Master Sheet'!Q22</f>
        <v>6</v>
      </c>
      <c r="R22" s="343" t="str">
        <f>'Week 3 Master Sheet'!R22</f>
        <v>30 sec</v>
      </c>
      <c r="S22" s="727" t="str">
        <f>'Week 3 Master Sheet'!S22</f>
        <v/>
      </c>
      <c r="T22" s="85"/>
    </row>
    <row r="23">
      <c r="A23" s="725">
        <f>'Week 3 Master Sheet'!A23</f>
        <v>2</v>
      </c>
      <c r="B23" s="344">
        <f>'Week 3 Master Sheet'!B23</f>
        <v>65</v>
      </c>
      <c r="C23" s="344">
        <f>'Week 3 Master Sheet'!C23</f>
        <v>1</v>
      </c>
      <c r="D23" s="343" t="str">
        <f>'Week 3 Master Sheet'!D23</f>
        <v>45 sec</v>
      </c>
      <c r="E23" s="727" t="str">
        <f>'Week 3 Master Sheet'!E23</f>
        <v/>
      </c>
      <c r="F23" s="85">
        <v>1.0</v>
      </c>
      <c r="H23" s="725">
        <f>'Week 3 Master Sheet'!H23</f>
        <v>2</v>
      </c>
      <c r="I23" s="344">
        <f>'Week 3 Master Sheet'!I23</f>
        <v>0</v>
      </c>
      <c r="J23" s="344">
        <f>'Week 3 Master Sheet'!J23</f>
        <v>1</v>
      </c>
      <c r="K23" s="343" t="str">
        <f>'Week 3 Master Sheet'!K23</f>
        <v>45 sec</v>
      </c>
      <c r="L23" s="727" t="str">
        <f>'Week 3 Master Sheet'!L23</f>
        <v/>
      </c>
      <c r="M23" s="85"/>
      <c r="O23" s="725">
        <f>'Week 3 Master Sheet'!O23</f>
        <v>2</v>
      </c>
      <c r="P23" s="344">
        <f>'Week 3 Master Sheet'!P23</f>
        <v>50</v>
      </c>
      <c r="Q23" s="344">
        <f>'Week 3 Master Sheet'!Q23</f>
        <v>1</v>
      </c>
      <c r="R23" s="343" t="str">
        <f>'Week 3 Master Sheet'!R23</f>
        <v>45 sec</v>
      </c>
      <c r="S23" s="727" t="str">
        <f>'Week 3 Master Sheet'!S23</f>
        <v/>
      </c>
      <c r="T23" s="85"/>
    </row>
    <row r="24">
      <c r="A24" s="725">
        <f>'Week 3 Master Sheet'!A24</f>
        <v>3</v>
      </c>
      <c r="B24" s="344">
        <f>'Week 3 Master Sheet'!B24</f>
        <v>80</v>
      </c>
      <c r="C24" s="344">
        <f>'Week 3 Master Sheet'!C24</f>
        <v>1</v>
      </c>
      <c r="D24" s="343" t="str">
        <f>'Week 3 Master Sheet'!D24</f>
        <v>1 MIN</v>
      </c>
      <c r="E24" s="727" t="str">
        <f>'Week 3 Master Sheet'!E24</f>
        <v/>
      </c>
      <c r="F24" s="85">
        <v>1.0</v>
      </c>
      <c r="H24" s="725">
        <f>'Week 3 Master Sheet'!H24</f>
        <v>3</v>
      </c>
      <c r="I24" s="344">
        <f>'Week 3 Master Sheet'!I24</f>
        <v>0</v>
      </c>
      <c r="J24" s="344">
        <f>'Week 3 Master Sheet'!J24</f>
        <v>1</v>
      </c>
      <c r="K24" s="343" t="str">
        <f>'Week 3 Master Sheet'!K24</f>
        <v>1 MIN</v>
      </c>
      <c r="L24" s="727" t="str">
        <f>'Week 3 Master Sheet'!L24</f>
        <v/>
      </c>
      <c r="M24" s="85"/>
      <c r="O24" s="725">
        <f>'Week 3 Master Sheet'!O24</f>
        <v>3</v>
      </c>
      <c r="P24" s="344">
        <f>'Week 3 Master Sheet'!P24</f>
        <v>60</v>
      </c>
      <c r="Q24" s="344">
        <f>'Week 3 Master Sheet'!Q24</f>
        <v>1</v>
      </c>
      <c r="R24" s="343" t="str">
        <f>'Week 3 Master Sheet'!R24</f>
        <v>1 MIN</v>
      </c>
      <c r="S24" s="727" t="str">
        <f>'Week 3 Master Sheet'!S24</f>
        <v/>
      </c>
      <c r="T24" s="85"/>
    </row>
    <row r="25">
      <c r="A25" s="730" t="str">
        <f>'Week 3 Master Sheet'!A25</f>
        <v>Working Set</v>
      </c>
      <c r="B25" s="13"/>
      <c r="C25" s="13"/>
      <c r="D25" s="13"/>
      <c r="E25" s="13"/>
      <c r="F25" s="57"/>
      <c r="H25" s="730" t="str">
        <f>'Week 3 Master Sheet'!H25</f>
        <v>Working Set</v>
      </c>
      <c r="I25" s="13"/>
      <c r="J25" s="13"/>
      <c r="K25" s="13"/>
      <c r="L25" s="13"/>
      <c r="M25" s="57"/>
      <c r="O25" s="730" t="str">
        <f>'Week 3 Master Sheet'!O25</f>
        <v>Working Set</v>
      </c>
      <c r="P25" s="13"/>
      <c r="Q25" s="13"/>
      <c r="R25" s="13"/>
      <c r="S25" s="13"/>
      <c r="T25" s="57"/>
    </row>
    <row r="26">
      <c r="A26" s="96" t="str">
        <f>'Week 3 Master Sheet'!A26</f>
        <v>SET</v>
      </c>
      <c r="B26" s="97" t="str">
        <f>'Week 3 Master Sheet'!B26</f>
        <v>WEIGHT</v>
      </c>
      <c r="C26" s="97" t="str">
        <f>'Week 3 Master Sheet'!C26</f>
        <v>REPS</v>
      </c>
      <c r="D26" s="97" t="str">
        <f>'Week 3 Master Sheet'!D26</f>
        <v>REST</v>
      </c>
      <c r="E26" s="341" t="str">
        <f>'Week 3 Master Sheet'!E26</f>
        <v>PREVIOUS</v>
      </c>
      <c r="F26" s="235" t="str">
        <f>'Week 3 Master Sheet'!F26</f>
        <v>REP LOG</v>
      </c>
      <c r="H26" s="96" t="str">
        <f>'Week 3 Master Sheet'!H26</f>
        <v>SET</v>
      </c>
      <c r="I26" s="97" t="str">
        <f>'Week 3 Master Sheet'!I26</f>
        <v>WEIGHT</v>
      </c>
      <c r="J26" s="97" t="str">
        <f>'Week 3 Master Sheet'!J26</f>
        <v>REPS</v>
      </c>
      <c r="K26" s="97" t="str">
        <f>'Week 3 Master Sheet'!K26</f>
        <v>REST</v>
      </c>
      <c r="L26" s="341" t="str">
        <f>'Week 3 Master Sheet'!L26</f>
        <v>PREVIOUS</v>
      </c>
      <c r="M26" s="235" t="str">
        <f>'Week 3 Master Sheet'!M26</f>
        <v>REP LOG</v>
      </c>
      <c r="O26" s="96" t="str">
        <f>'Week 3 Master Sheet'!O26</f>
        <v>SET</v>
      </c>
      <c r="P26" s="97" t="str">
        <f>'Week 3 Master Sheet'!P26</f>
        <v>WEIGHT</v>
      </c>
      <c r="Q26" s="97" t="str">
        <f>'Week 3 Master Sheet'!Q26</f>
        <v>REPS</v>
      </c>
      <c r="R26" s="97" t="str">
        <f>'Week 3 Master Sheet'!R26</f>
        <v>REST</v>
      </c>
      <c r="S26" s="341" t="str">
        <f>'Week 3 Master Sheet'!S26</f>
        <v>PREVIOUS</v>
      </c>
      <c r="T26" s="235" t="str">
        <f>'Week 3 Master Sheet'!T26</f>
        <v>REP LOG</v>
      </c>
    </row>
    <row r="27">
      <c r="A27" s="725">
        <f>'Week 3 Master Sheet'!A27</f>
        <v>1</v>
      </c>
      <c r="B27" s="348">
        <f>'Week 3 Master Sheet'!B27</f>
        <v>90</v>
      </c>
      <c r="C27" s="437" t="str">
        <f>'Week 3 Master Sheet'!C27</f>
        <v>REP OUT</v>
      </c>
      <c r="D27" s="343" t="str">
        <f>'Week 3 Master Sheet'!D27</f>
        <v>1-5 MIN</v>
      </c>
      <c r="E27" s="727" t="str">
        <f>'Week 3 Master Sheet'!E27</f>
        <v/>
      </c>
      <c r="F27" s="85">
        <v>12.0</v>
      </c>
      <c r="H27" s="725">
        <f>'Week 3 Master Sheet'!H27</f>
        <v>1</v>
      </c>
      <c r="I27" s="348">
        <f>'Week 3 Master Sheet'!I27</f>
        <v>0</v>
      </c>
      <c r="J27" s="437" t="str">
        <f>'Week 3 Master Sheet'!J27</f>
        <v>REP OUT</v>
      </c>
      <c r="K27" s="343" t="str">
        <f>'Week 3 Master Sheet'!K27</f>
        <v>1-5 MIN</v>
      </c>
      <c r="L27" s="727" t="str">
        <f>'Week 3 Master Sheet'!L27</f>
        <v/>
      </c>
      <c r="M27" s="85"/>
      <c r="O27" s="725">
        <f>'Week 3 Master Sheet'!O27</f>
        <v>1</v>
      </c>
      <c r="P27" s="348">
        <f>'Week 3 Master Sheet'!P27</f>
        <v>70</v>
      </c>
      <c r="Q27" s="437" t="str">
        <f>'Week 3 Master Sheet'!Q27</f>
        <v>REP OUT</v>
      </c>
      <c r="R27" s="343" t="str">
        <f>'Week 3 Master Sheet'!R27</f>
        <v>1-5 MIN</v>
      </c>
      <c r="S27" s="727" t="str">
        <f>'Week 3 Master Sheet'!S27</f>
        <v/>
      </c>
      <c r="T27" s="85"/>
    </row>
    <row r="28">
      <c r="A28" s="725">
        <f>'Week 3 Master Sheet'!A28</f>
        <v>2</v>
      </c>
      <c r="B28" s="348">
        <f>'Week 3 Master Sheet'!B28</f>
        <v>80</v>
      </c>
      <c r="C28" s="437" t="str">
        <f>'Week 3 Master Sheet'!C28</f>
        <v>REP OUT</v>
      </c>
      <c r="D28" s="343" t="str">
        <f>'Week 3 Master Sheet'!D28</f>
        <v>1-5 MIN</v>
      </c>
      <c r="E28" s="727" t="str">
        <f>'Week 3 Master Sheet'!E28</f>
        <v/>
      </c>
      <c r="F28" s="85">
        <v>18.0</v>
      </c>
      <c r="H28" s="725">
        <f>'Week 3 Master Sheet'!H28</f>
        <v>2</v>
      </c>
      <c r="I28" s="348">
        <f>'Week 3 Master Sheet'!I28</f>
        <v>0</v>
      </c>
      <c r="J28" s="437" t="str">
        <f>'Week 3 Master Sheet'!J28</f>
        <v>REP OUT</v>
      </c>
      <c r="K28" s="343" t="str">
        <f>'Week 3 Master Sheet'!K28</f>
        <v>1-5 MIN</v>
      </c>
      <c r="L28" s="727" t="str">
        <f>'Week 3 Master Sheet'!L28</f>
        <v/>
      </c>
      <c r="M28" s="85"/>
      <c r="O28" s="725">
        <f>'Week 3 Master Sheet'!O28</f>
        <v>2</v>
      </c>
      <c r="P28" s="348">
        <f>'Week 3 Master Sheet'!P28</f>
        <v>55</v>
      </c>
      <c r="Q28" s="437" t="str">
        <f>'Week 3 Master Sheet'!Q28</f>
        <v>REP OUT</v>
      </c>
      <c r="R28" s="343" t="str">
        <f>'Week 3 Master Sheet'!R28</f>
        <v>1-5 MIN</v>
      </c>
      <c r="S28" s="727" t="str">
        <f>'Week 3 Master Sheet'!S28</f>
        <v/>
      </c>
      <c r="T28" s="85"/>
    </row>
    <row r="29">
      <c r="A29" s="753">
        <f>'Week 3 Master Sheet'!A29</f>
        <v>3</v>
      </c>
      <c r="B29" s="732">
        <f>'Week 3 Master Sheet'!B29</f>
        <v>70</v>
      </c>
      <c r="C29" s="733" t="str">
        <f>'Week 3 Master Sheet'!C29</f>
        <v>REP OUT</v>
      </c>
      <c r="D29" s="486" t="str">
        <f>'Week 3 Master Sheet'!D29</f>
        <v>1-5 MIN</v>
      </c>
      <c r="E29" s="734" t="str">
        <f>'Week 3 Master Sheet'!E29</f>
        <v/>
      </c>
      <c r="F29" s="85">
        <v>10.0</v>
      </c>
      <c r="H29" s="735">
        <f>'Week 3 Master Sheet'!H29</f>
        <v>3</v>
      </c>
      <c r="I29" s="736">
        <f>'Week 3 Master Sheet'!I29</f>
        <v>0</v>
      </c>
      <c r="J29" s="737" t="str">
        <f>'Week 3 Master Sheet'!J29</f>
        <v>REP OUT</v>
      </c>
      <c r="K29" s="738" t="str">
        <f>'Week 3 Master Sheet'!K29</f>
        <v>1-5 MIN</v>
      </c>
      <c r="L29" s="739" t="str">
        <f>'Week 3 Master Sheet'!L29</f>
        <v/>
      </c>
      <c r="M29" s="85"/>
      <c r="O29" s="753">
        <f>'Week 3 Master Sheet'!O29</f>
        <v>3</v>
      </c>
      <c r="P29" s="732">
        <f>'Week 3 Master Sheet'!P29</f>
        <v>40</v>
      </c>
      <c r="Q29" s="733" t="str">
        <f>'Week 3 Master Sheet'!Q29</f>
        <v>REP OUT</v>
      </c>
      <c r="R29" s="486" t="str">
        <f>'Week 3 Master Sheet'!R29</f>
        <v>1-5 MIN</v>
      </c>
      <c r="S29" s="734" t="str">
        <f>'Week 3 Master Sheet'!S29</f>
        <v/>
      </c>
      <c r="T29" s="85"/>
    </row>
    <row r="30">
      <c r="A30" s="740"/>
      <c r="H30" s="742"/>
      <c r="I30" s="25"/>
      <c r="J30" s="25"/>
      <c r="K30" s="25"/>
      <c r="L30" s="25"/>
      <c r="M30" s="25"/>
      <c r="N30" s="25"/>
      <c r="O30" s="25"/>
      <c r="P30" s="25"/>
      <c r="Q30" s="25"/>
      <c r="R30" s="25"/>
      <c r="S30" s="25"/>
      <c r="T30" s="25"/>
    </row>
    <row r="32">
      <c r="A32" s="440" t="str">
        <f>'Week 3 Master Sheet'!A32</f>
        <v>2. DB CHEST FLY</v>
      </c>
      <c r="B32" s="53"/>
      <c r="C32" s="53"/>
      <c r="D32" s="53"/>
      <c r="E32" s="53"/>
      <c r="F32" s="54"/>
      <c r="G32" s="434" t="s">
        <v>123</v>
      </c>
      <c r="H32" s="440" t="str">
        <f>'Week 3 Master Sheet'!H32</f>
        <v>2. MACHINE CHEST FLY</v>
      </c>
      <c r="I32" s="53"/>
      <c r="J32" s="53"/>
      <c r="K32" s="53"/>
      <c r="L32" s="53"/>
      <c r="M32" s="54"/>
      <c r="N32" s="657"/>
    </row>
    <row r="33">
      <c r="A33" s="226" t="str">
        <f>'Week 3 Master Sheet'!A33</f>
        <v>DB INCL MAX</v>
      </c>
      <c r="B33" s="691">
        <f>'Week 3 Master Sheet'!B33</f>
        <v>75</v>
      </c>
      <c r="C33" s="13"/>
      <c r="D33" s="13"/>
      <c r="E33" s="13"/>
      <c r="F33" s="57"/>
      <c r="G33" s="434"/>
      <c r="H33" s="226" t="str">
        <f>'Week 3 Master Sheet'!H33</f>
        <v>DB INCL MAX</v>
      </c>
      <c r="I33" s="691">
        <f>'Week 3 Master Sheet'!I33</f>
        <v>75</v>
      </c>
      <c r="J33" s="13"/>
      <c r="K33" s="13"/>
      <c r="L33" s="13"/>
      <c r="M33" s="57"/>
    </row>
    <row r="34">
      <c r="A34" s="743" t="str">
        <f>'Week 3 Master Sheet'!A34</f>
        <v>SET</v>
      </c>
      <c r="B34" s="744" t="str">
        <f>'Week 3 Master Sheet'!B34</f>
        <v>WEIGHT</v>
      </c>
      <c r="C34" s="744" t="str">
        <f>'Week 3 Master Sheet'!C34</f>
        <v>REPS</v>
      </c>
      <c r="D34" s="744" t="str">
        <f>'Week 3 Master Sheet'!D34</f>
        <v>REST</v>
      </c>
      <c r="E34" s="745" t="str">
        <f>'Week 3 Master Sheet'!E34</f>
        <v>PREVIOUS</v>
      </c>
      <c r="F34" s="235" t="str">
        <f>'Week 3 Master Sheet'!F34</f>
        <v>REP LOG</v>
      </c>
      <c r="H34" s="743" t="str">
        <f>'Week 3 Master Sheet'!H34</f>
        <v>SET</v>
      </c>
      <c r="I34" s="744" t="str">
        <f>'Week 3 Master Sheet'!I34</f>
        <v>WEIGHT</v>
      </c>
      <c r="J34" s="744" t="str">
        <f>'Week 3 Master Sheet'!J34</f>
        <v>REPS</v>
      </c>
      <c r="K34" s="744" t="str">
        <f>'Week 3 Master Sheet'!K34</f>
        <v>REST</v>
      </c>
      <c r="L34" s="745" t="str">
        <f>'Week 3 Master Sheet'!L34</f>
        <v>PREVIOUS</v>
      </c>
      <c r="M34" s="235" t="str">
        <f>'Week 3 Master Sheet'!M34</f>
        <v>REP LOG</v>
      </c>
    </row>
    <row r="35">
      <c r="A35" s="725">
        <f>'Week 3 Master Sheet'!A35</f>
        <v>1</v>
      </c>
      <c r="B35" s="254">
        <f>'Week 3 Master Sheet'!B35</f>
        <v>22.5</v>
      </c>
      <c r="C35" s="344" t="str">
        <f>'Week 3 Master Sheet'!C35</f>
        <v>10 - 15</v>
      </c>
      <c r="D35" s="343" t="str">
        <f>'Week 3 Master Sheet'!D35</f>
        <v>1 MIN</v>
      </c>
      <c r="E35" s="727" t="str">
        <f>'Week 3 Master Sheet'!E35</f>
        <v/>
      </c>
      <c r="F35" s="85">
        <v>15.0</v>
      </c>
      <c r="H35" s="725">
        <f>'Week 3 Master Sheet'!H35</f>
        <v>1</v>
      </c>
      <c r="I35" s="254">
        <f>'Week 3 Master Sheet'!I35</f>
        <v>110</v>
      </c>
      <c r="J35" s="344" t="str">
        <f>'Week 3 Master Sheet'!J35</f>
        <v>10 - 15</v>
      </c>
      <c r="K35" s="343" t="str">
        <f>'Week 3 Master Sheet'!K35</f>
        <v>1 MIN</v>
      </c>
      <c r="L35" s="727" t="str">
        <f>'Week 3 Master Sheet'!L35</f>
        <v/>
      </c>
      <c r="M35" s="85"/>
    </row>
    <row r="36">
      <c r="A36" s="747">
        <f>'Week 3 Master Sheet'!A36</f>
        <v>2</v>
      </c>
      <c r="B36" s="662">
        <f>'Week 3 Master Sheet'!B36</f>
        <v>22.5</v>
      </c>
      <c r="C36" s="813" t="str">
        <f>'Week 3 Master Sheet'!C36</f>
        <v>10 - 15</v>
      </c>
      <c r="D36" s="486" t="str">
        <f>'Week 3 Master Sheet'!D36</f>
        <v>1 MIN</v>
      </c>
      <c r="E36" s="734" t="str">
        <f>'Week 3 Master Sheet'!E36</f>
        <v/>
      </c>
      <c r="F36" s="85">
        <v>15.0</v>
      </c>
      <c r="H36" s="747">
        <f>'Week 3 Master Sheet'!H36</f>
        <v>2</v>
      </c>
      <c r="I36" s="662">
        <f>'Week 3 Master Sheet'!I36</f>
        <v>110</v>
      </c>
      <c r="J36" s="813" t="str">
        <f>'Week 3 Master Sheet'!J36</f>
        <v>10 - 15</v>
      </c>
      <c r="K36" s="486" t="str">
        <f>'Week 3 Master Sheet'!K36</f>
        <v>1 MIN</v>
      </c>
      <c r="L36" s="734" t="str">
        <f>'Week 3 Master Sheet'!L36</f>
        <v/>
      </c>
      <c r="M36" s="85"/>
    </row>
    <row r="37">
      <c r="A37" s="419"/>
      <c r="H37" s="657"/>
    </row>
    <row r="39">
      <c r="A39" s="73" t="str">
        <f>'Week 3 Master Sheet'!A39</f>
        <v>3. MACHINE HIGH ROW</v>
      </c>
      <c r="B39" s="53"/>
      <c r="C39" s="53"/>
      <c r="D39" s="53"/>
      <c r="E39" s="53"/>
      <c r="F39" s="54"/>
    </row>
    <row r="40">
      <c r="A40" s="226" t="str">
        <f>'Week 3 Master Sheet'!A40</f>
        <v>CURRENT MAX</v>
      </c>
      <c r="B40" s="227">
        <f>'Week 3 Master Sheet'!B40</f>
        <v>60</v>
      </c>
      <c r="C40" s="20"/>
      <c r="D40" s="20"/>
      <c r="E40" s="20"/>
      <c r="F40" s="95"/>
    </row>
    <row r="41">
      <c r="A41" s="231" t="str">
        <f>'Week 3 Master Sheet'!A41</f>
        <v>SET</v>
      </c>
      <c r="B41" s="232" t="str">
        <f>'Week 3 Master Sheet'!B41</f>
        <v>WEIGHT</v>
      </c>
      <c r="C41" s="232" t="str">
        <f>'Week 3 Master Sheet'!C41</f>
        <v>REPS</v>
      </c>
      <c r="D41" s="232" t="str">
        <f>'Week 3 Master Sheet'!D41</f>
        <v>REST</v>
      </c>
      <c r="E41" s="233" t="str">
        <f>'Week 3 Master Sheet'!E41</f>
        <v>PREVIOUS</v>
      </c>
      <c r="F41" s="235" t="str">
        <f>'Week 3 Master Sheet'!F41</f>
        <v>REP LOG</v>
      </c>
    </row>
    <row r="42">
      <c r="A42" s="236">
        <f>'Week 3 Master Sheet'!A42</f>
        <v>1</v>
      </c>
      <c r="B42" s="237">
        <f>'Week 3 Master Sheet'!B42</f>
        <v>20</v>
      </c>
      <c r="C42" s="237">
        <f>'Week 3 Master Sheet'!C42</f>
        <v>6</v>
      </c>
      <c r="D42" s="238" t="str">
        <f>'Week 3 Master Sheet'!D42</f>
        <v>30s</v>
      </c>
      <c r="E42" s="66" t="str">
        <f>'Week 3 Master Sheet'!E42</f>
        <v/>
      </c>
      <c r="F42" s="67">
        <v>6.0</v>
      </c>
    </row>
    <row r="43">
      <c r="A43" s="236">
        <f>'Week 3 Master Sheet'!A43</f>
        <v>2</v>
      </c>
      <c r="B43" s="237">
        <f>'Week 3 Master Sheet'!B43</f>
        <v>40</v>
      </c>
      <c r="C43" s="238">
        <f>'Week 3 Master Sheet'!C43</f>
        <v>3</v>
      </c>
      <c r="D43" s="238" t="str">
        <f>'Week 3 Master Sheet'!D43</f>
        <v>1-2 MIN</v>
      </c>
      <c r="E43" s="66" t="str">
        <f>'Week 3 Master Sheet'!E43</f>
        <v/>
      </c>
      <c r="F43" s="67">
        <v>3.0</v>
      </c>
    </row>
    <row r="44">
      <c r="A44" s="242">
        <f>'Week 3 Master Sheet'!A44</f>
        <v>3</v>
      </c>
      <c r="B44" s="237">
        <f>'Week 3 Master Sheet'!B44</f>
        <v>55</v>
      </c>
      <c r="C44" s="63">
        <f>'Week 3 Master Sheet'!C44</f>
        <v>2</v>
      </c>
      <c r="D44" s="238" t="str">
        <f>'Week 3 Master Sheet'!D44</f>
        <v>1-2 MIN</v>
      </c>
      <c r="E44" s="66" t="str">
        <f>'Week 3 Master Sheet'!E44</f>
        <v/>
      </c>
      <c r="F44" s="67">
        <v>2.0</v>
      </c>
    </row>
    <row r="45">
      <c r="A45" s="243">
        <f>'Week 3 Master Sheet'!A45</f>
        <v>4</v>
      </c>
      <c r="B45" s="237">
        <f>'Week 3 Master Sheet'!B45</f>
        <v>60</v>
      </c>
      <c r="C45" s="257">
        <f>'Week 3 Master Sheet'!C45</f>
        <v>3</v>
      </c>
      <c r="D45" s="238" t="str">
        <f>'Week 3 Master Sheet'!D45</f>
        <v>1-5 MIN</v>
      </c>
      <c r="E45" s="66" t="str">
        <f>'Week 3 Master Sheet'!E45</f>
        <v/>
      </c>
      <c r="F45" s="67">
        <v>3.0</v>
      </c>
    </row>
    <row r="46">
      <c r="A46" s="246" t="str">
        <f>'Week 3 Master Sheet'!A46</f>
        <v>NEW 4 REP MAX ATTEMPT</v>
      </c>
      <c r="B46" s="20"/>
      <c r="C46" s="20"/>
      <c r="D46" s="20"/>
      <c r="E46" s="20"/>
      <c r="F46" s="95"/>
    </row>
    <row r="47">
      <c r="A47" s="249">
        <f>'Week 3 Master Sheet'!A47</f>
        <v>5</v>
      </c>
      <c r="B47" s="175">
        <f>'Week 3 Master Sheet'!B47</f>
        <v>65</v>
      </c>
      <c r="C47" s="238">
        <f>'Week 3 Master Sheet'!C47</f>
        <v>4</v>
      </c>
      <c r="D47" s="238" t="str">
        <f>'Week 3 Master Sheet'!D47</f>
        <v>1-5 MIN</v>
      </c>
      <c r="E47" s="250" t="str">
        <f>'Week 3 Master Sheet'!E47</f>
        <v/>
      </c>
      <c r="F47" s="67">
        <v>4.0</v>
      </c>
    </row>
    <row r="48">
      <c r="A48" s="259" t="str">
        <f>'Week 3 Master Sheet'!A48</f>
        <v>6</v>
      </c>
      <c r="B48" s="237">
        <f>'Week 3 Master Sheet'!B48</f>
        <v>70</v>
      </c>
      <c r="C48" s="257" t="str">
        <f>'Week 3 Master Sheet'!C48</f>
        <v>4</v>
      </c>
      <c r="D48" s="257" t="str">
        <f>'Week 3 Master Sheet'!D48</f>
        <v>1-5 MIN</v>
      </c>
      <c r="E48" s="258" t="str">
        <f>'Week 3 Master Sheet'!E48</f>
        <v/>
      </c>
      <c r="F48" s="67">
        <v>4.0</v>
      </c>
    </row>
    <row r="49">
      <c r="A49" s="246" t="str">
        <f>'Week 3 Master Sheet'!A49</f>
        <v>DOWN SETS</v>
      </c>
      <c r="B49" s="20"/>
      <c r="C49" s="20"/>
      <c r="D49" s="20"/>
      <c r="E49" s="20"/>
      <c r="F49" s="95"/>
    </row>
    <row r="50">
      <c r="A50" s="249">
        <f>'Week 3 Master Sheet'!A50</f>
        <v>7</v>
      </c>
      <c r="B50" s="175">
        <f>'Week 3 Master Sheet'!B50</f>
        <v>55</v>
      </c>
      <c r="C50" s="437" t="str">
        <f>'Week 3 Master Sheet'!C50</f>
        <v>REP OUT</v>
      </c>
      <c r="D50" s="238" t="str">
        <f>'Week 3 Master Sheet'!D50</f>
        <v>1-3 MIN</v>
      </c>
      <c r="E50" s="268"/>
      <c r="F50" s="85">
        <v>8.0</v>
      </c>
    </row>
    <row r="51">
      <c r="A51" s="259">
        <f>'Week 3 Master Sheet'!A51</f>
        <v>8</v>
      </c>
      <c r="B51" s="237">
        <f>'Week 3 Master Sheet'!B51</f>
        <v>50</v>
      </c>
      <c r="C51" s="814" t="str">
        <f>'Week 3 Master Sheet'!C51</f>
        <v>REP OUT</v>
      </c>
      <c r="D51" s="257" t="str">
        <f>'Week 3 Master Sheet'!D51</f>
        <v>1-3 MIN</v>
      </c>
      <c r="E51" s="258"/>
      <c r="F51" s="85">
        <v>12.0</v>
      </c>
    </row>
    <row r="52">
      <c r="A52" s="226" t="str">
        <f>'Week 3 Master Sheet'!A52</f>
        <v>FINAL MAX</v>
      </c>
      <c r="B52" s="691">
        <f>'Week 3 Master Sheet'!B52</f>
        <v>70</v>
      </c>
      <c r="C52" s="13"/>
      <c r="D52" s="13"/>
      <c r="E52" s="13"/>
      <c r="F52" s="57"/>
    </row>
    <row r="53">
      <c r="A53" s="815"/>
      <c r="B53" s="816"/>
      <c r="C53" s="816"/>
      <c r="D53" s="816"/>
      <c r="E53" s="816"/>
      <c r="F53" s="816"/>
    </row>
    <row r="54">
      <c r="A54" s="751" t="str">
        <f>'Week 3 Master Sheet'!A54</f>
        <v>4. LAT PULL DOWN</v>
      </c>
      <c r="B54" s="13"/>
      <c r="C54" s="13"/>
      <c r="D54" s="13"/>
      <c r="E54" s="13"/>
      <c r="F54" s="57"/>
    </row>
    <row r="55">
      <c r="A55" s="226" t="str">
        <f>'Week 3 Master Sheet'!A55</f>
        <v>CURRENT MAX</v>
      </c>
      <c r="B55" s="691">
        <f>'Week 3 Master Sheet'!B55</f>
        <v>260</v>
      </c>
      <c r="C55" s="13"/>
      <c r="D55" s="13"/>
      <c r="E55" s="13"/>
      <c r="F55" s="57"/>
    </row>
    <row r="56">
      <c r="A56" s="96" t="str">
        <f>'Week 3 Master Sheet'!A56</f>
        <v>SET</v>
      </c>
      <c r="B56" s="97" t="str">
        <f>'Week 3 Master Sheet'!B56</f>
        <v>WEIGHT</v>
      </c>
      <c r="C56" s="97" t="str">
        <f>'Week 3 Master Sheet'!C56</f>
        <v>REPS</v>
      </c>
      <c r="D56" s="97" t="str">
        <f>'Week 3 Master Sheet'!D56</f>
        <v>REST</v>
      </c>
      <c r="E56" s="341" t="str">
        <f>'Week 3 Master Sheet'!E56</f>
        <v>PREVIOUS</v>
      </c>
      <c r="F56" s="235" t="str">
        <f>'Week 3 Master Sheet'!F56</f>
        <v>REP LOG</v>
      </c>
    </row>
    <row r="57">
      <c r="A57" s="725">
        <f>'Week 3 Master Sheet'!A57</f>
        <v>1</v>
      </c>
      <c r="B57" s="344">
        <f>'Week 3 Master Sheet'!B57</f>
        <v>235</v>
      </c>
      <c r="C57" s="437" t="str">
        <f>'Week 3 Master Sheet'!C57</f>
        <v>REP OUT</v>
      </c>
      <c r="D57" s="343" t="str">
        <f>'Week 3 Master Sheet'!D57</f>
        <v>1 MIN</v>
      </c>
      <c r="E57" s="752" t="str">
        <f>'Week 3 Master Sheet'!E57</f>
        <v/>
      </c>
      <c r="F57" s="85">
        <v>5.0</v>
      </c>
    </row>
    <row r="58">
      <c r="A58" s="725">
        <f>'Week 3 Master Sheet'!A58</f>
        <v>2</v>
      </c>
      <c r="B58" s="344">
        <f>'Week 3 Master Sheet'!B58</f>
        <v>195</v>
      </c>
      <c r="C58" s="437" t="str">
        <f>'Week 3 Master Sheet'!C58</f>
        <v>REP OUT</v>
      </c>
      <c r="D58" s="343" t="str">
        <f>'Week 3 Master Sheet'!D58</f>
        <v>1 MIN</v>
      </c>
      <c r="E58" s="752" t="str">
        <f>'Week 3 Master Sheet'!E58</f>
        <v/>
      </c>
      <c r="F58" s="85">
        <v>8.0</v>
      </c>
    </row>
    <row r="59">
      <c r="A59" s="753">
        <f>'Week 3 Master Sheet'!A59</f>
        <v>3</v>
      </c>
      <c r="B59" s="754">
        <f>'Week 3 Master Sheet'!B59</f>
        <v>220</v>
      </c>
      <c r="C59" s="733" t="str">
        <f>'Week 3 Master Sheet'!C59</f>
        <v>REP OUT</v>
      </c>
      <c r="D59" s="486" t="str">
        <f>'Week 3 Master Sheet'!D59</f>
        <v>1 MIN</v>
      </c>
      <c r="E59" s="755" t="str">
        <f>'Week 3 Master Sheet'!E59</f>
        <v/>
      </c>
      <c r="F59" s="817">
        <v>2.0</v>
      </c>
    </row>
    <row r="60">
      <c r="A60" s="756"/>
    </row>
    <row r="62">
      <c r="A62" s="73" t="str">
        <f>'Week 3 Master Sheet'!A62</f>
        <v>5. LOW ROW </v>
      </c>
      <c r="B62" s="53"/>
      <c r="C62" s="53"/>
      <c r="D62" s="53"/>
      <c r="E62" s="53"/>
      <c r="F62" s="54"/>
    </row>
    <row r="63">
      <c r="A63" s="226" t="str">
        <f>'Week 3 Master Sheet'!A63</f>
        <v>CURRENT MAX</v>
      </c>
      <c r="B63" s="691" t="str">
        <f>'Week 3 Master Sheet'!B63</f>
        <v/>
      </c>
      <c r="C63" s="13"/>
      <c r="D63" s="13"/>
      <c r="E63" s="13"/>
      <c r="F63" s="57"/>
    </row>
    <row r="64">
      <c r="A64" s="96" t="str">
        <f>'Week 3 Master Sheet'!A56</f>
        <v>SET</v>
      </c>
      <c r="B64" s="97" t="str">
        <f>'Week 3 Master Sheet'!B56</f>
        <v>WEIGHT</v>
      </c>
      <c r="C64" s="97" t="str">
        <f>'Week 3 Master Sheet'!C56</f>
        <v>REPS</v>
      </c>
      <c r="D64" s="97" t="str">
        <f>'Week 3 Master Sheet'!D56</f>
        <v>REST</v>
      </c>
      <c r="E64" s="341" t="str">
        <f>'Week 3 Master Sheet'!E56</f>
        <v>PREVIOUS</v>
      </c>
      <c r="F64" s="235" t="str">
        <f>'Week 3 Master Sheet'!F64</f>
        <v>REP LOG</v>
      </c>
    </row>
    <row r="65">
      <c r="A65" s="725">
        <f>'Week 3 Master Sheet'!A65</f>
        <v>1</v>
      </c>
      <c r="B65" s="344">
        <f>'Week 3 Master Sheet'!B65</f>
        <v>0</v>
      </c>
      <c r="C65" s="437" t="str">
        <f>'Week 3 Master Sheet'!C65</f>
        <v>REP OUT</v>
      </c>
      <c r="D65" s="343" t="str">
        <f>'Week 3 Master Sheet'!D65</f>
        <v>1-3 MIN</v>
      </c>
      <c r="E65" s="727" t="str">
        <f>'Week 3 Master Sheet'!E65</f>
        <v/>
      </c>
      <c r="F65" s="85">
        <v>4.0</v>
      </c>
    </row>
    <row r="66">
      <c r="A66" s="725">
        <f>'Week 3 Master Sheet'!A66</f>
        <v>2</v>
      </c>
      <c r="B66" s="344">
        <f>'Week 3 Master Sheet'!B66</f>
        <v>0</v>
      </c>
      <c r="C66" s="437" t="str">
        <f>'Week 3 Master Sheet'!C66</f>
        <v>REP OUT</v>
      </c>
      <c r="D66" s="343" t="str">
        <f>'Week 3 Master Sheet'!D66</f>
        <v>1-3 MIN</v>
      </c>
      <c r="E66" s="727" t="str">
        <f>'Week 3 Master Sheet'!E66</f>
        <v/>
      </c>
      <c r="F66" s="85">
        <v>6.0</v>
      </c>
    </row>
    <row r="67">
      <c r="A67" s="753">
        <f>'Week 3 Master Sheet'!A67</f>
        <v>3</v>
      </c>
      <c r="B67" s="754">
        <f>'Week 3 Master Sheet'!B67</f>
        <v>0</v>
      </c>
      <c r="C67" s="733" t="str">
        <f>'Week 3 Master Sheet'!C67</f>
        <v>REP OUT</v>
      </c>
      <c r="D67" s="486" t="str">
        <f>'Week 3 Master Sheet'!D67</f>
        <v>1-3 MIN</v>
      </c>
      <c r="E67" s="734" t="str">
        <f>'Week 3 Master Sheet'!E67</f>
        <v/>
      </c>
      <c r="F67" s="85">
        <v>8.0</v>
      </c>
    </row>
    <row r="68">
      <c r="A68" s="419"/>
    </row>
    <row r="69">
      <c r="A69" s="818" t="str">
        <f>'Week 3 Master Sheet'!A69</f>
        <v>CLICK TO COMPLETE WORKOUT</v>
      </c>
      <c r="B69" s="36"/>
      <c r="C69" s="36"/>
      <c r="D69" s="36"/>
      <c r="E69" s="36"/>
      <c r="F69" s="37"/>
    </row>
    <row r="70">
      <c r="A70" s="819"/>
    </row>
    <row r="71">
      <c r="A71" s="50" t="str">
        <f>'Week 3 Master Sheet'!A71</f>
        <v>DAY 2 </v>
      </c>
      <c r="B71" s="36"/>
      <c r="C71" s="36"/>
      <c r="D71" s="36"/>
      <c r="E71" s="36"/>
      <c r="F71" s="37"/>
    </row>
    <row r="72">
      <c r="A72" s="765"/>
    </row>
    <row r="74">
      <c r="A74" s="335" t="str">
        <f>'Week 3 Master Sheet'!A74</f>
        <v>WATCH THIS BEFORE MACHINE SQUAT</v>
      </c>
      <c r="B74" s="25"/>
      <c r="C74" s="25"/>
      <c r="D74" s="25"/>
      <c r="E74" s="25"/>
      <c r="F74" s="26"/>
    </row>
    <row r="75">
      <c r="A75" s="336"/>
      <c r="B75" s="11"/>
      <c r="C75" s="11"/>
      <c r="D75" s="11"/>
      <c r="E75" s="11"/>
      <c r="F75" s="46"/>
    </row>
    <row r="76">
      <c r="A76" s="51" t="str">
        <f>'Week 3 Master Sheet'!A76</f>
        <v>LEGS </v>
      </c>
      <c r="B76" s="36"/>
      <c r="C76" s="36"/>
      <c r="D76" s="36"/>
      <c r="E76" s="36"/>
      <c r="F76" s="37"/>
      <c r="H76" s="51" t="str">
        <f>'Week 3 Master Sheet'!H76</f>
        <v>LEGS </v>
      </c>
      <c r="I76" s="36"/>
      <c r="J76" s="36"/>
      <c r="K76" s="36"/>
      <c r="L76" s="36"/>
      <c r="M76" s="37"/>
      <c r="N76" s="419"/>
    </row>
    <row r="77">
      <c r="A77" s="820" t="str">
        <f>'Week 3 Master Sheet'!A77</f>
        <v>1. MACHINE SQUAT </v>
      </c>
      <c r="B77" s="53"/>
      <c r="C77" s="53"/>
      <c r="D77" s="53"/>
      <c r="E77" s="53"/>
      <c r="F77" s="54"/>
      <c r="G77" s="434" t="s">
        <v>123</v>
      </c>
      <c r="H77" s="323" t="str">
        <f>'Week 3 Master Sheet'!H77</f>
        <v>1. LEG PRESS</v>
      </c>
      <c r="I77" s="53"/>
      <c r="J77" s="53"/>
      <c r="K77" s="53"/>
      <c r="L77" s="53"/>
      <c r="M77" s="54"/>
    </row>
    <row r="78">
      <c r="A78" s="96" t="str">
        <f>'Week 3 Master Sheet'!A78</f>
        <v>SET</v>
      </c>
      <c r="B78" s="97" t="str">
        <f>'Week 3 Master Sheet'!B78</f>
        <v>WEIGHT</v>
      </c>
      <c r="C78" s="97" t="str">
        <f>'Week 3 Master Sheet'!C78</f>
        <v>REPS</v>
      </c>
      <c r="D78" s="97" t="str">
        <f>'Week 3 Master Sheet'!D78</f>
        <v>REST</v>
      </c>
      <c r="E78" s="341" t="str">
        <f>'Week 3 Master Sheet'!E78</f>
        <v>PREVIOUS</v>
      </c>
      <c r="F78" s="235" t="str">
        <f>'Week 3 Master Sheet'!F78</f>
        <v>REP LOG</v>
      </c>
      <c r="G78" s="434"/>
      <c r="H78" s="226" t="str">
        <f>'Week 3 Master Sheet'!H78</f>
        <v>CURRENT MAX</v>
      </c>
      <c r="I78" s="691">
        <f>'Week 3 Master Sheet'!I78</f>
        <v>250</v>
      </c>
      <c r="J78" s="13"/>
      <c r="K78" s="13"/>
      <c r="L78" s="13"/>
      <c r="M78" s="57"/>
    </row>
    <row r="79">
      <c r="A79" s="342">
        <f>'Week 3 Master Sheet'!A79</f>
        <v>1</v>
      </c>
      <c r="B79" s="343">
        <f>'Week 3 Master Sheet'!B79</f>
        <v>75</v>
      </c>
      <c r="C79" s="344">
        <f>'Week 3 Master Sheet'!C79</f>
        <v>10</v>
      </c>
      <c r="D79" s="345" t="str">
        <f>'Week 3 Master Sheet'!D79</f>
        <v>1-5 MIN</v>
      </c>
      <c r="E79" s="346" t="str">
        <f>'Week 3 Master Sheet'!E79</f>
        <v/>
      </c>
      <c r="F79" s="85"/>
      <c r="H79" s="96" t="str">
        <f>'Week 3 Master Sheet'!H79</f>
        <v>SET</v>
      </c>
      <c r="I79" s="97" t="str">
        <f>'Week 3 Master Sheet'!I79</f>
        <v>WEIGHT</v>
      </c>
      <c r="J79" s="97" t="str">
        <f>'Week 3 Master Sheet'!J79</f>
        <v>REPS</v>
      </c>
      <c r="K79" s="97" t="str">
        <f>'Week 3 Master Sheet'!K79</f>
        <v>REST</v>
      </c>
      <c r="L79" s="341" t="str">
        <f>'Week 3 Master Sheet'!L79</f>
        <v>PREVIOUS</v>
      </c>
      <c r="M79" s="235" t="str">
        <f>'Week 3 Master Sheet'!M79</f>
        <v>REP LOG</v>
      </c>
    </row>
    <row r="80">
      <c r="A80" s="342">
        <f>'Week 3 Master Sheet'!A80</f>
        <v>2</v>
      </c>
      <c r="B80" s="348">
        <f>'Week 3 Master Sheet'!B80</f>
        <v>85</v>
      </c>
      <c r="C80" s="344">
        <f>'Week 3 Master Sheet'!C80</f>
        <v>10</v>
      </c>
      <c r="D80" s="345" t="str">
        <f>'Week 3 Master Sheet'!D80</f>
        <v>1-5 MIN</v>
      </c>
      <c r="E80" s="346" t="str">
        <f>'Week 3 Master Sheet'!E80</f>
        <v/>
      </c>
      <c r="F80" s="85"/>
      <c r="H80" s="342">
        <f>'Week 3 Master Sheet'!H80</f>
        <v>1</v>
      </c>
      <c r="I80" s="348">
        <f>'Week 3 Master Sheet'!I80</f>
        <v>75</v>
      </c>
      <c r="J80" s="343">
        <f>'Week 3 Master Sheet'!J80</f>
        <v>25</v>
      </c>
      <c r="K80" s="345" t="str">
        <f>'Week 3 Master Sheet'!K80</f>
        <v>1-5 MIN</v>
      </c>
      <c r="L80" s="346" t="str">
        <f>'Week 3 Master Sheet'!L80</f>
        <v/>
      </c>
      <c r="M80" s="85">
        <v>25.0</v>
      </c>
    </row>
    <row r="81">
      <c r="A81" s="342">
        <f>'Week 3 Master Sheet'!A81</f>
        <v>3</v>
      </c>
      <c r="B81" s="348">
        <f>'Week 3 Master Sheet'!B81</f>
        <v>95</v>
      </c>
      <c r="C81" s="344">
        <f>'Week 3 Master Sheet'!C81</f>
        <v>10</v>
      </c>
      <c r="D81" s="345" t="str">
        <f>'Week 3 Master Sheet'!D81</f>
        <v>1-5 MIN</v>
      </c>
      <c r="E81" s="346" t="str">
        <f>'Week 3 Master Sheet'!E81</f>
        <v/>
      </c>
      <c r="F81" s="85"/>
      <c r="H81" s="342">
        <f>'Week 3 Master Sheet'!H81</f>
        <v>2</v>
      </c>
      <c r="I81" s="348">
        <f>'Week 3 Master Sheet'!I81</f>
        <v>125</v>
      </c>
      <c r="J81" s="191">
        <f>'Week 3 Master Sheet'!J81</f>
        <v>25</v>
      </c>
      <c r="K81" s="345" t="str">
        <f>'Week 3 Master Sheet'!K81</f>
        <v>1-5 MIN</v>
      </c>
      <c r="L81" s="346" t="str">
        <f>'Week 3 Master Sheet'!L81</f>
        <v/>
      </c>
      <c r="M81" s="85">
        <v>25.0</v>
      </c>
    </row>
    <row r="82">
      <c r="A82" s="342">
        <f>'Week 3 Master Sheet'!A82</f>
        <v>4</v>
      </c>
      <c r="B82" s="348">
        <f>'Week 3 Master Sheet'!B82</f>
        <v>105</v>
      </c>
      <c r="C82" s="344">
        <f>'Week 3 Master Sheet'!C82</f>
        <v>10</v>
      </c>
      <c r="D82" s="345" t="str">
        <f>'Week 3 Master Sheet'!D82</f>
        <v>1-5 MIN</v>
      </c>
      <c r="E82" s="346" t="str">
        <f>'Week 3 Master Sheet'!E82</f>
        <v/>
      </c>
      <c r="F82" s="85"/>
      <c r="H82" s="342">
        <f>'Week 3 Master Sheet'!H82</f>
        <v>3</v>
      </c>
      <c r="I82" s="348">
        <f>'Week 3 Master Sheet'!I82</f>
        <v>165</v>
      </c>
      <c r="J82" s="191">
        <f>'Week 3 Master Sheet'!J82</f>
        <v>25</v>
      </c>
      <c r="K82" s="345" t="str">
        <f>'Week 3 Master Sheet'!K82</f>
        <v>1-5 MIN</v>
      </c>
      <c r="L82" s="346" t="str">
        <f>'Week 3 Master Sheet'!L82</f>
        <v/>
      </c>
      <c r="M82" s="85">
        <v>25.0</v>
      </c>
    </row>
    <row r="83">
      <c r="A83" s="342">
        <f>'Week 3 Master Sheet'!A83</f>
        <v>5</v>
      </c>
      <c r="B83" s="348">
        <f>'Week 3 Master Sheet'!B83</f>
        <v>115</v>
      </c>
      <c r="C83" s="344">
        <f>'Week 3 Master Sheet'!C83</f>
        <v>10</v>
      </c>
      <c r="D83" s="345" t="str">
        <f>'Week 3 Master Sheet'!D83</f>
        <v>1-5 MIN</v>
      </c>
      <c r="E83" s="346" t="str">
        <f>'Week 3 Master Sheet'!E83</f>
        <v/>
      </c>
      <c r="F83" s="85"/>
      <c r="H83" s="342">
        <f>'Week 3 Master Sheet'!H83</f>
        <v>4</v>
      </c>
      <c r="I83" s="348">
        <f>'Week 3 Master Sheet'!I83</f>
        <v>190</v>
      </c>
      <c r="J83" s="191">
        <f>'Week 3 Master Sheet'!J83</f>
        <v>25</v>
      </c>
      <c r="K83" s="345" t="str">
        <f>'Week 3 Master Sheet'!K83</f>
        <v>1-5 MIN</v>
      </c>
      <c r="L83" s="346" t="str">
        <f>'Week 3 Master Sheet'!L83</f>
        <v/>
      </c>
      <c r="M83" s="85">
        <v>25.0</v>
      </c>
    </row>
    <row r="84">
      <c r="A84" s="342">
        <f>'Week 3 Master Sheet'!A84</f>
        <v>6</v>
      </c>
      <c r="B84" s="350">
        <f>'Week 3 Master Sheet'!B84</f>
        <v>125</v>
      </c>
      <c r="C84" s="344">
        <f>'Week 3 Master Sheet'!C84</f>
        <v>10</v>
      </c>
      <c r="D84" s="345" t="str">
        <f>'Week 3 Master Sheet'!D84</f>
        <v>1-5 MIN</v>
      </c>
      <c r="E84" s="351" t="str">
        <f>'Week 3 Master Sheet'!E84</f>
        <v/>
      </c>
      <c r="F84" s="85"/>
      <c r="H84" s="485">
        <f>'Week 3 Master Sheet'!H84</f>
        <v>5</v>
      </c>
      <c r="I84" s="754">
        <f>'Week 3 Master Sheet'!I84</f>
        <v>215</v>
      </c>
      <c r="J84" s="767">
        <f>'Week 3 Master Sheet'!J84</f>
        <v>25</v>
      </c>
      <c r="K84" s="488" t="str">
        <f>'Week 3 Master Sheet'!K84</f>
        <v>1-5 MIN</v>
      </c>
      <c r="L84" s="695" t="str">
        <f>'Week 3 Master Sheet'!L84</f>
        <v/>
      </c>
      <c r="M84" s="85">
        <v>210.0</v>
      </c>
    </row>
    <row r="85">
      <c r="A85" s="352">
        <f>'Week 3 Master Sheet'!A85</f>
        <v>7</v>
      </c>
      <c r="B85" s="353">
        <f>'Week 3 Master Sheet'!B85</f>
        <v>135</v>
      </c>
      <c r="C85" s="354">
        <f>'Week 3 Master Sheet'!C85</f>
        <v>10</v>
      </c>
      <c r="D85" s="355" t="str">
        <f>'Week 3 Master Sheet'!D85</f>
        <v>1-5 MIN</v>
      </c>
      <c r="E85" s="356" t="str">
        <f>'Week 3 Master Sheet'!E85</f>
        <v/>
      </c>
      <c r="F85" s="85"/>
      <c r="H85" s="419"/>
    </row>
    <row r="86">
      <c r="A86" s="357" t="str">
        <f>'Week 3 Master Sheet'!A86</f>
        <v>INSERT MAX</v>
      </c>
      <c r="B86" s="358"/>
      <c r="C86" s="36"/>
      <c r="D86" s="36"/>
      <c r="E86" s="36"/>
      <c r="F86" s="37"/>
    </row>
    <row r="87">
      <c r="A87" s="768"/>
    </row>
    <row r="89">
      <c r="A89" s="323" t="str">
        <f>'Week 3 Master Sheet'!A89</f>
        <v>2. LEG EXTENSION</v>
      </c>
      <c r="B89" s="53"/>
      <c r="C89" s="53"/>
      <c r="D89" s="53"/>
      <c r="E89" s="53"/>
      <c r="F89" s="54"/>
    </row>
    <row r="90">
      <c r="A90" s="226" t="str">
        <f>'Week 3 Master Sheet'!A90</f>
        <v>CURRENT MAX</v>
      </c>
      <c r="B90" s="90">
        <f>'Week 3 Master Sheet'!B90</f>
        <v>85</v>
      </c>
      <c r="C90" s="13"/>
      <c r="D90" s="13"/>
      <c r="E90" s="13"/>
      <c r="F90" s="57"/>
    </row>
    <row r="91">
      <c r="A91" s="96" t="str">
        <f>'Week 3 Master Sheet'!A91</f>
        <v>SET</v>
      </c>
      <c r="B91" s="97" t="str">
        <f>'Week 3 Master Sheet'!B91</f>
        <v>WEIGHT</v>
      </c>
      <c r="C91" s="97" t="str">
        <f>'Week 3 Master Sheet'!C91</f>
        <v>REPS</v>
      </c>
      <c r="D91" s="97" t="str">
        <f>'Week 3 Master Sheet'!D91</f>
        <v>REST</v>
      </c>
      <c r="E91" s="98" t="str">
        <f>'Week 3 Master Sheet'!E91</f>
        <v>PREVIOUS</v>
      </c>
      <c r="F91" s="235" t="str">
        <f>'Week 3 Master Sheet'!F91</f>
        <v>REP LOG</v>
      </c>
    </row>
    <row r="92">
      <c r="A92" s="352">
        <f>'Week 3 Master Sheet'!A92</f>
        <v>1</v>
      </c>
      <c r="B92" s="237">
        <f>'Week 3 Master Sheet'!B92</f>
        <v>85</v>
      </c>
      <c r="C92" s="678" t="str">
        <f>'Week 3 Master Sheet'!C92</f>
        <v>10 - 15</v>
      </c>
      <c r="D92" s="350" t="str">
        <f>'Week 3 Master Sheet'!D92</f>
        <v>1 MIN</v>
      </c>
      <c r="E92" s="449" t="str">
        <f>'Week 3 Master Sheet'!E92</f>
        <v/>
      </c>
      <c r="F92" s="85">
        <v>10.0</v>
      </c>
    </row>
    <row r="93">
      <c r="A93" s="352">
        <f>'Week 3 Master Sheet'!A93</f>
        <v>2</v>
      </c>
      <c r="B93" s="237">
        <f>'Week 3 Master Sheet'!B93</f>
        <v>80</v>
      </c>
      <c r="C93" s="678" t="str">
        <f>'Week 3 Master Sheet'!C93</f>
        <v>10 - 15</v>
      </c>
      <c r="D93" s="350" t="str">
        <f>'Week 3 Master Sheet'!D93</f>
        <v>1 MIN</v>
      </c>
      <c r="E93" s="679" t="str">
        <f>'Week 3 Master Sheet'!E93</f>
        <v/>
      </c>
      <c r="F93" s="85">
        <v>10.0</v>
      </c>
    </row>
    <row r="94">
      <c r="A94" s="352">
        <f>'Week 3 Master Sheet'!A94</f>
        <v>3</v>
      </c>
      <c r="B94" s="237">
        <f>'Week 3 Master Sheet'!B94</f>
        <v>75</v>
      </c>
      <c r="C94" s="678" t="str">
        <f>'Week 3 Master Sheet'!C94</f>
        <v>10 - 15</v>
      </c>
      <c r="D94" s="350" t="str">
        <f>'Week 3 Master Sheet'!D94</f>
        <v>1 MIN</v>
      </c>
      <c r="E94" s="449" t="str">
        <f>'Week 3 Master Sheet'!E94</f>
        <v/>
      </c>
      <c r="F94" s="85">
        <v>15.0</v>
      </c>
    </row>
    <row r="95">
      <c r="A95" s="228" t="str">
        <f>'Week 3 Master Sheet'!A95</f>
        <v>FINAL MAX</v>
      </c>
      <c r="B95" s="229">
        <f>'Week 3 Master Sheet'!B95</f>
        <v>85</v>
      </c>
      <c r="C95" s="16"/>
      <c r="D95" s="16"/>
      <c r="E95" s="16"/>
      <c r="F95" s="230"/>
    </row>
    <row r="96">
      <c r="A96" s="771"/>
      <c r="B96" s="25"/>
      <c r="C96" s="25"/>
      <c r="D96" s="25"/>
      <c r="E96" s="25"/>
      <c r="F96" s="25"/>
    </row>
    <row r="98" ht="17.25" customHeight="1">
      <c r="A98" s="323" t="str">
        <f>'Week 3 Master Sheet'!A98</f>
        <v>3. LEG CURL</v>
      </c>
      <c r="B98" s="53"/>
      <c r="C98" s="53"/>
      <c r="D98" s="53"/>
      <c r="E98" s="53"/>
      <c r="F98" s="54"/>
      <c r="G98" s="434" t="s">
        <v>123</v>
      </c>
      <c r="H98" s="323" t="str">
        <f>'Week 3 Master Sheet'!H98</f>
        <v>3. PRONE LEG CURL</v>
      </c>
      <c r="I98" s="53"/>
      <c r="J98" s="53"/>
      <c r="K98" s="53"/>
      <c r="L98" s="53"/>
      <c r="M98" s="54"/>
      <c r="N98" s="419"/>
    </row>
    <row r="99" ht="17.25" customHeight="1">
      <c r="A99" s="226" t="str">
        <f>'Week 3 Master Sheet'!A99</f>
        <v>CURRENT MAX</v>
      </c>
      <c r="B99" s="90">
        <f>'Week 3 Master Sheet'!B99</f>
        <v>95</v>
      </c>
      <c r="C99" s="13"/>
      <c r="D99" s="13"/>
      <c r="E99" s="13"/>
      <c r="F99" s="57"/>
      <c r="G99" s="434"/>
      <c r="H99" s="226" t="str">
        <f>'Week 3 Master Sheet'!H99</f>
        <v>CURRENT MAX</v>
      </c>
      <c r="I99" s="316">
        <f>'Week 3 Master Sheet'!I99</f>
        <v>90</v>
      </c>
      <c r="J99" s="20"/>
      <c r="K99" s="20"/>
      <c r="L99" s="20"/>
      <c r="M99" s="95"/>
    </row>
    <row r="100" ht="17.25" customHeight="1">
      <c r="A100" s="96" t="str">
        <f>'Week 3 Master Sheet'!A100</f>
        <v>SET</v>
      </c>
      <c r="B100" s="97" t="str">
        <f>'Week 3 Master Sheet'!B100</f>
        <v>WEIGHT</v>
      </c>
      <c r="C100" s="97" t="str">
        <f>'Week 3 Master Sheet'!C100</f>
        <v>REPS</v>
      </c>
      <c r="D100" s="97" t="str">
        <f>'Week 3 Master Sheet'!D100</f>
        <v>REST</v>
      </c>
      <c r="E100" s="98" t="str">
        <f>'Week 3 Master Sheet'!E100</f>
        <v>PREVIOUS</v>
      </c>
      <c r="F100" s="235" t="str">
        <f>'Week 3 Master Sheet'!F100</f>
        <v>REP LOG</v>
      </c>
      <c r="H100" s="96" t="str">
        <f>'Week 3 Master Sheet'!H100</f>
        <v>SET</v>
      </c>
      <c r="I100" s="97" t="str">
        <f>'Week 3 Master Sheet'!I100</f>
        <v>WEIGHT</v>
      </c>
      <c r="J100" s="97" t="str">
        <f>'Week 3 Master Sheet'!J100</f>
        <v>REPS</v>
      </c>
      <c r="K100" s="97" t="str">
        <f>'Week 3 Master Sheet'!K100</f>
        <v>REST</v>
      </c>
      <c r="L100" s="341" t="str">
        <f>'Week 3 Master Sheet'!L100</f>
        <v>PREVIOUS</v>
      </c>
      <c r="M100" s="235" t="str">
        <f>'Week 3 Master Sheet'!M100</f>
        <v>REP LOG</v>
      </c>
    </row>
    <row r="101" ht="17.25" customHeight="1">
      <c r="A101" s="352">
        <f>'Week 3 Master Sheet'!A101</f>
        <v>1</v>
      </c>
      <c r="B101" s="237">
        <f>'Week 3 Master Sheet'!B101</f>
        <v>95</v>
      </c>
      <c r="C101" s="678" t="str">
        <f>'Week 3 Master Sheet'!C101</f>
        <v>10 - 15</v>
      </c>
      <c r="D101" s="350" t="str">
        <f>'Week 3 Master Sheet'!D101</f>
        <v>1 MIN</v>
      </c>
      <c r="E101" s="821" t="str">
        <f>'Week 3 Master Sheet'!E101</f>
        <v/>
      </c>
      <c r="F101" s="85">
        <v>8.0</v>
      </c>
      <c r="H101" s="352">
        <f>'Week 3 Master Sheet'!H101</f>
        <v>1</v>
      </c>
      <c r="I101" s="237">
        <f>'Week 3 Master Sheet'!I101</f>
        <v>90</v>
      </c>
      <c r="J101" s="678" t="str">
        <f>'Week 3 Master Sheet'!J101</f>
        <v>10 - 15</v>
      </c>
      <c r="K101" s="350" t="str">
        <f>'Week 3 Master Sheet'!K101</f>
        <v>1 MIN</v>
      </c>
      <c r="L101" s="822" t="str">
        <f>'Week 3 Master Sheet'!L101</f>
        <v/>
      </c>
      <c r="M101" s="85"/>
    </row>
    <row r="102" ht="17.25" customHeight="1">
      <c r="A102" s="352">
        <f>'Week 3 Master Sheet'!A102</f>
        <v>2</v>
      </c>
      <c r="B102" s="237">
        <f>'Week 3 Master Sheet'!B102</f>
        <v>90</v>
      </c>
      <c r="C102" s="678" t="str">
        <f>'Week 3 Master Sheet'!C102</f>
        <v>10 - 15</v>
      </c>
      <c r="D102" s="350" t="str">
        <f>'Week 3 Master Sheet'!D102</f>
        <v>1 MIN</v>
      </c>
      <c r="E102" s="821" t="str">
        <f>'Week 3 Master Sheet'!E102</f>
        <v/>
      </c>
      <c r="F102" s="85">
        <v>12.0</v>
      </c>
      <c r="H102" s="352">
        <f>'Week 3 Master Sheet'!H102</f>
        <v>2</v>
      </c>
      <c r="I102" s="237">
        <f>'Week 3 Master Sheet'!I102</f>
        <v>70</v>
      </c>
      <c r="J102" s="681" t="str">
        <f>'Week 3 Master Sheet'!J102</f>
        <v>10 - 15</v>
      </c>
      <c r="K102" s="350" t="str">
        <f>'Week 3 Master Sheet'!K102</f>
        <v>1 MIN</v>
      </c>
      <c r="L102" s="822" t="str">
        <f>'Week 3 Master Sheet'!L102</f>
        <v/>
      </c>
      <c r="M102" s="85"/>
    </row>
    <row r="103" ht="17.25" customHeight="1">
      <c r="A103" s="352">
        <f>'Week 3 Master Sheet'!A103</f>
        <v>3</v>
      </c>
      <c r="B103" s="237">
        <f>'Week 3 Master Sheet'!B103</f>
        <v>85</v>
      </c>
      <c r="C103" s="678" t="str">
        <f>'Week 3 Master Sheet'!C103</f>
        <v>10 - 15</v>
      </c>
      <c r="D103" s="350" t="str">
        <f>'Week 3 Master Sheet'!D103</f>
        <v>1 MIN</v>
      </c>
      <c r="E103" s="823" t="str">
        <f>'Week 3 Master Sheet'!E103</f>
        <v/>
      </c>
      <c r="F103" s="85">
        <v>12.0</v>
      </c>
      <c r="H103" s="352">
        <f>'Week 3 Master Sheet'!H103</f>
        <v>3</v>
      </c>
      <c r="I103" s="237">
        <f>'Week 3 Master Sheet'!I103</f>
        <v>55</v>
      </c>
      <c r="J103" s="681" t="str">
        <f>'Week 3 Master Sheet'!J103</f>
        <v>10 - 15</v>
      </c>
      <c r="K103" s="350" t="str">
        <f>'Week 3 Master Sheet'!K103</f>
        <v>1 MIN</v>
      </c>
      <c r="L103" s="822" t="str">
        <f>'Week 3 Master Sheet'!L103</f>
        <v/>
      </c>
      <c r="M103" s="85"/>
    </row>
    <row r="104" ht="17.25" customHeight="1">
      <c r="A104" s="272" t="str">
        <f>'Week 3 Master Sheet'!A104</f>
        <v>FINAL MAX</v>
      </c>
      <c r="B104" s="332">
        <f>'Week 3 Master Sheet'!B104</f>
        <v>95</v>
      </c>
      <c r="C104" s="33"/>
      <c r="D104" s="33"/>
      <c r="E104" s="33"/>
      <c r="F104" s="34"/>
      <c r="H104" s="272" t="str">
        <f>'Week 3 Master Sheet'!H104</f>
        <v>FINAL MAX</v>
      </c>
      <c r="I104" s="332">
        <f>'Week 3 Master Sheet'!I104</f>
        <v>90</v>
      </c>
      <c r="J104" s="33"/>
      <c r="K104" s="33"/>
      <c r="L104" s="33"/>
      <c r="M104" s="34"/>
    </row>
    <row r="105" ht="17.25" customHeight="1">
      <c r="A105" s="419"/>
      <c r="H105" s="419"/>
    </row>
    <row r="106" ht="17.25" customHeight="1">
      <c r="A106" s="310" t="str">
        <f>'Week 3 Master Sheet'!A106</f>
        <v>CLICK TO COMPLETE WORKOUT</v>
      </c>
      <c r="B106" s="36"/>
      <c r="C106" s="36"/>
      <c r="D106" s="36"/>
      <c r="E106" s="36"/>
      <c r="F106" s="37"/>
    </row>
    <row r="107" ht="17.25" customHeight="1">
      <c r="A107" s="419"/>
    </row>
    <row r="108">
      <c r="A108" s="50" t="str">
        <f>'Week 3 Master Sheet'!A108</f>
        <v>DAY 3</v>
      </c>
      <c r="B108" s="36"/>
      <c r="C108" s="36"/>
      <c r="D108" s="36"/>
      <c r="E108" s="36"/>
      <c r="F108" s="37"/>
    </row>
    <row r="109">
      <c r="A109" s="657"/>
    </row>
    <row r="111">
      <c r="A111" s="51" t="str">
        <f>'Week 3 Master Sheet'!A111</f>
        <v>SHOULDERS &amp; ARMS</v>
      </c>
      <c r="B111" s="36"/>
      <c r="C111" s="36"/>
      <c r="D111" s="36"/>
      <c r="E111" s="36"/>
      <c r="F111" s="37"/>
      <c r="H111" s="51" t="str">
        <f>'Week 3 Master Sheet'!H111</f>
        <v>SHOULDERS &amp; ARMS</v>
      </c>
      <c r="I111" s="36"/>
      <c r="J111" s="36"/>
      <c r="K111" s="36"/>
      <c r="L111" s="36"/>
      <c r="M111" s="37"/>
      <c r="N111" s="419"/>
    </row>
    <row r="112">
      <c r="A112" s="504" t="str">
        <f>'Week 3 Master Sheet'!A112</f>
        <v>1. SHOULDER PRESS</v>
      </c>
      <c r="B112" s="53"/>
      <c r="C112" s="53"/>
      <c r="D112" s="53"/>
      <c r="E112" s="53"/>
      <c r="F112" s="54"/>
      <c r="H112" s="778" t="str">
        <f>'Week 3 Master Sheet'!H112</f>
        <v>1. MACHINE SHOULDER PRESS</v>
      </c>
      <c r="I112" s="53"/>
      <c r="J112" s="53"/>
      <c r="K112" s="53"/>
      <c r="L112" s="53"/>
      <c r="M112" s="54"/>
    </row>
    <row r="113">
      <c r="A113" s="589" t="str">
        <f>'Week 3 Master Sheet'!A113</f>
        <v>CURRENT MAX</v>
      </c>
      <c r="B113" s="227">
        <f>'Week 3 Master Sheet'!B113</f>
        <v>80</v>
      </c>
      <c r="C113" s="20"/>
      <c r="D113" s="20"/>
      <c r="E113" s="20"/>
      <c r="F113" s="95"/>
      <c r="H113" s="589" t="str">
        <f>'Week 3 Master Sheet'!H113</f>
        <v>SHLDR PRESS MAX</v>
      </c>
      <c r="I113" s="227">
        <f>'Week 3 Master Sheet'!I113</f>
        <v>80</v>
      </c>
      <c r="J113" s="20"/>
      <c r="K113" s="20"/>
      <c r="L113" s="20"/>
      <c r="M113" s="95"/>
    </row>
    <row r="114">
      <c r="A114" s="364" t="str">
        <f>'Week 3 Master Sheet'!A114</f>
        <v>SET</v>
      </c>
      <c r="B114" s="365" t="str">
        <f>'Week 3 Master Sheet'!B114</f>
        <v>WEIGHT</v>
      </c>
      <c r="C114" s="365" t="str">
        <f>'Week 3 Master Sheet'!C114</f>
        <v>REPS</v>
      </c>
      <c r="D114" s="365" t="str">
        <f>'Week 3 Master Sheet'!D114</f>
        <v>REST</v>
      </c>
      <c r="E114" s="609" t="str">
        <f>'Week 3 Master Sheet'!E114</f>
        <v>PREVIOUS</v>
      </c>
      <c r="F114" s="235" t="str">
        <f>'Week 3 Master Sheet'!F114</f>
        <v>REP LOG</v>
      </c>
      <c r="H114" s="364" t="str">
        <f>'Week 3 Master Sheet'!H114</f>
        <v>SET</v>
      </c>
      <c r="I114" s="365" t="str">
        <f>'Week 3 Master Sheet'!I114</f>
        <v>WEIGHT</v>
      </c>
      <c r="J114" s="365" t="str">
        <f>'Week 3 Master Sheet'!J114</f>
        <v>REPS</v>
      </c>
      <c r="K114" s="365" t="str">
        <f>'Week 3 Master Sheet'!K114</f>
        <v>REST</v>
      </c>
      <c r="L114" s="609" t="str">
        <f>'Week 3 Master Sheet'!L114</f>
        <v>PREVIOUS</v>
      </c>
      <c r="M114" s="235" t="str">
        <f>'Week 3 Master Sheet'!M114</f>
        <v>REP LOG</v>
      </c>
    </row>
    <row r="115">
      <c r="A115" s="236">
        <f>'Week 3 Master Sheet'!A115</f>
        <v>1</v>
      </c>
      <c r="B115" s="237">
        <f>'Week 3 Master Sheet'!B115</f>
        <v>30</v>
      </c>
      <c r="C115" s="237">
        <f>'Week 3 Master Sheet'!C115</f>
        <v>6</v>
      </c>
      <c r="D115" s="238" t="str">
        <f>'Week 3 Master Sheet'!D115</f>
        <v>30s</v>
      </c>
      <c r="E115" s="66" t="str">
        <f>'Week 3 Master Sheet'!E115</f>
        <v/>
      </c>
      <c r="F115" s="67"/>
      <c r="H115" s="236">
        <f>'Week 3 Master Sheet'!H115</f>
        <v>1</v>
      </c>
      <c r="I115" s="237">
        <f>'Week 3 Master Sheet'!I115</f>
        <v>40</v>
      </c>
      <c r="J115" s="237">
        <f>'Week 3 Master Sheet'!J115</f>
        <v>6</v>
      </c>
      <c r="K115" s="238" t="str">
        <f>'Week 3 Master Sheet'!K115</f>
        <v>30s</v>
      </c>
      <c r="L115" s="66" t="str">
        <f>'Week 3 Master Sheet'!L115</f>
        <v/>
      </c>
      <c r="M115" s="67">
        <v>6.0</v>
      </c>
    </row>
    <row r="116">
      <c r="A116" s="236">
        <f>'Week 3 Master Sheet'!A116</f>
        <v>2</v>
      </c>
      <c r="B116" s="237">
        <f>'Week 3 Master Sheet'!B116</f>
        <v>50</v>
      </c>
      <c r="C116" s="237">
        <f>'Week 3 Master Sheet'!C116</f>
        <v>1</v>
      </c>
      <c r="D116" s="238" t="str">
        <f>'Week 3 Master Sheet'!D116</f>
        <v>1 MIN</v>
      </c>
      <c r="E116" s="66" t="str">
        <f>'Week 3 Master Sheet'!E116</f>
        <v/>
      </c>
      <c r="F116" s="67"/>
      <c r="H116" s="236">
        <f>'Week 3 Master Sheet'!H116</f>
        <v>2</v>
      </c>
      <c r="I116" s="237">
        <f>'Week 3 Master Sheet'!I116</f>
        <v>50</v>
      </c>
      <c r="J116" s="237">
        <f>'Week 3 Master Sheet'!J116</f>
        <v>1</v>
      </c>
      <c r="K116" s="238" t="str">
        <f>'Week 3 Master Sheet'!K116</f>
        <v>1 MIN</v>
      </c>
      <c r="L116" s="66" t="str">
        <f>'Week 3 Master Sheet'!L116</f>
        <v/>
      </c>
      <c r="M116" s="67">
        <v>1.0</v>
      </c>
    </row>
    <row r="117">
      <c r="A117" s="242">
        <f>'Week 3 Master Sheet'!A117</f>
        <v>3</v>
      </c>
      <c r="B117" s="237">
        <f>'Week 3 Master Sheet'!B117</f>
        <v>70</v>
      </c>
      <c r="C117" s="824" t="str">
        <f>'Week 3 Master Sheet'!C117</f>
        <v>REP OUT</v>
      </c>
      <c r="D117" s="65" t="str">
        <f>'Week 3 Master Sheet'!D117</f>
        <v>1 MIN</v>
      </c>
      <c r="E117" s="66" t="str">
        <f>'Week 3 Master Sheet'!E117</f>
        <v/>
      </c>
      <c r="F117" s="67"/>
      <c r="H117" s="242">
        <f>'Week 3 Master Sheet'!H117</f>
        <v>3</v>
      </c>
      <c r="I117" s="237">
        <f>'Week 3 Master Sheet'!I117</f>
        <v>70</v>
      </c>
      <c r="J117" s="824" t="str">
        <f>'Week 3 Master Sheet'!J117</f>
        <v>REP OUT</v>
      </c>
      <c r="K117" s="65" t="str">
        <f>'Week 3 Master Sheet'!K117</f>
        <v>1 MIN</v>
      </c>
      <c r="L117" s="66" t="str">
        <f>'Week 3 Master Sheet'!L117</f>
        <v/>
      </c>
      <c r="M117" s="67">
        <v>30.0</v>
      </c>
    </row>
    <row r="118">
      <c r="A118" s="242">
        <f>'Week 3 Master Sheet'!A118</f>
        <v>4</v>
      </c>
      <c r="B118" s="237">
        <f>'Week 3 Master Sheet'!B118</f>
        <v>65</v>
      </c>
      <c r="C118" s="824" t="str">
        <f>'Week 3 Master Sheet'!C118</f>
        <v>REP OUT</v>
      </c>
      <c r="D118" s="65" t="str">
        <f>'Week 3 Master Sheet'!D118</f>
        <v>1 MIN</v>
      </c>
      <c r="E118" s="66" t="str">
        <f>'Week 3 Master Sheet'!E118</f>
        <v/>
      </c>
      <c r="F118" s="665"/>
      <c r="H118" s="242">
        <f>'Week 3 Master Sheet'!H118</f>
        <v>4</v>
      </c>
      <c r="I118" s="237">
        <f>'Week 3 Master Sheet'!I118</f>
        <v>65</v>
      </c>
      <c r="J118" s="824" t="str">
        <f>'Week 3 Master Sheet'!J118</f>
        <v>REP OUT</v>
      </c>
      <c r="K118" s="65" t="str">
        <f>'Week 3 Master Sheet'!K118</f>
        <v>1 MIN</v>
      </c>
      <c r="L118" s="66" t="str">
        <f>'Week 3 Master Sheet'!L118</f>
        <v/>
      </c>
      <c r="M118" s="665"/>
    </row>
    <row r="119">
      <c r="A119" s="825">
        <f>'Week 3 Master Sheet'!A119</f>
        <v>5</v>
      </c>
      <c r="B119" s="371">
        <f>'Week 3 Master Sheet'!B119</f>
        <v>55</v>
      </c>
      <c r="C119" s="826" t="str">
        <f>'Week 3 Master Sheet'!C119</f>
        <v>REP OUT</v>
      </c>
      <c r="D119" s="71" t="str">
        <f>'Week 3 Master Sheet'!D119</f>
        <v>1 MIN</v>
      </c>
      <c r="E119" s="72" t="str">
        <f>'Week 3 Master Sheet'!E119</f>
        <v/>
      </c>
      <c r="F119" s="67"/>
      <c r="H119" s="825">
        <f>'Week 3 Master Sheet'!H119</f>
        <v>5</v>
      </c>
      <c r="I119" s="371">
        <f>'Week 3 Master Sheet'!I119</f>
        <v>55</v>
      </c>
      <c r="J119" s="826" t="str">
        <f>'Week 3 Master Sheet'!J119</f>
        <v>REP OUT</v>
      </c>
      <c r="K119" s="71" t="str">
        <f>'Week 3 Master Sheet'!K119</f>
        <v>1 MIN</v>
      </c>
      <c r="L119" s="72" t="str">
        <f>'Week 3 Master Sheet'!L119</f>
        <v/>
      </c>
      <c r="M119" s="67"/>
    </row>
    <row r="120">
      <c r="A120" s="791"/>
      <c r="H120" s="419"/>
    </row>
    <row r="122">
      <c r="A122" s="687" t="str">
        <f>'Week 3 Master Sheet'!A122</f>
        <v>2. Dumbbell REAR DELT FLY </v>
      </c>
      <c r="B122" s="53"/>
      <c r="C122" s="53"/>
      <c r="D122" s="53"/>
      <c r="E122" s="53"/>
      <c r="F122" s="54"/>
    </row>
    <row r="123">
      <c r="A123" s="226" t="str">
        <f>'Week 3 Master Sheet'!A123</f>
        <v>SHLDR PRESS MAX</v>
      </c>
      <c r="B123" s="691">
        <f>'Week 3 Master Sheet'!B123</f>
        <v>80</v>
      </c>
      <c r="C123" s="13"/>
      <c r="D123" s="13"/>
      <c r="E123" s="13"/>
      <c r="F123" s="57"/>
    </row>
    <row r="124">
      <c r="A124" s="96" t="str">
        <f>'Week 3 Master Sheet'!A124</f>
        <v>SET</v>
      </c>
      <c r="B124" s="97" t="str">
        <f>'Week 3 Master Sheet'!B124</f>
        <v>WEIGHT</v>
      </c>
      <c r="C124" s="97" t="str">
        <f>'Week 3 Master Sheet'!C124</f>
        <v>REPS</v>
      </c>
      <c r="D124" s="97" t="str">
        <f>'Week 3 Master Sheet'!D124</f>
        <v>REST</v>
      </c>
      <c r="E124" s="341" t="str">
        <f>'Week 3 Master Sheet'!E124</f>
        <v>PREVIOUS</v>
      </c>
      <c r="F124" s="235" t="str">
        <f>'Week 3 Master Sheet'!F124</f>
        <v>REP LOG</v>
      </c>
    </row>
    <row r="125">
      <c r="A125" s="556">
        <f>'Week 3 Master Sheet'!A125</f>
        <v>1</v>
      </c>
      <c r="B125" s="237">
        <f>'Week 3 Master Sheet'!B125</f>
        <v>15</v>
      </c>
      <c r="C125" s="827" t="str">
        <f>'Week 3 Master Sheet'!C125</f>
        <v>10 - 15</v>
      </c>
      <c r="D125" s="693" t="str">
        <f>'Week 3 Master Sheet'!D125</f>
        <v>1-3 MIN</v>
      </c>
      <c r="E125" s="346" t="str">
        <f>'Week 3 Master Sheet'!E125</f>
        <v/>
      </c>
      <c r="F125" s="85"/>
    </row>
    <row r="126">
      <c r="A126" s="556">
        <f>'Week 3 Master Sheet'!A126</f>
        <v>2</v>
      </c>
      <c r="B126" s="237">
        <f>'Week 3 Master Sheet'!B126</f>
        <v>15</v>
      </c>
      <c r="C126" s="827" t="str">
        <f>'Week 3 Master Sheet'!C126</f>
        <v>10 - 15</v>
      </c>
      <c r="D126" s="693" t="str">
        <f>'Week 3 Master Sheet'!D126</f>
        <v>1-3 MIN</v>
      </c>
      <c r="E126" s="346" t="str">
        <f>'Week 3 Master Sheet'!E126</f>
        <v/>
      </c>
      <c r="F126" s="85"/>
    </row>
    <row r="127">
      <c r="A127" s="561">
        <f>'Week 3 Master Sheet'!A127</f>
        <v>3</v>
      </c>
      <c r="B127" s="371">
        <f>'Week 3 Master Sheet'!B127</f>
        <v>15</v>
      </c>
      <c r="C127" s="828" t="str">
        <f>'Week 3 Master Sheet'!C127</f>
        <v>10 - 15</v>
      </c>
      <c r="D127" s="794" t="str">
        <f>'Week 3 Master Sheet'!D127</f>
        <v>1-3 MIN</v>
      </c>
      <c r="E127" s="695" t="str">
        <f>'Week 3 Master Sheet'!E127</f>
        <v/>
      </c>
      <c r="F127" s="85"/>
    </row>
    <row r="128">
      <c r="A128" s="795"/>
    </row>
    <row r="130">
      <c r="A130" s="513" t="str">
        <f>'Week 3 Master Sheet'!A130</f>
        <v>3. DUMBBELL SIDE LATERAL RAISE</v>
      </c>
      <c r="B130" s="53"/>
      <c r="C130" s="53"/>
      <c r="D130" s="53"/>
      <c r="E130" s="53"/>
      <c r="F130" s="54"/>
    </row>
    <row r="131">
      <c r="A131" s="226" t="str">
        <f>'Week 3 Master Sheet'!A131</f>
        <v>SHLDR PRESS MAX</v>
      </c>
      <c r="B131" s="90">
        <f>'Week 3 Master Sheet'!B131</f>
        <v>30</v>
      </c>
      <c r="C131" s="13"/>
      <c r="D131" s="13"/>
      <c r="E131" s="13"/>
      <c r="F131" s="57"/>
    </row>
    <row r="132">
      <c r="A132" s="376" t="str">
        <f>'Week 3 Master Sheet'!A132</f>
        <v>SET</v>
      </c>
      <c r="B132" s="79" t="str">
        <f>'Week 3 Master Sheet'!B132</f>
        <v>WEIGHT</v>
      </c>
      <c r="C132" s="79" t="str">
        <f>'Week 3 Master Sheet'!C132</f>
        <v>REPS</v>
      </c>
      <c r="D132" s="79" t="str">
        <f>'Week 3 Master Sheet'!D132</f>
        <v>REST</v>
      </c>
      <c r="E132" s="98" t="str">
        <f>'Week 3 Master Sheet'!E132</f>
        <v>PREVIOUS</v>
      </c>
      <c r="F132" s="235" t="str">
        <f>'Week 3 Master Sheet'!F132</f>
        <v>REP LOG</v>
      </c>
    </row>
    <row r="133">
      <c r="A133" s="81">
        <f>'Week 3 Master Sheet'!A133</f>
        <v>1</v>
      </c>
      <c r="B133" s="82">
        <f>'Week 3 Master Sheet'!B133</f>
        <v>15</v>
      </c>
      <c r="C133" s="65" t="str">
        <f>'Week 3 Master Sheet'!C133</f>
        <v>10 - 15</v>
      </c>
      <c r="D133" s="83" t="str">
        <f>'Week 3 Master Sheet'!D133</f>
        <v>1-5 MIN</v>
      </c>
      <c r="E133" s="378" t="str">
        <f>'Week 3 Master Sheet'!E133</f>
        <v/>
      </c>
      <c r="F133" s="85"/>
    </row>
    <row r="134">
      <c r="A134" s="81">
        <f>'Week 3 Master Sheet'!A134</f>
        <v>2</v>
      </c>
      <c r="B134" s="82">
        <f>'Week 3 Master Sheet'!B134</f>
        <v>15</v>
      </c>
      <c r="C134" s="65" t="str">
        <f>'Week 3 Master Sheet'!C134</f>
        <v>10 - 15</v>
      </c>
      <c r="D134" s="83" t="str">
        <f>'Week 3 Master Sheet'!D134</f>
        <v>1-5 MIN</v>
      </c>
      <c r="E134" s="378" t="str">
        <f>'Week 3 Master Sheet'!E134</f>
        <v/>
      </c>
      <c r="F134" s="85"/>
    </row>
    <row r="135">
      <c r="A135" s="86">
        <f>'Week 3 Master Sheet'!A135</f>
        <v>3</v>
      </c>
      <c r="B135" s="87">
        <f>'Week 3 Master Sheet'!B135</f>
        <v>15</v>
      </c>
      <c r="C135" s="71" t="str">
        <f>'Week 3 Master Sheet'!C135</f>
        <v>10 - 15</v>
      </c>
      <c r="D135" s="88" t="str">
        <f>'Week 3 Master Sheet'!D135</f>
        <v>1-5 MIN</v>
      </c>
      <c r="E135" s="379" t="str">
        <f>'Week 3 Master Sheet'!E135</f>
        <v/>
      </c>
      <c r="F135" s="85"/>
    </row>
    <row r="136">
      <c r="A136" s="795"/>
    </row>
    <row r="138">
      <c r="A138" s="361" t="str">
        <f>'Week 3 Master Sheet'!A138</f>
        <v>2.  TRICEP OVERHEAD ROPE EXTENSION</v>
      </c>
      <c r="B138" s="53"/>
      <c r="C138" s="53"/>
      <c r="D138" s="53"/>
      <c r="E138" s="53"/>
      <c r="F138" s="54"/>
    </row>
    <row r="139">
      <c r="A139" s="226" t="str">
        <f>'Week 3 Master Sheet'!A139</f>
        <v>TRI PSH DWN MAX</v>
      </c>
      <c r="B139" s="90">
        <v>80.0</v>
      </c>
      <c r="C139" s="13"/>
      <c r="D139" s="13"/>
      <c r="E139" s="13"/>
      <c r="F139" s="57"/>
    </row>
    <row r="140">
      <c r="A140" s="77" t="str">
        <f>'Week 3 Master Sheet'!A140</f>
        <v>SET</v>
      </c>
      <c r="B140" s="78" t="str">
        <f>'Week 3 Master Sheet'!B140</f>
        <v>WEIGHT</v>
      </c>
      <c r="C140" s="78" t="str">
        <f>'Week 3 Master Sheet'!C140</f>
        <v>REPS</v>
      </c>
      <c r="D140" s="78" t="str">
        <f>'Week 3 Master Sheet'!D140</f>
        <v>REST</v>
      </c>
      <c r="E140" s="80" t="str">
        <f>'Week 3 Master Sheet'!E140</f>
        <v>PREVIOUS</v>
      </c>
      <c r="F140" s="235" t="str">
        <f>'Week 3 Master Sheet'!F140</f>
        <v>REP LOG</v>
      </c>
    </row>
    <row r="141">
      <c r="A141" s="81">
        <f>'Week 3 Master Sheet'!A141</f>
        <v>1</v>
      </c>
      <c r="B141" s="82">
        <f>'Week 3 Master Sheet'!B141</f>
        <v>70</v>
      </c>
      <c r="C141" s="65" t="str">
        <f>'Week 3 Master Sheet'!C141</f>
        <v>10 - 15</v>
      </c>
      <c r="D141" s="83" t="str">
        <f>'Week 3 Master Sheet'!D141</f>
        <v>1MIN</v>
      </c>
      <c r="E141" s="84" t="str">
        <f>'Week 3 Master Sheet'!E141</f>
        <v/>
      </c>
      <c r="F141" s="85"/>
    </row>
    <row r="142">
      <c r="A142" s="81">
        <f>'Week 3 Master Sheet'!A142</f>
        <v>2</v>
      </c>
      <c r="B142" s="82">
        <f>'Week 3 Master Sheet'!B142</f>
        <v>75</v>
      </c>
      <c r="C142" s="65" t="str">
        <f>'Week 3 Master Sheet'!C142</f>
        <v>10 - 15</v>
      </c>
      <c r="D142" s="83" t="str">
        <f>'Week 3 Master Sheet'!D142</f>
        <v>1MIN</v>
      </c>
      <c r="E142" s="84" t="str">
        <f>'Week 3 Master Sheet'!E142</f>
        <v/>
      </c>
      <c r="F142" s="85"/>
    </row>
    <row r="143">
      <c r="A143" s="629">
        <f>'Week 3 Master Sheet'!A143</f>
        <v>3</v>
      </c>
      <c r="B143" s="630" t="str">
        <f>'Week 3 Master Sheet'!B143</f>
        <v>#VALUE!</v>
      </c>
      <c r="C143" s="631" t="str">
        <f>'Week 3 Master Sheet'!C143</f>
        <v>10 - 15</v>
      </c>
      <c r="D143" s="328" t="str">
        <f>'Week 3 Master Sheet'!D143</f>
        <v>1MIN</v>
      </c>
      <c r="E143" s="632" t="str">
        <f>'Week 3 Master Sheet'!E143</f>
        <v>#VALUE!</v>
      </c>
      <c r="F143" s="330"/>
    </row>
    <row r="144">
      <c r="A144" s="797"/>
      <c r="B144" s="798"/>
      <c r="C144" s="798"/>
      <c r="D144" s="799"/>
      <c r="E144" s="800"/>
      <c r="F144" s="799"/>
    </row>
    <row r="146">
      <c r="A146" s="687" t="str">
        <f>'Week 3 Master Sheet'!A146</f>
        <v>4. BICEP CABLE CURL</v>
      </c>
      <c r="B146" s="53"/>
      <c r="C146" s="53"/>
      <c r="D146" s="53"/>
      <c r="E146" s="53"/>
      <c r="F146" s="54"/>
    </row>
    <row r="147">
      <c r="A147" s="226" t="str">
        <f>'Week 3 Master Sheet'!A147</f>
        <v>CURRENT MAX</v>
      </c>
      <c r="B147" s="691">
        <f>'Week 3 Master Sheet'!B147</f>
        <v>30</v>
      </c>
      <c r="C147" s="13"/>
      <c r="D147" s="13"/>
      <c r="E147" s="13"/>
      <c r="F147" s="57"/>
    </row>
    <row r="148">
      <c r="A148" s="96" t="str">
        <f>'Week 3 Master Sheet'!A148</f>
        <v>SET</v>
      </c>
      <c r="B148" s="97" t="str">
        <f>'Week 3 Master Sheet'!B148</f>
        <v>WEIGHT</v>
      </c>
      <c r="C148" s="97" t="str">
        <f>'Week 3 Master Sheet'!C148</f>
        <v>REPS</v>
      </c>
      <c r="D148" s="97" t="str">
        <f>'Week 3 Master Sheet'!D148</f>
        <v>REST</v>
      </c>
      <c r="E148" s="341" t="str">
        <f>'Week 3 Master Sheet'!E148</f>
        <v>PREVIOUS</v>
      </c>
      <c r="F148" s="235" t="str">
        <f>'Week 3 Master Sheet'!F148</f>
        <v>REP LOG</v>
      </c>
    </row>
    <row r="149">
      <c r="A149" s="725">
        <f>'Week 3 Master Sheet'!A149</f>
        <v>1</v>
      </c>
      <c r="B149" s="344">
        <f>'Week 3 Master Sheet'!B149</f>
        <v>30</v>
      </c>
      <c r="C149" s="344" t="str">
        <f>'Week 3 Master Sheet'!C149</f>
        <v>15 - 20</v>
      </c>
      <c r="D149" s="693" t="str">
        <f>'Week 3 Master Sheet'!D149</f>
        <v>1MIN</v>
      </c>
      <c r="E149" s="346">
        <f>'Week 3 Master Sheet'!E149</f>
        <v>0</v>
      </c>
      <c r="F149" s="85"/>
    </row>
    <row r="150">
      <c r="A150" s="725">
        <f>'Week 3 Master Sheet'!A150</f>
        <v>2</v>
      </c>
      <c r="B150" s="344">
        <f>'Week 3 Master Sheet'!B150</f>
        <v>30</v>
      </c>
      <c r="C150" s="829" t="str">
        <f>'Week 3 Master Sheet'!C150</f>
        <v>15 - 20</v>
      </c>
      <c r="D150" s="693" t="str">
        <f>'Week 3 Master Sheet'!D150</f>
        <v>1MIN</v>
      </c>
      <c r="E150" s="346" t="str">
        <f>'Week 3 Master Sheet'!E150</f>
        <v/>
      </c>
      <c r="F150" s="85"/>
    </row>
    <row r="151">
      <c r="A151" s="753">
        <f>'Week 3 Master Sheet'!A151</f>
        <v>3</v>
      </c>
      <c r="B151" s="754">
        <f>'Week 3 Master Sheet'!B151</f>
        <v>30</v>
      </c>
      <c r="C151" s="830" t="str">
        <f>'Week 3 Master Sheet'!C151</f>
        <v>15 - 20</v>
      </c>
      <c r="D151" s="794" t="str">
        <f>'Week 3 Master Sheet'!D151</f>
        <v>1MIN</v>
      </c>
      <c r="E151" s="695" t="str">
        <f>'Week 3 Master Sheet'!E151</f>
        <v/>
      </c>
      <c r="F151" s="85"/>
    </row>
    <row r="152">
      <c r="A152" s="806"/>
    </row>
    <row r="154">
      <c r="A154" s="310" t="str">
        <f>'Week 3 Master Sheet'!A154</f>
        <v>CLICK TO COMPLETE WORKOUT</v>
      </c>
      <c r="B154" s="36"/>
      <c r="C154" s="36"/>
      <c r="D154" s="36"/>
      <c r="E154" s="36"/>
      <c r="F154" s="37"/>
    </row>
    <row r="155">
      <c r="A155" s="831"/>
      <c r="B155" s="25"/>
      <c r="C155" s="25"/>
      <c r="D155" s="25"/>
      <c r="E155" s="25"/>
      <c r="F155" s="25"/>
    </row>
    <row r="156">
      <c r="A156" s="106" t="str">
        <f>'Week 3 Master Sheet'!A156</f>
        <v>WORKOUT COMPLETE!</v>
      </c>
      <c r="B156" s="36"/>
      <c r="C156" s="36"/>
      <c r="D156" s="36"/>
      <c r="E156" s="36"/>
      <c r="F156" s="37"/>
    </row>
    <row r="157">
      <c r="A157" s="103"/>
    </row>
    <row r="158">
      <c r="A158" s="641" t="str">
        <f>'Week 3 Master Sheet'!A158</f>
        <v>WANT TO LEARN MORE?</v>
      </c>
      <c r="B158" s="16"/>
      <c r="C158" s="16"/>
      <c r="D158" s="16"/>
      <c r="E158" s="16"/>
      <c r="F158" s="17"/>
    </row>
    <row r="159">
      <c r="A159" s="18"/>
      <c r="B159" s="13"/>
      <c r="C159" s="13"/>
      <c r="D159" s="13"/>
      <c r="E159" s="13"/>
      <c r="F159" s="14"/>
    </row>
    <row r="160">
      <c r="A160" s="419"/>
      <c r="B160" s="832"/>
      <c r="C160" s="833" t="str">
        <f>'Week 3 Master Sheet'!C160</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60" s="25"/>
      <c r="E160" s="25"/>
      <c r="F160" s="26"/>
    </row>
    <row r="161">
      <c r="A161" s="419"/>
      <c r="B161" s="832"/>
      <c r="F161" s="28"/>
    </row>
    <row r="162">
      <c r="A162" s="419"/>
      <c r="B162" s="832"/>
      <c r="F162" s="28"/>
    </row>
    <row r="163">
      <c r="A163" s="419"/>
      <c r="B163" s="832"/>
      <c r="F163" s="28"/>
    </row>
    <row r="164">
      <c r="A164" s="419"/>
      <c r="B164" s="832"/>
      <c r="F164" s="28"/>
    </row>
    <row r="165">
      <c r="A165" s="419"/>
      <c r="B165" s="832"/>
      <c r="F165" s="28"/>
    </row>
    <row r="166">
      <c r="A166" s="808"/>
      <c r="B166" s="832"/>
      <c r="F166" s="28"/>
    </row>
    <row r="167">
      <c r="A167" s="419"/>
      <c r="B167" s="832"/>
      <c r="F167" s="28"/>
    </row>
    <row r="168">
      <c r="A168" s="419"/>
      <c r="B168" s="832"/>
      <c r="F168" s="28"/>
    </row>
    <row r="169">
      <c r="A169" s="809"/>
      <c r="B169" s="832"/>
      <c r="F169" s="28"/>
    </row>
    <row r="170">
      <c r="A170" s="419"/>
      <c r="B170" s="832"/>
      <c r="F170" s="28"/>
    </row>
    <row r="171">
      <c r="A171" s="419"/>
      <c r="B171" s="832"/>
      <c r="F171" s="28"/>
    </row>
    <row r="172">
      <c r="A172" s="419"/>
      <c r="B172" s="832"/>
      <c r="F172" s="28"/>
    </row>
    <row r="173">
      <c r="A173" s="419"/>
      <c r="B173" s="832"/>
      <c r="F173" s="28"/>
    </row>
    <row r="174">
      <c r="A174" s="419"/>
      <c r="B174" s="832"/>
      <c r="C174" s="11"/>
      <c r="D174" s="11"/>
      <c r="E174" s="11"/>
      <c r="F174" s="46"/>
    </row>
    <row r="175">
      <c r="A175" s="419"/>
    </row>
  </sheetData>
  <mergeCells count="111">
    <mergeCell ref="A10:F11"/>
    <mergeCell ref="A12:F12"/>
    <mergeCell ref="H12:M14"/>
    <mergeCell ref="A13:F13"/>
    <mergeCell ref="A14:F14"/>
    <mergeCell ref="A15:F15"/>
    <mergeCell ref="H15:M15"/>
    <mergeCell ref="A16:F17"/>
    <mergeCell ref="H16:M17"/>
    <mergeCell ref="A18:F18"/>
    <mergeCell ref="H18:M18"/>
    <mergeCell ref="A19:F19"/>
    <mergeCell ref="H19:M19"/>
    <mergeCell ref="G9:G18"/>
    <mergeCell ref="G20:G31"/>
    <mergeCell ref="N1:T18"/>
    <mergeCell ref="O19:T19"/>
    <mergeCell ref="I20:M20"/>
    <mergeCell ref="P20:T20"/>
    <mergeCell ref="A25:F25"/>
    <mergeCell ref="H25:M25"/>
    <mergeCell ref="B20:F20"/>
    <mergeCell ref="A30:F31"/>
    <mergeCell ref="H30:T31"/>
    <mergeCell ref="A32:F32"/>
    <mergeCell ref="H32:M32"/>
    <mergeCell ref="N32:T36"/>
    <mergeCell ref="B33:F33"/>
    <mergeCell ref="I33:M33"/>
    <mergeCell ref="A9:F9"/>
    <mergeCell ref="A37:F38"/>
    <mergeCell ref="B55:F55"/>
    <mergeCell ref="A60:F61"/>
    <mergeCell ref="A62:F62"/>
    <mergeCell ref="B63:F63"/>
    <mergeCell ref="A68:F68"/>
    <mergeCell ref="A69:F69"/>
    <mergeCell ref="A70:F70"/>
    <mergeCell ref="A71:F71"/>
    <mergeCell ref="A72:F73"/>
    <mergeCell ref="A74:F75"/>
    <mergeCell ref="A76:F76"/>
    <mergeCell ref="H76:M76"/>
    <mergeCell ref="N76:T84"/>
    <mergeCell ref="A77:F77"/>
    <mergeCell ref="G33:G76"/>
    <mergeCell ref="A39:F39"/>
    <mergeCell ref="B40:F40"/>
    <mergeCell ref="A46:F46"/>
    <mergeCell ref="A49:F49"/>
    <mergeCell ref="B52:F52"/>
    <mergeCell ref="A54:F54"/>
    <mergeCell ref="H77:M77"/>
    <mergeCell ref="G78:G97"/>
    <mergeCell ref="I78:M78"/>
    <mergeCell ref="H85:T97"/>
    <mergeCell ref="B86:F86"/>
    <mergeCell ref="B90:F90"/>
    <mergeCell ref="B95:F95"/>
    <mergeCell ref="A87:F88"/>
    <mergeCell ref="A89:F89"/>
    <mergeCell ref="A96:F97"/>
    <mergeCell ref="A98:F98"/>
    <mergeCell ref="H98:M98"/>
    <mergeCell ref="N98:T104"/>
    <mergeCell ref="I99:M99"/>
    <mergeCell ref="I104:M104"/>
    <mergeCell ref="A105:F105"/>
    <mergeCell ref="H105:T110"/>
    <mergeCell ref="A155:F155"/>
    <mergeCell ref="A156:F156"/>
    <mergeCell ref="A157:F157"/>
    <mergeCell ref="A158:F159"/>
    <mergeCell ref="A1:M8"/>
    <mergeCell ref="U1:U175"/>
    <mergeCell ref="H9:M9"/>
    <mergeCell ref="H10:M10"/>
    <mergeCell ref="N19:N29"/>
    <mergeCell ref="O25:T25"/>
    <mergeCell ref="H37:T75"/>
    <mergeCell ref="C160:F174"/>
    <mergeCell ref="A175:F175"/>
    <mergeCell ref="A120:F121"/>
    <mergeCell ref="H120:T175"/>
    <mergeCell ref="A122:F122"/>
    <mergeCell ref="A128:F129"/>
    <mergeCell ref="A130:F130"/>
    <mergeCell ref="A136:F137"/>
    <mergeCell ref="A138:F138"/>
    <mergeCell ref="B99:F99"/>
    <mergeCell ref="G99:G175"/>
    <mergeCell ref="B104:F104"/>
    <mergeCell ref="B113:F113"/>
    <mergeCell ref="B123:F123"/>
    <mergeCell ref="B131:F131"/>
    <mergeCell ref="B139:F139"/>
    <mergeCell ref="B147:F147"/>
    <mergeCell ref="A106:F106"/>
    <mergeCell ref="A107:F107"/>
    <mergeCell ref="A108:F108"/>
    <mergeCell ref="A109:F110"/>
    <mergeCell ref="A111:F111"/>
    <mergeCell ref="H111:M111"/>
    <mergeCell ref="N111:T119"/>
    <mergeCell ref="A112:F112"/>
    <mergeCell ref="H112:M112"/>
    <mergeCell ref="I113:M113"/>
    <mergeCell ref="A145:F145"/>
    <mergeCell ref="A146:F146"/>
    <mergeCell ref="A152:F153"/>
    <mergeCell ref="A154:F154"/>
  </mergeCells>
  <dataValidations>
    <dataValidation type="decimal" allowBlank="1" showDropDown="1" showErrorMessage="1" sqref="F22:F24 M22:M24 T22:T24 F27:F29 M27:M29 T27:T29 F35:F36 M35:M36 F42:F45 F47:F48 F50:F51 F53 F57:F59 F65:F67 M80:M84 F79:F85 F92:F94 F101:F103 M101:M103 F115:F119 M115:M119 F125:F127 F133:F135 F142:F144 F149:F151">
      <formula1>0.0</formula1>
      <formula2>500.0</formula2>
    </dataValidation>
    <dataValidation type="decimal" operator="greaterThan" allowBlank="1" showDropDown="1" showErrorMessage="1" sqref="M11">
      <formula1>0.0</formula1>
    </dataValidation>
  </dataValidation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3"/>
      <c r="B1" s="583"/>
      <c r="C1" s="583"/>
      <c r="D1" s="583"/>
      <c r="E1" s="834"/>
      <c r="F1" s="583"/>
      <c r="G1" s="598"/>
    </row>
    <row r="2">
      <c r="A2" s="583"/>
      <c r="B2" s="583"/>
      <c r="C2" s="583"/>
      <c r="D2" s="583"/>
      <c r="E2" s="834"/>
      <c r="F2" s="583"/>
    </row>
    <row r="3">
      <c r="A3" s="583"/>
      <c r="B3" s="583"/>
      <c r="C3" s="583"/>
      <c r="D3" s="583"/>
      <c r="E3" s="834"/>
      <c r="F3" s="583"/>
    </row>
    <row r="4">
      <c r="A4" s="583"/>
      <c r="B4" s="583"/>
      <c r="C4" s="583"/>
      <c r="D4" s="583"/>
      <c r="E4" s="834"/>
      <c r="F4" s="583"/>
    </row>
    <row r="5">
      <c r="A5" s="583"/>
      <c r="B5" s="583"/>
      <c r="C5" s="583"/>
      <c r="D5" s="583"/>
      <c r="E5" s="834"/>
      <c r="F5" s="583"/>
    </row>
    <row r="6">
      <c r="A6" s="583"/>
      <c r="B6" s="583"/>
      <c r="C6" s="583"/>
      <c r="D6" s="583"/>
      <c r="E6" s="834"/>
      <c r="F6" s="583"/>
    </row>
    <row r="7">
      <c r="A7" s="583"/>
      <c r="B7" s="583"/>
      <c r="C7" s="583"/>
      <c r="D7" s="583"/>
      <c r="E7" s="834"/>
      <c r="F7" s="583"/>
    </row>
    <row r="8">
      <c r="A8" s="583"/>
    </row>
    <row r="9">
      <c r="A9" s="835" t="s">
        <v>161</v>
      </c>
      <c r="B9" s="36"/>
      <c r="C9" s="36"/>
      <c r="D9" s="36"/>
      <c r="E9" s="36"/>
      <c r="F9" s="37"/>
    </row>
    <row r="10">
      <c r="A10" s="719" t="str">
        <f>HYPERLINK("https://goo.gl/forms/3ibooB993Hi7SS2d2","PRESS TO RECORD BODY WEIGHT")</f>
        <v>PRESS TO RECORD BODY WEIGHT</v>
      </c>
      <c r="B10" s="25"/>
      <c r="C10" s="25"/>
      <c r="D10" s="25"/>
      <c r="E10" s="25"/>
      <c r="F10" s="26"/>
    </row>
    <row r="11">
      <c r="A11" s="336"/>
      <c r="B11" s="11"/>
      <c r="C11" s="11"/>
      <c r="D11" s="11"/>
      <c r="E11" s="11"/>
      <c r="F11" s="46"/>
    </row>
    <row r="12">
      <c r="A12" s="655" t="s">
        <v>69</v>
      </c>
      <c r="B12" s="36"/>
      <c r="C12" s="36"/>
      <c r="D12" s="36"/>
      <c r="E12" s="36"/>
      <c r="F12" s="37"/>
    </row>
    <row r="13">
      <c r="A13" s="836" t="s">
        <v>162</v>
      </c>
      <c r="B13" s="36"/>
      <c r="C13" s="36"/>
      <c r="D13" s="36"/>
      <c r="E13" s="36"/>
      <c r="F13" s="37"/>
    </row>
    <row r="14">
      <c r="A14" s="837"/>
      <c r="B14" s="837"/>
    </row>
    <row r="15">
      <c r="A15" s="538" t="s">
        <v>79</v>
      </c>
      <c r="B15" s="36"/>
      <c r="C15" s="36"/>
      <c r="D15" s="36"/>
      <c r="E15" s="36"/>
      <c r="F15" s="37"/>
      <c r="G15" s="598"/>
      <c r="H15" s="224" t="s">
        <v>118</v>
      </c>
      <c r="I15" s="36"/>
      <c r="J15" s="36"/>
      <c r="K15" s="36"/>
      <c r="L15" s="36"/>
      <c r="M15" s="37"/>
      <c r="N15" s="598"/>
      <c r="O15" s="224" t="s">
        <v>118</v>
      </c>
      <c r="P15" s="36"/>
      <c r="Q15" s="36"/>
      <c r="R15" s="36"/>
      <c r="S15" s="36"/>
      <c r="T15" s="37"/>
      <c r="U15" s="598"/>
    </row>
    <row r="16">
      <c r="A16" s="838"/>
      <c r="B16" s="838"/>
      <c r="H16" s="598"/>
      <c r="O16" s="598"/>
    </row>
    <row r="17">
      <c r="A17" s="838"/>
    </row>
    <row r="18">
      <c r="A18" s="542" t="s">
        <v>48</v>
      </c>
      <c r="B18" s="36"/>
      <c r="C18" s="36"/>
      <c r="D18" s="36"/>
      <c r="E18" s="36"/>
      <c r="F18" s="37"/>
      <c r="H18" s="542" t="s">
        <v>48</v>
      </c>
      <c r="I18" s="36"/>
      <c r="J18" s="36"/>
      <c r="K18" s="36"/>
      <c r="L18" s="36"/>
      <c r="M18" s="37"/>
      <c r="O18" s="542" t="s">
        <v>48</v>
      </c>
      <c r="P18" s="36"/>
      <c r="Q18" s="36"/>
      <c r="R18" s="36"/>
      <c r="S18" s="36"/>
      <c r="T18" s="37"/>
    </row>
    <row r="19">
      <c r="A19" s="73" t="str">
        <f>HYPERLINK("https://www.youtube.com/watch?v=iLgUDezDMbU","1. BENCH PRESS")</f>
        <v>1. BENCH PRESS</v>
      </c>
      <c r="B19" s="53"/>
      <c r="C19" s="53"/>
      <c r="D19" s="53"/>
      <c r="E19" s="53"/>
      <c r="F19" s="54"/>
      <c r="H19" s="73" t="str">
        <f>HYPERLINK("https://www.youtube.com/watch?v=iLgUDezDMbU","1. MACHINE PRESS")</f>
        <v>1. MACHINE PRESS</v>
      </c>
      <c r="I19" s="53"/>
      <c r="J19" s="53"/>
      <c r="K19" s="53"/>
      <c r="L19" s="53"/>
      <c r="M19" s="54"/>
      <c r="O19" s="113" t="str">
        <f>HYPERLINK("https://www.youtube.com/watch?v=iLgUDezDMbU","1. DUMBBELL INCLINE PRESS")</f>
        <v>1. DUMBBELL INCLINE PRESS</v>
      </c>
      <c r="P19" s="53"/>
      <c r="Q19" s="53"/>
      <c r="R19" s="53"/>
      <c r="S19" s="53"/>
      <c r="T19" s="54"/>
    </row>
    <row r="20">
      <c r="A20" s="589" t="s">
        <v>119</v>
      </c>
      <c r="B20" s="227">
        <f>'WEEK 3 '!B20</f>
        <v>100</v>
      </c>
      <c r="C20" s="20"/>
      <c r="D20" s="20"/>
      <c r="E20" s="20"/>
      <c r="F20" s="95"/>
      <c r="G20" s="598"/>
      <c r="H20" s="226" t="s">
        <v>119</v>
      </c>
      <c r="I20" s="839" t="str">
        <f>'WEEK 3 '!I20</f>
        <v/>
      </c>
      <c r="O20" s="226" t="s">
        <v>119</v>
      </c>
      <c r="P20" s="839">
        <f>'WEEK 2'!B34</f>
        <v>75</v>
      </c>
    </row>
    <row r="21">
      <c r="A21" s="364" t="s">
        <v>50</v>
      </c>
      <c r="B21" s="365" t="s">
        <v>51</v>
      </c>
      <c r="C21" s="365" t="s">
        <v>52</v>
      </c>
      <c r="D21" s="365" t="s">
        <v>53</v>
      </c>
      <c r="E21" s="609" t="s">
        <v>54</v>
      </c>
      <c r="F21" s="61" t="s">
        <v>55</v>
      </c>
      <c r="H21" s="96" t="s">
        <v>50</v>
      </c>
      <c r="I21" s="840" t="s">
        <v>51</v>
      </c>
      <c r="J21" s="840" t="s">
        <v>52</v>
      </c>
      <c r="K21" s="840" t="s">
        <v>53</v>
      </c>
      <c r="L21" s="341" t="s">
        <v>54</v>
      </c>
      <c r="M21" s="235" t="s">
        <v>55</v>
      </c>
      <c r="O21" s="96" t="s">
        <v>50</v>
      </c>
      <c r="P21" s="840" t="s">
        <v>51</v>
      </c>
      <c r="Q21" s="840" t="s">
        <v>52</v>
      </c>
      <c r="R21" s="840" t="s">
        <v>53</v>
      </c>
      <c r="S21" s="341" t="s">
        <v>54</v>
      </c>
      <c r="T21" s="235" t="s">
        <v>55</v>
      </c>
    </row>
    <row r="22">
      <c r="A22" s="236">
        <v>1.0</v>
      </c>
      <c r="B22" s="237">
        <f>IF( 'WEEK 4 '!B20&lt;125,45,mround('WEEK 4 '!B20*0.35,5))</f>
        <v>45</v>
      </c>
      <c r="C22" s="237">
        <v>6.0</v>
      </c>
      <c r="D22" s="238" t="s">
        <v>120</v>
      </c>
      <c r="E22" s="66"/>
      <c r="F22" s="67"/>
      <c r="H22" s="240">
        <v>1.0</v>
      </c>
      <c r="I22" s="241">
        <f>mround('WEEK 4 '!I20*0.35,5)</f>
        <v>0</v>
      </c>
      <c r="J22" s="63">
        <v>6.0</v>
      </c>
      <c r="K22" s="83" t="s">
        <v>57</v>
      </c>
      <c r="L22" s="841"/>
      <c r="M22" s="85"/>
      <c r="O22" s="244">
        <v>1.0</v>
      </c>
      <c r="P22" s="241">
        <f>mround('WEEK 4 '!P20*0.35,5)</f>
        <v>35</v>
      </c>
      <c r="Q22" s="241">
        <v>6.0</v>
      </c>
      <c r="R22" s="83" t="s">
        <v>57</v>
      </c>
      <c r="S22" s="841"/>
      <c r="T22" s="85">
        <v>6.0</v>
      </c>
    </row>
    <row r="23">
      <c r="A23" s="236">
        <v>2.0</v>
      </c>
      <c r="B23" s="237">
        <f>mround('WEEK 4 '!B20*0.8,5)</f>
        <v>70</v>
      </c>
      <c r="C23" s="237">
        <v>1.0</v>
      </c>
      <c r="D23" s="238" t="s">
        <v>57</v>
      </c>
      <c r="E23" s="66"/>
      <c r="F23" s="67"/>
      <c r="H23" s="240">
        <v>2.0</v>
      </c>
      <c r="I23" s="241">
        <f>mround('WEEK 4 '!I20*0.65,5)</f>
        <v>0</v>
      </c>
      <c r="J23" s="241">
        <v>1.0</v>
      </c>
      <c r="K23" s="83" t="s">
        <v>57</v>
      </c>
      <c r="L23" s="841"/>
      <c r="M23" s="85"/>
      <c r="O23" s="240">
        <v>2.0</v>
      </c>
      <c r="P23" s="241">
        <f>mround('WEEK 4 '!P20*0.65,5)</f>
        <v>65</v>
      </c>
      <c r="Q23" s="241">
        <v>1.0</v>
      </c>
      <c r="R23" s="83" t="s">
        <v>57</v>
      </c>
      <c r="S23" s="841"/>
      <c r="T23" s="85">
        <v>1.0</v>
      </c>
    </row>
    <row r="24">
      <c r="A24" s="242">
        <v>3.0</v>
      </c>
      <c r="B24" s="237">
        <f>mround('WEEK 4 '!B20*0.9,5)</f>
        <v>80</v>
      </c>
      <c r="C24" s="82">
        <v>1.0</v>
      </c>
      <c r="D24" s="65" t="s">
        <v>57</v>
      </c>
      <c r="E24" s="66"/>
      <c r="F24" s="67"/>
      <c r="H24" s="240">
        <v>3.0</v>
      </c>
      <c r="I24" s="241">
        <f>mround('WEEK 4 '!I20*0.85,5)</f>
        <v>0</v>
      </c>
      <c r="J24" s="241">
        <v>1.0</v>
      </c>
      <c r="K24" s="83" t="s">
        <v>57</v>
      </c>
      <c r="L24" s="841"/>
      <c r="M24" s="85"/>
      <c r="O24" s="240">
        <v>3.0</v>
      </c>
      <c r="P24" s="241">
        <f>mround('WEEK 4 '!P20*0.85,5)</f>
        <v>85</v>
      </c>
      <c r="Q24" s="241">
        <v>1.0</v>
      </c>
      <c r="R24" s="83" t="s">
        <v>57</v>
      </c>
      <c r="S24" s="841"/>
      <c r="T24" s="85">
        <v>1.0</v>
      </c>
    </row>
    <row r="25">
      <c r="A25" s="242">
        <v>4.0</v>
      </c>
      <c r="B25" s="237">
        <f>'WEEK 4 '!B20</f>
        <v>90</v>
      </c>
      <c r="C25" s="82">
        <v>1.0</v>
      </c>
      <c r="D25" s="65" t="s">
        <v>57</v>
      </c>
      <c r="E25" s="66"/>
      <c r="F25" s="67"/>
      <c r="H25" s="244">
        <v>4.0</v>
      </c>
      <c r="I25" s="241">
        <f>mround('WEEK 4 '!I20*1,5)</f>
        <v>0</v>
      </c>
      <c r="J25" s="245" t="s">
        <v>65</v>
      </c>
      <c r="K25" s="83" t="s">
        <v>57</v>
      </c>
      <c r="L25" s="841"/>
      <c r="M25" s="85"/>
      <c r="O25" s="240">
        <v>4.0</v>
      </c>
      <c r="P25" s="241">
        <f>mround('WEEK 4 '!P20*1,5)</f>
        <v>100</v>
      </c>
      <c r="Q25" s="245" t="s">
        <v>65</v>
      </c>
      <c r="R25" s="83" t="s">
        <v>57</v>
      </c>
      <c r="S25" s="841"/>
      <c r="T25" s="85">
        <v>20.0</v>
      </c>
    </row>
    <row r="26">
      <c r="A26" s="246" t="s">
        <v>163</v>
      </c>
      <c r="B26" s="20"/>
      <c r="C26" s="20"/>
      <c r="D26" s="20"/>
      <c r="E26" s="20"/>
      <c r="F26" s="95"/>
      <c r="G26" s="247" t="s">
        <v>123</v>
      </c>
      <c r="H26" s="248" t="str">
        <f>IF(OR(ISBLANK('WEEK 4 '!M25),ISBLANK('WEEK 4 '!M24),ISBLANK('WEEK 4 '!M23)),"PROCEED TO DOWNSETS",if('WEEK 4 '!M25&gt;=6,"NEW 4 REP MAX ATTEMPT","PROCEED TO DOWN SETS"))</f>
        <v>PROCEED TO DOWNSETS</v>
      </c>
      <c r="M26" s="28"/>
      <c r="O26" s="248" t="str">
        <f>IF(OR(ISBLANK('WEEK 4 '!T25),ISBLANK('WEEK 4 '!T24),ISBLANK('WEEK 4 '!T23)),"PROCEED TO DOWNSETS",if('WEEK 4 '!T25&gt;=6,"NEW 4 REP MAX ATTEMPT","PROCEED TO DOWN SETS"))</f>
        <v>NEW 4 REP MAX ATTEMPT</v>
      </c>
      <c r="T26" s="28"/>
    </row>
    <row r="27">
      <c r="A27" s="249">
        <f>if('WEEK 4 '!F25&lt;1,"",5)</f>
        <v>5</v>
      </c>
      <c r="B27" s="82">
        <f>IF('WEEK 4 '!F25&lt;1,"",'WEEK 4 '!B25+5)</f>
        <v>95</v>
      </c>
      <c r="C27" s="238">
        <f>if('WEEK 4 '!F25&lt;1,"",1)</f>
        <v>1</v>
      </c>
      <c r="D27" s="238" t="str">
        <f>if('WEEK 4 '!F25&lt;1,"","1-5 MIN")</f>
        <v>1-5 MIN</v>
      </c>
      <c r="E27" s="250"/>
      <c r="F27" s="67"/>
      <c r="H27" s="251" t="str">
        <f>IF(OR(ISBLANK('WEEK 4 '!M25),ISBLANK('WEEK 4 '!M24),ISBLANK('WEEK 4 '!M23)),"",IF('WEEK 4 '!M25&gt;=6,5,""))</f>
        <v/>
      </c>
      <c r="I27" s="252" t="str">
        <f>IF(OR(ISBLANK('WEEK 4 '!M25),ISBLANK('WEEK 4 '!M24),ISBLANK('WEEK 4 '!M23)),"",IF('WEEK 4 '!M25&gt;=6,'WEEK 4 '!I20+5,""))</f>
        <v/>
      </c>
      <c r="J27" s="253" t="str">
        <f>IF(OR(ISBLANK('WEEK 4 '!M25),ISBLANK('WEEK 4 '!M24),ISBLANK('WEEK 4 '!M23)),"",IF('WEEK 4 '!M25&gt;=6,"REP OUT",""))</f>
        <v/>
      </c>
      <c r="K27" s="254" t="str">
        <f>IF(OR(ISBLANK('WEEK 4 '!M25),ISBLANK('WEEK 4 '!M24),ISBLANK('WEEK 4 '!M23)),"",IF('WEEK 4 '!M25&gt;5,"1 MIN",""))</f>
        <v/>
      </c>
      <c r="L27" s="255"/>
      <c r="M27" s="263"/>
      <c r="O27" s="251">
        <f>IF(OR(ISBLANK('WEEK 4 '!T25),ISBLANK('WEEK 4 '!T24),ISBLANK('WEEK 4 '!T23)),"",IF('WEEK 4 '!T25&gt;=6,5,""))</f>
        <v>5</v>
      </c>
      <c r="P27" s="252">
        <f>IF(OR(ISBLANK('WEEK 4 '!T25),ISBLANK('WEEK 4 '!T24),ISBLANK('WEEK 4 '!T23)),"",IF('WEEK 4 '!T25&gt;=6,'WEEK 4 '!P20+5,""))</f>
        <v>105</v>
      </c>
      <c r="Q27" s="253" t="str">
        <f>IF(OR(ISBLANK('WEEK 4 '!T25),ISBLANK('WEEK 4 '!T24),ISBLANK('WEEK 4 '!T23)),"",IF('WEEK 4 '!T25&gt;=6,"REP OUT",""))</f>
        <v>REP OUT</v>
      </c>
      <c r="R27" s="254" t="str">
        <f>IF(OR(ISBLANK('WEEK 4 '!T25),ISBLANK('WEEK 4 '!T24),ISBLANK('WEEK 4 '!T23)),"",IF('WEEK 4 '!T25&gt;5,"1 MIN",""))</f>
        <v>1 MIN</v>
      </c>
      <c r="S27" s="255"/>
      <c r="T27" s="263"/>
    </row>
    <row r="28">
      <c r="A28" s="259" t="str">
        <f>IF('WEEK 4 '!F27&lt;1,"","6")</f>
        <v>6</v>
      </c>
      <c r="B28" s="237">
        <f>IF('WEEK 4 '!F27&lt;1,"",'WEEK 4 '!B27+5)</f>
        <v>100</v>
      </c>
      <c r="C28" s="245" t="str">
        <f>IF('WEEK 4 '!F27&lt;1,"","1")</f>
        <v>1</v>
      </c>
      <c r="D28" s="63" t="str">
        <f>IF('WEEK 4 '!F27&lt;1,"","1-5 MIN")</f>
        <v>1-5 MIN</v>
      </c>
      <c r="E28" s="258"/>
      <c r="F28" s="665"/>
      <c r="G28" s="842"/>
      <c r="H28" s="246" t="str">
        <f>IF(OR(ISBLANK('WEEK 4 '!M25),ISBLANK('WEEK 4 '!M24),ISBLANK('WEEK 4 '!M23)),"FILL OUT REP LOG FIRST","DOWN SETS")</f>
        <v>FILL OUT REP LOG FIRST</v>
      </c>
      <c r="I28" s="20"/>
      <c r="J28" s="20"/>
      <c r="K28" s="20"/>
      <c r="L28" s="20"/>
      <c r="M28" s="95"/>
      <c r="O28" s="260" t="str">
        <f>IF(OR(ISBLANK('WEEK 4 '!T25),ISBLANK('WEEK 4 '!T24),ISBLANK('WEEK 4 '!T23)),"FILL OUT REP LOG FIRST","DOWN SETS")</f>
        <v>DOWN SETS</v>
      </c>
      <c r="P28" s="16"/>
      <c r="Q28" s="16"/>
      <c r="R28" s="16"/>
      <c r="S28" s="16"/>
      <c r="T28" s="230"/>
    </row>
    <row r="29">
      <c r="A29" s="246" t="s">
        <v>133</v>
      </c>
      <c r="B29" s="20"/>
      <c r="C29" s="20"/>
      <c r="D29" s="20"/>
      <c r="E29" s="20"/>
      <c r="F29" s="95"/>
      <c r="H29" s="91" t="str">
        <f>IF('WEEK 4 '!M27&gt;=4,"",IF(OR(ISBLANK('WEEK 4 '!M25),ISBLANK('WEEK 4 '!M24),ISBLANK('WEEK 4 '!M23)),"",IF('WEEK 4 '!M25&gt;5,6,5)))</f>
        <v/>
      </c>
      <c r="I29" s="261" t="str">
        <f>IF('WEEK 4 '!M27&gt;=4,"",IF(OR(ISBLANK('WEEK 4 '!M25),ISBLANK('WEEK 4 '!M24),ISBLANK('WEEK 4 '!M23)),"",IF('WEEK 4 '!M25&lt;6,mround('WEEK 4 '!I20*0.8,5),IF('WEEK 4 '!M25&lt;10,mround('WEEK 4 '!I20*0.93,5),mround('WEEK 4 '!I20*0.7,5)))))</f>
        <v/>
      </c>
      <c r="J29" s="262" t="str">
        <f>IF('WEEK 4 '!M27&gt;=4,"",IF(OR(ISBLANK('WEEK 4 '!M25),ISBLANK('WEEK 4 '!M24),ISBLANK('WEEK 4 '!M23)),"","REP OUT"))</f>
        <v/>
      </c>
      <c r="K29" s="65" t="str">
        <f>IF('WEEK 4 '!M27&gt;=4,"",IF(OR(ISBLANK('WEEK 4 '!M25),ISBLANK('WEEK 4 '!M24),ISBLANK('WEEK 4 '!M23)),"","1 MIN"))</f>
        <v/>
      </c>
      <c r="L29" s="255"/>
      <c r="M29" s="270"/>
      <c r="O29" s="91" t="str">
        <f>IF('WEEK 4 '!T27&gt;=4,"",IF(OR(ISBLANK('WEEK 4 '!T25),ISBLANK('WEEK 4 '!T24),ISBLANK('WEEK 4 '!T23)),"",IF('WEEK 4 '!T25&gt;5,6,5)))</f>
        <v/>
      </c>
      <c r="P29" s="261" t="str">
        <f>IF('WEEK 4 '!T27&gt;=4,"",IF(OR(ISBLANK('WEEK 4 '!T25),ISBLANK('WEEK 4 '!T24),ISBLANK('WEEK 4 '!T23)),"",IF('WEEK 4 '!T25&lt;6,mround('WEEK 4 '!P20*0.8,5),IF('WEEK 4 '!T25&lt;10,mround('WEEK 4 '!P20*0.93,5),mround('WEEK 4 '!P20*0.7,5)))))</f>
        <v/>
      </c>
      <c r="Q29" s="262" t="str">
        <f>IF('WEEK 4 '!T27&gt;=4,"",IF(OR(ISBLANK('WEEK 4 '!T25),ISBLANK('WEEK 4 '!T24),ISBLANK('WEEK 4 '!T23)),"","REP OUT"))</f>
        <v/>
      </c>
      <c r="R29" s="65" t="str">
        <f>IF('WEEK 4 '!T27&gt;=4,"",IF(OR(ISBLANK('WEEK 4 '!T25),ISBLANK('WEEK 4 '!T24),ISBLANK('WEEK 4 '!T23)),"","1 MIN"))</f>
        <v/>
      </c>
      <c r="S29" s="255"/>
      <c r="T29" s="270"/>
    </row>
    <row r="30">
      <c r="A30" s="264">
        <f>IF('WEEK 4 '!F27&gt;=1,7,IF('WEEK 4 '!F25&lt;1,5,6))</f>
        <v>7</v>
      </c>
      <c r="B30" s="265">
        <f>MROUND('WEEK 4 '!B32*0.9,5)</f>
        <v>90</v>
      </c>
      <c r="C30" s="266" t="s">
        <v>65</v>
      </c>
      <c r="D30" s="267" t="s">
        <v>127</v>
      </c>
      <c r="E30" s="268"/>
      <c r="F30" s="843"/>
      <c r="H30" s="269" t="str">
        <f>IF('WEEK 4 '!M27&gt;=4,"",IF(OR(ISBLANK('WEEK 4 '!M25),ISBLANK('WEEK 4 '!M24),ISBLANK('WEEK 4 '!M23)),"",IF('WEEK 4 '!M25&gt;5,7,6)))</f>
        <v/>
      </c>
      <c r="I30" s="254" t="str">
        <f>IF('WEEK 4 '!M27&gt;=4,"",IF(OR(ISBLANK('WEEK 4 '!M25),ISBLANK('WEEK 4 '!M24),ISBLANK('WEEK 4 '!M23)),"",IF('WEEK 4 '!M25&lt;6,mround('WEEK 4 '!I20*0.65,5),IF('WEEK 4 '!M25&lt;10,mround('WEEK 4 '!I20*0.7,5),mround('WEEK 4 '!I20*0.65,5)))))</f>
        <v/>
      </c>
      <c r="J30" s="262" t="str">
        <f>IF('WEEK 4 '!M27&gt;=4,"",IF(OR(ISBLANK('WEEK 4 '!M25),ISBLANK('WEEK 4 '!M24),ISBLANK('WEEK 4 '!M23)),"","REP OUT"))</f>
        <v/>
      </c>
      <c r="K30" s="65" t="str">
        <f>IF('WEEK 4 '!M27&gt;=4,"",IF(OR(ISBLANK('WEEK 4 '!M25),ISBLANK('WEEK 4 '!M24),ISBLANK('WEEK 4 '!M23)),"","1 MIN"))</f>
        <v/>
      </c>
      <c r="L30" s="255"/>
      <c r="M30" s="270"/>
      <c r="O30" s="269" t="str">
        <f>IF('WEEK 4 '!T27&gt;=4,"",IF(OR(ISBLANK('WEEK 4 '!T25),ISBLANK('WEEK 4 '!T24),ISBLANK('WEEK 4 '!T23)),"",IF('WEEK 4 '!T25&gt;5,7,6)))</f>
        <v/>
      </c>
      <c r="P30" s="254" t="str">
        <f>IF('WEEK 4 '!T27&gt;=4,"",IF(OR(ISBLANK('WEEK 4 '!T25),ISBLANK('WEEK 4 '!T24),ISBLANK('WEEK 4 '!T23)),"",IF('WEEK 4 '!T25&lt;6,mround('WEEK 4 '!P20*0.65,5),IF('WEEK 4 '!T25&lt;10,mround('WEEK 4 '!P20*0.7,5),mround('WEEK 4 '!P20*0.65,5)))))</f>
        <v/>
      </c>
      <c r="Q30" s="262" t="str">
        <f>IF('WEEK 4 '!T27&gt;=4,"",IF(OR(ISBLANK('WEEK 4 '!T25),ISBLANK('WEEK 4 '!T24),ISBLANK('WEEK 4 '!T23)),"","REP OUT"))</f>
        <v/>
      </c>
      <c r="R30" s="65" t="str">
        <f>IF('WEEK 4 '!T27&gt;=4,"",IF(OR(ISBLANK('WEEK 4 '!T25),ISBLANK('WEEK 4 '!T24),ISBLANK('WEEK 4 '!T23)),"","1 MIN"))</f>
        <v/>
      </c>
      <c r="S30" s="255"/>
      <c r="T30" s="270"/>
    </row>
    <row r="31">
      <c r="A31" s="243">
        <f>IF('WEEK 4 '!F27&gt;=1,8,IF('WEEK 4 '!F25&lt;1,6,7))</f>
        <v>8</v>
      </c>
      <c r="B31" s="237">
        <f>mround('WEEK 4 '!B32*0.78,5)</f>
        <v>80</v>
      </c>
      <c r="C31" s="245" t="s">
        <v>65</v>
      </c>
      <c r="D31" s="65" t="s">
        <v>127</v>
      </c>
      <c r="E31" s="258"/>
      <c r="F31" s="67"/>
      <c r="H31" s="844" t="str">
        <f>IF('WEEK 4 '!M27&lt;4,"",IF(OR(ISBLANK('WEEK 4 '!M25),ISBLANK('WEEK 4 '!M24),ISBLANK('WEEK 4 '!M23)),"",IF('WEEK 4 '!M27&gt;3,6,5)))</f>
        <v/>
      </c>
      <c r="I31" s="845" t="str">
        <f>IF('WEEK 4 '!M27&lt;4,"",IF(OR(ISBLANK('WEEK 4 '!M25),ISBLANK('WEEK 4 '!M24),ISBLANK('WEEK 4 '!M23)),"",IF('WEEK 4 '!M27&lt;6,mround('WEEK 4 '!I33*0.8,5),IF('WEEK 4 '!M27&lt;10,mround('WEEK 4 '!I33*0.93,5),mround('WEEK 4 '!I33*0.7,5)))))</f>
        <v/>
      </c>
      <c r="J31" s="846" t="str">
        <f>IF('WEEK 4 '!M27&lt;4,"",IF(OR(ISBLANK('WEEK 4 '!M25),ISBLANK('WEEK 4 '!M24),ISBLANK('WEEK 4 '!M23)),"","REP OUT"))</f>
        <v/>
      </c>
      <c r="K31" s="267" t="str">
        <f>IF('WEEK 4 '!M27&lt;4,"",IF(OR(ISBLANK('WEEK 4 '!M25),ISBLANK('WEEK 4 '!M24),ISBLANK('WEEK 4 '!M23)),"","1 MIN"))</f>
        <v/>
      </c>
      <c r="L31" s="847"/>
      <c r="M31" s="848"/>
      <c r="O31" s="269">
        <f>IF('WEEK 4 '!T27&lt;4,"",IF(OR(ISBLANK('WEEK 4 '!T25),ISBLANK('WEEK 4 '!T24),ISBLANK('WEEK 4 '!T23)),"",IF('WEEK 4 '!T27&gt;4,6,6)))</f>
        <v>6</v>
      </c>
      <c r="P31" s="254">
        <f>IF('WEEK 4 '!T27&lt;4,"",IF(OR(ISBLANK('WEEK 4 '!T25),ISBLANK('WEEK 4 '!T24),ISBLANK('WEEK 4 '!T23)),"",IF('WEEK 4 '!T27&lt;6,mround('WEEK 4 '!P33*0.8,5),IF('WEEK 4 '!T27&lt;10,mround('WEEK 4 '!P33*0.93,5),mround('WEEK 4 '!P33*0.7,5)))))</f>
        <v>75</v>
      </c>
      <c r="Q31" s="262" t="str">
        <f>IF('WEEK 4 '!T27&lt;4,"",IF(OR(ISBLANK('WEEK 4 '!T25),ISBLANK('WEEK 4 '!T24),ISBLANK('WEEK 4 '!T23)),"","REP OUT"))</f>
        <v>REP OUT</v>
      </c>
      <c r="R31" s="65" t="str">
        <f>IF('WEEK 4 '!T27&lt;4,"",IF(OR(ISBLANK('WEEK 4 '!T25),ISBLANK('WEEK 4 '!T24),ISBLANK('WEEK 4 '!T23)),"","1 MIN"))</f>
        <v>1 MIN</v>
      </c>
      <c r="S31" s="255"/>
      <c r="T31" s="270"/>
    </row>
    <row r="32">
      <c r="A32" s="272" t="s">
        <v>124</v>
      </c>
      <c r="B32" s="273">
        <f>IF(OR(ISBLANK('WEEK 4 '!F25),ISBLANK('WEEK 4 '!F24),ISBLANK('WEEK 4 '!F23)),"",IF('WEEK 4 '!F28&gt;=1,'WEEK 4 '!B28,IF('WEEK 4 '!F27&gt;=1,'WEEK 4 '!B27,IF('WEEK 4 '!F25&lt;1,'WEEK 4 '!B25-5,'WEEK 4 '!B25))))</f>
        <v>100</v>
      </c>
      <c r="C32" s="11"/>
      <c r="D32" s="11"/>
      <c r="E32" s="11"/>
      <c r="F32" s="46"/>
      <c r="G32" s="103"/>
      <c r="H32" s="844" t="str">
        <f>IF('WEEK 4 '!M27&lt;4,"",IF(OR(ISBLANK('WEEK 4 '!M25),ISBLANK('WEEK 4 '!M24),ISBLANK('WEEK 4 '!M27)),"",IF('WEEK 4 '!M27&gt;3,7,"")))</f>
        <v/>
      </c>
      <c r="I32" s="845" t="str">
        <f>IF('WEEK 4 '!M27&lt;4,"",IF(OR(ISBLANK('WEEK 4 '!M25),ISBLANK('WEEK 4 '!M24),ISBLANK('WEEK 4 '!M23)),"",IF('WEEK 4 '!M27&lt;6,mround('WEEK 4 '!I33*0.65,5),IF('WEEK 4 '!M27&lt;10,mround('WEEK 4 '!I33*0.7,5),mround('WEEK 4 '!I33*0.65,5)))))</f>
        <v/>
      </c>
      <c r="J32" s="846" t="str">
        <f>IF('WEEK 4 '!M27&lt;4,"",IF(OR(ISBLANK('WEEK 4 '!M25),ISBLANK('WEEK 4 '!M24),ISBLANK('WEEK 4 '!M23)),"","REP OUT"))</f>
        <v/>
      </c>
      <c r="K32" s="267" t="str">
        <f>IF('WEEK 4 '!M27&lt;4,"",IF(OR(ISBLANK('WEEK 4 '!M25),ISBLANK('WEEK 4 '!M24),ISBLANK('WEEK 4 '!M23)),"","1 MIN"))</f>
        <v/>
      </c>
      <c r="L32" s="847"/>
      <c r="M32" s="848"/>
      <c r="N32" s="103"/>
      <c r="O32" s="269">
        <f>IF('WEEK 4 '!T27&lt;4,"",IF(OR(ISBLANK('WEEK 4 '!T25),ISBLANK('WEEK 4 '!T24),ISBLANK('WEEK 4 '!T27)),"",IF('WEEK 4 '!T27&gt;3,7,"")))</f>
        <v>7</v>
      </c>
      <c r="P32" s="254">
        <f>IF('WEEK 4 '!T27&lt;4,"",IF(OR(ISBLANK('WEEK 4 '!T25),ISBLANK('WEEK 4 '!T24),ISBLANK('WEEK 4 '!T23)),"",IF('WEEK 4 '!T27&lt;6,mround('WEEK 4 '!P33*0.65,5),IF('WEEK 4 '!T27&lt;10,mround('WEEK 4 '!P33*0.7,5),mround('WEEK 4 '!P33*0.65,5)))))</f>
        <v>70</v>
      </c>
      <c r="Q32" s="262" t="str">
        <f>IF('WEEK 4 '!T27&lt;4,"",IF(OR(ISBLANK('WEEK 4 '!T25),ISBLANK('WEEK 4 '!T24),ISBLANK('WEEK 4 '!T23)),"","REP OUT"))</f>
        <v>REP OUT</v>
      </c>
      <c r="R32" s="65" t="str">
        <f>IF('WEEK 4 '!T27&lt;4,"",IF(OR(ISBLANK('WEEK 4 '!T25),ISBLANK('WEEK 4 '!T24),ISBLANK('WEEK 4 '!T23)),"","1 MIN"))</f>
        <v>1 MIN</v>
      </c>
      <c r="S32" s="255"/>
      <c r="T32" s="270"/>
      <c r="U32" s="103"/>
    </row>
    <row r="33">
      <c r="A33" s="103"/>
      <c r="B33" s="103"/>
      <c r="C33" s="103"/>
      <c r="D33" s="103"/>
      <c r="E33" s="103"/>
      <c r="F33" s="103"/>
      <c r="G33" s="103"/>
      <c r="H33" s="228" t="s">
        <v>124</v>
      </c>
      <c r="I33" s="229" t="str">
        <f>IF(OR(ISBLANK('WEEK 4 '!M23),ISBLANK('WEEK 4 '!M24),ISBLANK('WEEK 4 '!M25)),"",IF('WEEK 4 '!M27&gt;=4,I27,IF('WEEK 4 '!M25&lt;=3,'WEEK 4 '!I25-5,'WEEK 4 '!I25)))</f>
        <v/>
      </c>
      <c r="J33" s="16"/>
      <c r="K33" s="16"/>
      <c r="L33" s="16"/>
      <c r="M33" s="230"/>
      <c r="N33" s="103"/>
      <c r="O33" s="280" t="s">
        <v>124</v>
      </c>
      <c r="P33" s="273">
        <f>IF(OR(ISBLANK('WEEK 4 '!T23),ISBLANK('WEEK 4 '!T24),ISBLANK('WEEK 4 '!T25)),"",IF('WEEK 4 '!T27&gt;=4,'WEEK 4 '!P27,IF('WEEK 4 '!T25&lt;=3,'WEEK 4 '!P25-5,'WEEK 4 '!P25)))</f>
        <v>105</v>
      </c>
      <c r="Q33" s="11"/>
      <c r="R33" s="11"/>
      <c r="S33" s="11"/>
      <c r="T33" s="46"/>
      <c r="U33" s="103"/>
    </row>
    <row r="34">
      <c r="A34" s="277"/>
      <c r="B34" s="277"/>
      <c r="C34" s="277"/>
      <c r="D34" s="277"/>
      <c r="E34" s="277"/>
      <c r="F34" s="277"/>
      <c r="G34" s="277"/>
      <c r="H34" s="815"/>
      <c r="I34" s="816"/>
      <c r="J34" s="816"/>
      <c r="K34" s="816"/>
      <c r="L34" s="816"/>
      <c r="M34" s="816"/>
      <c r="N34" s="277"/>
      <c r="O34" s="849"/>
      <c r="P34" s="850"/>
      <c r="Q34" s="850"/>
      <c r="R34" s="850"/>
      <c r="S34" s="850"/>
      <c r="T34" s="850"/>
      <c r="U34" s="277"/>
    </row>
    <row r="35">
      <c r="A35" s="73" t="str">
        <f>HYPERLINK("https://www.youtube.com/watch?v=mGv8D2DGyNQ","2. DB CHEST FLY")</f>
        <v>2. DB CHEST FLY</v>
      </c>
      <c r="B35" s="53"/>
      <c r="C35" s="53"/>
      <c r="D35" s="53"/>
      <c r="E35" s="53"/>
      <c r="F35" s="54"/>
      <c r="G35" s="598"/>
      <c r="H35" s="225" t="str">
        <f>HYPERLINK("https://www.youtube.com/watch?v=THb0dhfIu1k","2. MACHINE CHEST FLY")</f>
        <v>2. MACHINE CHEST FLY</v>
      </c>
      <c r="I35" s="13"/>
      <c r="J35" s="13"/>
      <c r="K35" s="13"/>
      <c r="L35" s="13"/>
      <c r="M35" s="57"/>
      <c r="N35" s="598"/>
      <c r="O35" s="598"/>
      <c r="P35" s="598"/>
      <c r="Q35" s="598"/>
      <c r="R35" s="598"/>
      <c r="S35" s="598"/>
      <c r="T35" s="598"/>
      <c r="U35" s="598"/>
    </row>
    <row r="36">
      <c r="A36" s="596" t="s">
        <v>153</v>
      </c>
      <c r="B36" s="284">
        <f>IF(P33="",'Week 2 (MASTER SHEET)'!B34,'WEEK 4 '!P33)</f>
        <v>105</v>
      </c>
      <c r="C36" s="20"/>
      <c r="D36" s="20"/>
      <c r="E36" s="20"/>
      <c r="F36" s="95"/>
      <c r="G36" s="598"/>
      <c r="H36" s="596" t="s">
        <v>153</v>
      </c>
      <c r="I36" s="284">
        <f>B36</f>
        <v>105</v>
      </c>
      <c r="J36" s="20"/>
      <c r="K36" s="20"/>
      <c r="L36" s="20"/>
      <c r="M36" s="95"/>
      <c r="N36" s="598"/>
      <c r="O36" s="598"/>
      <c r="P36" s="598"/>
      <c r="Q36" s="598"/>
      <c r="R36" s="598"/>
      <c r="S36" s="598"/>
      <c r="T36" s="598"/>
      <c r="U36" s="598"/>
    </row>
    <row r="37">
      <c r="A37" s="231" t="s">
        <v>50</v>
      </c>
      <c r="B37" s="232" t="s">
        <v>51</v>
      </c>
      <c r="C37" s="232" t="s">
        <v>52</v>
      </c>
      <c r="D37" s="232" t="s">
        <v>53</v>
      </c>
      <c r="E37" s="285" t="s">
        <v>54</v>
      </c>
      <c r="F37" s="61" t="s">
        <v>55</v>
      </c>
      <c r="G37" s="598"/>
      <c r="H37" s="231" t="s">
        <v>50</v>
      </c>
      <c r="I37" s="232" t="s">
        <v>51</v>
      </c>
      <c r="J37" s="232" t="s">
        <v>52</v>
      </c>
      <c r="K37" s="232" t="s">
        <v>53</v>
      </c>
      <c r="L37" s="285" t="s">
        <v>54</v>
      </c>
      <c r="M37" s="61" t="s">
        <v>55</v>
      </c>
      <c r="N37" s="598"/>
      <c r="O37" s="598"/>
      <c r="P37" s="598"/>
      <c r="Q37" s="598"/>
      <c r="R37" s="598"/>
      <c r="S37" s="598"/>
      <c r="T37" s="598"/>
      <c r="U37" s="598"/>
    </row>
    <row r="38">
      <c r="A38" s="242">
        <v>1.0</v>
      </c>
      <c r="B38" s="237">
        <f>IF('WEEK 4 '!B36&lt;5,0,mround('WEEK 4 '!B36*0.29,2.5))</f>
        <v>30</v>
      </c>
      <c r="C38" s="63" t="s">
        <v>61</v>
      </c>
      <c r="D38" s="288" t="s">
        <v>164</v>
      </c>
      <c r="E38" s="66"/>
      <c r="F38" s="67"/>
      <c r="G38" s="598"/>
      <c r="H38" s="242">
        <v>1.0</v>
      </c>
      <c r="I38" s="237">
        <f>mround(('WEEK 4 '!I36*2)*0.75,10)</f>
        <v>160</v>
      </c>
      <c r="J38" s="63" t="s">
        <v>61</v>
      </c>
      <c r="K38" s="288" t="s">
        <v>164</v>
      </c>
      <c r="L38" s="66"/>
      <c r="M38" s="67"/>
      <c r="N38" s="598"/>
      <c r="O38" s="598"/>
      <c r="P38" s="598"/>
      <c r="Q38" s="598"/>
      <c r="R38" s="598"/>
      <c r="S38" s="598"/>
      <c r="T38" s="598"/>
      <c r="U38" s="598"/>
    </row>
    <row r="39">
      <c r="A39" s="289">
        <v>2.0</v>
      </c>
      <c r="B39" s="371">
        <f>IF('WEEK 4 '!B36&lt;5,0,mround('WEEK 4 '!B36*0.29,2.5))</f>
        <v>30</v>
      </c>
      <c r="C39" s="63" t="s">
        <v>61</v>
      </c>
      <c r="D39" s="288" t="s">
        <v>164</v>
      </c>
      <c r="E39" s="72"/>
      <c r="F39" s="67"/>
      <c r="G39" s="598"/>
      <c r="H39" s="289">
        <v>2.0</v>
      </c>
      <c r="I39" s="291">
        <f>mround('WEEK 4 '!I36*2*0.75,10)</f>
        <v>160</v>
      </c>
      <c r="J39" s="63" t="s">
        <v>61</v>
      </c>
      <c r="K39" s="288" t="s">
        <v>164</v>
      </c>
      <c r="L39" s="72"/>
      <c r="M39" s="67"/>
      <c r="N39" s="598"/>
      <c r="O39" s="598"/>
      <c r="P39" s="598"/>
      <c r="Q39" s="598"/>
      <c r="R39" s="598"/>
      <c r="S39" s="598"/>
      <c r="T39" s="598"/>
      <c r="U39" s="598"/>
    </row>
    <row r="40">
      <c r="A40" s="103"/>
    </row>
    <row r="42">
      <c r="A42" s="73" t="str">
        <f>HYPERLINK("https://www.youtube.com/watch?v=PnaDzYh2axA","3. LAT PULL DOWN")</f>
        <v>3. LAT PULL DOWN</v>
      </c>
      <c r="B42" s="53"/>
      <c r="C42" s="53"/>
      <c r="D42" s="53"/>
      <c r="E42" s="53"/>
      <c r="F42" s="54"/>
      <c r="G42" s="851" t="s">
        <v>41</v>
      </c>
    </row>
    <row r="43">
      <c r="A43" s="282" t="s">
        <v>119</v>
      </c>
      <c r="B43" s="852">
        <f>'WEEK 3 '!B55</f>
        <v>260</v>
      </c>
      <c r="C43" s="16"/>
      <c r="D43" s="16"/>
      <c r="E43" s="16"/>
      <c r="F43" s="230"/>
    </row>
    <row r="44">
      <c r="A44" s="58" t="s">
        <v>50</v>
      </c>
      <c r="B44" s="365" t="s">
        <v>51</v>
      </c>
      <c r="C44" s="365" t="s">
        <v>52</v>
      </c>
      <c r="D44" s="365" t="s">
        <v>53</v>
      </c>
      <c r="E44" s="853" t="s">
        <v>54</v>
      </c>
      <c r="F44" s="854" t="s">
        <v>55</v>
      </c>
    </row>
    <row r="45">
      <c r="A45" s="242">
        <v>1.0</v>
      </c>
      <c r="B45" s="237">
        <f>mround('WEEK 4 '!B43*0.5,5)</f>
        <v>135</v>
      </c>
      <c r="C45" s="104" t="s">
        <v>165</v>
      </c>
      <c r="D45" s="65" t="s">
        <v>166</v>
      </c>
      <c r="E45" s="66"/>
      <c r="F45" s="67"/>
    </row>
    <row r="46">
      <c r="A46" s="242">
        <v>2.0</v>
      </c>
      <c r="B46" s="237">
        <f>mround('WEEK 4 '!B43*0.5,5)</f>
        <v>135</v>
      </c>
      <c r="C46" s="104" t="s">
        <v>165</v>
      </c>
      <c r="D46" s="65" t="s">
        <v>166</v>
      </c>
      <c r="E46" s="66"/>
      <c r="F46" s="67"/>
    </row>
    <row r="47">
      <c r="A47" s="289">
        <v>3.0</v>
      </c>
      <c r="B47" s="87">
        <f>mround('WEEK 4 '!B43*0.5,5)</f>
        <v>135</v>
      </c>
      <c r="C47" s="105" t="s">
        <v>165</v>
      </c>
      <c r="D47" s="71" t="s">
        <v>166</v>
      </c>
      <c r="E47" s="72"/>
      <c r="F47" s="67"/>
    </row>
    <row r="48">
      <c r="A48" s="302"/>
      <c r="B48" s="302"/>
      <c r="C48" s="302"/>
      <c r="D48" s="302"/>
      <c r="E48" s="303"/>
      <c r="F48" s="103"/>
    </row>
    <row r="49">
      <c r="A49" s="302"/>
      <c r="B49" s="302"/>
      <c r="C49" s="302"/>
      <c r="D49" s="302"/>
      <c r="E49" s="303"/>
      <c r="F49" s="103"/>
    </row>
    <row r="50">
      <c r="A50" s="73" t="str">
        <f>HYPERLINK("https://www.youtube.com/watch?v=9YH1YvZbiY0","4. MACHINE LOW ROW")</f>
        <v>4. MACHINE LOW ROW</v>
      </c>
      <c r="B50" s="53"/>
      <c r="C50" s="53"/>
      <c r="D50" s="53"/>
      <c r="E50" s="53"/>
      <c r="F50" s="54"/>
    </row>
    <row r="51">
      <c r="A51" s="458" t="s">
        <v>119</v>
      </c>
      <c r="B51" s="56">
        <v>100.0</v>
      </c>
      <c r="C51" s="13"/>
      <c r="D51" s="13"/>
      <c r="E51" s="13"/>
      <c r="F51" s="57"/>
    </row>
    <row r="52">
      <c r="A52" s="58" t="s">
        <v>50</v>
      </c>
      <c r="B52" s="59" t="s">
        <v>51</v>
      </c>
      <c r="C52" s="59" t="s">
        <v>52</v>
      </c>
      <c r="D52" s="59" t="s">
        <v>53</v>
      </c>
      <c r="E52" s="584" t="s">
        <v>54</v>
      </c>
      <c r="F52" s="61" t="s">
        <v>55</v>
      </c>
    </row>
    <row r="53">
      <c r="A53" s="62">
        <v>1.0</v>
      </c>
      <c r="B53" s="855">
        <f>mround('WEEK 4 '!B51*0.5,5)</f>
        <v>105</v>
      </c>
      <c r="C53" s="104" t="s">
        <v>165</v>
      </c>
      <c r="D53" s="65" t="s">
        <v>166</v>
      </c>
      <c r="E53" s="66"/>
      <c r="F53" s="67"/>
    </row>
    <row r="54">
      <c r="A54" s="68">
        <v>2.0</v>
      </c>
      <c r="B54" s="856">
        <f>mround('WEEK 4 '!B51*0.5,5)</f>
        <v>105</v>
      </c>
      <c r="C54" s="105" t="s">
        <v>165</v>
      </c>
      <c r="D54" s="71" t="s">
        <v>166</v>
      </c>
      <c r="E54" s="72"/>
      <c r="F54" s="67"/>
    </row>
    <row r="55">
      <c r="A55" s="103"/>
      <c r="B55" s="103"/>
      <c r="C55" s="103"/>
      <c r="D55" s="103"/>
      <c r="E55" s="222"/>
      <c r="F55" s="103"/>
    </row>
    <row r="56">
      <c r="A56" s="103"/>
      <c r="B56" s="103"/>
      <c r="C56" s="103"/>
      <c r="D56" s="103"/>
      <c r="E56" s="222"/>
      <c r="F56" s="103"/>
    </row>
    <row r="57">
      <c r="A57" s="73" t="str">
        <f>HYPERLINK("https://www.youtube.com/watch?v=hMUUvL3FlkE","5. MACHINE HIGH ROW")</f>
        <v>5. MACHINE HIGH ROW</v>
      </c>
      <c r="B57" s="53"/>
      <c r="C57" s="53"/>
      <c r="D57" s="53"/>
      <c r="E57" s="53"/>
      <c r="F57" s="54"/>
    </row>
    <row r="58">
      <c r="A58" s="458" t="s">
        <v>119</v>
      </c>
      <c r="B58" s="56">
        <v>100.0</v>
      </c>
      <c r="C58" s="13"/>
      <c r="D58" s="13"/>
      <c r="E58" s="13"/>
      <c r="F58" s="57"/>
    </row>
    <row r="59">
      <c r="A59" s="58" t="s">
        <v>50</v>
      </c>
      <c r="B59" s="59" t="s">
        <v>51</v>
      </c>
      <c r="C59" s="59" t="s">
        <v>52</v>
      </c>
      <c r="D59" s="59" t="s">
        <v>53</v>
      </c>
      <c r="E59" s="584" t="s">
        <v>54</v>
      </c>
      <c r="F59" s="61" t="s">
        <v>55</v>
      </c>
    </row>
    <row r="60">
      <c r="A60" s="62">
        <v>1.0</v>
      </c>
      <c r="B60" s="855">
        <f>mround('WEEK 4 '!B58*0.5,5)</f>
        <v>30</v>
      </c>
      <c r="C60" s="104" t="s">
        <v>165</v>
      </c>
      <c r="D60" s="65" t="s">
        <v>166</v>
      </c>
      <c r="E60" s="66"/>
      <c r="F60" s="67"/>
    </row>
    <row r="61">
      <c r="A61" s="68">
        <v>2.0</v>
      </c>
      <c r="B61" s="856">
        <f>mround('WEEK 4 '!B58*0.5,5)</f>
        <v>30</v>
      </c>
      <c r="C61" s="105" t="s">
        <v>165</v>
      </c>
      <c r="D61" s="71" t="s">
        <v>166</v>
      </c>
      <c r="E61" s="72"/>
      <c r="F61" s="67"/>
    </row>
    <row r="62">
      <c r="A62" s="598"/>
      <c r="B62" s="598"/>
      <c r="C62" s="598"/>
      <c r="D62" s="598"/>
      <c r="E62" s="857"/>
      <c r="F62" s="598"/>
    </row>
    <row r="63">
      <c r="A63" s="310" t="str">
        <f>HYPERLINK("https://docs.google.com/a/fitnessresults.com/forms/d/e/1FAIpQLSd7MoczESe8Yjv6BKpmwAZGn9Aiymrs9-UdgfYIUpbr9t5NXg/viewform?usp=pp_url&amp;entry.93370101","CLICK TO COMPLETE WORKOUT")</f>
        <v>CLICK TO COMPLETE WORKOUT</v>
      </c>
      <c r="B63" s="36"/>
      <c r="C63" s="36"/>
      <c r="D63" s="36"/>
      <c r="E63" s="36"/>
      <c r="F63" s="37"/>
    </row>
    <row r="64">
      <c r="A64" s="858"/>
      <c r="B64" s="858"/>
      <c r="C64" s="858"/>
      <c r="D64" s="858"/>
      <c r="E64" s="859"/>
      <c r="F64" s="598"/>
    </row>
    <row r="65">
      <c r="A65" s="602" t="s">
        <v>128</v>
      </c>
      <c r="B65" s="36"/>
      <c r="C65" s="36"/>
      <c r="D65" s="36"/>
      <c r="E65" s="36"/>
      <c r="F65" s="37"/>
    </row>
    <row r="66">
      <c r="A66" s="838"/>
      <c r="B66" s="838"/>
      <c r="C66" s="838"/>
      <c r="D66" s="838"/>
      <c r="E66" s="860"/>
      <c r="F66" s="838"/>
    </row>
    <row r="67">
      <c r="A67" s="838"/>
      <c r="B67" s="838"/>
      <c r="C67" s="838"/>
      <c r="D67" s="838"/>
      <c r="E67" s="860"/>
      <c r="F67" s="838"/>
    </row>
    <row r="68">
      <c r="A68" s="542" t="s">
        <v>129</v>
      </c>
      <c r="B68" s="36"/>
      <c r="C68" s="36"/>
      <c r="D68" s="36"/>
      <c r="E68" s="36"/>
      <c r="F68" s="37"/>
    </row>
    <row r="69">
      <c r="A69" s="73" t="str">
        <f>HYPERLINK("https://www.youtube.com/watch?v=ZjpkMnGZjTQ"," 1. SISSY SQUATS")</f>
        <v> 1. SISSY SQUATS</v>
      </c>
      <c r="B69" s="53"/>
      <c r="C69" s="53"/>
      <c r="D69" s="53"/>
      <c r="E69" s="53"/>
      <c r="F69" s="54"/>
    </row>
    <row r="70">
      <c r="A70" s="58" t="s">
        <v>50</v>
      </c>
      <c r="B70" s="59" t="s">
        <v>51</v>
      </c>
      <c r="C70" s="59" t="s">
        <v>52</v>
      </c>
      <c r="D70" s="59" t="s">
        <v>53</v>
      </c>
      <c r="E70" s="584" t="s">
        <v>54</v>
      </c>
      <c r="F70" s="61" t="s">
        <v>55</v>
      </c>
    </row>
    <row r="71">
      <c r="A71" s="308">
        <v>1.0</v>
      </c>
      <c r="B71" s="585" t="s">
        <v>130</v>
      </c>
      <c r="C71" s="585">
        <v>10.0</v>
      </c>
      <c r="D71" s="585" t="s">
        <v>121</v>
      </c>
      <c r="E71" s="586"/>
      <c r="F71" s="67"/>
    </row>
    <row r="72">
      <c r="A72" s="313">
        <v>2.0</v>
      </c>
      <c r="B72" s="587" t="s">
        <v>130</v>
      </c>
      <c r="C72" s="587">
        <v>10.0</v>
      </c>
      <c r="D72" s="587" t="s">
        <v>121</v>
      </c>
      <c r="E72" s="588"/>
      <c r="F72" s="67"/>
    </row>
    <row r="73">
      <c r="A73" s="838"/>
      <c r="B73" s="838"/>
      <c r="C73" s="838"/>
      <c r="D73" s="838"/>
      <c r="E73" s="860"/>
      <c r="F73" s="838"/>
    </row>
    <row r="74">
      <c r="A74" s="838"/>
      <c r="B74" s="838"/>
      <c r="C74" s="838"/>
      <c r="D74" s="838"/>
      <c r="E74" s="860"/>
      <c r="F74" s="838"/>
    </row>
    <row r="75">
      <c r="A75" s="861" t="s">
        <v>167</v>
      </c>
      <c r="B75" s="53"/>
      <c r="C75" s="53"/>
      <c r="D75" s="53"/>
      <c r="E75" s="53"/>
      <c r="F75" s="54"/>
    </row>
    <row r="76">
      <c r="A76" s="458" t="s">
        <v>119</v>
      </c>
      <c r="B76" s="597">
        <v>100.0</v>
      </c>
      <c r="C76" s="20"/>
      <c r="D76" s="20"/>
      <c r="E76" s="20"/>
      <c r="F76" s="95"/>
    </row>
    <row r="77">
      <c r="A77" s="58" t="s">
        <v>50</v>
      </c>
      <c r="B77" s="59" t="s">
        <v>51</v>
      </c>
      <c r="C77" s="59" t="s">
        <v>52</v>
      </c>
      <c r="D77" s="59" t="s">
        <v>53</v>
      </c>
      <c r="E77" s="584" t="s">
        <v>54</v>
      </c>
      <c r="F77" s="61" t="s">
        <v>55</v>
      </c>
    </row>
    <row r="78">
      <c r="A78" s="308">
        <v>1.0</v>
      </c>
      <c r="B78" s="862">
        <f>mround('WEEK 4 '!B76*0.35,5)</f>
        <v>125</v>
      </c>
      <c r="C78" s="64">
        <v>10.0</v>
      </c>
      <c r="D78" s="405" t="s">
        <v>121</v>
      </c>
      <c r="E78" s="66"/>
      <c r="F78" s="67"/>
    </row>
    <row r="79">
      <c r="A79" s="308">
        <v>2.0</v>
      </c>
      <c r="B79" s="862">
        <f>mround('WEEK 4 '!B76*0.5,5)</f>
        <v>175</v>
      </c>
      <c r="C79" s="64">
        <v>10.0</v>
      </c>
      <c r="D79" s="405" t="s">
        <v>121</v>
      </c>
      <c r="E79" s="66"/>
      <c r="F79" s="67"/>
    </row>
    <row r="80">
      <c r="A80" s="308">
        <v>3.0</v>
      </c>
      <c r="B80" s="862">
        <f>mround('WEEK 4 '!B76*0.75,5)</f>
        <v>265</v>
      </c>
      <c r="C80" s="64">
        <v>10.0</v>
      </c>
      <c r="D80" s="405" t="s">
        <v>121</v>
      </c>
      <c r="E80" s="66"/>
      <c r="F80" s="67"/>
    </row>
    <row r="81">
      <c r="A81" s="313">
        <v>4.0</v>
      </c>
      <c r="B81" s="863">
        <f>mround('WEEK 4 '!B76*1,5)</f>
        <v>350</v>
      </c>
      <c r="C81" s="70">
        <v>10.0</v>
      </c>
      <c r="D81" s="864" t="s">
        <v>121</v>
      </c>
      <c r="E81" s="72"/>
      <c r="F81" s="67"/>
    </row>
    <row r="82">
      <c r="A82" s="320"/>
    </row>
    <row r="84">
      <c r="A84" s="73" t="str">
        <f>HYPERLINK("https://www.youtube.com/watch?v=NZ9KiFtbiMs","3. LEG EXTENSION")</f>
        <v>3. LEG EXTENSION</v>
      </c>
      <c r="B84" s="53"/>
      <c r="C84" s="53"/>
      <c r="D84" s="53"/>
      <c r="E84" s="53"/>
      <c r="F84" s="54"/>
    </row>
    <row r="85">
      <c r="A85" s="226" t="s">
        <v>119</v>
      </c>
      <c r="B85" s="90">
        <f>IF('WEEK 3 '!B92='WEEK 3 '!B94,'WEEK 3 '!B92+5,IF('WEEK 3 '!F92&lt;=9,MROUND('WEEK 3 '!B90*0.95,5),'WEEK 3 '!B92))</f>
        <v>85</v>
      </c>
      <c r="C85" s="13"/>
      <c r="D85" s="13"/>
      <c r="E85" s="13"/>
      <c r="F85" s="57"/>
    </row>
    <row r="86">
      <c r="A86" s="96" t="s">
        <v>50</v>
      </c>
      <c r="B86" s="97" t="s">
        <v>51</v>
      </c>
      <c r="C86" s="97" t="s">
        <v>52</v>
      </c>
      <c r="D86" s="97" t="s">
        <v>53</v>
      </c>
      <c r="E86" s="98" t="s">
        <v>54</v>
      </c>
      <c r="F86" s="235" t="s">
        <v>55</v>
      </c>
    </row>
    <row r="87">
      <c r="A87" s="352">
        <v>1.0</v>
      </c>
      <c r="B87" s="237">
        <f>if('WEEK 3 '!B93='WEEK 3 '!B94,'WEEK 4 '!B85,'WEEK 4 '!B85)</f>
        <v>85</v>
      </c>
      <c r="C87" s="678">
        <v>20.0</v>
      </c>
      <c r="D87" s="350" t="s">
        <v>57</v>
      </c>
      <c r="E87" s="449"/>
      <c r="F87" s="85"/>
    </row>
    <row r="88">
      <c r="A88" s="352">
        <v>2.0</v>
      </c>
      <c r="B88" s="237">
        <f>if('WEEK 4 '!F87&lt;8,mround('WEEK 4 '!B87*0.8,5),IF('WEEK 4 '!F87&lt;=14,MROUND('WEEK 4 '!B87*0.95,5),'WEEK 4 '!B87))</f>
        <v>80</v>
      </c>
      <c r="C88" s="678">
        <v>20.0</v>
      </c>
      <c r="D88" s="350" t="s">
        <v>57</v>
      </c>
      <c r="E88" s="679"/>
      <c r="F88" s="85"/>
    </row>
    <row r="89">
      <c r="A89" s="865">
        <v>3.0</v>
      </c>
      <c r="B89" s="866">
        <f>if('WEEK 4 '!F88&lt;8,mround('WEEK 4 '!B88*0.8,5),IF('WEEK 4 '!F88&lt;=14,MROUND('WEEK 4 '!B88*0.95,5),'WEEK 4 '!B88))</f>
        <v>75</v>
      </c>
      <c r="C89" s="867">
        <v>20.0</v>
      </c>
      <c r="D89" s="760" t="s">
        <v>57</v>
      </c>
      <c r="E89" s="868"/>
      <c r="F89" s="330"/>
    </row>
    <row r="90">
      <c r="A90" s="869"/>
      <c r="B90" s="869"/>
      <c r="C90" s="869"/>
      <c r="D90" s="869"/>
      <c r="E90" s="869"/>
      <c r="F90" s="869"/>
    </row>
    <row r="91">
      <c r="A91" s="598"/>
    </row>
    <row r="92">
      <c r="A92" s="595" t="str">
        <f>HYPERLINK("https://www.youtube.com/watch?v=NZ9KiFtbiMs","4. LEG CURL")</f>
        <v>4. LEG CURL</v>
      </c>
      <c r="B92" s="53"/>
      <c r="C92" s="53"/>
      <c r="D92" s="53"/>
      <c r="E92" s="53"/>
      <c r="F92" s="54"/>
      <c r="G92" s="598"/>
      <c r="H92" s="595" t="str">
        <f>HYPERLINK("https://youtu.be/kmN9cJ79PDE","4. PRONE LEG CURL")</f>
        <v>4. PRONE LEG CURL</v>
      </c>
      <c r="I92" s="53"/>
      <c r="J92" s="53"/>
      <c r="K92" s="53"/>
      <c r="L92" s="53"/>
      <c r="M92" s="54"/>
      <c r="N92" s="870"/>
    </row>
    <row r="93">
      <c r="A93" s="226" t="s">
        <v>119</v>
      </c>
      <c r="B93" s="94">
        <f>IF('WEEK 3 '!B101='WEEK 3 '!B103,'WEEK 3 '!B101+5,IF('WEEK 3 '!F101&lt;=9,MROUND('WEEK 3 '!B99*0.95,5),'WEEK 3 '!B101))</f>
        <v>90</v>
      </c>
      <c r="C93" s="20"/>
      <c r="D93" s="20"/>
      <c r="E93" s="20"/>
      <c r="F93" s="95"/>
      <c r="H93" s="871" t="s">
        <v>119</v>
      </c>
      <c r="I93" s="94">
        <f>IF('WEEK 3 '!I101='WEEK 3 '!I103,'WEEK 3 '!I101+5,IF('WEEK 3 '!M101&lt;=9,MROUND('WEEK 3 '!I99*0.95,5),'WEEK 3 '!I101))</f>
        <v>85</v>
      </c>
      <c r="J93" s="20"/>
      <c r="K93" s="20"/>
      <c r="L93" s="20"/>
      <c r="M93" s="20"/>
    </row>
    <row r="94">
      <c r="A94" s="96" t="s">
        <v>50</v>
      </c>
      <c r="B94" s="97" t="s">
        <v>51</v>
      </c>
      <c r="C94" s="97" t="s">
        <v>52</v>
      </c>
      <c r="D94" s="872" t="s">
        <v>53</v>
      </c>
      <c r="E94" s="98" t="s">
        <v>54</v>
      </c>
      <c r="F94" s="235" t="s">
        <v>55</v>
      </c>
      <c r="H94" s="97" t="s">
        <v>50</v>
      </c>
      <c r="I94" s="97" t="s">
        <v>51</v>
      </c>
      <c r="J94" s="97" t="s">
        <v>52</v>
      </c>
      <c r="K94" s="872" t="s">
        <v>53</v>
      </c>
      <c r="L94" s="98" t="s">
        <v>54</v>
      </c>
      <c r="M94" s="235" t="s">
        <v>55</v>
      </c>
    </row>
    <row r="95">
      <c r="A95" s="244">
        <v>1.0</v>
      </c>
      <c r="B95" s="99">
        <f>if('WEEK 3 '!B102='WEEK 3 '!B103,B93,B93)</f>
        <v>90</v>
      </c>
      <c r="C95" s="99">
        <v>20.0</v>
      </c>
      <c r="D95" s="873" t="s">
        <v>57</v>
      </c>
      <c r="E95" s="100"/>
      <c r="F95" s="85"/>
      <c r="G95" s="247" t="s">
        <v>123</v>
      </c>
      <c r="H95" s="874">
        <v>1.0</v>
      </c>
      <c r="I95" s="99">
        <f>if('WEEK 3 '!I102='WEEK 3 '!I103,I93,I93)</f>
        <v>85</v>
      </c>
      <c r="J95" s="99">
        <v>20.0</v>
      </c>
      <c r="K95" s="873" t="s">
        <v>57</v>
      </c>
      <c r="L95" s="100"/>
      <c r="M95" s="85"/>
    </row>
    <row r="96">
      <c r="A96" s="242">
        <v>2.0</v>
      </c>
      <c r="B96" s="99">
        <f>if('WEEK 4 '!F95&lt;8,mround('WEEK 4 '!B95*0.8,5),IF('WEEK 4 '!F95&lt;=14,MROUND('WEEK 4 '!B95*0.95,5),'WEEK 4 '!B95))</f>
        <v>90</v>
      </c>
      <c r="C96" s="99">
        <v>20.0</v>
      </c>
      <c r="D96" s="873" t="s">
        <v>57</v>
      </c>
      <c r="E96" s="100"/>
      <c r="F96" s="85"/>
      <c r="H96" s="499">
        <v>2.0</v>
      </c>
      <c r="I96" s="99">
        <f>if('WEEK 4 '!M95&lt;8,mround('WEEK 4 '!I95*0.8,5),IF('WEEK 4 '!M95&lt;=14,MROUND('WEEK 4 '!I95*0.95,5),'WEEK 4 '!I95))</f>
        <v>70</v>
      </c>
      <c r="J96" s="99">
        <v>20.0</v>
      </c>
      <c r="K96" s="873" t="s">
        <v>57</v>
      </c>
      <c r="L96" s="100"/>
      <c r="M96" s="85"/>
    </row>
    <row r="97">
      <c r="A97" s="289">
        <v>3.0</v>
      </c>
      <c r="B97" s="101">
        <f>if('WEEK 4 '!F96&lt;8,mround('WEEK 4 '!B96*0.8,5),IF('WEEK 4 '!F96&lt;=14,MROUND('WEEK 4 '!B96*0.95,5),'WEEK 4 '!B96))</f>
        <v>90</v>
      </c>
      <c r="C97" s="101">
        <v>20.0</v>
      </c>
      <c r="D97" s="875" t="s">
        <v>57</v>
      </c>
      <c r="E97" s="102"/>
      <c r="F97" s="85"/>
      <c r="G97" s="842"/>
      <c r="H97" s="499">
        <v>3.0</v>
      </c>
      <c r="I97" s="99">
        <f>if('WEEK 4 '!M96&lt;8,mround('WEEK 4 '!I96*0.8,5),IF('WEEK 4 '!M96&lt;=14,MROUND('WEEK 4 '!I96*0.95,5),'WEEK 4 '!I96))</f>
        <v>55</v>
      </c>
      <c r="J97" s="99">
        <v>20.0</v>
      </c>
      <c r="K97" s="873" t="s">
        <v>57</v>
      </c>
      <c r="L97" s="100"/>
      <c r="M97" s="85"/>
    </row>
    <row r="98">
      <c r="A98" s="598"/>
      <c r="B98" s="598"/>
      <c r="C98" s="598"/>
      <c r="D98" s="598"/>
      <c r="E98" s="598"/>
      <c r="F98" s="598"/>
      <c r="G98" s="598"/>
      <c r="H98" s="598"/>
      <c r="I98" s="598"/>
      <c r="J98" s="598"/>
      <c r="K98" s="598"/>
      <c r="L98" s="598"/>
      <c r="M98" s="598"/>
      <c r="N98" s="598"/>
      <c r="O98" s="598"/>
      <c r="P98" s="598"/>
      <c r="Q98" s="598"/>
      <c r="R98" s="598"/>
      <c r="S98" s="598"/>
      <c r="T98" s="598"/>
      <c r="U98" s="598"/>
    </row>
    <row r="99">
      <c r="A99" s="310" t="str">
        <f>HYPERLINK("https://docs.google.com/a/fitnessresults.com/forms/d/e/1FAIpQLSd7MoczESe8Yjv6BKpmwAZGn9Aiymrs9-UdgfYIUpbr9t5NXg/viewform?usp=pp_url&amp;entry.93370101","CLICK TO COMPLETE WORKOUT")</f>
        <v>CLICK TO COMPLETE WORKOUT</v>
      </c>
      <c r="B99" s="36"/>
      <c r="C99" s="36"/>
      <c r="D99" s="36"/>
      <c r="E99" s="36"/>
      <c r="F99" s="37"/>
      <c r="G99" s="598"/>
      <c r="H99" s="598"/>
      <c r="I99" s="598"/>
      <c r="J99" s="598"/>
      <c r="K99" s="598"/>
      <c r="L99" s="598"/>
      <c r="M99" s="598"/>
      <c r="N99" s="598"/>
      <c r="O99" s="598"/>
      <c r="P99" s="598"/>
      <c r="Q99" s="598"/>
      <c r="R99" s="598"/>
      <c r="S99" s="598"/>
      <c r="T99" s="598"/>
      <c r="U99" s="598"/>
    </row>
    <row r="100">
      <c r="A100" s="598"/>
      <c r="B100" s="598"/>
      <c r="C100" s="598"/>
      <c r="D100" s="598"/>
      <c r="E100" s="598"/>
      <c r="F100" s="598"/>
      <c r="G100" s="598"/>
      <c r="H100" s="598"/>
      <c r="I100" s="598"/>
      <c r="J100" s="598"/>
      <c r="K100" s="598"/>
      <c r="L100" s="598"/>
      <c r="M100" s="598"/>
      <c r="N100" s="598"/>
      <c r="O100" s="598"/>
      <c r="P100" s="598"/>
      <c r="Q100" s="598"/>
      <c r="R100" s="598"/>
      <c r="S100" s="598"/>
      <c r="T100" s="598"/>
      <c r="U100" s="598"/>
    </row>
    <row r="101">
      <c r="A101" s="602" t="s">
        <v>62</v>
      </c>
      <c r="B101" s="36"/>
      <c r="C101" s="36"/>
      <c r="D101" s="36"/>
      <c r="E101" s="36"/>
      <c r="F101" s="37"/>
      <c r="G101" s="598"/>
    </row>
    <row r="102">
      <c r="A102" s="876"/>
    </row>
    <row r="104">
      <c r="A104" s="335" t="str">
        <f>HYPERLINK("https://www.youtube.com/watch?v=qrv8cCA-WCY","WATCH THIS BEFORE MACHINE PRESS")</f>
        <v>WATCH THIS BEFORE MACHINE PRESS</v>
      </c>
      <c r="B104" s="25"/>
      <c r="C104" s="25"/>
      <c r="D104" s="25"/>
      <c r="E104" s="25"/>
      <c r="F104" s="26"/>
      <c r="G104" s="877"/>
      <c r="H104" s="337" t="s">
        <v>131</v>
      </c>
      <c r="I104" s="36"/>
      <c r="J104" s="36"/>
      <c r="K104" s="36"/>
      <c r="L104" s="36"/>
      <c r="M104" s="37"/>
      <c r="N104" s="877"/>
      <c r="O104" s="877"/>
      <c r="P104" s="877"/>
      <c r="Q104" s="877"/>
      <c r="R104" s="877"/>
      <c r="S104" s="877"/>
      <c r="T104" s="877"/>
      <c r="U104" s="877"/>
    </row>
    <row r="105">
      <c r="A105" s="336"/>
      <c r="B105" s="11"/>
      <c r="C105" s="11"/>
      <c r="D105" s="11"/>
      <c r="E105" s="11"/>
      <c r="F105" s="46"/>
      <c r="G105" s="877"/>
      <c r="H105" s="878" t="str">
        <f>HYPERLINK("https://youtu.be/rmxOkkd2hUk","1. SHOULDER PRESS")</f>
        <v>1. SHOULDER PRESS</v>
      </c>
      <c r="I105" s="53"/>
      <c r="J105" s="53"/>
      <c r="K105" s="53"/>
      <c r="L105" s="53"/>
      <c r="M105" s="54"/>
      <c r="N105" s="877"/>
      <c r="O105" s="877"/>
      <c r="P105" s="877"/>
      <c r="Q105" s="877"/>
      <c r="R105" s="877"/>
      <c r="S105" s="877"/>
      <c r="T105" s="877"/>
      <c r="U105" s="877"/>
    </row>
    <row r="106">
      <c r="A106" s="337" t="s">
        <v>131</v>
      </c>
      <c r="B106" s="36"/>
      <c r="C106" s="36"/>
      <c r="D106" s="36"/>
      <c r="E106" s="36"/>
      <c r="F106" s="37"/>
      <c r="G106" s="247" t="s">
        <v>123</v>
      </c>
      <c r="H106" s="589" t="s">
        <v>119</v>
      </c>
      <c r="I106" s="227">
        <f>'WEEK 3 '!B113</f>
        <v>80</v>
      </c>
      <c r="J106" s="20"/>
      <c r="K106" s="20"/>
      <c r="L106" s="20"/>
      <c r="M106" s="95"/>
      <c r="N106" s="877"/>
      <c r="O106" s="877"/>
      <c r="P106" s="877"/>
      <c r="Q106" s="877"/>
      <c r="R106" s="877"/>
      <c r="S106" s="877"/>
      <c r="T106" s="877"/>
      <c r="U106" s="877"/>
    </row>
    <row r="107">
      <c r="A107" s="339" t="str">
        <f>HYPERLINK("https://www.youtube.com/watch?v=-cSBPE-y38M","1.MACHINE SHOULDER PRESS")</f>
        <v>1.MACHINE SHOULDER PRESS</v>
      </c>
      <c r="B107" s="53"/>
      <c r="C107" s="53"/>
      <c r="D107" s="53"/>
      <c r="E107" s="53"/>
      <c r="F107" s="54"/>
      <c r="H107" s="364" t="s">
        <v>50</v>
      </c>
      <c r="I107" s="365" t="s">
        <v>51</v>
      </c>
      <c r="J107" s="365" t="s">
        <v>52</v>
      </c>
      <c r="K107" s="365" t="s">
        <v>53</v>
      </c>
      <c r="L107" s="609" t="s">
        <v>54</v>
      </c>
      <c r="M107" s="61" t="s">
        <v>55</v>
      </c>
      <c r="N107" s="877"/>
      <c r="O107" s="877"/>
      <c r="P107" s="877"/>
      <c r="Q107" s="877"/>
      <c r="R107" s="877"/>
      <c r="S107" s="877"/>
      <c r="T107" s="877"/>
      <c r="U107" s="877"/>
    </row>
    <row r="108">
      <c r="A108" s="96" t="s">
        <v>50</v>
      </c>
      <c r="B108" s="97" t="s">
        <v>51</v>
      </c>
      <c r="C108" s="97" t="s">
        <v>52</v>
      </c>
      <c r="D108" s="97" t="s">
        <v>53</v>
      </c>
      <c r="E108" s="341" t="s">
        <v>54</v>
      </c>
      <c r="F108" s="235" t="s">
        <v>55</v>
      </c>
      <c r="G108" s="877"/>
      <c r="H108" s="236">
        <v>1.0</v>
      </c>
      <c r="I108" s="237">
        <f>mround(I106*0.35,5)</f>
        <v>30</v>
      </c>
      <c r="J108" s="237">
        <v>6.0</v>
      </c>
      <c r="K108" s="238" t="s">
        <v>120</v>
      </c>
      <c r="L108" s="66"/>
      <c r="M108" s="67"/>
      <c r="N108" s="877"/>
      <c r="O108" s="877"/>
      <c r="P108" s="877"/>
      <c r="Q108" s="877"/>
      <c r="R108" s="877"/>
      <c r="S108" s="877"/>
      <c r="T108" s="877"/>
      <c r="U108" s="877"/>
    </row>
    <row r="109">
      <c r="A109" s="342">
        <v>1.0</v>
      </c>
      <c r="B109" s="343">
        <f>MROUND('WEEK 3 '!B113*0.5,10)</f>
        <v>40</v>
      </c>
      <c r="C109" s="344">
        <v>10.0</v>
      </c>
      <c r="D109" s="345" t="s">
        <v>122</v>
      </c>
      <c r="E109" s="346"/>
      <c r="F109" s="85"/>
      <c r="G109" s="877"/>
      <c r="H109" s="236">
        <v>2.0</v>
      </c>
      <c r="I109" s="237">
        <f>mround('WEEK 4 '!I106*0.65,5)</f>
        <v>50</v>
      </c>
      <c r="J109" s="237">
        <v>1.0</v>
      </c>
      <c r="K109" s="238" t="s">
        <v>57</v>
      </c>
      <c r="L109" s="66"/>
      <c r="M109" s="67"/>
      <c r="N109" s="877"/>
      <c r="O109" s="877"/>
      <c r="P109" s="877"/>
      <c r="Q109" s="877"/>
      <c r="R109" s="877"/>
      <c r="S109" s="877"/>
      <c r="T109" s="877"/>
      <c r="U109" s="877"/>
    </row>
    <row r="110">
      <c r="A110" s="342">
        <v>2.0</v>
      </c>
      <c r="B110" s="348">
        <f t="shared" ref="B110:B111" si="1">mround(B109+20,5)</f>
        <v>60</v>
      </c>
      <c r="C110" s="344">
        <v>10.0</v>
      </c>
      <c r="D110" s="345" t="s">
        <v>122</v>
      </c>
      <c r="E110" s="346"/>
      <c r="F110" s="85"/>
      <c r="G110" s="877"/>
      <c r="H110" s="242">
        <v>3.0</v>
      </c>
      <c r="I110" s="237">
        <f>mround('WEEK 4 '!I106*0.9,5)</f>
        <v>70</v>
      </c>
      <c r="J110" s="82">
        <v>1.0</v>
      </c>
      <c r="K110" s="65" t="s">
        <v>57</v>
      </c>
      <c r="L110" s="66"/>
      <c r="M110" s="67"/>
      <c r="N110" s="877"/>
      <c r="O110" s="877"/>
      <c r="P110" s="877"/>
      <c r="Q110" s="877"/>
      <c r="R110" s="877"/>
      <c r="S110" s="877"/>
      <c r="T110" s="877"/>
      <c r="U110" s="877"/>
    </row>
    <row r="111">
      <c r="A111" s="342">
        <v>3.0</v>
      </c>
      <c r="B111" s="348">
        <f t="shared" si="1"/>
        <v>80</v>
      </c>
      <c r="C111" s="344">
        <v>10.0</v>
      </c>
      <c r="D111" s="345" t="s">
        <v>122</v>
      </c>
      <c r="E111" s="346"/>
      <c r="F111" s="85"/>
      <c r="G111" s="877"/>
      <c r="H111" s="242">
        <v>4.0</v>
      </c>
      <c r="I111" s="237">
        <f>'WEEK 4 '!I106</f>
        <v>80</v>
      </c>
      <c r="J111" s="82">
        <v>1.0</v>
      </c>
      <c r="K111" s="65" t="s">
        <v>57</v>
      </c>
      <c r="L111" s="66"/>
      <c r="M111" s="67"/>
      <c r="N111" s="877"/>
      <c r="O111" s="877"/>
      <c r="P111" s="877"/>
      <c r="Q111" s="877"/>
      <c r="R111" s="877"/>
      <c r="S111" s="877"/>
      <c r="T111" s="877"/>
      <c r="U111" s="877"/>
    </row>
    <row r="112">
      <c r="A112" s="342">
        <v>4.0</v>
      </c>
      <c r="B112" s="348">
        <f t="shared" ref="B112:B113" si="2">mround(B111+10,5)</f>
        <v>90</v>
      </c>
      <c r="C112" s="344">
        <v>10.0</v>
      </c>
      <c r="D112" s="345" t="s">
        <v>122</v>
      </c>
      <c r="E112" s="346"/>
      <c r="F112" s="85"/>
      <c r="G112" s="877"/>
      <c r="H112" s="246" t="s">
        <v>163</v>
      </c>
      <c r="I112" s="20"/>
      <c r="J112" s="20"/>
      <c r="K112" s="20"/>
      <c r="L112" s="20"/>
      <c r="M112" s="95"/>
      <c r="N112" s="877"/>
      <c r="O112" s="877"/>
      <c r="P112" s="877"/>
      <c r="Q112" s="877"/>
      <c r="R112" s="877"/>
      <c r="S112" s="877"/>
      <c r="T112" s="877"/>
      <c r="U112" s="877"/>
    </row>
    <row r="113">
      <c r="A113" s="342">
        <v>5.0</v>
      </c>
      <c r="B113" s="348">
        <f t="shared" si="2"/>
        <v>100</v>
      </c>
      <c r="C113" s="344">
        <v>10.0</v>
      </c>
      <c r="D113" s="345" t="s">
        <v>122</v>
      </c>
      <c r="E113" s="346"/>
      <c r="F113" s="85"/>
      <c r="G113" s="877"/>
      <c r="H113" s="244">
        <f>if('WEEK 4 '!M111&lt;1,"",5)</f>
        <v>5</v>
      </c>
      <c r="I113" s="82">
        <f>IF('WEEK 4 '!M111&lt;1,"",'WEEK 4 '!I111+5)</f>
        <v>85</v>
      </c>
      <c r="J113" s="238">
        <f>if('WEEK 4 '!M111&lt;1,"",1)</f>
        <v>1</v>
      </c>
      <c r="K113" s="238" t="str">
        <f>if('WEEK 4 '!M111&lt;1,"","1-5 MIN")</f>
        <v>1-5 MIN</v>
      </c>
      <c r="L113" s="250"/>
      <c r="M113" s="67"/>
      <c r="N113" s="877"/>
      <c r="O113" s="877"/>
      <c r="P113" s="877"/>
      <c r="Q113" s="877"/>
      <c r="R113" s="877"/>
      <c r="S113" s="877"/>
      <c r="T113" s="877"/>
      <c r="U113" s="877"/>
    </row>
    <row r="114">
      <c r="A114" s="342">
        <v>6.0</v>
      </c>
      <c r="B114" s="350">
        <f>B113+10</f>
        <v>110</v>
      </c>
      <c r="C114" s="344">
        <v>10.0</v>
      </c>
      <c r="D114" s="345" t="s">
        <v>122</v>
      </c>
      <c r="E114" s="351"/>
      <c r="F114" s="85"/>
      <c r="G114" s="877"/>
      <c r="H114" s="242" t="str">
        <f>IF('WEEK 4 '!M113&lt;1,"","6")</f>
        <v>6</v>
      </c>
      <c r="I114" s="237">
        <f>IF('WEEK 4 '!M113&lt;1,"",'WEEK 4 '!I113+5)</f>
        <v>90</v>
      </c>
      <c r="J114" s="245" t="str">
        <f>IF('WEEK 4 '!M113&lt;1,"","1")</f>
        <v>1</v>
      </c>
      <c r="K114" s="63" t="str">
        <f>IF('WEEK 4 '!M113&lt;1,"","1-5 MIN")</f>
        <v>1-5 MIN</v>
      </c>
      <c r="L114" s="258"/>
      <c r="M114" s="665"/>
      <c r="N114" s="877"/>
      <c r="O114" s="877"/>
      <c r="P114" s="877"/>
      <c r="Q114" s="877"/>
      <c r="R114" s="877"/>
      <c r="S114" s="877"/>
      <c r="T114" s="877"/>
      <c r="U114" s="877"/>
    </row>
    <row r="115">
      <c r="A115" s="352">
        <v>7.0</v>
      </c>
      <c r="B115" s="353">
        <f>mround(B114+10,5)</f>
        <v>120</v>
      </c>
      <c r="C115" s="354">
        <v>10.0</v>
      </c>
      <c r="D115" s="355" t="s">
        <v>122</v>
      </c>
      <c r="E115" s="356"/>
      <c r="F115" s="85"/>
      <c r="G115" s="877"/>
      <c r="H115" s="246" t="s">
        <v>133</v>
      </c>
      <c r="I115" s="20"/>
      <c r="J115" s="20"/>
      <c r="K115" s="20"/>
      <c r="L115" s="20"/>
      <c r="M115" s="95"/>
      <c r="N115" s="877"/>
      <c r="O115" s="877"/>
      <c r="P115" s="877"/>
      <c r="Q115" s="877"/>
      <c r="R115" s="877"/>
      <c r="S115" s="877"/>
      <c r="T115" s="877"/>
      <c r="U115" s="877"/>
    </row>
    <row r="116">
      <c r="A116" s="357" t="s">
        <v>132</v>
      </c>
      <c r="B116" s="358">
        <v>150.0</v>
      </c>
      <c r="C116" s="36"/>
      <c r="D116" s="36"/>
      <c r="E116" s="36"/>
      <c r="F116" s="37"/>
      <c r="G116" s="877"/>
      <c r="H116" s="879">
        <f>IF(M113&gt;=1,7,IF(M111&lt;1,5,6))</f>
        <v>5</v>
      </c>
      <c r="I116" s="265">
        <f>MROUND('WEEK 4 '!I118*0.9,5)</f>
        <v>75</v>
      </c>
      <c r="J116" s="266" t="s">
        <v>65</v>
      </c>
      <c r="K116" s="267" t="s">
        <v>127</v>
      </c>
      <c r="L116" s="268"/>
      <c r="M116" s="843"/>
      <c r="N116" s="877"/>
      <c r="O116" s="877"/>
      <c r="P116" s="877"/>
      <c r="Q116" s="877"/>
      <c r="R116" s="877"/>
      <c r="S116" s="877"/>
      <c r="T116" s="877"/>
      <c r="U116" s="877"/>
    </row>
    <row r="117">
      <c r="G117" s="877"/>
      <c r="H117" s="242">
        <f>IF('WEEK 4 '!M113&gt;=1,8,IF('WEEK 4 '!M111&lt;1,6,7))</f>
        <v>8</v>
      </c>
      <c r="I117" s="237">
        <f>mround('WEEK 4 '!I118*0.78,5)</f>
        <v>65</v>
      </c>
      <c r="J117" s="245" t="s">
        <v>65</v>
      </c>
      <c r="K117" s="65" t="s">
        <v>127</v>
      </c>
      <c r="L117" s="258"/>
      <c r="M117" s="67"/>
      <c r="N117" s="877"/>
      <c r="O117" s="877"/>
      <c r="P117" s="877"/>
      <c r="Q117" s="877"/>
      <c r="R117" s="877"/>
      <c r="S117" s="877"/>
      <c r="T117" s="877"/>
      <c r="U117" s="877"/>
    </row>
    <row r="118">
      <c r="G118" s="877"/>
      <c r="H118" s="272" t="s">
        <v>124</v>
      </c>
      <c r="I118" s="332">
        <f>IF(OR(ISBLANK('WEEK 4 '!M111),ISBLANK('WEEK 4 '!M110),ISBLANK('WEEK 4 '!M109)),"",IF('WEEK 4 '!M114&gt;=1,'WEEK 4 '!I114,IF('WEEK 4 '!M113&gt;=1,'WEEK 4 '!I113,IF('WEEK 4 '!M111&lt;1,'WEEK 4 '!I111-5,'WEEK 4 '!I111))))</f>
        <v>85</v>
      </c>
      <c r="J118" s="33"/>
      <c r="K118" s="33"/>
      <c r="L118" s="33"/>
      <c r="M118" s="34"/>
      <c r="N118" s="877"/>
      <c r="O118" s="877"/>
      <c r="P118" s="877"/>
      <c r="Q118" s="877"/>
      <c r="R118" s="877"/>
      <c r="S118" s="877"/>
      <c r="T118" s="877"/>
      <c r="U118" s="877"/>
    </row>
    <row r="119">
      <c r="A119" s="880"/>
      <c r="B119" s="880"/>
      <c r="C119" s="880"/>
      <c r="D119" s="880"/>
      <c r="E119" s="881"/>
      <c r="F119" s="598"/>
      <c r="G119" s="877"/>
      <c r="H119" s="877"/>
      <c r="I119" s="877"/>
      <c r="J119" s="877"/>
      <c r="K119" s="877"/>
      <c r="L119" s="877"/>
      <c r="M119" s="877"/>
      <c r="N119" s="877"/>
      <c r="O119" s="877"/>
      <c r="P119" s="877"/>
      <c r="Q119" s="877"/>
      <c r="R119" s="877"/>
      <c r="S119" s="877"/>
      <c r="T119" s="877"/>
      <c r="U119" s="877"/>
    </row>
    <row r="120">
      <c r="A120" s="687" t="str">
        <f>HYPERLINK("https://www.youtube.com/watch?v=XDLQt1j3qUU","2. DUMBBELL REAR DELT FLY ")</f>
        <v>2. DUMBBELL REAR DELT FLY </v>
      </c>
      <c r="B120" s="53"/>
      <c r="C120" s="53"/>
      <c r="D120" s="53"/>
      <c r="E120" s="53"/>
      <c r="F120" s="54"/>
      <c r="G120" s="877"/>
      <c r="H120" s="877"/>
      <c r="I120" s="877"/>
      <c r="J120" s="877"/>
      <c r="K120" s="877"/>
      <c r="L120" s="877"/>
      <c r="M120" s="877"/>
      <c r="N120" s="877"/>
      <c r="O120" s="877"/>
      <c r="P120" s="877"/>
      <c r="Q120" s="877"/>
      <c r="R120" s="877"/>
      <c r="S120" s="877"/>
      <c r="T120" s="877"/>
      <c r="U120" s="877"/>
    </row>
    <row r="121">
      <c r="A121" s="226" t="s">
        <v>145</v>
      </c>
      <c r="B121" s="691">
        <f>IF('WEEK 4 '!I118="",'WEEK 3 '!B113,'WEEK 4 '!I118)</f>
        <v>85</v>
      </c>
      <c r="C121" s="13"/>
      <c r="D121" s="13"/>
      <c r="E121" s="13"/>
      <c r="F121" s="57"/>
      <c r="G121" s="877"/>
      <c r="H121" s="877"/>
      <c r="I121" s="877"/>
      <c r="J121" s="877"/>
      <c r="K121" s="877"/>
      <c r="L121" s="877"/>
      <c r="M121" s="877"/>
      <c r="N121" s="877"/>
      <c r="O121" s="877"/>
      <c r="P121" s="877"/>
      <c r="Q121" s="877"/>
      <c r="R121" s="877"/>
      <c r="S121" s="877"/>
      <c r="T121" s="877"/>
      <c r="U121" s="877"/>
    </row>
    <row r="122">
      <c r="A122" s="96" t="s">
        <v>50</v>
      </c>
      <c r="B122" s="97" t="s">
        <v>51</v>
      </c>
      <c r="C122" s="97" t="s">
        <v>52</v>
      </c>
      <c r="D122" s="97" t="s">
        <v>53</v>
      </c>
      <c r="E122" s="341" t="s">
        <v>54</v>
      </c>
      <c r="F122" s="235" t="s">
        <v>55</v>
      </c>
      <c r="G122" s="877"/>
      <c r="H122" s="877"/>
      <c r="I122" s="877"/>
      <c r="J122" s="877"/>
      <c r="K122" s="877"/>
      <c r="L122" s="877"/>
      <c r="M122" s="877"/>
      <c r="N122" s="877"/>
      <c r="O122" s="877"/>
      <c r="P122" s="877"/>
      <c r="Q122" s="877"/>
      <c r="R122" s="877"/>
      <c r="S122" s="877"/>
      <c r="T122" s="877"/>
      <c r="U122" s="877"/>
    </row>
    <row r="123">
      <c r="A123" s="556">
        <v>1.0</v>
      </c>
      <c r="B123" s="237">
        <f>MROUND('WEEK 4 '!B121*0.2,2.5)</f>
        <v>17.5</v>
      </c>
      <c r="C123" s="65" t="s">
        <v>168</v>
      </c>
      <c r="D123" s="693" t="s">
        <v>127</v>
      </c>
      <c r="E123" s="346"/>
      <c r="F123" s="694"/>
      <c r="G123" s="877"/>
      <c r="H123" s="877"/>
      <c r="I123" s="877"/>
      <c r="J123" s="877"/>
      <c r="K123" s="877"/>
      <c r="L123" s="877"/>
      <c r="M123" s="877"/>
      <c r="N123" s="877"/>
      <c r="O123" s="877"/>
      <c r="P123" s="877"/>
      <c r="Q123" s="877"/>
      <c r="R123" s="877"/>
      <c r="S123" s="877"/>
      <c r="T123" s="877"/>
      <c r="U123" s="877"/>
    </row>
    <row r="124">
      <c r="A124" s="556">
        <v>2.0</v>
      </c>
      <c r="B124" s="237">
        <f>if('WEEK 4 '!F123&lt;6,mround('WEEK 4 '!B123*0.8,5),IF('WEEK 4 '!F123&lt;=10,MROUND('WEEK 4 '!B123*0.95,5),'WEEK 4 '!B123))</f>
        <v>17.5</v>
      </c>
      <c r="C124" s="65" t="s">
        <v>169</v>
      </c>
      <c r="D124" s="693" t="s">
        <v>127</v>
      </c>
      <c r="E124" s="346"/>
      <c r="F124" s="694"/>
      <c r="G124" s="877"/>
      <c r="H124" s="877"/>
      <c r="I124" s="877"/>
      <c r="J124" s="877"/>
      <c r="K124" s="877"/>
      <c r="L124" s="877"/>
      <c r="M124" s="877"/>
      <c r="N124" s="877"/>
      <c r="O124" s="877"/>
      <c r="P124" s="877"/>
      <c r="Q124" s="877"/>
      <c r="R124" s="877"/>
      <c r="S124" s="877"/>
      <c r="T124" s="877"/>
      <c r="U124" s="877"/>
    </row>
    <row r="125">
      <c r="A125" s="561">
        <v>3.0</v>
      </c>
      <c r="B125" s="371">
        <f>if('WEEK 4 '!F124&lt;8,mround('WEEK 4 '!B124*0.8,5),IF('WEEK 4 '!F124&lt;=14,MROUND('WEEK 4 '!B124*0.95,5),'WEEK 4 '!B124))</f>
        <v>17.5</v>
      </c>
      <c r="C125" s="65" t="s">
        <v>169</v>
      </c>
      <c r="D125" s="794" t="s">
        <v>127</v>
      </c>
      <c r="E125" s="695"/>
      <c r="F125" s="694"/>
      <c r="G125" s="877"/>
      <c r="H125" s="877"/>
      <c r="I125" s="877"/>
      <c r="J125" s="877"/>
      <c r="K125" s="877"/>
      <c r="L125" s="877"/>
      <c r="M125" s="877"/>
      <c r="N125" s="877"/>
      <c r="O125" s="877"/>
      <c r="P125" s="877"/>
      <c r="Q125" s="877"/>
      <c r="R125" s="877"/>
      <c r="S125" s="877"/>
      <c r="T125" s="877"/>
      <c r="U125" s="877"/>
    </row>
    <row r="126">
      <c r="A126" s="640"/>
      <c r="G126" s="877"/>
      <c r="H126" s="877"/>
      <c r="I126" s="877"/>
      <c r="J126" s="877"/>
      <c r="K126" s="877"/>
      <c r="L126" s="877"/>
      <c r="M126" s="877"/>
      <c r="N126" s="877"/>
      <c r="O126" s="877"/>
      <c r="P126" s="877"/>
      <c r="Q126" s="877"/>
      <c r="R126" s="877"/>
      <c r="S126" s="877"/>
      <c r="T126" s="877"/>
      <c r="U126" s="877"/>
    </row>
    <row r="127">
      <c r="G127" s="877"/>
      <c r="H127" s="877"/>
      <c r="I127" s="877"/>
      <c r="J127" s="877"/>
      <c r="K127" s="877"/>
      <c r="L127" s="877"/>
      <c r="M127" s="877"/>
      <c r="N127" s="877"/>
      <c r="O127" s="877"/>
      <c r="P127" s="877"/>
      <c r="Q127" s="877"/>
      <c r="R127" s="877"/>
      <c r="S127" s="877"/>
      <c r="T127" s="877"/>
      <c r="U127" s="877"/>
    </row>
    <row r="128">
      <c r="A128" s="513" t="str">
        <f>HYPERLINK("https://youtu.be/QUNZvtb6mnY","3. DUMBBELL SIDE LATERAL RAISE")</f>
        <v>3. DUMBBELL SIDE LATERAL RAISE</v>
      </c>
      <c r="B128" s="53"/>
      <c r="C128" s="53"/>
      <c r="D128" s="53"/>
      <c r="E128" s="53"/>
      <c r="F128" s="54"/>
      <c r="G128" s="877"/>
      <c r="H128" s="877"/>
      <c r="I128" s="877"/>
      <c r="J128" s="877"/>
      <c r="K128" s="877"/>
      <c r="L128" s="877"/>
      <c r="M128" s="877"/>
      <c r="N128" s="877"/>
      <c r="O128" s="877"/>
      <c r="P128" s="877"/>
      <c r="Q128" s="877"/>
      <c r="R128" s="877"/>
      <c r="S128" s="877"/>
      <c r="T128" s="877"/>
      <c r="U128" s="877"/>
    </row>
    <row r="129">
      <c r="A129" s="226" t="s">
        <v>145</v>
      </c>
      <c r="B129" s="90">
        <f>IF('WEEK 4 '!I118="",'WEEK 3 '!B131,'WEEK 4 '!I118)</f>
        <v>85</v>
      </c>
      <c r="C129" s="13"/>
      <c r="D129" s="13"/>
      <c r="E129" s="13"/>
      <c r="F129" s="57"/>
      <c r="G129" s="877"/>
      <c r="H129" s="877"/>
      <c r="I129" s="877"/>
      <c r="J129" s="877"/>
      <c r="K129" s="877"/>
      <c r="L129" s="877"/>
      <c r="M129" s="877"/>
      <c r="N129" s="877"/>
      <c r="O129" s="877"/>
      <c r="P129" s="877"/>
      <c r="Q129" s="877"/>
      <c r="R129" s="877"/>
      <c r="S129" s="877"/>
      <c r="T129" s="877"/>
      <c r="U129" s="877"/>
    </row>
    <row r="130">
      <c r="A130" s="376" t="s">
        <v>50</v>
      </c>
      <c r="B130" s="79" t="s">
        <v>51</v>
      </c>
      <c r="C130" s="79" t="s">
        <v>52</v>
      </c>
      <c r="D130" s="79" t="s">
        <v>53</v>
      </c>
      <c r="E130" s="98" t="s">
        <v>54</v>
      </c>
      <c r="F130" s="377" t="s">
        <v>55</v>
      </c>
      <c r="G130" s="877"/>
      <c r="H130" s="877"/>
      <c r="I130" s="877"/>
      <c r="J130" s="877"/>
      <c r="K130" s="877"/>
      <c r="L130" s="877"/>
      <c r="M130" s="877"/>
      <c r="N130" s="877"/>
      <c r="O130" s="877"/>
      <c r="P130" s="877"/>
      <c r="Q130" s="877"/>
      <c r="R130" s="877"/>
      <c r="S130" s="877"/>
      <c r="T130" s="877"/>
      <c r="U130" s="877"/>
    </row>
    <row r="131">
      <c r="A131" s="81">
        <v>1.0</v>
      </c>
      <c r="B131" s="82">
        <f>mround('WEEK 4 '!B129*0.2,5)</f>
        <v>15</v>
      </c>
      <c r="C131" s="63" t="s">
        <v>61</v>
      </c>
      <c r="D131" s="83" t="s">
        <v>57</v>
      </c>
      <c r="E131" s="378"/>
      <c r="F131" s="796"/>
      <c r="G131" s="877"/>
      <c r="H131" s="877"/>
      <c r="I131" s="877"/>
      <c r="J131" s="877"/>
      <c r="K131" s="877"/>
      <c r="L131" s="877"/>
      <c r="M131" s="877"/>
      <c r="N131" s="877"/>
      <c r="O131" s="877"/>
      <c r="P131" s="877"/>
      <c r="Q131" s="877"/>
      <c r="R131" s="877"/>
      <c r="S131" s="877"/>
      <c r="T131" s="877"/>
      <c r="U131" s="877"/>
    </row>
    <row r="132">
      <c r="A132" s="81">
        <v>2.0</v>
      </c>
      <c r="B132" s="82">
        <f>if('WEEK 4 '!F131&lt;12,mround('WEEK 4 '!B129*0.15,2.5),'WEEK 4 '!B131)</f>
        <v>15</v>
      </c>
      <c r="C132" s="63" t="s">
        <v>61</v>
      </c>
      <c r="D132" s="83" t="s">
        <v>57</v>
      </c>
      <c r="E132" s="378"/>
      <c r="F132" s="330"/>
      <c r="G132" s="877"/>
      <c r="H132" s="877"/>
      <c r="I132" s="877"/>
      <c r="J132" s="877"/>
      <c r="K132" s="877"/>
      <c r="L132" s="877"/>
      <c r="M132" s="877"/>
      <c r="N132" s="877"/>
      <c r="O132" s="877"/>
      <c r="P132" s="877"/>
      <c r="Q132" s="877"/>
      <c r="R132" s="877"/>
      <c r="S132" s="877"/>
      <c r="T132" s="877"/>
      <c r="U132" s="877"/>
    </row>
    <row r="133">
      <c r="A133" s="86">
        <v>3.0</v>
      </c>
      <c r="B133" s="87">
        <f>if('WEEK 4 '!F132&lt;12,mround('WEEK 4 '!B129*0.1,2.5),'WEEK 4 '!B132)</f>
        <v>15</v>
      </c>
      <c r="C133" s="63" t="s">
        <v>61</v>
      </c>
      <c r="D133" s="88" t="s">
        <v>57</v>
      </c>
      <c r="E133" s="379"/>
      <c r="F133" s="85"/>
      <c r="G133" s="877"/>
      <c r="H133" s="877"/>
      <c r="I133" s="877"/>
      <c r="J133" s="877"/>
      <c r="K133" s="877"/>
      <c r="L133" s="877"/>
      <c r="M133" s="877"/>
      <c r="N133" s="877"/>
      <c r="O133" s="877"/>
      <c r="P133" s="877"/>
      <c r="Q133" s="877"/>
      <c r="R133" s="877"/>
      <c r="S133" s="877"/>
      <c r="T133" s="877"/>
      <c r="U133" s="877"/>
    </row>
    <row r="134">
      <c r="A134" s="640"/>
      <c r="G134" s="877"/>
      <c r="H134" s="877"/>
      <c r="I134" s="877"/>
      <c r="J134" s="877"/>
      <c r="K134" s="877"/>
      <c r="L134" s="877"/>
      <c r="M134" s="877"/>
      <c r="N134" s="877"/>
      <c r="O134" s="877"/>
      <c r="P134" s="877"/>
      <c r="Q134" s="877"/>
      <c r="R134" s="877"/>
      <c r="S134" s="877"/>
      <c r="T134" s="877"/>
      <c r="U134" s="877"/>
    </row>
    <row r="135">
      <c r="G135" s="877"/>
      <c r="H135" s="877"/>
      <c r="I135" s="877"/>
      <c r="J135" s="877"/>
      <c r="K135" s="877"/>
      <c r="L135" s="877"/>
      <c r="M135" s="877"/>
      <c r="N135" s="877"/>
      <c r="O135" s="877"/>
      <c r="P135" s="877"/>
      <c r="Q135" s="877"/>
      <c r="R135" s="877"/>
      <c r="S135" s="877"/>
      <c r="T135" s="877"/>
      <c r="U135" s="877"/>
    </row>
    <row r="136">
      <c r="A136" s="361" t="str">
        <f>HYPERLINK("https://www.youtube.com/watch?v=Zt0LwrUdpNs","2.  TRICEP OVERHEAD ROPE EXTENSION")</f>
        <v>2.  TRICEP OVERHEAD ROPE EXTENSION</v>
      </c>
      <c r="B136" s="53"/>
      <c r="C136" s="53"/>
      <c r="D136" s="53"/>
      <c r="E136" s="53"/>
      <c r="F136" s="54"/>
      <c r="G136" s="877"/>
      <c r="H136" s="877"/>
      <c r="I136" s="877"/>
      <c r="J136" s="877"/>
      <c r="K136" s="877"/>
      <c r="L136" s="877"/>
      <c r="M136" s="877"/>
      <c r="N136" s="877"/>
      <c r="O136" s="877"/>
      <c r="P136" s="877"/>
      <c r="Q136" s="877"/>
      <c r="R136" s="877"/>
      <c r="S136" s="877"/>
      <c r="T136" s="877"/>
      <c r="U136" s="877"/>
    </row>
    <row r="137">
      <c r="A137" s="226" t="s">
        <v>119</v>
      </c>
      <c r="B137" s="76">
        <f>'WEEK 3 '!B139</f>
        <v>80</v>
      </c>
      <c r="C137" s="13"/>
      <c r="D137" s="13"/>
      <c r="E137" s="13"/>
      <c r="F137" s="57"/>
      <c r="G137" s="877"/>
      <c r="H137" s="877"/>
      <c r="I137" s="877"/>
      <c r="J137" s="877"/>
      <c r="K137" s="877"/>
      <c r="L137" s="877"/>
      <c r="M137" s="877"/>
      <c r="N137" s="877"/>
      <c r="O137" s="877"/>
      <c r="P137" s="877"/>
      <c r="Q137" s="877"/>
      <c r="R137" s="877"/>
      <c r="S137" s="877"/>
      <c r="T137" s="877"/>
      <c r="U137" s="877"/>
    </row>
    <row r="138">
      <c r="A138" s="77" t="s">
        <v>50</v>
      </c>
      <c r="B138" s="78" t="s">
        <v>51</v>
      </c>
      <c r="C138" s="78" t="s">
        <v>52</v>
      </c>
      <c r="D138" s="78" t="s">
        <v>53</v>
      </c>
      <c r="E138" s="80" t="s">
        <v>54</v>
      </c>
      <c r="F138" s="235" t="s">
        <v>55</v>
      </c>
      <c r="G138" s="877"/>
      <c r="H138" s="877"/>
      <c r="I138" s="877"/>
      <c r="J138" s="877"/>
      <c r="K138" s="877"/>
      <c r="L138" s="877"/>
      <c r="M138" s="877"/>
      <c r="N138" s="877"/>
      <c r="O138" s="877"/>
      <c r="P138" s="877"/>
      <c r="Q138" s="877"/>
      <c r="R138" s="877"/>
      <c r="S138" s="877"/>
      <c r="T138" s="877"/>
      <c r="U138" s="877"/>
    </row>
    <row r="139">
      <c r="A139" s="81">
        <v>1.0</v>
      </c>
      <c r="B139" s="82">
        <f>'WEEK 4 '!B137</f>
        <v>80</v>
      </c>
      <c r="C139" s="65" t="s">
        <v>61</v>
      </c>
      <c r="D139" s="83" t="s">
        <v>58</v>
      </c>
      <c r="E139" s="84" t="str">
        <f>IF('WEEK 1 '!B142=B139,'WEEK 1 '!F142,"")</f>
        <v/>
      </c>
      <c r="F139" s="85"/>
      <c r="G139" s="877"/>
      <c r="H139" s="877"/>
      <c r="I139" s="877"/>
      <c r="J139" s="877"/>
      <c r="K139" s="877"/>
      <c r="L139" s="877"/>
      <c r="M139" s="877"/>
      <c r="N139" s="877"/>
      <c r="O139" s="877"/>
      <c r="P139" s="877"/>
      <c r="Q139" s="877"/>
      <c r="R139" s="877"/>
      <c r="S139" s="877"/>
      <c r="T139" s="877"/>
      <c r="U139" s="877"/>
    </row>
    <row r="140">
      <c r="A140" s="81">
        <v>2.0</v>
      </c>
      <c r="B140" s="82">
        <f>if('WEEK 4 '!F139&lt;10,mround('WEEK 4 '!B139*0.8,5),IF('WEEK 4 '!F139&lt;=14,MROUND('WEEK 4 '!B137*0.95,5),'WEEK 4 '!B139))</f>
        <v>80</v>
      </c>
      <c r="C140" s="65" t="s">
        <v>61</v>
      </c>
      <c r="D140" s="83" t="s">
        <v>58</v>
      </c>
      <c r="E140" s="84" t="str">
        <f>IF('WEEK 1 '!B143=B140,'WEEK 1 '!F143,"")</f>
        <v/>
      </c>
      <c r="F140" s="85"/>
      <c r="G140" s="877"/>
      <c r="H140" s="877"/>
      <c r="I140" s="877"/>
      <c r="J140" s="877"/>
      <c r="K140" s="877"/>
      <c r="L140" s="877"/>
      <c r="M140" s="877"/>
      <c r="N140" s="877"/>
      <c r="O140" s="877"/>
      <c r="P140" s="877"/>
      <c r="Q140" s="877"/>
      <c r="R140" s="877"/>
      <c r="S140" s="877"/>
      <c r="T140" s="877"/>
      <c r="U140" s="877"/>
    </row>
    <row r="141">
      <c r="A141" s="629">
        <v>3.0</v>
      </c>
      <c r="B141" s="82">
        <f>if('WEEK 4 '!F140&lt;10,mround('WEEK 4 '!B140*0.8,5),IF('WEEK 4 '!F140&lt;=14,MROUND('WEEK 4 '!B140*0.95,5),'WEEK 4 '!B140))</f>
        <v>80</v>
      </c>
      <c r="C141" s="65" t="s">
        <v>61</v>
      </c>
      <c r="D141" s="328" t="s">
        <v>58</v>
      </c>
      <c r="E141" s="632" t="str">
        <f>IF('WEEK 1 '!B144=B141,'WEEK 1 '!F144,"")</f>
        <v/>
      </c>
      <c r="F141" s="330"/>
      <c r="G141" s="877"/>
      <c r="H141" s="877"/>
      <c r="I141" s="877"/>
      <c r="J141" s="877"/>
      <c r="K141" s="877"/>
      <c r="L141" s="877"/>
      <c r="M141" s="877"/>
      <c r="N141" s="877"/>
      <c r="O141" s="877"/>
      <c r="P141" s="877"/>
      <c r="Q141" s="877"/>
      <c r="R141" s="877"/>
      <c r="S141" s="877"/>
      <c r="T141" s="877"/>
      <c r="U141" s="877"/>
    </row>
    <row r="142">
      <c r="A142" s="598"/>
      <c r="G142" s="877"/>
      <c r="H142" s="877"/>
      <c r="I142" s="877"/>
      <c r="J142" s="877"/>
      <c r="K142" s="877"/>
      <c r="L142" s="877"/>
      <c r="M142" s="877"/>
      <c r="N142" s="877"/>
      <c r="O142" s="877"/>
      <c r="P142" s="877"/>
      <c r="Q142" s="877"/>
      <c r="R142" s="877"/>
      <c r="S142" s="877"/>
      <c r="T142" s="877"/>
      <c r="U142" s="877"/>
    </row>
    <row r="143">
      <c r="G143" s="877"/>
      <c r="H143" s="877"/>
      <c r="I143" s="877"/>
      <c r="J143" s="877"/>
      <c r="K143" s="877"/>
      <c r="L143" s="877"/>
      <c r="M143" s="877"/>
      <c r="N143" s="877"/>
      <c r="O143" s="877"/>
      <c r="P143" s="877"/>
      <c r="Q143" s="877"/>
      <c r="R143" s="877"/>
      <c r="S143" s="877"/>
      <c r="T143" s="877"/>
      <c r="U143" s="877"/>
    </row>
    <row r="144">
      <c r="A144" s="113" t="str">
        <f>HYPERLINK("https://www.youtube.com/watch?v=TorWpKwLCSg","5. ALTERNATING BICEP CURLS ")</f>
        <v>5. ALTERNATING BICEP CURLS </v>
      </c>
      <c r="B144" s="53"/>
      <c r="C144" s="53"/>
      <c r="D144" s="53"/>
      <c r="E144" s="53"/>
      <c r="F144" s="54"/>
      <c r="G144" s="877"/>
      <c r="H144" s="877"/>
      <c r="I144" s="877"/>
      <c r="J144" s="877"/>
      <c r="K144" s="877"/>
      <c r="L144" s="877"/>
      <c r="M144" s="877"/>
      <c r="N144" s="877"/>
      <c r="O144" s="877"/>
      <c r="P144" s="877"/>
      <c r="Q144" s="877"/>
      <c r="R144" s="877"/>
      <c r="S144" s="877"/>
      <c r="T144" s="877"/>
      <c r="U144" s="877"/>
    </row>
    <row r="145">
      <c r="A145" s="226" t="s">
        <v>119</v>
      </c>
      <c r="B145" s="76">
        <f>'DETERMINING MAX WEEK'!E193</f>
        <v>40</v>
      </c>
      <c r="C145" s="13"/>
      <c r="D145" s="13"/>
      <c r="E145" s="13"/>
      <c r="F145" s="57"/>
      <c r="G145" s="877"/>
      <c r="H145" s="877"/>
      <c r="I145" s="877"/>
      <c r="J145" s="877"/>
      <c r="K145" s="877"/>
      <c r="L145" s="877"/>
      <c r="M145" s="877"/>
      <c r="N145" s="877"/>
      <c r="O145" s="877"/>
      <c r="P145" s="877"/>
      <c r="Q145" s="877"/>
      <c r="R145" s="877"/>
      <c r="S145" s="877"/>
      <c r="T145" s="877"/>
      <c r="U145" s="877"/>
    </row>
    <row r="146">
      <c r="A146" s="77" t="s">
        <v>50</v>
      </c>
      <c r="B146" s="78" t="s">
        <v>51</v>
      </c>
      <c r="C146" s="78" t="s">
        <v>52</v>
      </c>
      <c r="D146" s="78" t="s">
        <v>53</v>
      </c>
      <c r="E146" s="80" t="s">
        <v>54</v>
      </c>
      <c r="F146" s="235" t="s">
        <v>55</v>
      </c>
      <c r="G146" s="877"/>
      <c r="H146" s="877"/>
      <c r="I146" s="877"/>
      <c r="J146" s="877"/>
      <c r="K146" s="877"/>
      <c r="L146" s="877"/>
      <c r="M146" s="877"/>
      <c r="N146" s="877"/>
      <c r="O146" s="877"/>
      <c r="P146" s="877"/>
      <c r="Q146" s="877"/>
      <c r="R146" s="877"/>
      <c r="S146" s="877"/>
      <c r="T146" s="877"/>
      <c r="U146" s="877"/>
    </row>
    <row r="147">
      <c r="A147" s="81">
        <v>1.0</v>
      </c>
      <c r="B147" s="82">
        <f>MROUND('WEEK 4 '!B145,10)</f>
        <v>40</v>
      </c>
      <c r="C147" s="65" t="s">
        <v>61</v>
      </c>
      <c r="D147" s="83" t="s">
        <v>58</v>
      </c>
      <c r="E147" s="84"/>
      <c r="F147" s="85"/>
      <c r="G147" s="877"/>
      <c r="H147" s="877"/>
      <c r="I147" s="877"/>
      <c r="J147" s="877"/>
      <c r="K147" s="877"/>
      <c r="L147" s="877"/>
      <c r="M147" s="877"/>
      <c r="N147" s="877"/>
      <c r="O147" s="877"/>
      <c r="P147" s="877"/>
      <c r="Q147" s="877"/>
      <c r="R147" s="877"/>
      <c r="S147" s="877"/>
      <c r="T147" s="877"/>
      <c r="U147" s="877"/>
    </row>
    <row r="148">
      <c r="A148" s="81">
        <v>2.0</v>
      </c>
      <c r="B148" s="82">
        <f>if('WEEK 4 '!F147&lt;15,mround('WEEK 4 '!B147*0.8,5),IF('WEEK 4 '!F147&lt;=18,MROUND('WEEK 4 '!B145*0.95,5),'WEEK 4 '!B147))</f>
        <v>30</v>
      </c>
      <c r="C148" s="65" t="s">
        <v>61</v>
      </c>
      <c r="D148" s="83" t="s">
        <v>58</v>
      </c>
      <c r="E148" s="84"/>
      <c r="F148" s="85"/>
      <c r="G148" s="877"/>
      <c r="H148" s="877"/>
      <c r="I148" s="877"/>
      <c r="J148" s="877"/>
      <c r="K148" s="877"/>
      <c r="L148" s="877"/>
      <c r="M148" s="877"/>
      <c r="N148" s="877"/>
      <c r="O148" s="877"/>
      <c r="P148" s="877"/>
      <c r="Q148" s="877"/>
      <c r="R148" s="877"/>
      <c r="S148" s="877"/>
      <c r="T148" s="877"/>
      <c r="U148" s="877"/>
    </row>
    <row r="149">
      <c r="A149" s="629">
        <v>3.0</v>
      </c>
      <c r="B149" s="630">
        <f>if('WEEK 4 '!F148&lt;15,mround('WEEK 4 '!B148*0.8,5),IF('WEEK 4 '!F148&lt;=18,MROUND('WEEK 4 '!B146*0.95,5),'WEEK 4 '!B148))</f>
        <v>25</v>
      </c>
      <c r="C149" s="631" t="s">
        <v>61</v>
      </c>
      <c r="D149" s="328" t="s">
        <v>58</v>
      </c>
      <c r="E149" s="632"/>
      <c r="F149" s="330"/>
      <c r="G149" s="877"/>
      <c r="H149" s="877"/>
      <c r="I149" s="877"/>
      <c r="J149" s="877"/>
      <c r="K149" s="877"/>
      <c r="L149" s="877"/>
      <c r="M149" s="877"/>
      <c r="N149" s="877"/>
      <c r="O149" s="877"/>
      <c r="P149" s="877"/>
      <c r="Q149" s="877"/>
      <c r="R149" s="877"/>
      <c r="S149" s="877"/>
      <c r="T149" s="877"/>
      <c r="U149" s="877"/>
    </row>
    <row r="150">
      <c r="A150" s="633"/>
      <c r="B150" s="633"/>
      <c r="C150" s="633"/>
      <c r="D150" s="633"/>
      <c r="E150" s="633"/>
      <c r="F150" s="633"/>
      <c r="G150" s="877"/>
      <c r="H150" s="877"/>
      <c r="I150" s="877"/>
      <c r="J150" s="877"/>
      <c r="K150" s="877"/>
      <c r="L150" s="877"/>
      <c r="M150" s="877"/>
      <c r="N150" s="877"/>
      <c r="O150" s="877"/>
      <c r="P150" s="877"/>
      <c r="Q150" s="877"/>
      <c r="R150" s="877"/>
      <c r="S150" s="877"/>
      <c r="T150" s="877"/>
      <c r="U150" s="877"/>
    </row>
    <row r="151">
      <c r="A151" s="598"/>
      <c r="G151" s="877"/>
      <c r="H151" s="877"/>
      <c r="I151" s="877"/>
      <c r="J151" s="877"/>
      <c r="K151" s="877"/>
      <c r="L151" s="877"/>
      <c r="M151" s="877"/>
      <c r="N151" s="877"/>
      <c r="O151" s="877"/>
      <c r="P151" s="877"/>
      <c r="Q151" s="877"/>
      <c r="R151" s="877"/>
      <c r="S151" s="877"/>
      <c r="T151" s="877"/>
      <c r="U151" s="877"/>
    </row>
    <row r="152">
      <c r="A152" s="882" t="str">
        <f>HYPERLINK("https://docs.google.com/a/fitnessresults.com/forms/d/e/1FAIpQLSd7MoczESe8Yjv6BKpmwAZGn9Aiymrs9-UdgfYIUpbr9t5NXg/viewform?usp=pp_url&amp;entry.93370101","CLICK TO COMPLETE WORKOUT")</f>
        <v>CLICK TO COMPLETE WORKOUT</v>
      </c>
      <c r="B152" s="11"/>
      <c r="C152" s="11"/>
      <c r="D152" s="11"/>
      <c r="E152" s="11"/>
      <c r="F152" s="46"/>
      <c r="G152" s="877"/>
      <c r="H152" s="877"/>
      <c r="I152" s="877"/>
      <c r="J152" s="877"/>
      <c r="K152" s="877"/>
      <c r="L152" s="877"/>
      <c r="M152" s="877"/>
      <c r="N152" s="877"/>
      <c r="O152" s="877"/>
      <c r="P152" s="877"/>
      <c r="Q152" s="877"/>
      <c r="R152" s="877"/>
      <c r="S152" s="877"/>
      <c r="T152" s="877"/>
      <c r="U152" s="877"/>
    </row>
    <row r="153">
      <c r="A153" s="598"/>
      <c r="B153" s="598"/>
      <c r="C153" s="598"/>
      <c r="D153" s="598"/>
      <c r="E153" s="598"/>
      <c r="F153" s="598"/>
      <c r="G153" s="877"/>
      <c r="H153" s="877"/>
      <c r="I153" s="877"/>
      <c r="J153" s="877"/>
      <c r="K153" s="877"/>
      <c r="L153" s="877"/>
      <c r="M153" s="877"/>
      <c r="N153" s="877"/>
      <c r="O153" s="877"/>
      <c r="P153" s="877"/>
      <c r="Q153" s="877"/>
      <c r="R153" s="877"/>
      <c r="S153" s="877"/>
      <c r="T153" s="877"/>
      <c r="U153" s="877"/>
    </row>
    <row r="154">
      <c r="A154" s="639" t="s">
        <v>135</v>
      </c>
      <c r="B154" s="36"/>
      <c r="C154" s="36"/>
      <c r="D154" s="36"/>
      <c r="E154" s="36"/>
      <c r="F154" s="37"/>
      <c r="G154" s="877"/>
      <c r="H154" s="877"/>
      <c r="I154" s="877"/>
      <c r="J154" s="877"/>
      <c r="K154" s="877"/>
      <c r="L154" s="877"/>
      <c r="M154" s="877"/>
      <c r="N154" s="877"/>
      <c r="O154" s="877"/>
      <c r="P154" s="877"/>
      <c r="Q154" s="877"/>
      <c r="R154" s="877"/>
      <c r="S154" s="877"/>
      <c r="T154" s="877"/>
      <c r="U154" s="877"/>
    </row>
    <row r="155">
      <c r="A155" s="883"/>
      <c r="G155" s="877"/>
      <c r="H155" s="877"/>
      <c r="I155" s="877"/>
      <c r="J155" s="877"/>
      <c r="K155" s="877"/>
      <c r="L155" s="877"/>
      <c r="M155" s="877"/>
      <c r="N155" s="877"/>
      <c r="O155" s="877"/>
      <c r="P155" s="877"/>
      <c r="Q155" s="877"/>
      <c r="R155" s="877"/>
      <c r="S155" s="877"/>
      <c r="T155" s="877"/>
      <c r="U155" s="877"/>
    </row>
    <row r="156">
      <c r="A156" s="884" t="str">
        <f>HYPERLINK("https://www.amazon.com/30-Minute-Body-Investment-Champion/dp/0692791892/ref=sr_1_1?ie=UTF8&amp;qid=1490447969&amp;sr=8-1&amp;keywords=30+minute+body","WANT TO LEARN MORE?")</f>
        <v>WANT TO LEARN MORE?</v>
      </c>
      <c r="B156" s="16"/>
      <c r="C156" s="16"/>
      <c r="D156" s="16"/>
      <c r="E156" s="16"/>
      <c r="F156" s="17"/>
      <c r="G156" s="877"/>
      <c r="H156" s="877"/>
      <c r="I156" s="877"/>
      <c r="J156" s="877"/>
      <c r="K156" s="877"/>
      <c r="L156" s="877"/>
      <c r="M156" s="877"/>
      <c r="N156" s="877"/>
      <c r="O156" s="877"/>
      <c r="P156" s="877"/>
      <c r="Q156" s="877"/>
      <c r="R156" s="877"/>
      <c r="S156" s="877"/>
      <c r="T156" s="877"/>
      <c r="U156" s="877"/>
    </row>
    <row r="157">
      <c r="A157" s="18"/>
      <c r="B157" s="13"/>
      <c r="C157" s="13"/>
      <c r="D157" s="13"/>
      <c r="E157" s="13"/>
      <c r="F157" s="14"/>
      <c r="G157" s="877"/>
      <c r="H157" s="877"/>
      <c r="I157" s="877"/>
      <c r="J157" s="877"/>
      <c r="K157" s="877"/>
      <c r="L157" s="877"/>
      <c r="M157" s="877"/>
      <c r="N157" s="877"/>
      <c r="O157" s="877"/>
      <c r="P157" s="877"/>
      <c r="Q157" s="877"/>
      <c r="R157" s="877"/>
      <c r="S157" s="877"/>
      <c r="T157" s="877"/>
      <c r="U157" s="877"/>
    </row>
    <row r="158">
      <c r="A158" s="885"/>
      <c r="B158" s="886"/>
      <c r="C158" s="644" t="s">
        <v>67</v>
      </c>
      <c r="D158" s="25"/>
      <c r="E158" s="25"/>
      <c r="F158" s="26"/>
      <c r="G158" s="877"/>
      <c r="H158" s="877"/>
      <c r="I158" s="877"/>
      <c r="J158" s="877"/>
      <c r="K158" s="877"/>
      <c r="L158" s="877"/>
      <c r="M158" s="877"/>
      <c r="N158" s="877"/>
      <c r="O158" s="877"/>
      <c r="P158" s="877"/>
      <c r="Q158" s="877"/>
      <c r="R158" s="877"/>
      <c r="S158" s="877"/>
      <c r="T158" s="877"/>
      <c r="U158" s="877"/>
    </row>
    <row r="159">
      <c r="A159" s="887"/>
      <c r="B159" s="888"/>
      <c r="C159" s="529"/>
      <c r="F159" s="28"/>
      <c r="G159" s="877"/>
      <c r="H159" s="877"/>
      <c r="I159" s="877"/>
      <c r="J159" s="877"/>
      <c r="K159" s="877"/>
      <c r="L159" s="877"/>
      <c r="M159" s="877"/>
      <c r="N159" s="877"/>
      <c r="O159" s="877"/>
      <c r="P159" s="877"/>
      <c r="Q159" s="877"/>
      <c r="R159" s="877"/>
      <c r="S159" s="877"/>
      <c r="T159" s="877"/>
      <c r="U159" s="877"/>
    </row>
    <row r="160">
      <c r="A160" s="887"/>
      <c r="B160" s="888"/>
      <c r="C160" s="529"/>
      <c r="F160" s="28"/>
      <c r="G160" s="877"/>
      <c r="H160" s="877"/>
      <c r="I160" s="877"/>
      <c r="J160" s="877"/>
      <c r="K160" s="877"/>
      <c r="L160" s="877"/>
      <c r="M160" s="877"/>
      <c r="N160" s="877"/>
      <c r="O160" s="877"/>
      <c r="P160" s="877"/>
      <c r="Q160" s="877"/>
      <c r="R160" s="877"/>
      <c r="S160" s="877"/>
      <c r="T160" s="877"/>
      <c r="U160" s="877"/>
    </row>
    <row r="161">
      <c r="A161" s="887"/>
      <c r="B161" s="888"/>
      <c r="C161" s="529"/>
      <c r="F161" s="28"/>
      <c r="G161" s="877"/>
      <c r="H161" s="877"/>
      <c r="I161" s="877"/>
      <c r="J161" s="877"/>
      <c r="K161" s="877"/>
      <c r="L161" s="877"/>
      <c r="M161" s="877"/>
      <c r="N161" s="877"/>
      <c r="O161" s="877"/>
      <c r="P161" s="877"/>
      <c r="Q161" s="877"/>
      <c r="R161" s="877"/>
      <c r="S161" s="877"/>
      <c r="T161" s="877"/>
      <c r="U161" s="877"/>
    </row>
    <row r="162">
      <c r="A162" s="887"/>
      <c r="B162" s="888"/>
      <c r="C162" s="529"/>
      <c r="F162" s="28"/>
      <c r="G162" s="877"/>
      <c r="H162" s="877"/>
      <c r="I162" s="877"/>
      <c r="J162" s="877"/>
      <c r="K162" s="877"/>
      <c r="L162" s="877"/>
      <c r="M162" s="877"/>
      <c r="N162" s="877"/>
      <c r="O162" s="877"/>
      <c r="P162" s="877"/>
      <c r="Q162" s="877"/>
      <c r="R162" s="877"/>
      <c r="S162" s="877"/>
      <c r="T162" s="877"/>
      <c r="U162" s="877"/>
    </row>
    <row r="163">
      <c r="A163" s="887"/>
      <c r="B163" s="888"/>
      <c r="C163" s="529"/>
      <c r="F163" s="28"/>
      <c r="G163" s="877"/>
      <c r="H163" s="877"/>
      <c r="I163" s="877"/>
      <c r="J163" s="877"/>
      <c r="K163" s="877"/>
      <c r="L163" s="877"/>
      <c r="M163" s="877"/>
      <c r="N163" s="877"/>
      <c r="O163" s="877"/>
      <c r="P163" s="877"/>
      <c r="Q163" s="877"/>
      <c r="R163" s="877"/>
      <c r="S163" s="877"/>
      <c r="T163" s="877"/>
      <c r="U163" s="877"/>
    </row>
    <row r="164">
      <c r="A164" s="889"/>
      <c r="B164" s="888"/>
      <c r="C164" s="529"/>
      <c r="F164" s="28"/>
      <c r="G164" s="877"/>
      <c r="H164" s="877"/>
      <c r="I164" s="877"/>
      <c r="J164" s="877"/>
      <c r="K164" s="877"/>
      <c r="L164" s="877"/>
      <c r="M164" s="877"/>
      <c r="N164" s="877"/>
      <c r="O164" s="877"/>
      <c r="P164" s="877"/>
      <c r="Q164" s="877"/>
      <c r="R164" s="877"/>
      <c r="S164" s="877"/>
      <c r="T164" s="877"/>
      <c r="U164" s="877"/>
    </row>
    <row r="165">
      <c r="A165" s="887"/>
      <c r="B165" s="888"/>
      <c r="C165" s="529"/>
      <c r="F165" s="28"/>
      <c r="G165" s="877"/>
      <c r="H165" s="877"/>
      <c r="I165" s="877"/>
      <c r="J165" s="877"/>
      <c r="K165" s="877"/>
      <c r="L165" s="877"/>
      <c r="M165" s="877"/>
      <c r="N165" s="877"/>
      <c r="O165" s="877"/>
      <c r="P165" s="877"/>
      <c r="Q165" s="877"/>
      <c r="R165" s="877"/>
      <c r="S165" s="877"/>
      <c r="T165" s="877"/>
      <c r="U165" s="877"/>
    </row>
    <row r="166">
      <c r="A166" s="887"/>
      <c r="B166" s="888"/>
      <c r="C166" s="529"/>
      <c r="F166" s="28"/>
      <c r="G166" s="877"/>
      <c r="H166" s="877"/>
      <c r="I166" s="877"/>
      <c r="J166" s="877"/>
      <c r="K166" s="877"/>
      <c r="L166" s="877"/>
      <c r="M166" s="877"/>
      <c r="N166" s="877"/>
      <c r="O166" s="877"/>
      <c r="P166" s="877"/>
      <c r="Q166" s="877"/>
      <c r="R166" s="877"/>
      <c r="S166" s="877"/>
      <c r="T166" s="877"/>
      <c r="U166" s="877"/>
    </row>
    <row r="167">
      <c r="A167" s="890"/>
      <c r="B167" s="888"/>
      <c r="C167" s="529"/>
      <c r="F167" s="28"/>
      <c r="G167" s="877"/>
      <c r="H167" s="877"/>
      <c r="I167" s="877"/>
      <c r="J167" s="877"/>
      <c r="K167" s="877"/>
      <c r="L167" s="877"/>
      <c r="M167" s="877"/>
      <c r="N167" s="877"/>
      <c r="O167" s="877"/>
      <c r="P167" s="877"/>
      <c r="Q167" s="877"/>
      <c r="R167" s="877"/>
      <c r="S167" s="877"/>
      <c r="T167" s="877"/>
      <c r="U167" s="877"/>
    </row>
    <row r="168">
      <c r="A168" s="887"/>
      <c r="B168" s="888"/>
      <c r="C168" s="529"/>
      <c r="F168" s="28"/>
      <c r="G168" s="877"/>
      <c r="H168" s="877"/>
      <c r="I168" s="877"/>
      <c r="J168" s="877"/>
      <c r="K168" s="877"/>
      <c r="L168" s="877"/>
      <c r="M168" s="877"/>
      <c r="N168" s="877"/>
      <c r="O168" s="877"/>
      <c r="P168" s="877"/>
      <c r="Q168" s="877"/>
      <c r="R168" s="877"/>
      <c r="S168" s="877"/>
      <c r="T168" s="877"/>
      <c r="U168" s="877"/>
    </row>
    <row r="169">
      <c r="A169" s="887"/>
      <c r="B169" s="888"/>
      <c r="C169" s="529"/>
      <c r="F169" s="28"/>
      <c r="G169" s="877"/>
      <c r="H169" s="877"/>
      <c r="I169" s="877"/>
      <c r="J169" s="877"/>
      <c r="K169" s="877"/>
      <c r="L169" s="877"/>
      <c r="M169" s="877"/>
      <c r="N169" s="877"/>
      <c r="O169" s="877"/>
      <c r="P169" s="877"/>
      <c r="Q169" s="877"/>
      <c r="R169" s="877"/>
      <c r="S169" s="877"/>
      <c r="T169" s="877"/>
      <c r="U169" s="877"/>
    </row>
    <row r="170">
      <c r="A170" s="887"/>
      <c r="B170" s="888"/>
      <c r="C170" s="529"/>
      <c r="F170" s="28"/>
      <c r="G170" s="877"/>
      <c r="H170" s="877"/>
      <c r="I170" s="877"/>
      <c r="J170" s="877"/>
      <c r="K170" s="877"/>
      <c r="L170" s="877"/>
      <c r="M170" s="877"/>
      <c r="N170" s="877"/>
      <c r="O170" s="877"/>
      <c r="P170" s="877"/>
      <c r="Q170" s="877"/>
      <c r="R170" s="877"/>
      <c r="S170" s="877"/>
      <c r="T170" s="877"/>
      <c r="U170" s="877"/>
    </row>
    <row r="171">
      <c r="A171" s="887"/>
      <c r="B171" s="888"/>
      <c r="C171" s="529"/>
      <c r="F171" s="28"/>
      <c r="G171" s="877"/>
      <c r="H171" s="877"/>
      <c r="I171" s="877"/>
      <c r="J171" s="877"/>
      <c r="K171" s="877"/>
      <c r="L171" s="877"/>
      <c r="M171" s="877"/>
      <c r="N171" s="877"/>
      <c r="O171" s="877"/>
      <c r="P171" s="877"/>
      <c r="Q171" s="877"/>
      <c r="R171" s="877"/>
      <c r="S171" s="877"/>
      <c r="T171" s="877"/>
      <c r="U171" s="877"/>
    </row>
    <row r="172">
      <c r="A172" s="891"/>
      <c r="B172" s="892"/>
      <c r="C172" s="336"/>
      <c r="D172" s="11"/>
      <c r="E172" s="11"/>
      <c r="F172" s="46"/>
      <c r="G172" s="877"/>
      <c r="H172" s="877"/>
      <c r="I172" s="877"/>
      <c r="J172" s="877"/>
      <c r="K172" s="877"/>
      <c r="L172" s="877"/>
      <c r="M172" s="877"/>
      <c r="N172" s="877"/>
      <c r="O172" s="877"/>
      <c r="P172" s="877"/>
      <c r="Q172" s="877"/>
      <c r="R172" s="877"/>
      <c r="S172" s="877"/>
      <c r="T172" s="877"/>
      <c r="U172" s="877"/>
    </row>
    <row r="173">
      <c r="A173" s="598"/>
    </row>
  </sheetData>
  <mergeCells count="99">
    <mergeCell ref="H15:M15"/>
    <mergeCell ref="O15:T15"/>
    <mergeCell ref="G1:U14"/>
    <mergeCell ref="A8:F8"/>
    <mergeCell ref="A9:F9"/>
    <mergeCell ref="A10:F11"/>
    <mergeCell ref="A12:F12"/>
    <mergeCell ref="A13:F13"/>
    <mergeCell ref="B14:F14"/>
    <mergeCell ref="A18:F18"/>
    <mergeCell ref="A19:F19"/>
    <mergeCell ref="O18:T18"/>
    <mergeCell ref="O19:T19"/>
    <mergeCell ref="G15:G19"/>
    <mergeCell ref="G20:G25"/>
    <mergeCell ref="I20:M20"/>
    <mergeCell ref="P20:T20"/>
    <mergeCell ref="A26:F26"/>
    <mergeCell ref="G26:G27"/>
    <mergeCell ref="A65:F65"/>
    <mergeCell ref="A68:F68"/>
    <mergeCell ref="A69:F69"/>
    <mergeCell ref="A75:F75"/>
    <mergeCell ref="B76:F76"/>
    <mergeCell ref="A82:F83"/>
    <mergeCell ref="A84:F84"/>
    <mergeCell ref="A104:F105"/>
    <mergeCell ref="A106:F106"/>
    <mergeCell ref="G106:G107"/>
    <mergeCell ref="A107:F107"/>
    <mergeCell ref="B85:F85"/>
    <mergeCell ref="A91:F91"/>
    <mergeCell ref="A92:F92"/>
    <mergeCell ref="G92:G94"/>
    <mergeCell ref="B93:F93"/>
    <mergeCell ref="A99:F99"/>
    <mergeCell ref="A101:F101"/>
    <mergeCell ref="N92:U97"/>
    <mergeCell ref="G101:U101"/>
    <mergeCell ref="A102:U103"/>
    <mergeCell ref="H104:M104"/>
    <mergeCell ref="H105:M105"/>
    <mergeCell ref="I106:M106"/>
    <mergeCell ref="H112:M112"/>
    <mergeCell ref="H115:M115"/>
    <mergeCell ref="B116:F116"/>
    <mergeCell ref="I118:M118"/>
    <mergeCell ref="A120:F120"/>
    <mergeCell ref="B121:F121"/>
    <mergeCell ref="A126:F127"/>
    <mergeCell ref="A128:F128"/>
    <mergeCell ref="A151:F151"/>
    <mergeCell ref="A152:F152"/>
    <mergeCell ref="A154:F154"/>
    <mergeCell ref="A155:F155"/>
    <mergeCell ref="A156:F157"/>
    <mergeCell ref="C158:F172"/>
    <mergeCell ref="A173:U173"/>
    <mergeCell ref="B129:F129"/>
    <mergeCell ref="A134:F135"/>
    <mergeCell ref="A136:F136"/>
    <mergeCell ref="B137:F137"/>
    <mergeCell ref="A142:F143"/>
    <mergeCell ref="A144:F144"/>
    <mergeCell ref="B145:F145"/>
    <mergeCell ref="H16:M17"/>
    <mergeCell ref="H18:M18"/>
    <mergeCell ref="H26:M26"/>
    <mergeCell ref="O26:T26"/>
    <mergeCell ref="O28:T28"/>
    <mergeCell ref="A29:F29"/>
    <mergeCell ref="A15:F15"/>
    <mergeCell ref="N15:N31"/>
    <mergeCell ref="U15:U31"/>
    <mergeCell ref="B16:F17"/>
    <mergeCell ref="O16:T17"/>
    <mergeCell ref="H19:M19"/>
    <mergeCell ref="B20:F20"/>
    <mergeCell ref="B32:F32"/>
    <mergeCell ref="P33:T33"/>
    <mergeCell ref="A35:F35"/>
    <mergeCell ref="H35:M35"/>
    <mergeCell ref="B36:F36"/>
    <mergeCell ref="I36:M36"/>
    <mergeCell ref="A40:U41"/>
    <mergeCell ref="A42:F42"/>
    <mergeCell ref="B43:F43"/>
    <mergeCell ref="A50:F50"/>
    <mergeCell ref="B51:F51"/>
    <mergeCell ref="A57:F57"/>
    <mergeCell ref="B58:F58"/>
    <mergeCell ref="A63:F63"/>
    <mergeCell ref="G28:G31"/>
    <mergeCell ref="H28:M28"/>
    <mergeCell ref="I33:M33"/>
    <mergeCell ref="G42:U91"/>
    <mergeCell ref="H92:M92"/>
    <mergeCell ref="I93:M93"/>
    <mergeCell ref="G95:G96"/>
  </mergeCells>
  <dataValidations>
    <dataValidation type="decimal" operator="greaterThanOrEqual" allowBlank="1" showDropDown="1" showErrorMessage="1" sqref="F130:F133">
      <formula1>0.0</formula1>
    </dataValidation>
    <dataValidation type="decimal" operator="greaterThanOrEqual" allowBlank="1" showDropDown="1" sqref="M37:M39">
      <formula1>0.0</formula1>
    </dataValidation>
  </dataValidation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3"/>
    </row>
    <row r="8">
      <c r="A8" s="11"/>
      <c r="B8" s="11"/>
      <c r="C8" s="11"/>
      <c r="D8" s="11"/>
      <c r="E8" s="11"/>
      <c r="F8" s="11"/>
      <c r="G8" s="11"/>
      <c r="H8" s="11"/>
      <c r="I8" s="11"/>
      <c r="J8" s="11"/>
      <c r="K8" s="11"/>
      <c r="L8" s="11"/>
      <c r="M8" s="11"/>
      <c r="N8" s="11"/>
      <c r="O8" s="11"/>
      <c r="P8" s="11"/>
      <c r="Q8" s="11"/>
      <c r="R8" s="11"/>
      <c r="S8" s="11"/>
      <c r="T8" s="11"/>
    </row>
    <row r="9">
      <c r="A9" s="835" t="str">
        <f>'WEEK 4 Master Sheet '!A9</f>
        <v>Week 4</v>
      </c>
      <c r="B9" s="36"/>
      <c r="C9" s="36"/>
      <c r="D9" s="36"/>
      <c r="E9" s="36"/>
      <c r="F9" s="37"/>
      <c r="G9" s="893"/>
      <c r="H9" s="24" t="s">
        <v>35</v>
      </c>
      <c r="I9" s="25"/>
      <c r="J9" s="25"/>
      <c r="K9" s="25"/>
      <c r="L9" s="25"/>
      <c r="M9" s="26"/>
      <c r="N9" s="598"/>
    </row>
    <row r="10">
      <c r="A10" s="719" t="str">
        <f>'WEEK 4 Master Sheet '!A10</f>
        <v>PRESS TO RECORD BODY WEIGHT</v>
      </c>
      <c r="B10" s="25"/>
      <c r="C10" s="25"/>
      <c r="D10" s="25"/>
      <c r="E10" s="25"/>
      <c r="F10" s="26"/>
      <c r="G10" s="120"/>
      <c r="H10" s="27" t="s">
        <v>170</v>
      </c>
      <c r="M10" s="28"/>
    </row>
    <row r="11">
      <c r="A11" s="336"/>
      <c r="B11" s="11"/>
      <c r="C11" s="11"/>
      <c r="D11" s="11"/>
      <c r="E11" s="11"/>
      <c r="F11" s="46"/>
      <c r="G11" s="120"/>
      <c r="H11" s="29" t="s">
        <v>171</v>
      </c>
      <c r="I11" s="30"/>
      <c r="J11" s="30"/>
      <c r="K11" s="30"/>
      <c r="L11" s="30"/>
      <c r="M11" s="31"/>
    </row>
    <row r="12">
      <c r="A12" s="655" t="str">
        <f>'WEEK 4 Master Sheet '!A12</f>
        <v>This Weeks Goals</v>
      </c>
      <c r="B12" s="36"/>
      <c r="C12" s="36"/>
      <c r="D12" s="36"/>
      <c r="E12" s="36"/>
      <c r="F12" s="37"/>
      <c r="G12" s="120"/>
      <c r="H12" s="598"/>
    </row>
    <row r="13">
      <c r="A13" s="894" t="str">
        <f>'WEEK 4 Master Sheet '!A13</f>
        <v>Week 4 is going to be a mixture of attempting new maxes as well as high repititions during some of your workouts. Make sure to keep form and don't give up too soon. Push Push Push! </v>
      </c>
      <c r="B13" s="36"/>
      <c r="C13" s="36"/>
      <c r="D13" s="36"/>
      <c r="E13" s="36"/>
      <c r="F13" s="37"/>
      <c r="G13" s="120"/>
    </row>
    <row r="14">
      <c r="A14" s="428" t="s">
        <v>138</v>
      </c>
      <c r="G14" s="120"/>
    </row>
    <row r="15">
      <c r="A15" s="538" t="str">
        <f>'WEEK 4 Master Sheet '!A15</f>
        <v>DAY 1</v>
      </c>
      <c r="B15" s="36"/>
      <c r="C15" s="36"/>
      <c r="D15" s="36"/>
      <c r="E15" s="36"/>
      <c r="F15" s="37"/>
      <c r="G15" s="120"/>
      <c r="H15" s="224" t="str">
        <f>'WEEK 4 Master Sheet '!H15</f>
        <v>ALTERNATE WORKOUTS</v>
      </c>
      <c r="I15" s="36"/>
      <c r="J15" s="36"/>
      <c r="K15" s="36"/>
      <c r="L15" s="36"/>
      <c r="M15" s="37"/>
      <c r="N15" s="598"/>
      <c r="O15" s="224" t="str">
        <f>'WEEK 4 Master Sheet '!O15</f>
        <v>ALTERNATE WORKOUTS</v>
      </c>
      <c r="P15" s="36"/>
      <c r="Q15" s="36"/>
      <c r="R15" s="36"/>
      <c r="S15" s="36"/>
      <c r="T15" s="37"/>
    </row>
    <row r="16">
      <c r="A16" s="838"/>
      <c r="G16" s="120"/>
      <c r="H16" s="598"/>
      <c r="O16" s="598"/>
    </row>
    <row r="17">
      <c r="G17" s="120"/>
    </row>
    <row r="18">
      <c r="A18" s="542" t="str">
        <f>'WEEK 4 Master Sheet '!A18</f>
        <v>CHEST &amp; BACK </v>
      </c>
      <c r="B18" s="36"/>
      <c r="C18" s="36"/>
      <c r="D18" s="36"/>
      <c r="E18" s="36"/>
      <c r="F18" s="37"/>
      <c r="G18" s="120"/>
      <c r="H18" s="542" t="str">
        <f>'WEEK 4 Master Sheet '!H18</f>
        <v>CHEST &amp; BACK </v>
      </c>
      <c r="I18" s="36"/>
      <c r="J18" s="36"/>
      <c r="K18" s="36"/>
      <c r="L18" s="36"/>
      <c r="M18" s="37"/>
      <c r="O18" s="542" t="str">
        <f>'WEEK 4 Master Sheet '!O18</f>
        <v>CHEST &amp; BACK </v>
      </c>
      <c r="P18" s="36"/>
      <c r="Q18" s="36"/>
      <c r="R18" s="36"/>
      <c r="S18" s="36"/>
      <c r="T18" s="37"/>
    </row>
    <row r="19">
      <c r="A19" s="73" t="str">
        <f>'WEEK 4 Master Sheet '!A19</f>
        <v>1. BENCH PRESS</v>
      </c>
      <c r="B19" s="53"/>
      <c r="C19" s="53"/>
      <c r="D19" s="53"/>
      <c r="E19" s="53"/>
      <c r="F19" s="54"/>
      <c r="G19" s="247" t="str">
        <f>'WEEK 4 Master Sheet '!G26</f>
        <v>ALTERNATE</v>
      </c>
      <c r="H19" s="73" t="str">
        <f>'WEEK 4 Master Sheet '!H19</f>
        <v>1. MACHINE PRESS</v>
      </c>
      <c r="I19" s="53"/>
      <c r="J19" s="53"/>
      <c r="K19" s="53"/>
      <c r="L19" s="53"/>
      <c r="M19" s="54"/>
      <c r="N19" s="247" t="s">
        <v>123</v>
      </c>
      <c r="O19" s="113" t="str">
        <f>'WEEK 4 Master Sheet '!O19</f>
        <v>1. DUMBBELL INCLINE PRESS</v>
      </c>
      <c r="P19" s="53"/>
      <c r="Q19" s="53"/>
      <c r="R19" s="53"/>
      <c r="S19" s="53"/>
      <c r="T19" s="54"/>
    </row>
    <row r="20">
      <c r="A20" s="895" t="str">
        <f>'WEEK 4 Master Sheet '!A20</f>
        <v>CURRENT MAX</v>
      </c>
      <c r="B20" s="896">
        <f>90</f>
        <v>90</v>
      </c>
      <c r="C20" s="13"/>
      <c r="D20" s="13"/>
      <c r="E20" s="13"/>
      <c r="F20" s="57"/>
      <c r="G20" s="247"/>
      <c r="H20" s="226" t="str">
        <f>'WEEK 4 Master Sheet '!H20</f>
        <v>CURRENT MAX</v>
      </c>
      <c r="I20" s="839" t="str">
        <f>'WEEK 4 Master Sheet '!I20</f>
        <v/>
      </c>
      <c r="M20" s="28"/>
      <c r="N20" s="598"/>
      <c r="O20" s="226" t="str">
        <f>'WEEK 4 Master Sheet '!O20</f>
        <v>CURRENT MAX</v>
      </c>
      <c r="P20" s="283">
        <v>100.0</v>
      </c>
      <c r="T20" s="28"/>
    </row>
    <row r="21">
      <c r="A21" s="897" t="str">
        <f>'WEEK 4 Master Sheet '!A21</f>
        <v>SET</v>
      </c>
      <c r="B21" s="898" t="str">
        <f>'WEEK 4 Master Sheet '!B21</f>
        <v>WEIGHT</v>
      </c>
      <c r="C21" s="898" t="str">
        <f>'WEEK 4 Master Sheet '!C21</f>
        <v>REPS</v>
      </c>
      <c r="D21" s="898" t="str">
        <f>'WEEK 4 Master Sheet '!D21</f>
        <v>REST</v>
      </c>
      <c r="E21" s="899" t="str">
        <f>'WEEK 4 Master Sheet '!E21</f>
        <v>PREVIOUS</v>
      </c>
      <c r="F21" s="235" t="str">
        <f>'WEEK 4 Master Sheet '!F21</f>
        <v>REP LOG</v>
      </c>
      <c r="H21" s="96" t="str">
        <f>'WEEK 4 Master Sheet '!H21</f>
        <v>SET</v>
      </c>
      <c r="I21" s="840" t="str">
        <f>'WEEK 4 Master Sheet '!I21</f>
        <v>WEIGHT</v>
      </c>
      <c r="J21" s="840" t="str">
        <f>'WEEK 4 Master Sheet '!J21</f>
        <v>REPS</v>
      </c>
      <c r="K21" s="840" t="str">
        <f>'WEEK 4 Master Sheet '!K21</f>
        <v>REST</v>
      </c>
      <c r="L21" s="341" t="str">
        <f>'WEEK 4 Master Sheet '!L21</f>
        <v>PREVIOUS</v>
      </c>
      <c r="M21" s="235" t="str">
        <f>'WEEK 4 Master Sheet '!M21</f>
        <v>REP LOG</v>
      </c>
      <c r="O21" s="96" t="str">
        <f>'WEEK 4 Master Sheet '!O21</f>
        <v>SET</v>
      </c>
      <c r="P21" s="840" t="str">
        <f>'WEEK 4 Master Sheet '!P21</f>
        <v>WEIGHT</v>
      </c>
      <c r="Q21" s="840" t="str">
        <f>'WEEK 4 Master Sheet '!Q21</f>
        <v>REPS</v>
      </c>
      <c r="R21" s="840" t="str">
        <f>'WEEK 4 Master Sheet '!R21</f>
        <v>REST</v>
      </c>
      <c r="S21" s="341" t="str">
        <f>'WEEK 4 Master Sheet '!S21</f>
        <v>PREVIOUS</v>
      </c>
      <c r="T21" s="235" t="str">
        <f>'WEEK 4 Master Sheet '!T21</f>
        <v>REP LOG</v>
      </c>
    </row>
    <row r="22">
      <c r="A22" s="900">
        <f>'WEEK 4 Master Sheet '!A22</f>
        <v>1</v>
      </c>
      <c r="B22" s="901">
        <f>'WEEK 4 Master Sheet '!B22</f>
        <v>45</v>
      </c>
      <c r="C22" s="901">
        <f>'WEEK 4 Master Sheet '!C22</f>
        <v>6</v>
      </c>
      <c r="D22" s="902" t="str">
        <f>'WEEK 4 Master Sheet '!D22</f>
        <v>30s</v>
      </c>
      <c r="E22" s="903" t="str">
        <f>'WEEK 4 Master Sheet '!E22</f>
        <v/>
      </c>
      <c r="F22" s="904">
        <v>6.0</v>
      </c>
      <c r="H22" s="240">
        <f>'WEEK 4 Master Sheet '!H22</f>
        <v>1</v>
      </c>
      <c r="I22" s="241">
        <f>'WEEK 4 Master Sheet '!I22</f>
        <v>0</v>
      </c>
      <c r="J22" s="241">
        <f>'WEEK 4 Master Sheet '!J22</f>
        <v>6</v>
      </c>
      <c r="K22" s="83" t="str">
        <f>'WEEK 4 Master Sheet '!K22</f>
        <v>1 MIN</v>
      </c>
      <c r="L22" s="841" t="str">
        <f>'WEEK 4 Master Sheet '!L22</f>
        <v/>
      </c>
      <c r="M22" s="905"/>
      <c r="O22" s="240">
        <f>'WEEK 4 Master Sheet '!O22</f>
        <v>1</v>
      </c>
      <c r="P22" s="241">
        <f>'WEEK 4 Master Sheet '!P22</f>
        <v>35</v>
      </c>
      <c r="Q22" s="241">
        <f>'WEEK 4 Master Sheet '!Q22</f>
        <v>6</v>
      </c>
      <c r="R22" s="83" t="str">
        <f>'WEEK 4 Master Sheet '!R22</f>
        <v>1 MIN</v>
      </c>
      <c r="S22" s="841" t="str">
        <f>'WEEK 4 Master Sheet '!S22</f>
        <v/>
      </c>
      <c r="T22" s="905">
        <v>6.0</v>
      </c>
    </row>
    <row r="23">
      <c r="A23" s="900">
        <f>'WEEK 4 Master Sheet '!A23</f>
        <v>2</v>
      </c>
      <c r="B23" s="901">
        <f>'WEEK 4 Master Sheet '!B23</f>
        <v>70</v>
      </c>
      <c r="C23" s="901">
        <f>'WEEK 4 Master Sheet '!C23</f>
        <v>1</v>
      </c>
      <c r="D23" s="902" t="str">
        <f>'WEEK 4 Master Sheet '!D23</f>
        <v>1 MIN</v>
      </c>
      <c r="E23" s="903" t="str">
        <f>'WEEK 4 Master Sheet '!E23</f>
        <v/>
      </c>
      <c r="F23" s="904">
        <v>1.0</v>
      </c>
      <c r="H23" s="240">
        <f>'WEEK 4 Master Sheet '!H23</f>
        <v>2</v>
      </c>
      <c r="I23" s="241">
        <f>'WEEK 4 Master Sheet '!I23</f>
        <v>0</v>
      </c>
      <c r="J23" s="241">
        <f>'WEEK 4 Master Sheet '!J23</f>
        <v>1</v>
      </c>
      <c r="K23" s="83" t="str">
        <f>'WEEK 4 Master Sheet '!K23</f>
        <v>1 MIN</v>
      </c>
      <c r="L23" s="841" t="str">
        <f>'WEEK 4 Master Sheet '!L23</f>
        <v/>
      </c>
      <c r="M23" s="905"/>
      <c r="O23" s="240">
        <f>'WEEK 4 Master Sheet '!O23</f>
        <v>2</v>
      </c>
      <c r="P23" s="241">
        <f>'WEEK 4 Master Sheet '!P23</f>
        <v>65</v>
      </c>
      <c r="Q23" s="241">
        <f>'WEEK 4 Master Sheet '!Q23</f>
        <v>1</v>
      </c>
      <c r="R23" s="83" t="str">
        <f>'WEEK 4 Master Sheet '!R23</f>
        <v>1 MIN</v>
      </c>
      <c r="S23" s="841" t="str">
        <f>'WEEK 4 Master Sheet '!S23</f>
        <v/>
      </c>
      <c r="T23" s="905">
        <v>1.0</v>
      </c>
    </row>
    <row r="24">
      <c r="A24" s="906">
        <f>'WEEK 4 Master Sheet '!A24</f>
        <v>3</v>
      </c>
      <c r="B24" s="901">
        <f>'WEEK 4 Master Sheet '!B24</f>
        <v>80</v>
      </c>
      <c r="C24" s="907">
        <f>'WEEK 4 Master Sheet '!C24</f>
        <v>1</v>
      </c>
      <c r="D24" s="908" t="str">
        <f>'WEEK 4 Master Sheet '!D24</f>
        <v>1 MIN</v>
      </c>
      <c r="E24" s="903" t="str">
        <f>'WEEK 4 Master Sheet '!E24</f>
        <v/>
      </c>
      <c r="F24" s="904">
        <v>1.0</v>
      </c>
      <c r="H24" s="240">
        <f>'WEEK 4 Master Sheet '!H24</f>
        <v>3</v>
      </c>
      <c r="I24" s="241">
        <f>'WEEK 4 Master Sheet '!I24</f>
        <v>0</v>
      </c>
      <c r="J24" s="241">
        <f>'WEEK 4 Master Sheet '!J24</f>
        <v>1</v>
      </c>
      <c r="K24" s="83" t="str">
        <f>'WEEK 4 Master Sheet '!K24</f>
        <v>1 MIN</v>
      </c>
      <c r="L24" s="841" t="str">
        <f>'WEEK 4 Master Sheet '!L24</f>
        <v/>
      </c>
      <c r="M24" s="905"/>
      <c r="O24" s="240">
        <f>'WEEK 4 Master Sheet '!O24</f>
        <v>3</v>
      </c>
      <c r="P24" s="241">
        <f>'WEEK 4 Master Sheet '!P24</f>
        <v>85</v>
      </c>
      <c r="Q24" s="241">
        <f>'WEEK 4 Master Sheet '!Q24</f>
        <v>1</v>
      </c>
      <c r="R24" s="83" t="str">
        <f>'WEEK 4 Master Sheet '!R24</f>
        <v>1 MIN</v>
      </c>
      <c r="S24" s="841" t="str">
        <f>'WEEK 4 Master Sheet '!S24</f>
        <v/>
      </c>
      <c r="T24" s="905">
        <v>1.0</v>
      </c>
    </row>
    <row r="25">
      <c r="A25" s="906">
        <f>'WEEK 4 Master Sheet '!A25</f>
        <v>4</v>
      </c>
      <c r="B25" s="901">
        <f>'WEEK 4 Master Sheet '!B25</f>
        <v>90</v>
      </c>
      <c r="C25" s="907">
        <f>'WEEK 4 Master Sheet '!C25</f>
        <v>1</v>
      </c>
      <c r="D25" s="908" t="str">
        <f>'WEEK 4 Master Sheet '!D25</f>
        <v>1 MIN</v>
      </c>
      <c r="E25" s="903" t="str">
        <f>'WEEK 4 Master Sheet '!E25</f>
        <v/>
      </c>
      <c r="F25" s="904">
        <v>1.0</v>
      </c>
      <c r="H25" s="240">
        <f>'WEEK 4 Master Sheet '!H25</f>
        <v>4</v>
      </c>
      <c r="I25" s="241">
        <f>'WEEK 4 Master Sheet '!I25</f>
        <v>0</v>
      </c>
      <c r="J25" s="245" t="str">
        <f>'WEEK 4 Master Sheet '!J25</f>
        <v>REP OUT</v>
      </c>
      <c r="K25" s="83" t="str">
        <f>'WEEK 4 Master Sheet '!K25</f>
        <v>1 MIN</v>
      </c>
      <c r="L25" s="841" t="str">
        <f>'WEEK 4 Master Sheet '!L25</f>
        <v/>
      </c>
      <c r="M25" s="905"/>
      <c r="O25" s="240">
        <f>'WEEK 4 Master Sheet '!O25</f>
        <v>4</v>
      </c>
      <c r="P25" s="241">
        <f>'WEEK 4 Master Sheet '!P25</f>
        <v>100</v>
      </c>
      <c r="Q25" s="245" t="str">
        <f>'WEEK 4 Master Sheet '!Q25</f>
        <v>REP OUT</v>
      </c>
      <c r="R25" s="83" t="str">
        <f>'WEEK 4 Master Sheet '!R25</f>
        <v>1 MIN</v>
      </c>
      <c r="S25" s="841" t="str">
        <f>'WEEK 4 Master Sheet '!S25</f>
        <v/>
      </c>
      <c r="T25" s="905">
        <v>20.0</v>
      </c>
    </row>
    <row r="26">
      <c r="A26" s="246" t="str">
        <f>'WEEK 4 Master Sheet '!A26</f>
        <v>NEW 1 REP MAX ATTEMPT</v>
      </c>
      <c r="B26" s="20"/>
      <c r="C26" s="20"/>
      <c r="D26" s="20"/>
      <c r="E26" s="20"/>
      <c r="F26" s="20"/>
      <c r="H26" s="248" t="str">
        <f>'WEEK 4 Master Sheet '!H26</f>
        <v>PROCEED TO DOWNSETS</v>
      </c>
      <c r="M26" s="28"/>
      <c r="O26" s="248" t="str">
        <f>'WEEK 4 Master Sheet '!O26</f>
        <v>NEW 4 REP MAX ATTEMPT</v>
      </c>
      <c r="T26" s="28"/>
    </row>
    <row r="27">
      <c r="A27" s="909">
        <f>'WEEK 4 Master Sheet '!A27</f>
        <v>5</v>
      </c>
      <c r="B27" s="910">
        <f>'WEEK 4 Master Sheet '!B27</f>
        <v>95</v>
      </c>
      <c r="C27" s="911">
        <f>'WEEK 4 Master Sheet '!C27</f>
        <v>1</v>
      </c>
      <c r="D27" s="911" t="str">
        <f>'WEEK 4 Master Sheet '!D27</f>
        <v>1-5 MIN</v>
      </c>
      <c r="E27" s="912" t="str">
        <f>'WEEK 4 Master Sheet '!E27</f>
        <v/>
      </c>
      <c r="F27" s="905">
        <v>1.0</v>
      </c>
      <c r="H27" s="251" t="str">
        <f>'WEEK 4 Master Sheet '!H27</f>
        <v/>
      </c>
      <c r="I27" s="252" t="str">
        <f>'WEEK 4 Master Sheet '!I27</f>
        <v/>
      </c>
      <c r="J27" s="253" t="str">
        <f>'WEEK 4 Master Sheet '!J27</f>
        <v/>
      </c>
      <c r="K27" s="254" t="str">
        <f>'WEEK 4 Master Sheet '!K27</f>
        <v/>
      </c>
      <c r="L27" s="255" t="str">
        <f>'WEEK 4 Master Sheet '!L27</f>
        <v/>
      </c>
      <c r="M27" s="263"/>
      <c r="O27" s="251">
        <f>'WEEK 4 Master Sheet '!O27</f>
        <v>5</v>
      </c>
      <c r="P27" s="252">
        <f>'WEEK 4 Master Sheet '!P27</f>
        <v>105</v>
      </c>
      <c r="Q27" s="253" t="str">
        <f>'WEEK 4 Master Sheet '!Q27</f>
        <v>REP OUT</v>
      </c>
      <c r="R27" s="254" t="str">
        <f>'WEEK 4 Master Sheet '!R27</f>
        <v>1 MIN</v>
      </c>
      <c r="S27" s="255" t="str">
        <f>'WEEK 4 Master Sheet '!S27</f>
        <v/>
      </c>
      <c r="T27" s="263">
        <v>20.0</v>
      </c>
    </row>
    <row r="28">
      <c r="A28" s="913" t="str">
        <f>'WEEK 4 Master Sheet '!A28</f>
        <v>6</v>
      </c>
      <c r="B28" s="911">
        <f>'WEEK 4 Master Sheet '!B28</f>
        <v>100</v>
      </c>
      <c r="C28" s="344" t="str">
        <f>'WEEK 4 Master Sheet '!C28</f>
        <v>1</v>
      </c>
      <c r="D28" s="910" t="str">
        <f>'WEEK 4 Master Sheet '!D28</f>
        <v>1-5 MIN</v>
      </c>
      <c r="E28" s="912" t="str">
        <f>'WEEK 4 Master Sheet '!E28</f>
        <v/>
      </c>
      <c r="F28" s="905">
        <v>1.0</v>
      </c>
      <c r="H28" s="246" t="str">
        <f>'WEEK 4 Master Sheet '!H28</f>
        <v>FILL OUT REP LOG FIRST</v>
      </c>
      <c r="I28" s="20"/>
      <c r="J28" s="20"/>
      <c r="K28" s="20"/>
      <c r="L28" s="20"/>
      <c r="M28" s="95"/>
      <c r="O28" s="246"/>
      <c r="P28" s="20"/>
      <c r="Q28" s="20"/>
      <c r="R28" s="20"/>
      <c r="S28" s="20"/>
      <c r="T28" s="95"/>
    </row>
    <row r="29">
      <c r="A29" s="246" t="str">
        <f>'WEEK 4 Master Sheet '!A29</f>
        <v>DOWN SETS</v>
      </c>
      <c r="B29" s="20"/>
      <c r="C29" s="20"/>
      <c r="D29" s="20"/>
      <c r="E29" s="20"/>
      <c r="F29" s="20"/>
      <c r="H29" s="91" t="str">
        <f>'WEEK 4 Master Sheet '!H29</f>
        <v/>
      </c>
      <c r="I29" s="261" t="str">
        <f>'WEEK 4 Master Sheet '!I29</f>
        <v/>
      </c>
      <c r="J29" s="262" t="str">
        <f>'WEEK 4 Master Sheet '!J29</f>
        <v/>
      </c>
      <c r="K29" s="65" t="str">
        <f>'WEEK 4 Master Sheet '!K29</f>
        <v/>
      </c>
      <c r="L29" s="255" t="str">
        <f>'WEEK 4 Master Sheet '!L29</f>
        <v/>
      </c>
      <c r="M29" s="263"/>
      <c r="O29" s="91" t="str">
        <f>'WEEK 4 Master Sheet '!O29</f>
        <v/>
      </c>
      <c r="P29" s="261" t="str">
        <f>'WEEK 4 Master Sheet '!P29</f>
        <v/>
      </c>
      <c r="Q29" s="262" t="str">
        <f>'WEEK 4 Master Sheet '!Q29</f>
        <v/>
      </c>
      <c r="R29" s="65" t="str">
        <f>'WEEK 4 Master Sheet '!R29</f>
        <v/>
      </c>
      <c r="S29" s="255" t="str">
        <f>'WEEK 4 Master Sheet '!S29</f>
        <v/>
      </c>
      <c r="T29" s="263"/>
    </row>
    <row r="30">
      <c r="A30" s="914">
        <f>'WEEK 4 Master Sheet '!A30</f>
        <v>7</v>
      </c>
      <c r="B30" s="901">
        <f>'WEEK 4 Master Sheet '!B30</f>
        <v>90</v>
      </c>
      <c r="C30" s="915" t="str">
        <f>'WEEK 4 Master Sheet '!C30</f>
        <v>REP OUT</v>
      </c>
      <c r="D30" s="908" t="str">
        <f>'WEEK 4 Master Sheet '!D30</f>
        <v>1-3 MIN</v>
      </c>
      <c r="E30" s="916" t="str">
        <f>'WEEK 4 Master Sheet '!E30</f>
        <v/>
      </c>
      <c r="F30" s="917">
        <v>5.0</v>
      </c>
      <c r="H30" s="269" t="str">
        <f>'WEEK 4 Master Sheet '!H30</f>
        <v/>
      </c>
      <c r="I30" s="254" t="str">
        <f>'WEEK 4 Master Sheet '!I30</f>
        <v/>
      </c>
      <c r="J30" s="262" t="str">
        <f>'WEEK 4 Master Sheet '!J30</f>
        <v/>
      </c>
      <c r="K30" s="65" t="str">
        <f>'WEEK 4 Master Sheet '!K30</f>
        <v/>
      </c>
      <c r="L30" s="255" t="str">
        <f>'WEEK 4 Master Sheet '!L30</f>
        <v/>
      </c>
      <c r="M30" s="263"/>
      <c r="O30" s="269" t="str">
        <f>'WEEK 4 Master Sheet '!O30</f>
        <v/>
      </c>
      <c r="P30" s="254" t="str">
        <f>'WEEK 4 Master Sheet '!P30</f>
        <v/>
      </c>
      <c r="Q30" s="262" t="str">
        <f>'WEEK 4 Master Sheet '!Q30</f>
        <v/>
      </c>
      <c r="R30" s="65" t="str">
        <f>'WEEK 4 Master Sheet '!R30</f>
        <v/>
      </c>
      <c r="S30" s="255" t="str">
        <f>'WEEK 4 Master Sheet '!S30</f>
        <v/>
      </c>
      <c r="T30" s="263"/>
    </row>
    <row r="31">
      <c r="A31" s="918">
        <f>'WEEK 4 Master Sheet '!A31</f>
        <v>8</v>
      </c>
      <c r="B31" s="919">
        <f>'WEEK 4 Master Sheet '!B31</f>
        <v>80</v>
      </c>
      <c r="C31" s="920" t="str">
        <f>'WEEK 4 Master Sheet '!C31</f>
        <v>REP OUT</v>
      </c>
      <c r="D31" s="921" t="str">
        <f>'WEEK 4 Master Sheet '!D31</f>
        <v>1-3 MIN</v>
      </c>
      <c r="E31" s="922" t="str">
        <f>'WEEK 4 Master Sheet '!E31</f>
        <v/>
      </c>
      <c r="F31" s="917">
        <v>10.0</v>
      </c>
      <c r="H31" s="844" t="str">
        <f>'WEEK 4 Master Sheet '!H31</f>
        <v/>
      </c>
      <c r="I31" s="845" t="str">
        <f>'WEEK 4 Master Sheet '!I31</f>
        <v/>
      </c>
      <c r="J31" s="923" t="str">
        <f>'WEEK 4 Master Sheet '!J31</f>
        <v/>
      </c>
      <c r="K31" s="845" t="str">
        <f>'WEEK 4 Master Sheet '!K31</f>
        <v/>
      </c>
      <c r="L31" s="847"/>
      <c r="M31" s="917"/>
      <c r="O31" s="844">
        <f>'WEEK 4 Master Sheet '!O31</f>
        <v>6</v>
      </c>
      <c r="P31" s="845">
        <f>'WEEK 4 Master Sheet '!P31</f>
        <v>75</v>
      </c>
      <c r="Q31" s="923" t="str">
        <f>'WEEK 4 Master Sheet '!Q31</f>
        <v>REP OUT</v>
      </c>
      <c r="R31" s="845" t="str">
        <f>'WEEK 4 Master Sheet '!R31</f>
        <v>1 MIN</v>
      </c>
      <c r="S31" s="847"/>
      <c r="T31" s="917"/>
    </row>
    <row r="32">
      <c r="A32" s="924" t="str">
        <f>'WEEK 4 Master Sheet '!A32</f>
        <v>FINAL MAX</v>
      </c>
      <c r="B32" s="925">
        <f>'WEEK 4 Master Sheet '!B32</f>
        <v>100</v>
      </c>
      <c r="C32" s="33"/>
      <c r="D32" s="33"/>
      <c r="E32" s="33"/>
      <c r="F32" s="34"/>
      <c r="H32" s="844" t="str">
        <f>'WEEK 4 Master Sheet '!H32</f>
        <v/>
      </c>
      <c r="I32" s="845" t="str">
        <f>'WEEK 4 Master Sheet '!I32</f>
        <v/>
      </c>
      <c r="J32" s="846" t="str">
        <f>'WEEK 4 Master Sheet '!J32</f>
        <v/>
      </c>
      <c r="K32" s="267" t="str">
        <f>'WEEK 4 Master Sheet '!K32</f>
        <v/>
      </c>
      <c r="L32" s="847" t="str">
        <f>'WEEK 4 Master Sheet '!L32</f>
        <v/>
      </c>
      <c r="M32" s="917"/>
      <c r="O32" s="844">
        <f>'WEEK 4 Master Sheet '!O32</f>
        <v>7</v>
      </c>
      <c r="P32" s="845">
        <f>'WEEK 4 Master Sheet '!P32</f>
        <v>70</v>
      </c>
      <c r="Q32" s="846" t="str">
        <f>'WEEK 4 Master Sheet '!Q32</f>
        <v>REP OUT</v>
      </c>
      <c r="R32" s="267" t="str">
        <f>'WEEK 4 Master Sheet '!R32</f>
        <v>1 MIN</v>
      </c>
      <c r="S32" s="847" t="str">
        <f>'WEEK 4 Master Sheet '!S32</f>
        <v/>
      </c>
      <c r="T32" s="917"/>
    </row>
    <row r="33">
      <c r="A33" s="274"/>
      <c r="H33" s="272" t="str">
        <f>'WEEK 4 Master Sheet '!H33</f>
        <v>FINAL MAX</v>
      </c>
      <c r="I33" s="332" t="str">
        <f>'WEEK 4 Master Sheet '!I33</f>
        <v/>
      </c>
      <c r="J33" s="33"/>
      <c r="K33" s="33"/>
      <c r="L33" s="33"/>
      <c r="M33" s="34"/>
      <c r="O33" s="272" t="str">
        <f>'WEEK 4 Master Sheet '!O33</f>
        <v>FINAL MAX</v>
      </c>
      <c r="P33" s="332">
        <f>'WEEK 4 Master Sheet '!P33</f>
        <v>105</v>
      </c>
      <c r="Q33" s="33"/>
      <c r="R33" s="33"/>
      <c r="S33" s="33"/>
      <c r="T33" s="34"/>
    </row>
    <row r="34">
      <c r="H34" s="849"/>
    </row>
    <row r="35">
      <c r="A35" s="73" t="str">
        <f>'WEEK 4 Master Sheet '!A35</f>
        <v>2. DB CHEST FLY</v>
      </c>
      <c r="B35" s="53"/>
      <c r="C35" s="53"/>
      <c r="D35" s="53"/>
      <c r="E35" s="53"/>
      <c r="F35" s="54"/>
      <c r="G35" s="434" t="s">
        <v>123</v>
      </c>
      <c r="H35" s="73" t="str">
        <f>'WEEK 4 Master Sheet '!H35</f>
        <v>2. MACHINE CHEST FLY</v>
      </c>
      <c r="I35" s="53"/>
      <c r="J35" s="53"/>
      <c r="K35" s="53"/>
      <c r="L35" s="53"/>
      <c r="M35" s="54"/>
      <c r="N35" s="926"/>
    </row>
    <row r="36">
      <c r="A36" s="596" t="str">
        <f>'WEEK 4 Master Sheet '!A36</f>
        <v>DB INCL MAX</v>
      </c>
      <c r="B36" s="284">
        <f>'WEEK 4 Master Sheet '!B36</f>
        <v>105</v>
      </c>
      <c r="C36" s="20"/>
      <c r="D36" s="20"/>
      <c r="E36" s="20"/>
      <c r="F36" s="95"/>
      <c r="G36" s="598"/>
      <c r="H36" s="596" t="str">
        <f>'WEEK 4 Master Sheet '!H36</f>
        <v>DB INCL MAX</v>
      </c>
      <c r="I36" s="284">
        <f>'WEEK 4 Master Sheet '!I36</f>
        <v>105</v>
      </c>
      <c r="J36" s="20"/>
      <c r="K36" s="20"/>
      <c r="L36" s="20"/>
      <c r="M36" s="95"/>
      <c r="N36" s="529"/>
    </row>
    <row r="37">
      <c r="A37" s="231" t="str">
        <f>'WEEK 4 Master Sheet '!A37</f>
        <v>SET</v>
      </c>
      <c r="B37" s="232" t="str">
        <f>'WEEK 4 Master Sheet '!B37</f>
        <v>WEIGHT</v>
      </c>
      <c r="C37" s="232" t="str">
        <f>'WEEK 4 Master Sheet '!C37</f>
        <v>REPS</v>
      </c>
      <c r="D37" s="232" t="str">
        <f>'WEEK 4 Master Sheet '!D37</f>
        <v>REST</v>
      </c>
      <c r="E37" s="233" t="str">
        <f>'WEEK 4 Master Sheet '!E37</f>
        <v>PREVIOUS</v>
      </c>
      <c r="F37" s="235" t="str">
        <f>'WEEK 4 Master Sheet '!F37</f>
        <v>REP LOG</v>
      </c>
      <c r="H37" s="231" t="str">
        <f>'WEEK 4 Master Sheet '!H37</f>
        <v>SET</v>
      </c>
      <c r="I37" s="232" t="str">
        <f>'WEEK 4 Master Sheet '!I37</f>
        <v>WEIGHT</v>
      </c>
      <c r="J37" s="232" t="str">
        <f>'WEEK 4 Master Sheet '!J37</f>
        <v>REPS</v>
      </c>
      <c r="K37" s="232" t="str">
        <f>'WEEK 4 Master Sheet '!K37</f>
        <v>REST</v>
      </c>
      <c r="L37" s="233" t="str">
        <f>'WEEK 4 Master Sheet '!L37</f>
        <v>PREVIOUS</v>
      </c>
      <c r="M37" s="927" t="str">
        <f>'WEEK 4 Master Sheet '!M37</f>
        <v>REP LOG</v>
      </c>
      <c r="N37" s="529"/>
    </row>
    <row r="38">
      <c r="A38" s="242">
        <f>'WEEK 4 Master Sheet '!A38</f>
        <v>1</v>
      </c>
      <c r="B38" s="237">
        <f>'WEEK 4 Master Sheet '!B38</f>
        <v>30</v>
      </c>
      <c r="C38" s="82" t="str">
        <f>'WEEK 4 Master Sheet '!C38</f>
        <v>10 - 15</v>
      </c>
      <c r="D38" s="928" t="str">
        <f>'WEEK 4 Master Sheet '!D38</f>
        <v>1 - 3 MIN</v>
      </c>
      <c r="E38" s="66" t="str">
        <f>'WEEK 4 Master Sheet '!E38</f>
        <v/>
      </c>
      <c r="F38" s="917"/>
      <c r="H38" s="242">
        <f>'WEEK 4 Master Sheet '!H38</f>
        <v>1</v>
      </c>
      <c r="I38" s="237">
        <f>'WEEK 4 Master Sheet '!I38</f>
        <v>160</v>
      </c>
      <c r="J38" s="82" t="str">
        <f>'WEEK 4 Master Sheet '!J38</f>
        <v>10 - 15</v>
      </c>
      <c r="K38" s="928" t="str">
        <f>'WEEK 4 Master Sheet '!K38</f>
        <v>1 - 3 MIN</v>
      </c>
      <c r="L38" s="66" t="str">
        <f>'WEEK 4 Master Sheet '!L38</f>
        <v/>
      </c>
      <c r="M38" s="917"/>
      <c r="N38" s="529"/>
    </row>
    <row r="39">
      <c r="A39" s="289">
        <f>'WEEK 4 Master Sheet '!A39</f>
        <v>2</v>
      </c>
      <c r="B39" s="291">
        <f>'WEEK 4 Master Sheet '!B39</f>
        <v>30</v>
      </c>
      <c r="C39" s="87" t="str">
        <f>'WEEK 4 Master Sheet '!C39</f>
        <v>10 - 15</v>
      </c>
      <c r="D39" s="929" t="str">
        <f>'WEEK 4 Master Sheet '!D39</f>
        <v>1 - 3 MIN</v>
      </c>
      <c r="E39" s="72"/>
      <c r="F39" s="917"/>
      <c r="H39" s="289">
        <f>'WEEK 4 Master Sheet '!H39</f>
        <v>2</v>
      </c>
      <c r="I39" s="291">
        <f>'WEEK 4 Master Sheet '!I39</f>
        <v>160</v>
      </c>
      <c r="J39" s="87" t="str">
        <f>'WEEK 4 Master Sheet '!J39</f>
        <v>10 - 15</v>
      </c>
      <c r="K39" s="929" t="str">
        <f>'WEEK 4 Master Sheet '!K39</f>
        <v>1 - 3 MIN</v>
      </c>
      <c r="L39" s="72"/>
      <c r="M39" s="917"/>
      <c r="N39" s="529"/>
    </row>
    <row r="40">
      <c r="A40" s="103"/>
      <c r="H40" s="851" t="s">
        <v>41</v>
      </c>
    </row>
    <row r="42">
      <c r="A42" s="73" t="str">
        <f>'WEEK 4 Master Sheet '!A42</f>
        <v>3. LAT PULL DOWN</v>
      </c>
      <c r="B42" s="53"/>
      <c r="C42" s="53"/>
      <c r="D42" s="53"/>
      <c r="E42" s="53"/>
      <c r="F42" s="54"/>
    </row>
    <row r="43">
      <c r="A43" s="282" t="str">
        <f>'WEEK 4 Master Sheet '!A43</f>
        <v>CURRENT MAX</v>
      </c>
      <c r="B43" s="930">
        <v>265.0</v>
      </c>
      <c r="C43" s="16"/>
      <c r="D43" s="16"/>
      <c r="E43" s="16"/>
      <c r="F43" s="230"/>
    </row>
    <row r="44">
      <c r="A44" s="58" t="str">
        <f>'WEEK 4 Master Sheet '!A44</f>
        <v>SET</v>
      </c>
      <c r="B44" s="365" t="str">
        <f>'WEEK 4 Master Sheet '!B44</f>
        <v>WEIGHT</v>
      </c>
      <c r="C44" s="365" t="str">
        <f>'WEEK 4 Master Sheet '!C44</f>
        <v>REPS</v>
      </c>
      <c r="D44" s="365" t="str">
        <f>'WEEK 4 Master Sheet '!D44</f>
        <v>REST</v>
      </c>
      <c r="E44" s="853" t="str">
        <f>'WEEK 4 Master Sheet '!E44</f>
        <v>PREVIOUS</v>
      </c>
      <c r="F44" s="235" t="str">
        <f>'WEEK 4 Master Sheet '!F44</f>
        <v>REP LOG</v>
      </c>
    </row>
    <row r="45">
      <c r="A45" s="242">
        <f>'WEEK 4 Master Sheet '!A45</f>
        <v>1</v>
      </c>
      <c r="B45" s="237">
        <f>'WEEK 4 Master Sheet '!B45</f>
        <v>135</v>
      </c>
      <c r="C45" s="104" t="str">
        <f>'WEEK 4 Master Sheet '!C45</f>
        <v>Rep Out</v>
      </c>
      <c r="D45" s="65" t="str">
        <f>'WEEK 4 Master Sheet '!D45</f>
        <v>1 Min</v>
      </c>
      <c r="E45" s="66" t="str">
        <f>'WEEK 4 Master Sheet '!E45</f>
        <v/>
      </c>
      <c r="F45" s="917">
        <v>20.0</v>
      </c>
    </row>
    <row r="46">
      <c r="A46" s="242">
        <f>'WEEK 4 Master Sheet '!A46</f>
        <v>2</v>
      </c>
      <c r="B46" s="237">
        <f>'WEEK 4 Master Sheet '!B46</f>
        <v>135</v>
      </c>
      <c r="C46" s="104" t="str">
        <f>'WEEK 4 Master Sheet '!C46</f>
        <v>Rep Out</v>
      </c>
      <c r="D46" s="65" t="str">
        <f>'WEEK 4 Master Sheet '!D46</f>
        <v>1 Min</v>
      </c>
      <c r="E46" s="66"/>
      <c r="F46" s="917">
        <v>17.0</v>
      </c>
    </row>
    <row r="47">
      <c r="A47" s="242">
        <f>'WEEK 4 Master Sheet '!A47</f>
        <v>3</v>
      </c>
      <c r="B47" s="237">
        <f>'WEEK 4 Master Sheet '!B47</f>
        <v>135</v>
      </c>
      <c r="C47" s="104" t="str">
        <f>'WEEK 4 Master Sheet '!C47</f>
        <v>Rep Out</v>
      </c>
      <c r="D47" s="65" t="str">
        <f>'WEEK 4 Master Sheet '!D47</f>
        <v>1 Min</v>
      </c>
      <c r="E47" s="66"/>
      <c r="F47" s="263">
        <v>15.0</v>
      </c>
    </row>
    <row r="48">
      <c r="A48" s="302"/>
    </row>
    <row r="50">
      <c r="A50" s="73" t="str">
        <f>'WEEK 4 Master Sheet '!A50</f>
        <v>4. MACHINE LOW ROW</v>
      </c>
      <c r="B50" s="53"/>
      <c r="C50" s="53"/>
      <c r="D50" s="53"/>
      <c r="E50" s="53"/>
      <c r="F50" s="54"/>
    </row>
    <row r="51">
      <c r="A51" s="458" t="str">
        <f>'WEEK 4 Master Sheet '!A51</f>
        <v>CURRENT MAX</v>
      </c>
      <c r="B51" s="56">
        <v>205.0</v>
      </c>
      <c r="C51" s="13"/>
      <c r="D51" s="13"/>
      <c r="E51" s="13"/>
      <c r="F51" s="57"/>
    </row>
    <row r="52">
      <c r="A52" s="58" t="str">
        <f>'WEEK 4 Master Sheet '!A52</f>
        <v>SET</v>
      </c>
      <c r="B52" s="59" t="str">
        <f>'WEEK 4 Master Sheet '!B52</f>
        <v>WEIGHT</v>
      </c>
      <c r="C52" s="59" t="str">
        <f>'WEEK 4 Master Sheet '!C52</f>
        <v>REPS</v>
      </c>
      <c r="D52" s="59" t="str">
        <f>'WEEK 4 Master Sheet '!D52</f>
        <v>REST</v>
      </c>
      <c r="E52" s="584" t="str">
        <f>'WEEK 4 Master Sheet '!E52</f>
        <v>PREVIOUS</v>
      </c>
      <c r="F52" s="235" t="str">
        <f>'WEEK 4 Master Sheet '!F52</f>
        <v>REP LOG</v>
      </c>
    </row>
    <row r="53">
      <c r="A53" s="62">
        <f>'WEEK 4 Master Sheet '!A53</f>
        <v>1</v>
      </c>
      <c r="B53" s="855">
        <f>'WEEK 4 Master Sheet '!B53</f>
        <v>105</v>
      </c>
      <c r="C53" s="104" t="str">
        <f>'WEEK 4 Master Sheet '!C53</f>
        <v>Rep Out</v>
      </c>
      <c r="D53" s="65" t="str">
        <f>'WEEK 4 Master Sheet '!D53</f>
        <v>1 Min</v>
      </c>
      <c r="E53" s="66" t="str">
        <f>'WEEK 4 Master Sheet '!E53</f>
        <v/>
      </c>
      <c r="F53" s="917">
        <v>17.0</v>
      </c>
    </row>
    <row r="54">
      <c r="A54" s="68">
        <f>'WEEK 4 Master Sheet '!A54</f>
        <v>2</v>
      </c>
      <c r="B54" s="856">
        <f>'WEEK 4 Master Sheet '!B54</f>
        <v>105</v>
      </c>
      <c r="C54" s="105" t="str">
        <f>'WEEK 4 Master Sheet '!C54</f>
        <v>Rep Out</v>
      </c>
      <c r="D54" s="71" t="str">
        <f>'WEEK 4 Master Sheet '!D54</f>
        <v>1 Min</v>
      </c>
      <c r="E54" s="72"/>
      <c r="F54" s="917">
        <v>25.0</v>
      </c>
    </row>
    <row r="55">
      <c r="A55" s="103"/>
    </row>
    <row r="57">
      <c r="A57" s="73" t="str">
        <f>'WEEK 4 Master Sheet '!A57</f>
        <v>5. MACHINE HIGH ROW</v>
      </c>
      <c r="B57" s="53"/>
      <c r="C57" s="53"/>
      <c r="D57" s="53"/>
      <c r="E57" s="53"/>
      <c r="F57" s="54"/>
    </row>
    <row r="58">
      <c r="A58" s="458" t="str">
        <f>'WEEK 4 Master Sheet '!A58</f>
        <v>CURRENT MAX</v>
      </c>
      <c r="B58" s="56">
        <v>60.0</v>
      </c>
      <c r="C58" s="13"/>
      <c r="D58" s="13"/>
      <c r="E58" s="13"/>
      <c r="F58" s="57"/>
    </row>
    <row r="59">
      <c r="A59" s="58" t="str">
        <f>'WEEK 4 Master Sheet '!A59</f>
        <v>SET</v>
      </c>
      <c r="B59" s="59" t="str">
        <f>'WEEK 4 Master Sheet '!B59</f>
        <v>WEIGHT</v>
      </c>
      <c r="C59" s="59" t="str">
        <f>'WEEK 4 Master Sheet '!C59</f>
        <v>REPS</v>
      </c>
      <c r="D59" s="59" t="str">
        <f>'WEEK 4 Master Sheet '!D59</f>
        <v>REST</v>
      </c>
      <c r="E59" s="584" t="str">
        <f>'WEEK 4 Master Sheet '!E59</f>
        <v>PREVIOUS</v>
      </c>
      <c r="F59" s="235" t="str">
        <f>'WEEK 4 Master Sheet '!F59</f>
        <v>REP LOG</v>
      </c>
    </row>
    <row r="60">
      <c r="A60" s="62">
        <f>'WEEK 4 Master Sheet '!A60</f>
        <v>1</v>
      </c>
      <c r="B60" s="855">
        <f>'WEEK 4 Master Sheet '!B60</f>
        <v>30</v>
      </c>
      <c r="C60" s="104" t="str">
        <f>'WEEK 4 Master Sheet '!C60</f>
        <v>Rep Out</v>
      </c>
      <c r="D60" s="65" t="str">
        <f>'WEEK 4 Master Sheet '!D60</f>
        <v>1 Min</v>
      </c>
      <c r="E60" s="66" t="str">
        <f>'WEEK 4 Master Sheet '!E60</f>
        <v/>
      </c>
      <c r="F60" s="917"/>
    </row>
    <row r="61">
      <c r="A61" s="68">
        <f>'WEEK 4 Master Sheet '!A61</f>
        <v>2</v>
      </c>
      <c r="B61" s="856">
        <f>'WEEK 4 Master Sheet '!B61</f>
        <v>30</v>
      </c>
      <c r="C61" s="105" t="str">
        <f>'WEEK 4 Master Sheet '!C61</f>
        <v>Rep Out</v>
      </c>
      <c r="D61" s="71" t="str">
        <f>'WEEK 4 Master Sheet '!D61</f>
        <v>1 Min</v>
      </c>
      <c r="E61" s="72"/>
      <c r="F61" s="917"/>
    </row>
    <row r="62">
      <c r="A62" s="598"/>
    </row>
    <row r="63">
      <c r="A63" s="310" t="str">
        <f>'WEEK 4 Master Sheet '!A63</f>
        <v>CLICK TO COMPLETE WORKOUT</v>
      </c>
      <c r="B63" s="36"/>
      <c r="C63" s="36"/>
      <c r="D63" s="36"/>
      <c r="E63" s="36"/>
      <c r="F63" s="37"/>
    </row>
    <row r="64">
      <c r="A64" s="858"/>
    </row>
    <row r="65">
      <c r="A65" s="602" t="str">
        <f>'WEEK 4 Master Sheet '!A65</f>
        <v>DAY 2 </v>
      </c>
      <c r="B65" s="36"/>
      <c r="C65" s="36"/>
      <c r="D65" s="36"/>
      <c r="E65" s="36"/>
      <c r="F65" s="37"/>
    </row>
    <row r="66">
      <c r="A66" s="838" t="str">
        <f>'WEEK 4 Master Sheet '!A66</f>
        <v/>
      </c>
    </row>
    <row r="68">
      <c r="A68" s="542" t="str">
        <f>'WEEK 4 Master Sheet '!A68</f>
        <v>LEGS</v>
      </c>
      <c r="B68" s="36"/>
      <c r="C68" s="36"/>
      <c r="D68" s="36"/>
      <c r="E68" s="36"/>
      <c r="F68" s="37"/>
    </row>
    <row r="69">
      <c r="A69" s="73" t="str">
        <f>'WEEK 4 Master Sheet '!A69</f>
        <v> 1. SISSY SQUATS</v>
      </c>
      <c r="B69" s="53"/>
      <c r="C69" s="53"/>
      <c r="D69" s="53"/>
      <c r="E69" s="53"/>
      <c r="F69" s="54"/>
    </row>
    <row r="70">
      <c r="A70" s="58" t="str">
        <f>'WEEK 4 Master Sheet '!A70</f>
        <v>SET</v>
      </c>
      <c r="B70" s="59" t="str">
        <f>'WEEK 4 Master Sheet '!B70</f>
        <v>WEIGHT</v>
      </c>
      <c r="C70" s="59" t="str">
        <f>'WEEK 4 Master Sheet '!C70</f>
        <v>REPS</v>
      </c>
      <c r="D70" s="59" t="str">
        <f>'WEEK 4 Master Sheet '!D70</f>
        <v>REST</v>
      </c>
      <c r="E70" s="584" t="str">
        <f>'WEEK 4 Master Sheet '!E70</f>
        <v>PREVIOUS</v>
      </c>
      <c r="F70" s="235" t="str">
        <f>'WEEK 4 Master Sheet '!F70</f>
        <v>REP LOG</v>
      </c>
    </row>
    <row r="71">
      <c r="A71" s="308">
        <f>'WEEK 4 Master Sheet '!A71</f>
        <v>1</v>
      </c>
      <c r="B71" s="585" t="str">
        <f>'WEEK 4 Master Sheet '!B71</f>
        <v>BODY</v>
      </c>
      <c r="C71" s="585">
        <f>'WEEK 4 Master Sheet '!C71</f>
        <v>10</v>
      </c>
      <c r="D71" s="585" t="str">
        <f>'WEEK 4 Master Sheet '!D71</f>
        <v>1-2 MIN</v>
      </c>
      <c r="E71" s="586" t="str">
        <f>'WEEK 4 Master Sheet '!E71</f>
        <v/>
      </c>
      <c r="F71" s="917">
        <v>0.0</v>
      </c>
    </row>
    <row r="72">
      <c r="A72" s="313">
        <f>'WEEK 4 Master Sheet '!A72</f>
        <v>2</v>
      </c>
      <c r="B72" s="587" t="str">
        <f>'WEEK 4 Master Sheet '!B72</f>
        <v>BODY</v>
      </c>
      <c r="C72" s="587">
        <f>'WEEK 4 Master Sheet '!C72</f>
        <v>10</v>
      </c>
      <c r="D72" s="587" t="str">
        <f>'WEEK 4 Master Sheet '!D72</f>
        <v>1-2 MIN</v>
      </c>
      <c r="E72" s="588"/>
      <c r="F72" s="917">
        <v>0.0</v>
      </c>
    </row>
    <row r="73">
      <c r="A73" s="838"/>
    </row>
    <row r="75">
      <c r="A75" s="861" t="str">
        <f>'WEEK 4 Master Sheet '!A75</f>
        <v>2. MACHINE SQUAT</v>
      </c>
      <c r="B75" s="53"/>
      <c r="C75" s="53"/>
      <c r="D75" s="53"/>
      <c r="E75" s="53"/>
      <c r="F75" s="54"/>
    </row>
    <row r="76">
      <c r="A76" s="458" t="str">
        <f>'WEEK 4 Master Sheet '!A76</f>
        <v>CURRENT MAX</v>
      </c>
      <c r="B76" s="597">
        <v>350.0</v>
      </c>
      <c r="C76" s="20"/>
      <c r="D76" s="20"/>
      <c r="E76" s="20"/>
      <c r="F76" s="95"/>
    </row>
    <row r="77">
      <c r="A77" s="58" t="str">
        <f>'WEEK 4 Master Sheet '!A77</f>
        <v>SET</v>
      </c>
      <c r="B77" s="59" t="str">
        <f>'WEEK 4 Master Sheet '!B77</f>
        <v>WEIGHT</v>
      </c>
      <c r="C77" s="59" t="str">
        <f>'WEEK 4 Master Sheet '!C77</f>
        <v>REPS</v>
      </c>
      <c r="D77" s="59" t="str">
        <f>'WEEK 4 Master Sheet '!D77</f>
        <v>REST</v>
      </c>
      <c r="E77" s="584" t="str">
        <f>'WEEK 4 Master Sheet '!E77</f>
        <v>PREVIOUS</v>
      </c>
      <c r="F77" s="235" t="str">
        <f>'WEEK 4 Master Sheet '!F77</f>
        <v>REP LOG</v>
      </c>
    </row>
    <row r="78">
      <c r="A78" s="308">
        <f>'WEEK 4 Master Sheet '!A78</f>
        <v>1</v>
      </c>
      <c r="B78" s="862">
        <f>'WEEK 4 Master Sheet '!B78</f>
        <v>125</v>
      </c>
      <c r="C78" s="99">
        <f>'WEEK 4 Master Sheet '!C78</f>
        <v>10</v>
      </c>
      <c r="D78" s="405" t="str">
        <f>'WEEK 4 Master Sheet '!D78</f>
        <v>1-2 MIN</v>
      </c>
      <c r="E78" s="66" t="str">
        <f>'WEEK 4 Master Sheet '!E78</f>
        <v/>
      </c>
      <c r="F78" s="917">
        <v>0.0</v>
      </c>
    </row>
    <row r="79">
      <c r="A79" s="308">
        <f>'WEEK 4 Master Sheet '!A79</f>
        <v>2</v>
      </c>
      <c r="B79" s="862">
        <f>'WEEK 4 Master Sheet '!B79</f>
        <v>175</v>
      </c>
      <c r="C79" s="99">
        <f>'WEEK 4 Master Sheet '!C79</f>
        <v>10</v>
      </c>
      <c r="D79" s="405" t="str">
        <f>'WEEK 4 Master Sheet '!D79</f>
        <v>1-2 MIN</v>
      </c>
      <c r="E79" s="66"/>
      <c r="F79" s="917">
        <v>0.0</v>
      </c>
    </row>
    <row r="80">
      <c r="A80" s="308">
        <f>'WEEK 4 Master Sheet '!A80</f>
        <v>3</v>
      </c>
      <c r="B80" s="862">
        <f>'WEEK 4 Master Sheet '!B80</f>
        <v>265</v>
      </c>
      <c r="C80" s="99">
        <f>'WEEK 4 Master Sheet '!C80</f>
        <v>10</v>
      </c>
      <c r="D80" s="405" t="str">
        <f>'WEEK 4 Master Sheet '!D80</f>
        <v>1-2 MIN</v>
      </c>
      <c r="E80" s="66"/>
      <c r="F80" s="917">
        <v>0.0</v>
      </c>
    </row>
    <row r="81">
      <c r="A81" s="313">
        <f>'WEEK 4 Master Sheet '!A81</f>
        <v>4</v>
      </c>
      <c r="B81" s="863">
        <f>'WEEK 4 Master Sheet '!B81</f>
        <v>350</v>
      </c>
      <c r="C81" s="101">
        <f>'WEEK 4 Master Sheet '!C81</f>
        <v>10</v>
      </c>
      <c r="D81" s="864" t="str">
        <f>'WEEK 4 Master Sheet '!D81</f>
        <v>1-2 MIN</v>
      </c>
      <c r="E81" s="72"/>
      <c r="F81" s="917">
        <v>0.0</v>
      </c>
    </row>
    <row r="82">
      <c r="A82" s="320"/>
    </row>
    <row r="84">
      <c r="A84" s="73" t="str">
        <f>'WEEK 4 Master Sheet '!A84</f>
        <v>3. LEG EXTENSION</v>
      </c>
      <c r="B84" s="53"/>
      <c r="C84" s="53"/>
      <c r="D84" s="53"/>
      <c r="E84" s="53"/>
      <c r="F84" s="54"/>
    </row>
    <row r="85">
      <c r="A85" s="226" t="str">
        <f>'WEEK 4 Master Sheet '!A85</f>
        <v>CURRENT MAX</v>
      </c>
      <c r="B85" s="90">
        <f>'WEEK 4 Master Sheet '!B85</f>
        <v>85</v>
      </c>
      <c r="C85" s="13"/>
      <c r="D85" s="13"/>
      <c r="E85" s="13"/>
      <c r="F85" s="57"/>
    </row>
    <row r="86">
      <c r="A86" s="96" t="str">
        <f>'WEEK 4 Master Sheet '!A86</f>
        <v>SET</v>
      </c>
      <c r="B86" s="97" t="str">
        <f>'WEEK 4 Master Sheet '!B86</f>
        <v>WEIGHT</v>
      </c>
      <c r="C86" s="97" t="str">
        <f>'WEEK 4 Master Sheet '!C86</f>
        <v>REPS</v>
      </c>
      <c r="D86" s="97" t="str">
        <f>'WEEK 4 Master Sheet '!D86</f>
        <v>REST</v>
      </c>
      <c r="E86" s="98" t="str">
        <f>'WEEK 4 Master Sheet '!E86</f>
        <v>PREVIOUS</v>
      </c>
      <c r="F86" s="235" t="str">
        <f>'WEEK 4 Master Sheet '!F86</f>
        <v>REP LOG</v>
      </c>
    </row>
    <row r="87">
      <c r="A87" s="352">
        <f>'WEEK 4 Master Sheet '!A87</f>
        <v>1</v>
      </c>
      <c r="B87" s="237">
        <f>'WEEK 4 Master Sheet '!B87</f>
        <v>85</v>
      </c>
      <c r="C87" s="678">
        <f>'WEEK 4 Master Sheet '!C87</f>
        <v>20</v>
      </c>
      <c r="D87" s="350" t="str">
        <f>'WEEK 4 Master Sheet '!D87</f>
        <v>1 MIN</v>
      </c>
      <c r="E87" s="449" t="str">
        <f>'WEEK 4 Master Sheet '!E87</f>
        <v/>
      </c>
      <c r="F87" s="917">
        <v>8.0</v>
      </c>
    </row>
    <row r="88">
      <c r="A88" s="352">
        <f>'WEEK 4 Master Sheet '!A88</f>
        <v>2</v>
      </c>
      <c r="B88" s="237">
        <f>'WEEK 4 Master Sheet '!B88</f>
        <v>80</v>
      </c>
      <c r="C88" s="678">
        <f>'WEEK 4 Master Sheet '!C88</f>
        <v>20</v>
      </c>
      <c r="D88" s="350" t="str">
        <f>'WEEK 4 Master Sheet '!D88</f>
        <v>1 MIN</v>
      </c>
      <c r="E88" s="679" t="str">
        <f>'WEEK 4 Master Sheet '!E88</f>
        <v/>
      </c>
      <c r="F88" s="917">
        <v>8.0</v>
      </c>
    </row>
    <row r="89">
      <c r="A89" s="865">
        <f>'WEEK 4 Master Sheet '!A89</f>
        <v>3</v>
      </c>
      <c r="B89" s="866">
        <f>'WEEK 4 Master Sheet '!B89</f>
        <v>75</v>
      </c>
      <c r="C89" s="867">
        <f>'WEEK 4 Master Sheet '!C89</f>
        <v>20</v>
      </c>
      <c r="D89" s="760" t="str">
        <f>'WEEK 4 Master Sheet '!D89</f>
        <v>1 MIN</v>
      </c>
      <c r="E89" s="868"/>
      <c r="F89" s="330">
        <v>12.0</v>
      </c>
    </row>
    <row r="90">
      <c r="A90" s="869" t="str">
        <f>'WEEK 4 Master Sheet '!A90</f>
        <v/>
      </c>
      <c r="B90" s="25"/>
      <c r="C90" s="25"/>
      <c r="D90" s="25"/>
      <c r="E90" s="25"/>
      <c r="F90" s="25"/>
    </row>
    <row r="92">
      <c r="A92" s="595" t="str">
        <f>'WEEK 4 Master Sheet '!A92</f>
        <v>4. LEG CURL</v>
      </c>
      <c r="B92" s="53"/>
      <c r="C92" s="53"/>
      <c r="D92" s="53"/>
      <c r="E92" s="53"/>
      <c r="F92" s="54"/>
      <c r="G92" s="247" t="str">
        <f>'WEEK 4 Master Sheet '!G95</f>
        <v>ALTERNATE</v>
      </c>
      <c r="H92" s="931" t="str">
        <f>'WEEK 4 Master Sheet '!H92</f>
        <v>4. PRONE LEG CURL</v>
      </c>
      <c r="I92" s="25"/>
      <c r="J92" s="25"/>
      <c r="K92" s="25"/>
      <c r="L92" s="25"/>
      <c r="M92" s="26"/>
      <c r="N92" s="870"/>
    </row>
    <row r="93">
      <c r="A93" s="226" t="str">
        <f>'WEEK 4 Master Sheet '!A93</f>
        <v>CURRENT MAX</v>
      </c>
      <c r="B93" s="94">
        <f>'WEEK 4 Master Sheet '!B93</f>
        <v>90</v>
      </c>
      <c r="C93" s="20"/>
      <c r="D93" s="20"/>
      <c r="E93" s="20"/>
      <c r="F93" s="95"/>
      <c r="H93" s="932" t="str">
        <f>'WEEK 4 Master Sheet '!H93</f>
        <v>CURRENT MAX</v>
      </c>
      <c r="I93" s="933">
        <f>'WEEK 4 Master Sheet '!I93</f>
        <v>85</v>
      </c>
      <c r="J93" s="53"/>
      <c r="K93" s="53"/>
      <c r="L93" s="53"/>
      <c r="M93" s="54"/>
    </row>
    <row r="94">
      <c r="A94" s="96" t="str">
        <f>'WEEK 4 Master Sheet '!A94</f>
        <v>SET</v>
      </c>
      <c r="B94" s="97" t="str">
        <f>'WEEK 4 Master Sheet '!B94</f>
        <v>WEIGHT</v>
      </c>
      <c r="C94" s="97" t="str">
        <f>'WEEK 4 Master Sheet '!C94</f>
        <v>REPS</v>
      </c>
      <c r="D94" s="872" t="str">
        <f>'WEEK 4 Master Sheet '!D94</f>
        <v>REST</v>
      </c>
      <c r="E94" s="98" t="str">
        <f>'WEEK 4 Master Sheet '!E94</f>
        <v>PREVIOUS</v>
      </c>
      <c r="F94" s="235" t="str">
        <f>'WEEK 4 Master Sheet '!F94</f>
        <v>REP LOG</v>
      </c>
      <c r="G94" s="842" t="str">
        <f>'WEEK 4 Master Sheet '!G97</f>
        <v/>
      </c>
      <c r="H94" s="96" t="str">
        <f>'WEEK 4 Master Sheet '!H94</f>
        <v>SET</v>
      </c>
      <c r="I94" s="97" t="str">
        <f>'WEEK 4 Master Sheet '!I94</f>
        <v>WEIGHT</v>
      </c>
      <c r="J94" s="97" t="str">
        <f>'WEEK 4 Master Sheet '!J94</f>
        <v>REPS</v>
      </c>
      <c r="K94" s="872" t="str">
        <f>'WEEK 4 Master Sheet '!K94</f>
        <v>REST</v>
      </c>
      <c r="L94" s="98" t="str">
        <f>'WEEK 4 Master Sheet '!L94</f>
        <v>PREVIOUS</v>
      </c>
      <c r="M94" s="235" t="str">
        <f>'WEEK 4 Master Sheet '!M94</f>
        <v>REP LOG</v>
      </c>
    </row>
    <row r="95">
      <c r="A95" s="244">
        <f>'WEEK 4 Master Sheet '!A95</f>
        <v>1</v>
      </c>
      <c r="B95" s="99">
        <f>'WEEK 4 Master Sheet '!B95</f>
        <v>90</v>
      </c>
      <c r="C95" s="99">
        <f>'WEEK 4 Master Sheet '!C95</f>
        <v>20</v>
      </c>
      <c r="D95" s="873" t="str">
        <f>'WEEK 4 Master Sheet '!D95</f>
        <v>1 MIN</v>
      </c>
      <c r="E95" s="100" t="str">
        <f>'WEEK 4 Master Sheet '!E95</f>
        <v/>
      </c>
      <c r="F95" s="917">
        <v>15.0</v>
      </c>
      <c r="G95" s="842"/>
      <c r="H95" s="244">
        <f>'WEEK 4 Master Sheet '!H95</f>
        <v>1</v>
      </c>
      <c r="I95" s="99">
        <f>'WEEK 4 Master Sheet '!I95</f>
        <v>85</v>
      </c>
      <c r="J95" s="99">
        <f>'WEEK 4 Master Sheet '!J95</f>
        <v>20</v>
      </c>
      <c r="K95" s="873" t="str">
        <f>'WEEK 4 Master Sheet '!K95</f>
        <v>1 MIN</v>
      </c>
      <c r="L95" s="100" t="str">
        <f>'WEEK 4 Master Sheet '!L95</f>
        <v/>
      </c>
      <c r="M95" s="917"/>
    </row>
    <row r="96">
      <c r="A96" s="242">
        <f>'WEEK 4 Master Sheet '!A96</f>
        <v>2</v>
      </c>
      <c r="B96" s="99">
        <f>'WEEK 4 Master Sheet '!B96</f>
        <v>90</v>
      </c>
      <c r="C96" s="99">
        <f>'WEEK 4 Master Sheet '!C96</f>
        <v>20</v>
      </c>
      <c r="D96" s="873" t="str">
        <f>'WEEK 4 Master Sheet '!D96</f>
        <v>1 MIN</v>
      </c>
      <c r="E96" s="100" t="str">
        <f>'WEEK 4 Master Sheet '!E96</f>
        <v/>
      </c>
      <c r="F96" s="917">
        <v>15.0</v>
      </c>
      <c r="G96" s="842"/>
      <c r="H96" s="242">
        <f>'WEEK 4 Master Sheet '!H96</f>
        <v>2</v>
      </c>
      <c r="I96" s="99">
        <f>'WEEK 4 Master Sheet '!I96</f>
        <v>70</v>
      </c>
      <c r="J96" s="99">
        <f>'WEEK 4 Master Sheet '!J96</f>
        <v>20</v>
      </c>
      <c r="K96" s="873" t="str">
        <f>'WEEK 4 Master Sheet '!K96</f>
        <v>1 MIN</v>
      </c>
      <c r="L96" s="100" t="str">
        <f>'WEEK 4 Master Sheet '!L96</f>
        <v/>
      </c>
      <c r="M96" s="917"/>
    </row>
    <row r="97">
      <c r="A97" s="289">
        <f>'WEEK 4 Master Sheet '!A97</f>
        <v>3</v>
      </c>
      <c r="B97" s="101">
        <f>'WEEK 4 Master Sheet '!B97</f>
        <v>90</v>
      </c>
      <c r="C97" s="101">
        <f>'WEEK 4 Master Sheet '!C97</f>
        <v>20</v>
      </c>
      <c r="D97" s="875" t="str">
        <f>'WEEK 4 Master Sheet '!D97</f>
        <v>1 MIN</v>
      </c>
      <c r="E97" s="102" t="str">
        <f>'WEEK 4 Master Sheet '!E97</f>
        <v/>
      </c>
      <c r="F97" s="85">
        <v>10.0</v>
      </c>
      <c r="G97" s="842"/>
      <c r="H97" s="289">
        <f>'WEEK 4 Master Sheet '!H97</f>
        <v>3</v>
      </c>
      <c r="I97" s="101">
        <f>'WEEK 4 Master Sheet '!I97</f>
        <v>55</v>
      </c>
      <c r="J97" s="101">
        <f>'WEEK 4 Master Sheet '!J97</f>
        <v>20</v>
      </c>
      <c r="K97" s="875" t="str">
        <f>'WEEK 4 Master Sheet '!K97</f>
        <v>1 MIN</v>
      </c>
      <c r="L97" s="102" t="str">
        <f>'WEEK 4 Master Sheet '!L97</f>
        <v/>
      </c>
      <c r="M97" s="85"/>
    </row>
    <row r="98">
      <c r="A98" s="934" t="str">
        <f>'WEEK 4 Master Sheet '!A98</f>
        <v/>
      </c>
      <c r="B98" s="25"/>
      <c r="C98" s="25"/>
      <c r="D98" s="25"/>
      <c r="E98" s="25"/>
      <c r="F98" s="25"/>
      <c r="G98" s="598" t="str">
        <f>'WEEK 4 Master Sheet '!H98</f>
        <v/>
      </c>
    </row>
    <row r="99">
      <c r="A99" s="310" t="str">
        <f>'WEEK 4 Master Sheet '!A99</f>
        <v>CLICK TO COMPLETE WORKOUT</v>
      </c>
      <c r="B99" s="36"/>
      <c r="C99" s="36"/>
      <c r="D99" s="36"/>
      <c r="E99" s="36"/>
      <c r="F99" s="37"/>
    </row>
    <row r="100">
      <c r="A100" s="598"/>
    </row>
    <row r="101">
      <c r="A101" s="602" t="str">
        <f>'WEEK 4 Master Sheet '!A101</f>
        <v>DAY 3</v>
      </c>
      <c r="B101" s="36"/>
      <c r="C101" s="36"/>
      <c r="D101" s="36"/>
      <c r="E101" s="36"/>
      <c r="F101" s="37"/>
    </row>
    <row r="102">
      <c r="A102" s="876" t="str">
        <f>'WEEK 4 Master Sheet '!A102</f>
        <v/>
      </c>
    </row>
    <row r="104">
      <c r="A104" s="335" t="str">
        <f>'WEEK 4 Master Sheet '!A104</f>
        <v>WATCH THIS BEFORE MACHINE PRESS</v>
      </c>
      <c r="B104" s="25"/>
      <c r="C104" s="25"/>
      <c r="D104" s="25"/>
      <c r="E104" s="25"/>
      <c r="F104" s="26"/>
      <c r="G104" s="842"/>
      <c r="H104" s="337" t="str">
        <f>'WEEK 4 Master Sheet '!H104</f>
        <v>SHOULDERS &amp; ARMS</v>
      </c>
      <c r="I104" s="36"/>
      <c r="J104" s="36"/>
      <c r="K104" s="36"/>
      <c r="L104" s="36"/>
      <c r="M104" s="37"/>
      <c r="N104" s="598"/>
    </row>
    <row r="105">
      <c r="A105" s="336"/>
      <c r="B105" s="11"/>
      <c r="C105" s="11"/>
      <c r="D105" s="11"/>
      <c r="E105" s="11"/>
      <c r="F105" s="46"/>
      <c r="G105" s="842"/>
      <c r="H105" s="878" t="str">
        <f>'WEEK 4 Master Sheet '!H105</f>
        <v>1. SHOULDER PRESS</v>
      </c>
      <c r="I105" s="53"/>
      <c r="J105" s="53"/>
      <c r="K105" s="53"/>
      <c r="L105" s="53"/>
      <c r="M105" s="54"/>
    </row>
    <row r="106">
      <c r="A106" s="337" t="str">
        <f>'WEEK 4 Master Sheet '!A106</f>
        <v>SHOULDERS &amp; ARMS</v>
      </c>
      <c r="B106" s="36"/>
      <c r="C106" s="36"/>
      <c r="D106" s="36"/>
      <c r="E106" s="36"/>
      <c r="F106" s="37"/>
      <c r="G106" s="935" t="str">
        <f>'WEEK 4 Master Sheet '!G106</f>
        <v>ALTERNATE</v>
      </c>
      <c r="H106" s="589" t="str">
        <f>'WEEK 4 Master Sheet '!H106</f>
        <v>CURRENT MAX</v>
      </c>
      <c r="I106" s="227">
        <f>'WEEK 4 Master Sheet '!I106</f>
        <v>80</v>
      </c>
      <c r="J106" s="20"/>
      <c r="K106" s="20"/>
      <c r="L106" s="20"/>
      <c r="M106" s="95"/>
    </row>
    <row r="107">
      <c r="A107" s="339" t="str">
        <f>'WEEK 4 Master Sheet '!A107</f>
        <v>1.MACHINE SHOULDER PRESS</v>
      </c>
      <c r="B107" s="53"/>
      <c r="C107" s="53"/>
      <c r="D107" s="53"/>
      <c r="E107" s="53"/>
      <c r="F107" s="54"/>
      <c r="H107" s="364" t="str">
        <f>'WEEK 4 Master Sheet '!H107</f>
        <v>SET</v>
      </c>
      <c r="I107" s="365" t="str">
        <f>'WEEK 4 Master Sheet '!I107</f>
        <v>WEIGHT</v>
      </c>
      <c r="J107" s="365" t="str">
        <f>'WEEK 4 Master Sheet '!J107</f>
        <v>REPS</v>
      </c>
      <c r="K107" s="365" t="str">
        <f>'WEEK 4 Master Sheet '!K107</f>
        <v>REST</v>
      </c>
      <c r="L107" s="609" t="str">
        <f>'WEEK 4 Master Sheet '!L107</f>
        <v>PREVIOUS</v>
      </c>
      <c r="M107" s="235" t="str">
        <f>'WEEK 4 Master Sheet '!M107</f>
        <v>REP LOG</v>
      </c>
    </row>
    <row r="108">
      <c r="A108" s="96" t="str">
        <f>'WEEK 4 Master Sheet '!A108</f>
        <v>SET</v>
      </c>
      <c r="B108" s="97" t="str">
        <f>'WEEK 4 Master Sheet '!B108</f>
        <v>WEIGHT</v>
      </c>
      <c r="C108" s="97" t="str">
        <f>'WEEK 4 Master Sheet '!C108</f>
        <v>REPS</v>
      </c>
      <c r="D108" s="97" t="str">
        <f>'WEEK 4 Master Sheet '!D108</f>
        <v>REST</v>
      </c>
      <c r="E108" s="341" t="str">
        <f>'WEEK 4 Master Sheet '!E108</f>
        <v>PREVIOUS</v>
      </c>
      <c r="F108" s="235" t="str">
        <f>'WEEK 4 Master Sheet '!F108</f>
        <v>REP LOG</v>
      </c>
      <c r="G108" s="842"/>
      <c r="H108" s="236">
        <f>'WEEK 4 Master Sheet '!H108</f>
        <v>1</v>
      </c>
      <c r="I108" s="237">
        <f>'WEEK 4 Master Sheet '!I108</f>
        <v>30</v>
      </c>
      <c r="J108" s="237">
        <f>'WEEK 4 Master Sheet '!J108</f>
        <v>6</v>
      </c>
      <c r="K108" s="238" t="str">
        <f>'WEEK 4 Master Sheet '!K108</f>
        <v>30s</v>
      </c>
      <c r="L108" s="66" t="str">
        <f>'WEEK 4 Master Sheet '!L108</f>
        <v/>
      </c>
      <c r="M108" s="67">
        <v>6.0</v>
      </c>
    </row>
    <row r="109">
      <c r="A109" s="342">
        <f>'WEEK 4 Master Sheet '!A109</f>
        <v>1</v>
      </c>
      <c r="B109" s="343">
        <f>'WEEK 4 Master Sheet '!B109</f>
        <v>40</v>
      </c>
      <c r="C109" s="344">
        <f>'WEEK 4 Master Sheet '!C109</f>
        <v>10</v>
      </c>
      <c r="D109" s="345" t="str">
        <f>'WEEK 4 Master Sheet '!D109</f>
        <v>1-5 MIN</v>
      </c>
      <c r="E109" s="346" t="str">
        <f>'WEEK 4 Master Sheet '!E109</f>
        <v/>
      </c>
      <c r="F109" s="85"/>
      <c r="H109" s="236">
        <f>'WEEK 4 Master Sheet '!H109</f>
        <v>2</v>
      </c>
      <c r="I109" s="237">
        <f>'WEEK 4 Master Sheet '!I109</f>
        <v>50</v>
      </c>
      <c r="J109" s="237">
        <f>'WEEK 4 Master Sheet '!J109</f>
        <v>1</v>
      </c>
      <c r="K109" s="238" t="str">
        <f>'WEEK 4 Master Sheet '!K109</f>
        <v>1 MIN</v>
      </c>
      <c r="L109" s="66" t="str">
        <f>'WEEK 4 Master Sheet '!L109</f>
        <v/>
      </c>
      <c r="M109" s="67">
        <v>1.0</v>
      </c>
    </row>
    <row r="110">
      <c r="A110" s="342">
        <f>'WEEK 4 Master Sheet '!A110</f>
        <v>2</v>
      </c>
      <c r="B110" s="348">
        <f>'WEEK 4 Master Sheet '!B110</f>
        <v>60</v>
      </c>
      <c r="C110" s="344">
        <f>'WEEK 4 Master Sheet '!C110</f>
        <v>10</v>
      </c>
      <c r="D110" s="345" t="str">
        <f>'WEEK 4 Master Sheet '!D110</f>
        <v>1-5 MIN</v>
      </c>
      <c r="E110" s="346" t="str">
        <f>'WEEK 4 Master Sheet '!E110</f>
        <v/>
      </c>
      <c r="F110" s="85"/>
      <c r="H110" s="242">
        <f>'WEEK 4 Master Sheet '!H110</f>
        <v>3</v>
      </c>
      <c r="I110" s="237">
        <f>'WEEK 4 Master Sheet '!I110</f>
        <v>70</v>
      </c>
      <c r="J110" s="82">
        <f>'WEEK 4 Master Sheet '!J110</f>
        <v>1</v>
      </c>
      <c r="K110" s="65" t="str">
        <f>'WEEK 4 Master Sheet '!K110</f>
        <v>1 MIN</v>
      </c>
      <c r="L110" s="66" t="str">
        <f>'WEEK 4 Master Sheet '!L110</f>
        <v/>
      </c>
      <c r="M110" s="67">
        <v>1.0</v>
      </c>
    </row>
    <row r="111">
      <c r="A111" s="342">
        <f>'WEEK 4 Master Sheet '!A111</f>
        <v>3</v>
      </c>
      <c r="B111" s="348">
        <f>'WEEK 4 Master Sheet '!B111</f>
        <v>80</v>
      </c>
      <c r="C111" s="344">
        <f>'WEEK 4 Master Sheet '!C111</f>
        <v>10</v>
      </c>
      <c r="D111" s="345" t="str">
        <f>'WEEK 4 Master Sheet '!D111</f>
        <v>1-5 MIN</v>
      </c>
      <c r="E111" s="346" t="str">
        <f>'WEEK 4 Master Sheet '!E111</f>
        <v/>
      </c>
      <c r="F111" s="85"/>
      <c r="H111" s="242">
        <f>'WEEK 4 Master Sheet '!H111</f>
        <v>4</v>
      </c>
      <c r="I111" s="237">
        <f>'WEEK 4 Master Sheet '!I111</f>
        <v>80</v>
      </c>
      <c r="J111" s="82">
        <f>'WEEK 4 Master Sheet '!J111</f>
        <v>1</v>
      </c>
      <c r="K111" s="65" t="str">
        <f>'WEEK 4 Master Sheet '!K111</f>
        <v>1 MIN</v>
      </c>
      <c r="L111" s="66"/>
      <c r="M111" s="67">
        <v>1.0</v>
      </c>
    </row>
    <row r="112">
      <c r="A112" s="342">
        <f>'WEEK 4 Master Sheet '!A112</f>
        <v>4</v>
      </c>
      <c r="B112" s="348">
        <f>'WEEK 4 Master Sheet '!B112</f>
        <v>90</v>
      </c>
      <c r="C112" s="344">
        <f>'WEEK 4 Master Sheet '!C112</f>
        <v>10</v>
      </c>
      <c r="D112" s="345" t="str">
        <f>'WEEK 4 Master Sheet '!D112</f>
        <v>1-5 MIN</v>
      </c>
      <c r="E112" s="346" t="str">
        <f>'WEEK 4 Master Sheet '!E112</f>
        <v/>
      </c>
      <c r="F112" s="85"/>
      <c r="H112" s="246" t="str">
        <f>'WEEK 4 Master Sheet '!H112</f>
        <v>NEW 1 REP MAX ATTEMPT</v>
      </c>
      <c r="I112" s="20"/>
      <c r="J112" s="20"/>
      <c r="K112" s="20"/>
      <c r="L112" s="20"/>
      <c r="M112" s="95"/>
    </row>
    <row r="113">
      <c r="A113" s="342">
        <f>'WEEK 4 Master Sheet '!A113</f>
        <v>5</v>
      </c>
      <c r="B113" s="348">
        <f>'WEEK 4 Master Sheet '!B113</f>
        <v>100</v>
      </c>
      <c r="C113" s="344">
        <f>'WEEK 4 Master Sheet '!C113</f>
        <v>10</v>
      </c>
      <c r="D113" s="345" t="str">
        <f>'WEEK 4 Master Sheet '!D113</f>
        <v>1-5 MIN</v>
      </c>
      <c r="E113" s="346" t="str">
        <f>'WEEK 4 Master Sheet '!E113</f>
        <v/>
      </c>
      <c r="F113" s="85"/>
      <c r="H113" s="242">
        <f>'WEEK 4 Master Sheet '!H113</f>
        <v>5</v>
      </c>
      <c r="I113" s="237">
        <f>'WEEK 4 Master Sheet '!I113</f>
        <v>85</v>
      </c>
      <c r="J113" s="82">
        <f>'WEEK 4 Master Sheet '!J113</f>
        <v>1</v>
      </c>
      <c r="K113" s="65" t="str">
        <f>'WEEK 4 Master Sheet '!K113</f>
        <v>1-5 MIN</v>
      </c>
      <c r="L113" s="66"/>
      <c r="M113" s="263">
        <v>1.0</v>
      </c>
    </row>
    <row r="114">
      <c r="A114" s="342">
        <f>'WEEK 4 Master Sheet '!A114</f>
        <v>6</v>
      </c>
      <c r="B114" s="350">
        <f>'WEEK 4 Master Sheet '!B114</f>
        <v>110</v>
      </c>
      <c r="C114" s="344">
        <f>'WEEK 4 Master Sheet '!C114</f>
        <v>10</v>
      </c>
      <c r="D114" s="345" t="str">
        <f>'WEEK 4 Master Sheet '!D114</f>
        <v>1-5 MIN</v>
      </c>
      <c r="E114" s="351" t="str">
        <f>'WEEK 4 Master Sheet '!E114</f>
        <v/>
      </c>
      <c r="F114" s="85"/>
      <c r="H114" s="242" t="str">
        <f>'WEEK 4 Master Sheet '!H114</f>
        <v>6</v>
      </c>
      <c r="I114" s="237">
        <f>'WEEK 4 Master Sheet '!I114</f>
        <v>90</v>
      </c>
      <c r="J114" s="82" t="str">
        <f>'WEEK 4 Master Sheet '!J114</f>
        <v>1</v>
      </c>
      <c r="K114" s="65" t="str">
        <f>'WEEK 4 Master Sheet '!K114</f>
        <v>1-5 MIN</v>
      </c>
      <c r="L114" s="66" t="str">
        <f>'WEEK 4 Master Sheet '!L114</f>
        <v/>
      </c>
      <c r="M114" s="665">
        <v>0.0</v>
      </c>
    </row>
    <row r="115">
      <c r="A115" s="352">
        <f>'WEEK 4 Master Sheet '!A115</f>
        <v>7</v>
      </c>
      <c r="B115" s="353">
        <f>'WEEK 4 Master Sheet '!B115</f>
        <v>120</v>
      </c>
      <c r="C115" s="354">
        <f>'WEEK 4 Master Sheet '!C115</f>
        <v>10</v>
      </c>
      <c r="D115" s="355" t="str">
        <f>'WEEK 4 Master Sheet '!D115</f>
        <v>1-5 MIN</v>
      </c>
      <c r="E115" s="356" t="str">
        <f>'WEEK 4 Master Sheet '!E115</f>
        <v/>
      </c>
      <c r="F115" s="85"/>
      <c r="H115" s="246" t="str">
        <f>'WEEK 4 Master Sheet '!H115</f>
        <v>DOWN SETS</v>
      </c>
      <c r="I115" s="20"/>
      <c r="J115" s="20"/>
      <c r="K115" s="20"/>
      <c r="L115" s="20"/>
      <c r="M115" s="95"/>
    </row>
    <row r="116">
      <c r="A116" s="357" t="str">
        <f>'WEEK 4 Master Sheet '!A116</f>
        <v>INSERT MAX</v>
      </c>
      <c r="B116" s="358">
        <v>228.0</v>
      </c>
      <c r="C116" s="36"/>
      <c r="D116" s="36"/>
      <c r="E116" s="36"/>
      <c r="F116" s="37"/>
      <c r="H116" s="879">
        <f>'WEEK 4 Master Sheet '!H116</f>
        <v>5</v>
      </c>
      <c r="I116" s="265">
        <f>'WEEK 4 Master Sheet '!I116</f>
        <v>75</v>
      </c>
      <c r="J116" s="266" t="str">
        <f>'WEEK 4 Master Sheet '!J116</f>
        <v>REP OUT</v>
      </c>
      <c r="K116" s="267" t="str">
        <f>'WEEK 4 Master Sheet '!K116</f>
        <v>1-3 MIN</v>
      </c>
      <c r="L116" s="268" t="str">
        <f>'WEEK 4 Master Sheet '!L116</f>
        <v/>
      </c>
      <c r="M116" s="67">
        <v>0.0</v>
      </c>
    </row>
    <row r="117">
      <c r="A117" t="str">
        <f>'WEEK 4 Master Sheet '!A117</f>
        <v/>
      </c>
      <c r="H117" s="242">
        <f>'WEEK 4 Master Sheet '!H117</f>
        <v>8</v>
      </c>
      <c r="I117" s="237">
        <f>'WEEK 4 Master Sheet '!I117</f>
        <v>65</v>
      </c>
      <c r="J117" s="245" t="str">
        <f>'WEEK 4 Master Sheet '!J117</f>
        <v>REP OUT</v>
      </c>
      <c r="K117" s="267" t="str">
        <f>'WEEK 4 Master Sheet '!K117</f>
        <v>1-3 MIN</v>
      </c>
      <c r="L117" s="268" t="str">
        <f>'WEEK 4 Master Sheet '!L117</f>
        <v/>
      </c>
      <c r="M117" s="67">
        <v>5.0</v>
      </c>
    </row>
    <row r="118">
      <c r="H118" s="272" t="str">
        <f>'WEEK 4 Master Sheet '!H118</f>
        <v>FINAL MAX</v>
      </c>
      <c r="I118" s="332">
        <f>'WEEK 4 Master Sheet '!I118</f>
        <v>85</v>
      </c>
      <c r="J118" s="33"/>
      <c r="K118" s="33"/>
      <c r="L118" s="33"/>
      <c r="M118" s="34"/>
    </row>
    <row r="119">
      <c r="G119" s="842"/>
    </row>
    <row r="120">
      <c r="A120" s="113" t="str">
        <f>'WEEK 4 Master Sheet '!A120</f>
        <v>2. DUMBBELL REAR DELT FLY </v>
      </c>
      <c r="B120" s="53"/>
      <c r="C120" s="53"/>
      <c r="D120" s="53"/>
      <c r="E120" s="53"/>
      <c r="F120" s="54"/>
    </row>
    <row r="121">
      <c r="A121" s="226" t="str">
        <f>'WEEK 4 Master Sheet '!A121</f>
        <v>SHLDR PRESS MAX</v>
      </c>
      <c r="B121" s="227">
        <f>'WEEK 4 Master Sheet '!B121</f>
        <v>85</v>
      </c>
      <c r="C121" s="20"/>
      <c r="D121" s="20"/>
      <c r="E121" s="20"/>
      <c r="F121" s="95"/>
    </row>
    <row r="122">
      <c r="A122" s="364" t="str">
        <f>'WEEK 4 Master Sheet '!A122</f>
        <v>SET</v>
      </c>
      <c r="B122" s="365" t="str">
        <f>'WEEK 4 Master Sheet '!B122</f>
        <v>WEIGHT</v>
      </c>
      <c r="C122" s="365" t="str">
        <f>'WEEK 4 Master Sheet '!C122</f>
        <v>REPS</v>
      </c>
      <c r="D122" s="365" t="str">
        <f>'WEEK 4 Master Sheet '!D122</f>
        <v>REST</v>
      </c>
      <c r="E122" s="609" t="str">
        <f>'WEEK 4 Master Sheet '!E122</f>
        <v>PREVIOUS</v>
      </c>
      <c r="F122" s="235" t="str">
        <f>'WEEK 4 Master Sheet '!F122</f>
        <v>REP LOG</v>
      </c>
    </row>
    <row r="123">
      <c r="A123" s="599">
        <f>'WEEK 4 Master Sheet '!A123</f>
        <v>1</v>
      </c>
      <c r="B123" s="591">
        <f>'WEEK 4 Master Sheet '!B123</f>
        <v>17.5</v>
      </c>
      <c r="C123" s="936" t="str">
        <f>'WEEK 4 Master Sheet '!C123</f>
        <v>5 - 15</v>
      </c>
      <c r="D123" s="937" t="str">
        <f>'WEEK 4 Master Sheet '!D123</f>
        <v>1-3 MIN</v>
      </c>
      <c r="E123" s="938" t="str">
        <f>'WEEK 4 Master Sheet '!E123</f>
        <v/>
      </c>
      <c r="F123" s="939">
        <v>15.0</v>
      </c>
    </row>
    <row r="124">
      <c r="A124" s="599">
        <f>'WEEK 4 Master Sheet '!A124</f>
        <v>2</v>
      </c>
      <c r="B124" s="591">
        <f>'WEEK 4 Master Sheet '!B124</f>
        <v>17.5</v>
      </c>
      <c r="C124" s="936" t="str">
        <f>'WEEK 4 Master Sheet '!C124</f>
        <v>5 -15</v>
      </c>
      <c r="D124" s="937" t="str">
        <f>'WEEK 4 Master Sheet '!D124</f>
        <v>1-3 MIN</v>
      </c>
      <c r="E124" s="938" t="str">
        <f>'WEEK 4 Master Sheet '!E124</f>
        <v/>
      </c>
      <c r="F124" s="939">
        <v>15.0</v>
      </c>
    </row>
    <row r="125">
      <c r="A125" s="940">
        <f>'WEEK 4 Master Sheet '!A125</f>
        <v>3</v>
      </c>
      <c r="B125" s="613">
        <f>'WEEK 4 Master Sheet '!B125</f>
        <v>17.5</v>
      </c>
      <c r="C125" s="941" t="str">
        <f>'WEEK 4 Master Sheet '!C125</f>
        <v>5 -15</v>
      </c>
      <c r="D125" s="942" t="str">
        <f>'WEEK 4 Master Sheet '!D125</f>
        <v>1-3 MIN</v>
      </c>
      <c r="E125" s="943" t="str">
        <f>'WEEK 4 Master Sheet '!E125</f>
        <v/>
      </c>
      <c r="F125" s="939">
        <v>15.0</v>
      </c>
    </row>
    <row r="126">
      <c r="A126" s="640" t="str">
        <f>'WEEK 4 Master Sheet '!A126</f>
        <v/>
      </c>
    </row>
    <row r="128">
      <c r="A128" s="513" t="str">
        <f>'WEEK 4 Master Sheet '!A128</f>
        <v>3. DUMBBELL SIDE LATERAL RAISE</v>
      </c>
      <c r="B128" s="53"/>
      <c r="C128" s="53"/>
      <c r="D128" s="53"/>
      <c r="E128" s="53"/>
      <c r="F128" s="54"/>
    </row>
    <row r="129">
      <c r="A129" s="226" t="str">
        <f>'WEEK 4 Master Sheet '!A129</f>
        <v>SHLDR PRESS MAX</v>
      </c>
      <c r="B129" s="90">
        <f>'WEEK 4 Master Sheet '!B129</f>
        <v>85</v>
      </c>
      <c r="C129" s="13"/>
      <c r="D129" s="13"/>
      <c r="E129" s="13"/>
      <c r="F129" s="57"/>
    </row>
    <row r="130">
      <c r="A130" s="376" t="str">
        <f>'WEEK 4 Master Sheet '!A130</f>
        <v>SET</v>
      </c>
      <c r="B130" s="79" t="str">
        <f>'WEEK 4 Master Sheet '!B130</f>
        <v>WEIGHT</v>
      </c>
      <c r="C130" s="79" t="str">
        <f>'WEEK 4 Master Sheet '!C130</f>
        <v>REPS</v>
      </c>
      <c r="D130" s="79" t="str">
        <f>'WEEK 4 Master Sheet '!D130</f>
        <v>REST</v>
      </c>
      <c r="E130" s="98" t="str">
        <f>'WEEK 4 Master Sheet '!E130</f>
        <v>PREVIOUS</v>
      </c>
      <c r="F130" s="235" t="str">
        <f>'WEEK 4 Master Sheet '!F130</f>
        <v>REP LOG</v>
      </c>
    </row>
    <row r="131">
      <c r="A131" s="81">
        <f>'WEEK 4 Master Sheet '!A131</f>
        <v>1</v>
      </c>
      <c r="B131" s="82">
        <f>'WEEK 4 Master Sheet '!B131</f>
        <v>15</v>
      </c>
      <c r="C131" s="65" t="str">
        <f>'WEEK 4 Master Sheet '!C131</f>
        <v>10 - 15</v>
      </c>
      <c r="D131" s="83" t="str">
        <f>'WEEK 4 Master Sheet '!D131</f>
        <v>1 MIN</v>
      </c>
      <c r="E131" s="378" t="str">
        <f>'WEEK 4 Master Sheet '!E131</f>
        <v/>
      </c>
      <c r="F131" s="917">
        <v>15.0</v>
      </c>
    </row>
    <row r="132">
      <c r="A132" s="81">
        <f>'WEEK 4 Master Sheet '!A132</f>
        <v>2</v>
      </c>
      <c r="B132" s="82">
        <f>'WEEK 4 Master Sheet '!B132</f>
        <v>15</v>
      </c>
      <c r="C132" s="65" t="str">
        <f>'WEEK 4 Master Sheet '!C132</f>
        <v>10 - 15</v>
      </c>
      <c r="D132" s="83" t="str">
        <f>'WEEK 4 Master Sheet '!D132</f>
        <v>1 MIN</v>
      </c>
      <c r="E132" s="378" t="str">
        <f>'WEEK 4 Master Sheet '!E132</f>
        <v/>
      </c>
      <c r="F132" s="917">
        <v>15.0</v>
      </c>
    </row>
    <row r="133">
      <c r="A133" s="86">
        <f>'WEEK 4 Master Sheet '!A133</f>
        <v>3</v>
      </c>
      <c r="B133" s="87">
        <f>'WEEK 4 Master Sheet '!B133</f>
        <v>15</v>
      </c>
      <c r="C133" s="71" t="str">
        <f>'WEEK 4 Master Sheet '!C133</f>
        <v>10 - 15</v>
      </c>
      <c r="D133" s="88" t="str">
        <f>'WEEK 4 Master Sheet '!D133</f>
        <v>1 MIN</v>
      </c>
      <c r="E133" s="379" t="str">
        <f>'WEEK 4 Master Sheet '!E133</f>
        <v/>
      </c>
      <c r="F133" s="85">
        <v>15.0</v>
      </c>
    </row>
    <row r="134">
      <c r="A134" s="640" t="str">
        <f>'WEEK 4 Master Sheet '!A134</f>
        <v/>
      </c>
    </row>
    <row r="136">
      <c r="A136" s="361" t="str">
        <f>'WEEK 4 Master Sheet '!A136</f>
        <v>2.  TRICEP OVERHEAD ROPE EXTENSION</v>
      </c>
      <c r="B136" s="53"/>
      <c r="C136" s="53"/>
      <c r="D136" s="53"/>
      <c r="E136" s="53"/>
      <c r="F136" s="54"/>
    </row>
    <row r="137">
      <c r="A137" s="226" t="str">
        <f>'WEEK 4 Master Sheet '!A137</f>
        <v>CURRENT MAX</v>
      </c>
      <c r="B137" s="76">
        <f>'WEEK 4 Master Sheet '!B137</f>
        <v>80</v>
      </c>
      <c r="C137" s="13"/>
      <c r="D137" s="13"/>
      <c r="E137" s="13"/>
      <c r="F137" s="57"/>
    </row>
    <row r="138">
      <c r="A138" s="77" t="str">
        <f>'WEEK 4 Master Sheet '!A138</f>
        <v>SET</v>
      </c>
      <c r="B138" s="78" t="str">
        <f>'WEEK 4 Master Sheet '!B138</f>
        <v>WEIGHT</v>
      </c>
      <c r="C138" s="78" t="str">
        <f>'WEEK 4 Master Sheet '!C138</f>
        <v>REPS</v>
      </c>
      <c r="D138" s="78" t="str">
        <f>'WEEK 4 Master Sheet '!D138</f>
        <v>REST</v>
      </c>
      <c r="E138" s="80" t="str">
        <f>'WEEK 4 Master Sheet '!E138</f>
        <v>PREVIOUS</v>
      </c>
      <c r="F138" s="235" t="str">
        <f>'WEEK 4 Master Sheet '!F138</f>
        <v>REP LOG</v>
      </c>
    </row>
    <row r="139">
      <c r="A139" s="81">
        <f>'WEEK 4 Master Sheet '!A139</f>
        <v>1</v>
      </c>
      <c r="B139" s="82">
        <f>'WEEK 4 Master Sheet '!B139</f>
        <v>80</v>
      </c>
      <c r="C139" s="65" t="str">
        <f>'WEEK 4 Master Sheet '!C139</f>
        <v>10 - 15</v>
      </c>
      <c r="D139" s="83" t="str">
        <f>'WEEK 4 Master Sheet '!D139</f>
        <v>1MIN</v>
      </c>
      <c r="E139" s="84" t="str">
        <f>'WEEK 4 Master Sheet '!E139</f>
        <v/>
      </c>
      <c r="F139" s="85">
        <v>15.0</v>
      </c>
    </row>
    <row r="140">
      <c r="A140" s="81">
        <f>'WEEK 4 Master Sheet '!A140</f>
        <v>2</v>
      </c>
      <c r="B140" s="82">
        <f>'WEEK 4 Master Sheet '!B140</f>
        <v>80</v>
      </c>
      <c r="C140" s="65" t="str">
        <f>'WEEK 4 Master Sheet '!C140</f>
        <v>10 - 15</v>
      </c>
      <c r="D140" s="83" t="str">
        <f>'WEEK 4 Master Sheet '!D140</f>
        <v>1MIN</v>
      </c>
      <c r="E140" s="84" t="str">
        <f>'WEEK 4 Master Sheet '!E140</f>
        <v/>
      </c>
      <c r="F140" s="85">
        <v>15.0</v>
      </c>
    </row>
    <row r="141">
      <c r="A141" s="86">
        <f>'WEEK 4 Master Sheet '!A141</f>
        <v>3</v>
      </c>
      <c r="B141" s="87">
        <f>'WEEK 4 Master Sheet '!B141</f>
        <v>80</v>
      </c>
      <c r="C141" s="71" t="str">
        <f>'WEEK 4 Master Sheet '!C141</f>
        <v>10 - 15</v>
      </c>
      <c r="D141" s="88" t="str">
        <f>'WEEK 4 Master Sheet '!D141</f>
        <v>1MIN</v>
      </c>
      <c r="E141" s="89" t="str">
        <f>'WEEK 4 Master Sheet '!E141</f>
        <v/>
      </c>
      <c r="F141" s="85">
        <v>15.0</v>
      </c>
    </row>
    <row r="142">
      <c r="A142" s="598" t="str">
        <f>'WEEK 4 Master Sheet '!A142</f>
        <v/>
      </c>
    </row>
    <row r="144">
      <c r="A144" s="944" t="str">
        <f>'WEEK 4 Master Sheet '!A144</f>
        <v>5. ALTERNATING BICEP CURLS </v>
      </c>
      <c r="B144" s="53"/>
      <c r="C144" s="53"/>
      <c r="D144" s="53"/>
      <c r="E144" s="53"/>
      <c r="F144" s="54"/>
    </row>
    <row r="145">
      <c r="A145" s="226" t="str">
        <f>'WEEK 4 Master Sheet '!A145</f>
        <v>CURRENT MAX</v>
      </c>
      <c r="B145" s="76">
        <f>'WEEK 4 Master Sheet '!B145</f>
        <v>40</v>
      </c>
      <c r="C145" s="13"/>
      <c r="D145" s="13"/>
      <c r="E145" s="13"/>
      <c r="F145" s="57"/>
    </row>
    <row r="146">
      <c r="A146" s="77" t="str">
        <f>'WEEK 4 Master Sheet '!A146</f>
        <v>SET</v>
      </c>
      <c r="B146" s="78" t="str">
        <f>'WEEK 4 Master Sheet '!B146</f>
        <v>WEIGHT</v>
      </c>
      <c r="C146" s="78" t="str">
        <f>'WEEK 4 Master Sheet '!C146</f>
        <v>REPS</v>
      </c>
      <c r="D146" s="78" t="str">
        <f>'WEEK 4 Master Sheet '!D146</f>
        <v>REST</v>
      </c>
      <c r="E146" s="80" t="str">
        <f>'WEEK 4 Master Sheet '!E146</f>
        <v>PREVIOUS</v>
      </c>
      <c r="F146" s="235" t="str">
        <f>'WEEK 4 Master Sheet '!F146</f>
        <v>REP LOG</v>
      </c>
    </row>
    <row r="147">
      <c r="A147" s="81">
        <f>'WEEK 4 Master Sheet '!A147</f>
        <v>1</v>
      </c>
      <c r="B147" s="82">
        <f>'WEEK 4 Master Sheet '!B147</f>
        <v>40</v>
      </c>
      <c r="C147" s="65" t="str">
        <f>'WEEK 4 Master Sheet '!C147</f>
        <v>10 - 15</v>
      </c>
      <c r="D147" s="83" t="str">
        <f>'WEEK 4 Master Sheet '!D147</f>
        <v>1MIN</v>
      </c>
      <c r="E147" s="84" t="str">
        <f>'WEEK 4 Master Sheet '!E147</f>
        <v/>
      </c>
      <c r="F147" s="85">
        <v>14.0</v>
      </c>
    </row>
    <row r="148">
      <c r="A148" s="81">
        <f>'WEEK 4 Master Sheet '!A148</f>
        <v>2</v>
      </c>
      <c r="B148" s="82">
        <f>'WEEK 4 Master Sheet '!B148</f>
        <v>30</v>
      </c>
      <c r="C148" s="65" t="str">
        <f>'WEEK 4 Master Sheet '!C148</f>
        <v>10 - 15</v>
      </c>
      <c r="D148" s="83" t="str">
        <f>'WEEK 4 Master Sheet '!D148</f>
        <v>1MIN</v>
      </c>
      <c r="E148" s="84"/>
      <c r="F148" s="85"/>
    </row>
    <row r="149">
      <c r="A149" s="86">
        <f>'WEEK 4 Master Sheet '!A149</f>
        <v>3</v>
      </c>
      <c r="B149" s="87">
        <f>'WEEK 4 Master Sheet '!B149</f>
        <v>25</v>
      </c>
      <c r="C149" s="71" t="str">
        <f>'WEEK 4 Master Sheet '!C149</f>
        <v>10 - 15</v>
      </c>
      <c r="D149" s="88" t="str">
        <f>'WEEK 4 Master Sheet '!D149</f>
        <v>1MIN</v>
      </c>
      <c r="E149" s="89" t="str">
        <f>'WEEK 4 Master Sheet '!E149</f>
        <v/>
      </c>
      <c r="F149" s="85"/>
    </row>
    <row r="150">
      <c r="A150" s="945"/>
      <c r="B150" s="945"/>
      <c r="C150" s="945"/>
      <c r="D150" s="945"/>
      <c r="E150" s="945"/>
      <c r="F150" s="945"/>
    </row>
    <row r="151">
      <c r="A151" s="598" t="str">
        <f>'WEEK 4 Master Sheet '!A151</f>
        <v/>
      </c>
    </row>
    <row r="152">
      <c r="A152" s="310" t="str">
        <f>'WEEK 4 Master Sheet '!A152</f>
        <v>CLICK TO COMPLETE WORKOUT</v>
      </c>
      <c r="B152" s="36"/>
      <c r="C152" s="36"/>
      <c r="D152" s="36"/>
      <c r="E152" s="36"/>
      <c r="F152" s="37"/>
    </row>
    <row r="153">
      <c r="A153" s="598"/>
    </row>
    <row r="154">
      <c r="A154" s="639" t="str">
        <f>'WEEK 4 Master Sheet '!A154</f>
        <v>WORKOUT COMPLETE!</v>
      </c>
      <c r="B154" s="36"/>
      <c r="C154" s="36"/>
      <c r="D154" s="36"/>
      <c r="E154" s="36"/>
      <c r="F154" s="37"/>
    </row>
    <row r="155">
      <c r="A155" s="883" t="str">
        <f>'WEEK 4 Master Sheet '!A155</f>
        <v/>
      </c>
    </row>
    <row r="156">
      <c r="A156" s="884" t="str">
        <f>'WEEK 4 Master Sheet '!A156</f>
        <v>WANT TO LEARN MORE?</v>
      </c>
      <c r="B156" s="16"/>
      <c r="C156" s="16"/>
      <c r="D156" s="16"/>
      <c r="E156" s="16"/>
      <c r="F156" s="17"/>
    </row>
    <row r="157">
      <c r="A157" s="18"/>
      <c r="B157" s="13"/>
      <c r="C157" s="13"/>
      <c r="D157" s="13"/>
      <c r="E157" s="13"/>
      <c r="F157" s="14"/>
    </row>
    <row r="158">
      <c r="A158" s="885" t="str">
        <f>'WEEK 4 Master Sheet '!A158</f>
        <v/>
      </c>
      <c r="B158" s="886" t="str">
        <f>'WEEK 4 Master Sheet '!B158</f>
        <v/>
      </c>
      <c r="C158" s="946" t="str">
        <f>'WEEK 4 Master Sheet '!C158</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58" s="25"/>
      <c r="E158" s="25"/>
      <c r="F158" s="26"/>
    </row>
    <row r="159">
      <c r="A159" s="887" t="str">
        <f>'WEEK 4 Master Sheet '!A159</f>
        <v/>
      </c>
      <c r="B159" s="888" t="str">
        <f>'WEEK 4 Master Sheet '!B159</f>
        <v/>
      </c>
      <c r="C159" s="529"/>
      <c r="F159" s="28"/>
    </row>
    <row r="160">
      <c r="A160" s="887" t="str">
        <f>'WEEK 4 Master Sheet '!A160</f>
        <v/>
      </c>
      <c r="B160" s="888" t="str">
        <f>'WEEK 4 Master Sheet '!B160</f>
        <v/>
      </c>
      <c r="C160" s="529"/>
      <c r="F160" s="28"/>
    </row>
    <row r="161">
      <c r="A161" s="887" t="str">
        <f>'WEEK 4 Master Sheet '!A161</f>
        <v/>
      </c>
      <c r="B161" s="888" t="str">
        <f>'WEEK 4 Master Sheet '!B161</f>
        <v/>
      </c>
      <c r="C161" s="529"/>
      <c r="F161" s="28"/>
    </row>
    <row r="162">
      <c r="A162" s="887" t="str">
        <f>'WEEK 4 Master Sheet '!A162</f>
        <v/>
      </c>
      <c r="B162" s="888" t="str">
        <f>'WEEK 4 Master Sheet '!B162</f>
        <v/>
      </c>
      <c r="C162" s="529"/>
      <c r="F162" s="28"/>
    </row>
    <row r="163">
      <c r="A163" s="887" t="str">
        <f>'WEEK 4 Master Sheet '!A163</f>
        <v/>
      </c>
      <c r="B163" s="888" t="str">
        <f>'WEEK 4 Master Sheet '!B163</f>
        <v/>
      </c>
      <c r="C163" s="529"/>
      <c r="F163" s="28"/>
    </row>
    <row r="164">
      <c r="A164" s="889" t="str">
        <f>'WEEK 4 Master Sheet '!A164</f>
        <v/>
      </c>
      <c r="B164" s="888" t="str">
        <f>'WEEK 4 Master Sheet '!B164</f>
        <v/>
      </c>
      <c r="C164" s="529"/>
      <c r="F164" s="28"/>
    </row>
    <row r="165">
      <c r="A165" s="887" t="str">
        <f>'WEEK 4 Master Sheet '!A165</f>
        <v/>
      </c>
      <c r="B165" s="888" t="str">
        <f>'WEEK 4 Master Sheet '!B165</f>
        <v/>
      </c>
      <c r="C165" s="529"/>
      <c r="F165" s="28"/>
    </row>
    <row r="166">
      <c r="A166" s="887" t="str">
        <f>'WEEK 4 Master Sheet '!A166</f>
        <v/>
      </c>
      <c r="B166" s="888" t="str">
        <f>'WEEK 4 Master Sheet '!B166</f>
        <v/>
      </c>
      <c r="C166" s="529"/>
      <c r="F166" s="28"/>
    </row>
    <row r="167">
      <c r="A167" s="890"/>
      <c r="B167" s="888"/>
      <c r="C167" s="529"/>
      <c r="F167" s="28"/>
    </row>
    <row r="168">
      <c r="A168" s="887"/>
      <c r="B168" s="888"/>
      <c r="C168" s="529"/>
      <c r="F168" s="28"/>
    </row>
    <row r="169">
      <c r="A169" s="887"/>
      <c r="B169" s="888"/>
      <c r="C169" s="529"/>
      <c r="F169" s="28"/>
    </row>
    <row r="170">
      <c r="A170" s="887"/>
      <c r="B170" s="888"/>
      <c r="C170" s="529"/>
      <c r="F170" s="28"/>
    </row>
    <row r="171">
      <c r="A171" s="887"/>
      <c r="B171" s="888"/>
      <c r="C171" s="529"/>
      <c r="F171" s="28"/>
    </row>
    <row r="172">
      <c r="A172" s="891"/>
      <c r="B172" s="892"/>
      <c r="C172" s="336"/>
      <c r="D172" s="11"/>
      <c r="E172" s="11"/>
      <c r="F172" s="46"/>
    </row>
  </sheetData>
  <mergeCells count="115">
    <mergeCell ref="A12:F12"/>
    <mergeCell ref="H12:T14"/>
    <mergeCell ref="A13:F13"/>
    <mergeCell ref="A14:F14"/>
    <mergeCell ref="A15:F15"/>
    <mergeCell ref="H15:M15"/>
    <mergeCell ref="A16:F17"/>
    <mergeCell ref="H16:M17"/>
    <mergeCell ref="A1:T8"/>
    <mergeCell ref="A9:F9"/>
    <mergeCell ref="G9:G18"/>
    <mergeCell ref="H9:M9"/>
    <mergeCell ref="N9:T11"/>
    <mergeCell ref="A10:F11"/>
    <mergeCell ref="H10:M10"/>
    <mergeCell ref="H26:M26"/>
    <mergeCell ref="H28:M28"/>
    <mergeCell ref="A29:F29"/>
    <mergeCell ref="B32:F32"/>
    <mergeCell ref="B36:F36"/>
    <mergeCell ref="O28:T28"/>
    <mergeCell ref="P33:T33"/>
    <mergeCell ref="H34:T34"/>
    <mergeCell ref="N35:T39"/>
    <mergeCell ref="N15:N18"/>
    <mergeCell ref="O15:T15"/>
    <mergeCell ref="O16:T17"/>
    <mergeCell ref="O18:T18"/>
    <mergeCell ref="O19:T19"/>
    <mergeCell ref="P20:T20"/>
    <mergeCell ref="O26:T26"/>
    <mergeCell ref="A33:F34"/>
    <mergeCell ref="I33:M33"/>
    <mergeCell ref="A35:F35"/>
    <mergeCell ref="H35:M35"/>
    <mergeCell ref="I36:M36"/>
    <mergeCell ref="A48:F49"/>
    <mergeCell ref="A50:F50"/>
    <mergeCell ref="B51:F51"/>
    <mergeCell ref="A55:F56"/>
    <mergeCell ref="A57:F57"/>
    <mergeCell ref="B58:F58"/>
    <mergeCell ref="A62:F62"/>
    <mergeCell ref="A63:F63"/>
    <mergeCell ref="A64:F64"/>
    <mergeCell ref="A65:F65"/>
    <mergeCell ref="A66:F67"/>
    <mergeCell ref="A68:F68"/>
    <mergeCell ref="H105:M105"/>
    <mergeCell ref="I106:M106"/>
    <mergeCell ref="H115:M115"/>
    <mergeCell ref="G119:T172"/>
    <mergeCell ref="H92:M92"/>
    <mergeCell ref="N92:T97"/>
    <mergeCell ref="I93:M93"/>
    <mergeCell ref="G98:T103"/>
    <mergeCell ref="H104:M104"/>
    <mergeCell ref="N104:T118"/>
    <mergeCell ref="G108:G118"/>
    <mergeCell ref="G106:G107"/>
    <mergeCell ref="H112:M112"/>
    <mergeCell ref="B116:F116"/>
    <mergeCell ref="A117:F119"/>
    <mergeCell ref="I118:M118"/>
    <mergeCell ref="A120:F120"/>
    <mergeCell ref="B121:F121"/>
    <mergeCell ref="A126:F127"/>
    <mergeCell ref="A128:F128"/>
    <mergeCell ref="B129:F129"/>
    <mergeCell ref="A134:F135"/>
    <mergeCell ref="A136:F136"/>
    <mergeCell ref="B137:F137"/>
    <mergeCell ref="A142:F143"/>
    <mergeCell ref="A156:F157"/>
    <mergeCell ref="C158:F172"/>
    <mergeCell ref="A144:F144"/>
    <mergeCell ref="B145:F145"/>
    <mergeCell ref="A151:F151"/>
    <mergeCell ref="A152:F152"/>
    <mergeCell ref="A153:F153"/>
    <mergeCell ref="A154:F154"/>
    <mergeCell ref="A155:F155"/>
    <mergeCell ref="A18:F18"/>
    <mergeCell ref="H18:M18"/>
    <mergeCell ref="A19:F19"/>
    <mergeCell ref="H19:M19"/>
    <mergeCell ref="G20:G34"/>
    <mergeCell ref="I20:M20"/>
    <mergeCell ref="N20:N33"/>
    <mergeCell ref="A69:F69"/>
    <mergeCell ref="A73:F74"/>
    <mergeCell ref="A75:F75"/>
    <mergeCell ref="B76:F76"/>
    <mergeCell ref="A82:F83"/>
    <mergeCell ref="A84:F84"/>
    <mergeCell ref="B20:F20"/>
    <mergeCell ref="A26:F26"/>
    <mergeCell ref="G36:G91"/>
    <mergeCell ref="A40:F41"/>
    <mergeCell ref="H40:T91"/>
    <mergeCell ref="A42:F42"/>
    <mergeCell ref="B43:F43"/>
    <mergeCell ref="A100:F100"/>
    <mergeCell ref="A101:F101"/>
    <mergeCell ref="A102:F103"/>
    <mergeCell ref="A104:F105"/>
    <mergeCell ref="A106:F106"/>
    <mergeCell ref="A107:F107"/>
    <mergeCell ref="B85:F85"/>
    <mergeCell ref="A90:F91"/>
    <mergeCell ref="A92:F92"/>
    <mergeCell ref="G92:G93"/>
    <mergeCell ref="B93:F93"/>
    <mergeCell ref="A98:F98"/>
    <mergeCell ref="A99:F99"/>
  </mergeCells>
  <dataValidations>
    <dataValidation type="decimal" allowBlank="1" showDropDown="1" showErrorMessage="1" sqref="F22:F25 M22:M25 T22:T25 M27 T27 F27:F28 F30:F31 M29:M32 T29:T32 F38:F39 M38:M39 F45:F47 F53:F54 F60:F61 F71:F72 F78:F81 F87:F89 F95:F97 M95:M97 M108:M111 M113:M114 M116:M117 F123:F125 F131:F133 F139 F141 F147 F149">
      <formula1>0.0</formula1>
      <formula2>500.0</formula2>
    </dataValidation>
    <dataValidation type="decimal" operator="greaterThan" allowBlank="1" showDropDown="1" showErrorMessage="1" sqref="M11">
      <formula1>0.0</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row>
    <row r="8">
      <c r="A8" s="11"/>
      <c r="B8" s="11"/>
      <c r="C8" s="11"/>
      <c r="D8" s="11"/>
      <c r="E8" s="11"/>
      <c r="F8" s="11"/>
      <c r="G8" s="11"/>
      <c r="H8" s="11"/>
      <c r="I8" s="11"/>
      <c r="J8" s="11"/>
      <c r="K8" s="11"/>
      <c r="L8" s="11"/>
      <c r="M8" s="11"/>
      <c r="N8" s="11"/>
    </row>
    <row r="9">
      <c r="A9" s="12" t="str">
        <f>'WEEK 5 MASTER SHEET'!A9</f>
        <v>Week 5</v>
      </c>
      <c r="B9" s="13"/>
      <c r="C9" s="13"/>
      <c r="D9" s="13"/>
      <c r="E9" s="13"/>
      <c r="F9" s="14"/>
      <c r="G9" s="103" t="str">
        <f>'WEEK 5 MASTER SHEET'!G9</f>
        <v/>
      </c>
      <c r="H9" s="24" t="s">
        <v>35</v>
      </c>
      <c r="I9" s="25"/>
      <c r="J9" s="25"/>
      <c r="K9" s="25"/>
      <c r="L9" s="25"/>
      <c r="M9" s="26"/>
      <c r="N9" s="103" t="str">
        <f>'WEEK 5 MASTER SHEET'!N9</f>
        <v/>
      </c>
    </row>
    <row r="10">
      <c r="A10" s="15" t="str">
        <f>'WEEK 5 MASTER SHEET'!A10</f>
        <v>PRESS TO RECORD BODY WEIGHT</v>
      </c>
      <c r="B10" s="16"/>
      <c r="C10" s="16"/>
      <c r="D10" s="16"/>
      <c r="E10" s="16"/>
      <c r="F10" s="17"/>
      <c r="H10" s="27" t="s">
        <v>172</v>
      </c>
      <c r="M10" s="28"/>
      <c r="N10" s="103" t="str">
        <f>'WEEK 5 MASTER SHEET'!N10</f>
        <v/>
      </c>
    </row>
    <row r="11">
      <c r="A11" s="18"/>
      <c r="B11" s="13"/>
      <c r="C11" s="13"/>
      <c r="D11" s="13"/>
      <c r="E11" s="13"/>
      <c r="F11" s="14"/>
      <c r="H11" s="29" t="s">
        <v>173</v>
      </c>
      <c r="I11" s="30"/>
      <c r="J11" s="30"/>
      <c r="K11" s="30"/>
      <c r="L11" s="30"/>
      <c r="M11" s="31"/>
      <c r="N11" s="103" t="str">
        <f>'WEEK 5 MASTER SHEET'!N11</f>
        <v/>
      </c>
    </row>
    <row r="12">
      <c r="A12" s="19" t="str">
        <f>'WEEK 5 MASTER SHEET'!A12</f>
        <v>This Weeks Goals</v>
      </c>
      <c r="B12" s="20"/>
      <c r="C12" s="20"/>
      <c r="D12" s="20"/>
      <c r="E12" s="20"/>
      <c r="F12" s="21"/>
      <c r="G12" s="103" t="str">
        <f>'WEEK 5 MASTER SHEET'!G12</f>
        <v/>
      </c>
    </row>
    <row r="13">
      <c r="A13" s="22" t="str">
        <f>'WEEK 5 MASTER SHEET'!A13</f>
        <v>Working hard this week establishing new maxes in a few areas. Give it everything you've got. Pay close attention to rest times and rep counts. </v>
      </c>
      <c r="B13" s="20"/>
      <c r="C13" s="20"/>
      <c r="D13" s="20"/>
      <c r="E13" s="20"/>
      <c r="F13" s="21"/>
    </row>
    <row r="14">
      <c r="A14" s="219" t="str">
        <f>'WEEK 5 MASTER SHEET'!A14</f>
        <v/>
      </c>
    </row>
    <row r="16">
      <c r="A16" s="50" t="str">
        <f>'WEEK 5 MASTER SHEET'!A16</f>
        <v>DAY 1</v>
      </c>
      <c r="B16" s="36"/>
      <c r="C16" s="36"/>
      <c r="D16" s="36"/>
      <c r="E16" s="36"/>
      <c r="F16" s="37"/>
      <c r="G16" s="141" t="str">
        <f>'WEEK 5 MASTER SHEET'!G16</f>
        <v/>
      </c>
      <c r="H16" s="50" t="str">
        <f>'WEEK 5 MASTER SHEET'!H16</f>
        <v>ALTERNATE WORKOUTS</v>
      </c>
      <c r="I16" s="36"/>
      <c r="J16" s="36"/>
      <c r="K16" s="36"/>
      <c r="L16" s="36"/>
      <c r="M16" s="37"/>
      <c r="N16" s="141" t="str">
        <f>'WEEK 5 MASTER SHEET'!N16</f>
        <v/>
      </c>
    </row>
    <row r="17">
      <c r="A17" s="657" t="str">
        <f>'WEEK 5 MASTER SHEET'!A17</f>
        <v/>
      </c>
    </row>
    <row r="19">
      <c r="A19" s="51" t="str">
        <f>'WEEK 5 MASTER SHEET'!A19</f>
        <v>CHEST &amp; BACK </v>
      </c>
      <c r="B19" s="36"/>
      <c r="C19" s="36"/>
      <c r="D19" s="36"/>
      <c r="E19" s="36"/>
      <c r="F19" s="37"/>
      <c r="G19" s="141" t="str">
        <f>'WEEK 5 MASTER SHEET'!G19</f>
        <v/>
      </c>
      <c r="H19" s="51" t="str">
        <f>'WEEK 5 MASTER SHEET'!H19</f>
        <v>CHEST &amp; BACK </v>
      </c>
      <c r="I19" s="36"/>
      <c r="J19" s="36"/>
      <c r="K19" s="36"/>
      <c r="L19" s="36"/>
      <c r="M19" s="37"/>
      <c r="N19" s="141" t="str">
        <f>'WEEK 5 MASTER SHEET'!N19</f>
        <v/>
      </c>
    </row>
    <row r="20">
      <c r="A20" s="52" t="str">
        <f>'WEEK 5 MASTER SHEET'!A20</f>
        <v>1. DUMBBELL INCLINE PRESS</v>
      </c>
      <c r="B20" s="53"/>
      <c r="C20" s="53"/>
      <c r="D20" s="53"/>
      <c r="E20" s="53"/>
      <c r="F20" s="54"/>
      <c r="H20" s="52" t="str">
        <f>'WEEK 5 MASTER SHEET'!H20</f>
        <v>1. MACHINE PRESS</v>
      </c>
      <c r="I20" s="53"/>
      <c r="J20" s="53"/>
      <c r="K20" s="53"/>
      <c r="L20" s="53"/>
      <c r="M20" s="54"/>
    </row>
    <row r="21">
      <c r="A21" s="228" t="str">
        <f>'WEEK 5 MASTER SHEET'!A21</f>
        <v>CURRENT MAX</v>
      </c>
      <c r="B21" s="229">
        <f>'WEEK 5 MASTER SHEET'!B21</f>
        <v>85</v>
      </c>
      <c r="C21" s="16"/>
      <c r="D21" s="16"/>
      <c r="E21" s="16"/>
      <c r="F21" s="230"/>
      <c r="H21" s="228" t="str">
        <f>'WEEK 5 MASTER SHEET'!H21</f>
        <v>CURRENT MAX</v>
      </c>
      <c r="I21" s="229">
        <f>'WEEK 5 MASTER SHEET'!I21</f>
        <v>228</v>
      </c>
      <c r="J21" s="16"/>
      <c r="K21" s="16"/>
      <c r="L21" s="16"/>
      <c r="M21" s="230"/>
    </row>
    <row r="22">
      <c r="A22" s="96" t="str">
        <f>'WEEK 5 MASTER SHEET'!A22</f>
        <v>SET</v>
      </c>
      <c r="B22" s="97" t="str">
        <f>'WEEK 5 MASTER SHEET'!B22</f>
        <v>WEIGHT</v>
      </c>
      <c r="C22" s="97" t="str">
        <f>'WEEK 5 MASTER SHEET'!C22</f>
        <v>REPS</v>
      </c>
      <c r="D22" s="97" t="str">
        <f>'WEEK 5 MASTER SHEET'!D22</f>
        <v>REST</v>
      </c>
      <c r="E22" s="98" t="str">
        <f>'WEEK 5 MASTER SHEET'!E22</f>
        <v>PREVIOUS</v>
      </c>
      <c r="F22" s="235" t="str">
        <f>'WEEK 5 MASTER SHEET'!F22</f>
        <v>REP LOG</v>
      </c>
      <c r="H22" s="96" t="str">
        <f>'WEEK 5 MASTER SHEET'!H22</f>
        <v>SET</v>
      </c>
      <c r="I22" s="97" t="str">
        <f>'WEEK 5 MASTER SHEET'!I22</f>
        <v>WEIGHT</v>
      </c>
      <c r="J22" s="97" t="str">
        <f>'WEEK 5 MASTER SHEET'!J22</f>
        <v>REPS</v>
      </c>
      <c r="K22" s="97" t="str">
        <f>'WEEK 5 MASTER SHEET'!K22</f>
        <v>REST</v>
      </c>
      <c r="L22" s="98" t="str">
        <f>'WEEK 5 MASTER SHEET'!L22</f>
        <v>PREVIOUS</v>
      </c>
      <c r="M22" s="235" t="str">
        <f>'WEEK 5 MASTER SHEET'!M22</f>
        <v>REP LOG</v>
      </c>
    </row>
    <row r="23">
      <c r="A23" s="244">
        <f>'WEEK 5 MASTER SHEET'!A23</f>
        <v>1</v>
      </c>
      <c r="B23" s="241">
        <f>'WEEK 5 MASTER SHEET'!B23</f>
        <v>30</v>
      </c>
      <c r="C23" s="63">
        <f>'WEEK 5 MASTER SHEET'!C23</f>
        <v>6</v>
      </c>
      <c r="D23" s="83" t="str">
        <f>'WEEK 5 MASTER SHEET'!D23</f>
        <v>1 MIN</v>
      </c>
      <c r="E23" s="84" t="str">
        <f>'WEEK 5 MASTER SHEET'!E23</f>
        <v/>
      </c>
      <c r="F23" s="85"/>
      <c r="H23" s="244">
        <f>'WEEK 5 MASTER SHEET'!H23</f>
        <v>1</v>
      </c>
      <c r="I23" s="241">
        <f>'WEEK 5 MASTER SHEET'!I23</f>
        <v>80</v>
      </c>
      <c r="J23" s="63">
        <f>'WEEK 5 MASTER SHEET'!J23</f>
        <v>6</v>
      </c>
      <c r="K23" s="83" t="str">
        <f>'WEEK 5 MASTER SHEET'!K23</f>
        <v>1 MIN</v>
      </c>
      <c r="L23" s="84" t="str">
        <f>'WEEK 5 MASTER SHEET'!L23</f>
        <v/>
      </c>
      <c r="M23" s="85"/>
    </row>
    <row r="24">
      <c r="A24" s="240">
        <f>'WEEK 5 MASTER SHEET'!A24</f>
        <v>2</v>
      </c>
      <c r="B24" s="241">
        <f>'WEEK 5 MASTER SHEET'!B24</f>
        <v>55</v>
      </c>
      <c r="C24" s="241">
        <f>'WEEK 5 MASTER SHEET'!C24</f>
        <v>1</v>
      </c>
      <c r="D24" s="83" t="str">
        <f>'WEEK 5 MASTER SHEET'!D24</f>
        <v>1 MIN</v>
      </c>
      <c r="E24" s="84" t="str">
        <f>'WEEK 5 MASTER SHEET'!E24</f>
        <v/>
      </c>
      <c r="F24" s="85"/>
      <c r="H24" s="240">
        <f>'WEEK 5 MASTER SHEET'!H24</f>
        <v>2</v>
      </c>
      <c r="I24" s="241">
        <f>'WEEK 5 MASTER SHEET'!I24</f>
        <v>150</v>
      </c>
      <c r="J24" s="241">
        <f>'WEEK 5 MASTER SHEET'!J24</f>
        <v>1</v>
      </c>
      <c r="K24" s="83" t="str">
        <f>'WEEK 5 MASTER SHEET'!K24</f>
        <v>1 MIN</v>
      </c>
      <c r="L24" s="84" t="str">
        <f>'WEEK 5 MASTER SHEET'!L24</f>
        <v/>
      </c>
      <c r="M24" s="85"/>
    </row>
    <row r="25">
      <c r="A25" s="240">
        <f>'WEEK 5 MASTER SHEET'!A25</f>
        <v>3</v>
      </c>
      <c r="B25" s="241">
        <f>'WEEK 5 MASTER SHEET'!B25</f>
        <v>70</v>
      </c>
      <c r="C25" s="63">
        <f>'WEEK 5 MASTER SHEET'!C25</f>
        <v>1</v>
      </c>
      <c r="D25" s="83" t="str">
        <f>'WEEK 5 MASTER SHEET'!D25</f>
        <v>1 MIN</v>
      </c>
      <c r="E25" s="84">
        <f>'WEEK 5 MASTER SHEET'!E25</f>
        <v>1</v>
      </c>
      <c r="F25" s="85"/>
      <c r="H25" s="240">
        <f>'WEEK 5 MASTER SHEET'!H25</f>
        <v>3</v>
      </c>
      <c r="I25" s="241">
        <f>'WEEK 5 MASTER SHEET'!I25</f>
        <v>195</v>
      </c>
      <c r="J25" s="241">
        <f>'WEEK 5 MASTER SHEET'!J25</f>
        <v>1</v>
      </c>
      <c r="K25" s="83" t="str">
        <f>'WEEK 5 MASTER SHEET'!K25</f>
        <v>1 MIN</v>
      </c>
      <c r="L25" s="84" t="str">
        <f>'WEEK 5 MASTER SHEET'!L25</f>
        <v/>
      </c>
      <c r="M25" s="85"/>
    </row>
    <row r="26">
      <c r="A26" s="240">
        <f>'WEEK 5 MASTER SHEET'!A26</f>
        <v>4</v>
      </c>
      <c r="B26" s="241">
        <f>'WEEK 5 MASTER SHEET'!B26</f>
        <v>85</v>
      </c>
      <c r="C26" s="947" t="str">
        <f>'WEEK 5 MASTER SHEET'!C26</f>
        <v>REP OUT</v>
      </c>
      <c r="D26" s="241" t="str">
        <f>'WEEK 5 MASTER SHEET'!D26</f>
        <v>1 MIN</v>
      </c>
      <c r="E26" s="948" t="str">
        <f>'WEEK 5 MASTER SHEET'!E26</f>
        <v/>
      </c>
      <c r="F26" s="85"/>
      <c r="H26" s="240">
        <f>'WEEK 5 MASTER SHEET'!H26</f>
        <v>4</v>
      </c>
      <c r="I26" s="241">
        <f>'WEEK 5 MASTER SHEET'!I26</f>
        <v>230</v>
      </c>
      <c r="J26" s="947" t="str">
        <f>'WEEK 5 MASTER SHEET'!J26</f>
        <v>REP OUT</v>
      </c>
      <c r="K26" s="241" t="str">
        <f>'WEEK 5 MASTER SHEET'!K26</f>
        <v>1 MIN</v>
      </c>
      <c r="L26" s="241" t="str">
        <f>'WEEK 5 MASTER SHEET'!L26</f>
        <v/>
      </c>
      <c r="M26" s="85"/>
    </row>
    <row r="27">
      <c r="A27" s="248" t="str">
        <f>'WEEK 5 MASTER SHEET'!A27</f>
        <v>PROCEED TO DOWNSETS</v>
      </c>
      <c r="F27" s="28"/>
      <c r="G27" t="str">
        <f>'WEEK 5 MASTER SHEET'!G28</f>
        <v/>
      </c>
      <c r="H27" s="248" t="str">
        <f>'WEEK 5 MASTER SHEET'!H27</f>
        <v>PROCEED TO DOWNSETS</v>
      </c>
      <c r="M27" s="28"/>
    </row>
    <row r="28">
      <c r="A28" s="251" t="str">
        <f>'WEEK 5 MASTER SHEET'!A28</f>
        <v/>
      </c>
      <c r="B28" s="252" t="str">
        <f>'WEEK 5 MASTER SHEET'!B28</f>
        <v/>
      </c>
      <c r="C28" s="253" t="str">
        <f>'WEEK 5 MASTER SHEET'!C28</f>
        <v/>
      </c>
      <c r="D28" s="254" t="str">
        <f>'WEEK 5 MASTER SHEET'!D28</f>
        <v/>
      </c>
      <c r="E28" s="84" t="str">
        <f>'WEEK 5 MASTER SHEET'!E28</f>
        <v/>
      </c>
      <c r="F28" s="67"/>
      <c r="H28" s="251" t="str">
        <f>'WEEK 5 MASTER SHEET'!H28</f>
        <v/>
      </c>
      <c r="I28" s="252" t="str">
        <f>'WEEK 5 MASTER SHEET'!I28</f>
        <v/>
      </c>
      <c r="J28" s="253" t="str">
        <f>'WEEK 5 MASTER SHEET'!J28</f>
        <v/>
      </c>
      <c r="K28" s="254" t="str">
        <f>'WEEK 5 MASTER SHEET'!K28</f>
        <v/>
      </c>
      <c r="L28" s="84" t="str">
        <f>'WEEK 5 MASTER SHEET'!L28</f>
        <v/>
      </c>
      <c r="M28" s="67"/>
    </row>
    <row r="29">
      <c r="A29" s="260" t="str">
        <f>'WEEK 5 MASTER SHEET'!A29</f>
        <v>FILL OUT REP LOG FIRST</v>
      </c>
      <c r="B29" s="16"/>
      <c r="C29" s="16"/>
      <c r="D29" s="16"/>
      <c r="E29" s="16"/>
      <c r="F29" s="230"/>
      <c r="G29" s="141" t="str">
        <f>'WEEK 5 MASTER SHEET'!G29</f>
        <v/>
      </c>
      <c r="H29" s="260" t="str">
        <f>'WEEK 5 MASTER SHEET'!H29</f>
        <v>FILL OUT REP LOG FIRST</v>
      </c>
      <c r="I29" s="16"/>
      <c r="J29" s="16"/>
      <c r="K29" s="16"/>
      <c r="L29" s="16"/>
      <c r="M29" s="230"/>
    </row>
    <row r="30">
      <c r="A30" s="545" t="str">
        <f>'WEEK 5 MASTER SHEET'!A30</f>
        <v/>
      </c>
      <c r="B30" s="261" t="str">
        <f>'WEEK 5 MASTER SHEET'!B30</f>
        <v/>
      </c>
      <c r="C30" s="262" t="str">
        <f>'WEEK 5 MASTER SHEET'!C30</f>
        <v/>
      </c>
      <c r="D30" s="65" t="str">
        <f>'WEEK 5 MASTER SHEET'!D30</f>
        <v/>
      </c>
      <c r="E30" s="84" t="str">
        <f>'WEEK 5 MASTER SHEET'!E30</f>
        <v/>
      </c>
      <c r="F30" s="263" t="str">
        <f>'WEEK 5 MASTER SHEET'!F30</f>
        <v/>
      </c>
      <c r="H30" s="91" t="str">
        <f>'WEEK 5 MASTER SHEET'!H30</f>
        <v/>
      </c>
      <c r="I30" s="261" t="str">
        <f>'WEEK 5 MASTER SHEET'!I30</f>
        <v/>
      </c>
      <c r="J30" s="262" t="str">
        <f>'WEEK 5 MASTER SHEET'!J30</f>
        <v/>
      </c>
      <c r="K30" s="65" t="str">
        <f>'WEEK 5 MASTER SHEET'!K30</f>
        <v/>
      </c>
      <c r="L30" s="84" t="str">
        <f>'WEEK 5 MASTER SHEET'!L30</f>
        <v/>
      </c>
      <c r="M30" s="263" t="str">
        <f>'WEEK 5 MASTER SHEET'!M30</f>
        <v/>
      </c>
    </row>
    <row r="31">
      <c r="A31" s="546" t="str">
        <f>'WEEK 5 MASTER SHEET'!A31</f>
        <v/>
      </c>
      <c r="B31" s="254" t="str">
        <f>'WEEK 5 MASTER SHEET'!B31</f>
        <v/>
      </c>
      <c r="C31" s="253" t="str">
        <f>'WEEK 5 MASTER SHEET'!C31</f>
        <v/>
      </c>
      <c r="D31" s="65" t="str">
        <f>'WEEK 5 MASTER SHEET'!D31</f>
        <v/>
      </c>
      <c r="E31" s="84">
        <f>'WEEK 5 MASTER SHEET'!E31</f>
        <v>10</v>
      </c>
      <c r="F31" s="270" t="str">
        <f>'WEEK 5 MASTER SHEET'!F31</f>
        <v/>
      </c>
      <c r="H31" s="269" t="str">
        <f>'WEEK 5 MASTER SHEET'!H31</f>
        <v/>
      </c>
      <c r="I31" s="254" t="str">
        <f>'WEEK 5 MASTER SHEET'!I31</f>
        <v/>
      </c>
      <c r="J31" s="253" t="str">
        <f>'WEEK 5 MASTER SHEET'!J31</f>
        <v/>
      </c>
      <c r="K31" s="65" t="str">
        <f>'WEEK 5 MASTER SHEET'!K31</f>
        <v/>
      </c>
      <c r="L31" s="84" t="str">
        <f>'WEEK 5 MASTER SHEET'!L31</f>
        <v/>
      </c>
      <c r="M31" s="270" t="str">
        <f>'WEEK 5 MASTER SHEET'!M31</f>
        <v/>
      </c>
    </row>
    <row r="32">
      <c r="A32" s="546" t="str">
        <f>'WEEK 5 MASTER SHEET'!A32</f>
        <v/>
      </c>
      <c r="B32" s="254" t="str">
        <f>'WEEK 5 MASTER SHEET'!B32</f>
        <v/>
      </c>
      <c r="C32" s="253" t="str">
        <f>'WEEK 5 MASTER SHEET'!C32</f>
        <v/>
      </c>
      <c r="D32" s="254" t="str">
        <f>'WEEK 5 MASTER SHEET'!D32</f>
        <v/>
      </c>
      <c r="E32" s="949" t="str">
        <f>'WEEK 5 MASTER SHEET'!E32</f>
        <v/>
      </c>
      <c r="F32" s="263"/>
      <c r="G32" s="141" t="str">
        <f>'WEEK 5 MASTER SHEET'!G32</f>
        <v/>
      </c>
      <c r="H32" s="269" t="str">
        <f>'WEEK 5 MASTER SHEET'!H32</f>
        <v/>
      </c>
      <c r="I32" s="254" t="str">
        <f>'WEEK 5 MASTER SHEET'!I32</f>
        <v/>
      </c>
      <c r="J32" s="253" t="str">
        <f>'WEEK 5 MASTER SHEET'!J32</f>
        <v/>
      </c>
      <c r="K32" s="254" t="str">
        <f>'WEEK 5 MASTER SHEET'!K32</f>
        <v/>
      </c>
      <c r="L32" s="254" t="str">
        <f>'WEEK 5 MASTER SHEET'!L32</f>
        <v/>
      </c>
      <c r="M32" s="263"/>
      <c r="N32" s="141" t="str">
        <f>'WEEK 5 MASTER SHEET'!N32</f>
        <v/>
      </c>
    </row>
    <row r="33">
      <c r="A33" s="546" t="str">
        <f>'WEEK 5 MASTER SHEET'!A33</f>
        <v/>
      </c>
      <c r="B33" s="254" t="str">
        <f>'WEEK 5 MASTER SHEET'!B33</f>
        <v/>
      </c>
      <c r="C33" s="253" t="str">
        <f>'WEEK 5 MASTER SHEET'!C33</f>
        <v/>
      </c>
      <c r="D33" s="65" t="str">
        <f>'WEEK 5 MASTER SHEET'!D33</f>
        <v/>
      </c>
      <c r="E33" s="84" t="str">
        <f>'WEEK 5 MASTER SHEET'!E33</f>
        <v/>
      </c>
      <c r="F33" s="263"/>
      <c r="G33" s="141" t="str">
        <f>'WEEK 5 MASTER SHEET'!G33</f>
        <v/>
      </c>
      <c r="H33" s="269" t="str">
        <f>'WEEK 5 MASTER SHEET'!H33</f>
        <v/>
      </c>
      <c r="I33" s="254" t="str">
        <f>'WEEK 5 MASTER SHEET'!I33</f>
        <v/>
      </c>
      <c r="J33" s="253" t="str">
        <f>'WEEK 5 MASTER SHEET'!J33</f>
        <v/>
      </c>
      <c r="K33" s="65" t="str">
        <f>'WEEK 5 MASTER SHEET'!K33</f>
        <v/>
      </c>
      <c r="L33" s="84" t="str">
        <f>'WEEK 5 MASTER SHEET'!L33</f>
        <v/>
      </c>
      <c r="M33" s="263"/>
      <c r="N33" s="141" t="str">
        <f>'WEEK 5 MASTER SHEET'!N33</f>
        <v/>
      </c>
    </row>
    <row r="34">
      <c r="A34" s="280" t="str">
        <f>'WEEK 5 MASTER SHEET'!A34</f>
        <v>FINAL MAX</v>
      </c>
      <c r="B34" s="273" t="str">
        <f>'WEEK 5 MASTER SHEET'!B34</f>
        <v/>
      </c>
      <c r="C34" s="11"/>
      <c r="D34" s="11"/>
      <c r="E34" s="11"/>
      <c r="F34" s="46"/>
      <c r="G34" s="141" t="str">
        <f>'WEEK 5 MASTER SHEET'!G34</f>
        <v/>
      </c>
      <c r="H34" s="280" t="str">
        <f>'WEEK 5 MASTER SHEET'!H34</f>
        <v>FINAL MAX</v>
      </c>
      <c r="I34" s="273" t="str">
        <f>'WEEK 5 MASTER SHEET'!I34</f>
        <v/>
      </c>
      <c r="J34" s="11"/>
      <c r="K34" s="11"/>
      <c r="L34" s="11"/>
      <c r="M34" s="46"/>
      <c r="N34" s="141" t="str">
        <f>'WEEK 5 MASTER SHEET'!N34</f>
        <v/>
      </c>
    </row>
    <row r="35">
      <c r="A35" s="658" t="str">
        <f>'WEEK 5 MASTER SHEET'!A35</f>
        <v/>
      </c>
    </row>
    <row r="37">
      <c r="A37" s="440" t="str">
        <f>'WEEK 5 MASTER SHEET'!A37</f>
        <v>2. DUMBBELL CHEST FLY</v>
      </c>
      <c r="B37" s="53"/>
      <c r="C37" s="53"/>
      <c r="D37" s="53"/>
      <c r="E37" s="53"/>
      <c r="F37" s="54"/>
      <c r="G37" s="659" t="str">
        <f>'WEEK 5 MASTER SHEET'!G37</f>
        <v/>
      </c>
      <c r="H37" s="504" t="str">
        <f>'WEEK 5 MASTER SHEET'!H37</f>
        <v>2. MACHINE CHEST FLY</v>
      </c>
      <c r="I37" s="53"/>
      <c r="J37" s="53"/>
      <c r="K37" s="53"/>
      <c r="L37" s="53"/>
      <c r="M37" s="54"/>
      <c r="N37" s="660" t="str">
        <f>'WEEK 5 MASTER SHEET'!N37</f>
        <v/>
      </c>
    </row>
    <row r="38">
      <c r="A38" s="226" t="str">
        <f>'WEEK 5 MASTER SHEET'!A38</f>
        <v>DB INCL MAX</v>
      </c>
      <c r="B38" s="548">
        <f>'WEEK 5 MASTER SHEET'!B38</f>
        <v>105</v>
      </c>
      <c r="C38" s="13"/>
      <c r="D38" s="13"/>
      <c r="E38" s="13"/>
      <c r="F38" s="57"/>
      <c r="H38" s="226" t="str">
        <f>'WEEK 5 MASTER SHEET'!H38</f>
        <v>DB INCL MAX</v>
      </c>
      <c r="I38" s="548">
        <f>'WEEK 5 MASTER SHEET'!I38</f>
        <v>105</v>
      </c>
      <c r="J38" s="13"/>
      <c r="K38" s="13"/>
      <c r="L38" s="13"/>
      <c r="M38" s="57"/>
      <c r="N38" s="141" t="str">
        <f>'WEEK 5 MASTER SHEET'!N38</f>
        <v/>
      </c>
    </row>
    <row r="39">
      <c r="A39" s="96" t="str">
        <f>'WEEK 5 MASTER SHEET'!A39</f>
        <v>SET</v>
      </c>
      <c r="B39" s="97" t="str">
        <f>'WEEK 5 MASTER SHEET'!B39</f>
        <v>WEIGHT</v>
      </c>
      <c r="C39" s="97" t="str">
        <f>'WEEK 5 MASTER SHEET'!C39</f>
        <v>REPS</v>
      </c>
      <c r="D39" s="97" t="str">
        <f>'WEEK 5 MASTER SHEET'!D39</f>
        <v>REST</v>
      </c>
      <c r="E39" s="98" t="str">
        <f>'WEEK 5 MASTER SHEET'!E39</f>
        <v>PREVIOUS</v>
      </c>
      <c r="F39" s="235" t="str">
        <f>'WEEK 5 MASTER SHEET'!F39</f>
        <v>REP LOG</v>
      </c>
      <c r="H39" s="96" t="str">
        <f>'WEEK 5 MASTER SHEET'!H39</f>
        <v>SET</v>
      </c>
      <c r="I39" s="97" t="str">
        <f>'WEEK 5 MASTER SHEET'!I39</f>
        <v>WEIGHT</v>
      </c>
      <c r="J39" s="97" t="str">
        <f>'WEEK 5 MASTER SHEET'!J39</f>
        <v>REPS</v>
      </c>
      <c r="K39" s="97" t="str">
        <f>'WEEK 5 MASTER SHEET'!K39</f>
        <v>REST</v>
      </c>
      <c r="L39" s="341" t="str">
        <f>'WEEK 5 MASTER SHEET'!L39</f>
        <v>PREVIOUS</v>
      </c>
      <c r="M39" s="235" t="str">
        <f>'WEEK 5 MASTER SHEET'!M39</f>
        <v>REP LOG</v>
      </c>
    </row>
    <row r="40">
      <c r="A40" s="240">
        <f>'WEEK 5 MASTER SHEET'!A40</f>
        <v>1</v>
      </c>
      <c r="B40" s="254">
        <f>'WEEK 5 MASTER SHEET'!B40</f>
        <v>30</v>
      </c>
      <c r="C40" s="241">
        <f>'WEEK 5 MASTER SHEET'!C40</f>
        <v>15</v>
      </c>
      <c r="D40" s="83" t="str">
        <f>'WEEK 5 MASTER SHEET'!D40</f>
        <v>1 MIN</v>
      </c>
      <c r="E40" s="84" t="str">
        <f>'WEEK 5 MASTER SHEET'!E40</f>
        <v/>
      </c>
      <c r="F40" s="85"/>
      <c r="H40" s="240">
        <f>'WEEK 5 MASTER SHEET'!H40</f>
        <v>1</v>
      </c>
      <c r="I40" s="254">
        <f>'WEEK 5 MASTER SHEET'!I40</f>
        <v>160</v>
      </c>
      <c r="J40" s="241">
        <f>'WEEK 5 MASTER SHEET'!J40</f>
        <v>15</v>
      </c>
      <c r="K40" s="83" t="str">
        <f>'WEEK 5 MASTER SHEET'!K40</f>
        <v>1 MIN</v>
      </c>
      <c r="L40" s="84" t="str">
        <f>'WEEK 5 MASTER SHEET'!L40</f>
        <v/>
      </c>
      <c r="M40" s="85"/>
    </row>
    <row r="41">
      <c r="A41" s="661">
        <f>'WEEK 5 MASTER SHEET'!A41</f>
        <v>2</v>
      </c>
      <c r="B41" s="950">
        <f>'WEEK 5 MASTER SHEET'!B41</f>
        <v>30</v>
      </c>
      <c r="C41" s="662">
        <f>'WEEK 5 MASTER SHEET'!C41</f>
        <v>15</v>
      </c>
      <c r="D41" s="88" t="str">
        <f>'WEEK 5 MASTER SHEET'!D41</f>
        <v>1 MIN</v>
      </c>
      <c r="E41" s="89" t="str">
        <f>'WEEK 5 MASTER SHEET'!E41</f>
        <v/>
      </c>
      <c r="F41" s="85"/>
      <c r="H41" s="661">
        <f>'WEEK 5 MASTER SHEET'!H41</f>
        <v>2</v>
      </c>
      <c r="I41" s="950">
        <f>'WEEK 5 MASTER SHEET'!I41</f>
        <v>160</v>
      </c>
      <c r="J41" s="662">
        <f>'WEEK 5 MASTER SHEET'!J41</f>
        <v>15</v>
      </c>
      <c r="K41" s="88" t="str">
        <f>'WEEK 5 MASTER SHEET'!K41</f>
        <v>1 MIN</v>
      </c>
      <c r="L41" s="89" t="str">
        <f>'WEEK 5 MASTER SHEET'!L41</f>
        <v/>
      </c>
      <c r="M41" s="85"/>
    </row>
    <row r="42">
      <c r="A42" s="951"/>
      <c r="B42" s="951"/>
      <c r="C42" s="951"/>
      <c r="D42" s="951"/>
      <c r="E42" s="951"/>
      <c r="F42" s="951"/>
      <c r="G42" t="str">
        <f>'WEEK 5 MASTER SHEET'!G44</f>
        <v/>
      </c>
    </row>
    <row r="43">
      <c r="A43" s="951"/>
      <c r="B43" s="951"/>
      <c r="C43" s="951"/>
      <c r="D43" s="951"/>
      <c r="E43" s="951"/>
      <c r="F43" s="951"/>
    </row>
    <row r="44">
      <c r="A44" s="73" t="str">
        <f>'WEEK 5 MASTER SHEET'!A44</f>
        <v>3. LAT PULL DOWN</v>
      </c>
      <c r="B44" s="53"/>
      <c r="C44" s="53"/>
      <c r="D44" s="53"/>
      <c r="E44" s="53"/>
      <c r="F44" s="54"/>
    </row>
    <row r="45">
      <c r="A45" s="226" t="str">
        <f>'WEEK 5 MASTER SHEET'!A45</f>
        <v>CURRENT MAX</v>
      </c>
      <c r="B45" s="227">
        <f>'WEEK 5 MASTER SHEET'!B45</f>
        <v>265</v>
      </c>
      <c r="C45" s="20"/>
      <c r="D45" s="20"/>
      <c r="E45" s="20"/>
      <c r="F45" s="95"/>
    </row>
    <row r="46">
      <c r="A46" s="231" t="str">
        <f>'WEEK 5 MASTER SHEET'!A46</f>
        <v>SET</v>
      </c>
      <c r="B46" s="232" t="str">
        <f>'WEEK 5 MASTER SHEET'!B46</f>
        <v>WEIGHT</v>
      </c>
      <c r="C46" s="232" t="str">
        <f>'WEEK 5 MASTER SHEET'!C46</f>
        <v>REPS</v>
      </c>
      <c r="D46" s="232" t="str">
        <f>'WEEK 5 MASTER SHEET'!D46</f>
        <v>REST</v>
      </c>
      <c r="E46" s="233" t="str">
        <f>'WEEK 5 MASTER SHEET'!E46</f>
        <v>PREVIOUS</v>
      </c>
      <c r="F46" s="61" t="str">
        <f>'WEEK 5 MASTER SHEET'!F46</f>
        <v>REP LOG</v>
      </c>
    </row>
    <row r="47">
      <c r="A47" s="236">
        <f>'WEEK 5 MASTER SHEET'!A47</f>
        <v>1</v>
      </c>
      <c r="B47" s="237">
        <f>'WEEK 5 MASTER SHEET'!B47</f>
        <v>95</v>
      </c>
      <c r="C47" s="237">
        <f>'WEEK 5 MASTER SHEET'!C47</f>
        <v>6</v>
      </c>
      <c r="D47" s="238" t="str">
        <f>'WEEK 5 MASTER SHEET'!D47</f>
        <v>30s</v>
      </c>
      <c r="E47" s="66" t="str">
        <f>'WEEK 5 MASTER SHEET'!E47</f>
        <v/>
      </c>
      <c r="F47" s="67">
        <v>6.0</v>
      </c>
    </row>
    <row r="48">
      <c r="A48" s="236">
        <f>'WEEK 5 MASTER SHEET'!A48</f>
        <v>2</v>
      </c>
      <c r="B48" s="237">
        <f>'WEEK 5 MASTER SHEET'!B48</f>
        <v>170</v>
      </c>
      <c r="C48" s="238">
        <f>'WEEK 5 MASTER SHEET'!C48</f>
        <v>3</v>
      </c>
      <c r="D48" s="238" t="str">
        <f>'WEEK 5 MASTER SHEET'!D48</f>
        <v>1-2 MIN</v>
      </c>
      <c r="E48" s="66" t="str">
        <f>'WEEK 5 MASTER SHEET'!E48</f>
        <v/>
      </c>
      <c r="F48" s="67">
        <v>3.0</v>
      </c>
    </row>
    <row r="49">
      <c r="A49" s="242">
        <f>'WEEK 5 MASTER SHEET'!A49</f>
        <v>3</v>
      </c>
      <c r="B49" s="237">
        <f>'WEEK 5 MASTER SHEET'!B49</f>
        <v>240</v>
      </c>
      <c r="C49" s="63">
        <f>'WEEK 5 MASTER SHEET'!C49</f>
        <v>2</v>
      </c>
      <c r="D49" s="238" t="str">
        <f>'WEEK 5 MASTER SHEET'!D49</f>
        <v>1-2 MIN</v>
      </c>
      <c r="E49" s="66" t="str">
        <f>'WEEK 5 MASTER SHEET'!E49</f>
        <v/>
      </c>
      <c r="F49" s="67">
        <v>2.0</v>
      </c>
    </row>
    <row r="50">
      <c r="A50" s="243">
        <f>'WEEK 5 MASTER SHEET'!A50</f>
        <v>4</v>
      </c>
      <c r="B50" s="237">
        <f>'WEEK 5 MASTER SHEET'!B50</f>
        <v>265</v>
      </c>
      <c r="C50" s="257">
        <f>'WEEK 5 MASTER SHEET'!C50</f>
        <v>3</v>
      </c>
      <c r="D50" s="238" t="str">
        <f>'WEEK 5 MASTER SHEET'!D50</f>
        <v>1-5 MIN</v>
      </c>
      <c r="E50" s="66" t="str">
        <f>'WEEK 5 MASTER SHEET'!E50</f>
        <v/>
      </c>
      <c r="F50" s="67">
        <v>3.0</v>
      </c>
    </row>
    <row r="51">
      <c r="A51" s="246" t="str">
        <f>'WEEK 5 MASTER SHEET'!A51</f>
        <v>NEW 4 REP MAX ATTEMPT</v>
      </c>
      <c r="B51" s="20"/>
      <c r="C51" s="20"/>
      <c r="D51" s="20"/>
      <c r="E51" s="20"/>
      <c r="F51" s="95"/>
    </row>
    <row r="52">
      <c r="A52" s="249">
        <f>'WEEK 5 MASTER SHEET'!A52</f>
        <v>5</v>
      </c>
      <c r="B52" s="175">
        <f>'WEEK 5 MASTER SHEET'!B52</f>
        <v>270</v>
      </c>
      <c r="C52" s="238">
        <f>'WEEK 5 MASTER SHEET'!C52</f>
        <v>4</v>
      </c>
      <c r="D52" s="238" t="str">
        <f>'WEEK 5 MASTER SHEET'!D52</f>
        <v>1-5 MIN</v>
      </c>
      <c r="E52" s="250" t="str">
        <f>'WEEK 5 MASTER SHEET'!E52</f>
        <v/>
      </c>
      <c r="F52" s="67">
        <v>3.0</v>
      </c>
    </row>
    <row r="53">
      <c r="A53" s="256" t="str">
        <f>'WEEK 5 MASTER SHEET'!A53</f>
        <v/>
      </c>
      <c r="B53" s="237" t="str">
        <f>'WEEK 5 MASTER SHEET'!B53</f>
        <v/>
      </c>
      <c r="C53" s="257" t="str">
        <f>'WEEK 5 MASTER SHEET'!C53</f>
        <v/>
      </c>
      <c r="D53" s="257" t="str">
        <f>'WEEK 5 MASTER SHEET'!D53</f>
        <v/>
      </c>
      <c r="E53" s="258" t="str">
        <f>'WEEK 5 MASTER SHEET'!E53</f>
        <v/>
      </c>
      <c r="F53" s="67"/>
    </row>
    <row r="54">
      <c r="A54" s="246" t="str">
        <f>'WEEK 5 MASTER SHEET'!A54</f>
        <v>DOWN SETS</v>
      </c>
      <c r="B54" s="20"/>
      <c r="C54" s="20"/>
      <c r="D54" s="20"/>
      <c r="E54" s="20"/>
      <c r="F54" s="95"/>
    </row>
    <row r="55">
      <c r="A55" s="264">
        <f>'WEEK 5 MASTER SHEET'!A55</f>
        <v>6</v>
      </c>
      <c r="B55" s="265">
        <f>'WEEK 5 MASTER SHEET'!B55</f>
        <v>215</v>
      </c>
      <c r="C55" s="266" t="str">
        <f>'WEEK 5 MASTER SHEET'!C55</f>
        <v>REP OUT</v>
      </c>
      <c r="D55" s="267" t="str">
        <f>'WEEK 5 MASTER SHEET'!D55</f>
        <v>1-3 MIN</v>
      </c>
      <c r="E55" s="268" t="str">
        <f>'WEEK 5 MASTER SHEET'!E55</f>
        <v/>
      </c>
      <c r="F55" s="67">
        <v>9.0</v>
      </c>
    </row>
    <row r="56">
      <c r="A56" s="243">
        <f>'WEEK 5 MASTER SHEET'!A56</f>
        <v>7</v>
      </c>
      <c r="B56" s="237">
        <f>'WEEK 5 MASTER SHEET'!B56</f>
        <v>190</v>
      </c>
      <c r="C56" s="245" t="str">
        <f>'WEEK 5 MASTER SHEET'!C56</f>
        <v>REP OUT</v>
      </c>
      <c r="D56" s="65" t="str">
        <f>'WEEK 5 MASTER SHEET'!D56</f>
        <v>1-3 MIN</v>
      </c>
      <c r="E56" s="258" t="str">
        <f>'WEEK 5 MASTER SHEET'!E56</f>
        <v/>
      </c>
      <c r="F56" s="271"/>
    </row>
    <row r="57">
      <c r="A57" s="272" t="str">
        <f>'WEEK 5 MASTER SHEET'!A57</f>
        <v>FINAL MAX</v>
      </c>
      <c r="B57" s="273">
        <f>'WEEK 5 MASTER SHEET'!B57</f>
        <v>270</v>
      </c>
      <c r="C57" s="11"/>
      <c r="D57" s="11"/>
      <c r="E57" s="11"/>
      <c r="F57" s="46"/>
    </row>
    <row r="58">
      <c r="A58" s="302" t="str">
        <f>'WEEK 5 MASTER SHEET'!A58</f>
        <v/>
      </c>
      <c r="B58" s="302" t="str">
        <f>'WEEK 5 MASTER SHEET'!B58</f>
        <v/>
      </c>
      <c r="C58" s="302" t="str">
        <f>'WEEK 5 MASTER SHEET'!C58</f>
        <v/>
      </c>
      <c r="D58" s="302" t="str">
        <f>'WEEK 5 MASTER SHEET'!D58</f>
        <v/>
      </c>
      <c r="E58" s="303" t="str">
        <f>'WEEK 5 MASTER SHEET'!E58</f>
        <v/>
      </c>
      <c r="F58" s="103" t="str">
        <f>'WEEK 5 MASTER SHEET'!F58</f>
        <v/>
      </c>
    </row>
    <row r="59">
      <c r="A59" s="302" t="str">
        <f>'WEEK 5 MASTER SHEET'!A59</f>
        <v/>
      </c>
      <c r="B59" s="302" t="str">
        <f>'WEEK 5 MASTER SHEET'!B59</f>
        <v/>
      </c>
      <c r="C59" s="302" t="str">
        <f>'WEEK 5 MASTER SHEET'!C59</f>
        <v/>
      </c>
      <c r="D59" s="302" t="str">
        <f>'WEEK 5 MASTER SHEET'!D59</f>
        <v/>
      </c>
      <c r="E59" s="303" t="str">
        <f>'WEEK 5 MASTER SHEET'!E59</f>
        <v/>
      </c>
      <c r="F59" s="103" t="str">
        <f>'WEEK 5 MASTER SHEET'!F59</f>
        <v/>
      </c>
    </row>
    <row r="60">
      <c r="A60" s="73" t="str">
        <f>'WEEK 5 MASTER SHEET'!A60</f>
        <v>4. MACHINE LOW ROW</v>
      </c>
      <c r="B60" s="53"/>
      <c r="C60" s="53"/>
      <c r="D60" s="53"/>
      <c r="E60" s="53"/>
      <c r="F60" s="54"/>
    </row>
    <row r="61">
      <c r="A61" s="282" t="str">
        <f>'WEEK 5 MASTER SHEET'!A61</f>
        <v>CURRENT MAX</v>
      </c>
      <c r="B61" s="56">
        <f>'WEEK 5 MASTER SHEET'!B61</f>
        <v>205</v>
      </c>
      <c r="C61" s="13"/>
      <c r="D61" s="13"/>
      <c r="E61" s="13"/>
      <c r="F61" s="57"/>
    </row>
    <row r="62">
      <c r="A62" s="58" t="str">
        <f>'WEEK 5 MASTER SHEET'!A62</f>
        <v>SET</v>
      </c>
      <c r="B62" s="59" t="str">
        <f>'WEEK 5 MASTER SHEET'!B62</f>
        <v>WEIGHT</v>
      </c>
      <c r="C62" s="59" t="str">
        <f>'WEEK 5 MASTER SHEET'!C62</f>
        <v>REPS</v>
      </c>
      <c r="D62" s="59" t="str">
        <f>'WEEK 5 MASTER SHEET'!D62</f>
        <v>REST</v>
      </c>
      <c r="E62" s="60" t="str">
        <f>'WEEK 5 MASTER SHEET'!E62</f>
        <v>PREVIOUS</v>
      </c>
      <c r="F62" s="61" t="str">
        <f>'WEEK 5 MASTER SHEET'!F62</f>
        <v>REP LOG</v>
      </c>
    </row>
    <row r="63">
      <c r="A63" s="62">
        <f>'WEEK 5 MASTER SHEET'!A63</f>
        <v>1</v>
      </c>
      <c r="B63" s="63">
        <f>'WEEK 5 MASTER SHEET'!B63</f>
        <v>175</v>
      </c>
      <c r="C63" s="104" t="str">
        <f>'WEEK 5 MASTER SHEET'!C63</f>
        <v>REP OUT</v>
      </c>
      <c r="D63" s="65" t="str">
        <f>'WEEK 5 MASTER SHEET'!D63</f>
        <v>1 MIN</v>
      </c>
      <c r="E63" s="66" t="str">
        <f>'WEEK 5 MASTER SHEET'!E63</f>
        <v/>
      </c>
      <c r="F63" s="67">
        <v>6.0</v>
      </c>
    </row>
    <row r="64">
      <c r="A64" s="62">
        <f>'WEEK 5 MASTER SHEET'!A64</f>
        <v>2</v>
      </c>
      <c r="B64" s="63">
        <f>'WEEK 5 MASTER SHEET'!B64</f>
        <v>165</v>
      </c>
      <c r="C64" s="104" t="str">
        <f>'WEEK 5 MASTER SHEET'!C64</f>
        <v>REP OUT</v>
      </c>
      <c r="D64" s="65" t="str">
        <f>'WEEK 5 MASTER SHEET'!D64</f>
        <v>1 MIN</v>
      </c>
      <c r="E64" s="66" t="str">
        <f>'WEEK 5 MASTER SHEET'!E64</f>
        <v/>
      </c>
      <c r="F64" s="67">
        <v>7.0</v>
      </c>
    </row>
    <row r="65">
      <c r="A65" s="68">
        <f>'WEEK 5 MASTER SHEET'!A65</f>
        <v>3</v>
      </c>
      <c r="B65" s="69">
        <f>'WEEK 5 MASTER SHEET'!B65</f>
        <v>155</v>
      </c>
      <c r="C65" s="105" t="str">
        <f>'WEEK 5 MASTER SHEET'!C65</f>
        <v>REP OUT</v>
      </c>
      <c r="D65" s="71" t="str">
        <f>'WEEK 5 MASTER SHEET'!D65</f>
        <v>1 MIN</v>
      </c>
      <c r="E65" s="72" t="str">
        <f>'WEEK 5 MASTER SHEET'!E65</f>
        <v/>
      </c>
      <c r="F65" s="67">
        <v>11.0</v>
      </c>
    </row>
    <row r="66">
      <c r="A66" s="103" t="str">
        <f>'WEEK 5 MASTER SHEET'!A66</f>
        <v/>
      </c>
      <c r="B66" s="103" t="str">
        <f>'WEEK 5 MASTER SHEET'!B66</f>
        <v/>
      </c>
      <c r="C66" s="103" t="str">
        <f>'WEEK 5 MASTER SHEET'!C66</f>
        <v/>
      </c>
      <c r="D66" s="103" t="str">
        <f>'WEEK 5 MASTER SHEET'!D66</f>
        <v/>
      </c>
      <c r="E66" s="222" t="str">
        <f>'WEEK 5 MASTER SHEET'!E66</f>
        <v/>
      </c>
      <c r="F66" s="103" t="str">
        <f>'WEEK 5 MASTER SHEET'!F66</f>
        <v/>
      </c>
    </row>
    <row r="67">
      <c r="A67" s="103" t="str">
        <f>'WEEK 5 MASTER SHEET'!A67</f>
        <v/>
      </c>
      <c r="B67" s="103" t="str">
        <f>'WEEK 5 MASTER SHEET'!B67</f>
        <v/>
      </c>
      <c r="C67" s="103" t="str">
        <f>'WEEK 5 MASTER SHEET'!C67</f>
        <v/>
      </c>
      <c r="D67" s="103" t="str">
        <f>'WEEK 5 MASTER SHEET'!D67</f>
        <v/>
      </c>
      <c r="E67" s="222" t="str">
        <f>'WEEK 5 MASTER SHEET'!E67</f>
        <v/>
      </c>
      <c r="F67" s="103" t="str">
        <f>'WEEK 5 MASTER SHEET'!F67</f>
        <v/>
      </c>
    </row>
    <row r="68">
      <c r="A68" s="73" t="str">
        <f>'WEEK 5 MASTER SHEET'!A68</f>
        <v>5. MACHINE HIGH ROW</v>
      </c>
      <c r="B68" s="53"/>
      <c r="C68" s="53"/>
      <c r="D68" s="53"/>
      <c r="E68" s="53"/>
      <c r="F68" s="54"/>
    </row>
    <row r="69">
      <c r="A69" s="282" t="str">
        <f>'WEEK 5 MASTER SHEET'!A69</f>
        <v>CURRENT MAX</v>
      </c>
      <c r="B69" s="56">
        <f>'WEEK 5 MASTER SHEET'!B69</f>
        <v>60</v>
      </c>
      <c r="C69" s="13"/>
      <c r="D69" s="13"/>
      <c r="E69" s="13"/>
      <c r="F69" s="57"/>
    </row>
    <row r="70">
      <c r="A70" s="58" t="str">
        <f>'WEEK 5 MASTER SHEET'!A70</f>
        <v>SET</v>
      </c>
      <c r="B70" s="59" t="str">
        <f>'WEEK 5 MASTER SHEET'!B70</f>
        <v>WEIGHT</v>
      </c>
      <c r="C70" s="59" t="str">
        <f>'WEEK 5 MASTER SHEET'!C70</f>
        <v>REPS</v>
      </c>
      <c r="D70" s="59" t="str">
        <f>'WEEK 5 MASTER SHEET'!D70</f>
        <v>REST</v>
      </c>
      <c r="E70" s="60" t="str">
        <f>'WEEK 5 MASTER SHEET'!E70</f>
        <v>PREVIOUS</v>
      </c>
      <c r="F70" s="61" t="str">
        <f>'WEEK 5 MASTER SHEET'!F70</f>
        <v>REP LOG</v>
      </c>
    </row>
    <row r="71">
      <c r="A71" s="62">
        <f>'WEEK 5 MASTER SHEET'!A71</f>
        <v>1</v>
      </c>
      <c r="B71" s="63">
        <f>'WEEK 5 MASTER SHEET'!B71</f>
        <v>50</v>
      </c>
      <c r="C71" s="104" t="str">
        <f>'WEEK 5 MASTER SHEET'!C71</f>
        <v>REP OUT</v>
      </c>
      <c r="D71" s="65" t="str">
        <f>'WEEK 5 MASTER SHEET'!D71</f>
        <v>1 MIN</v>
      </c>
      <c r="E71" s="66" t="str">
        <f>'WEEK 5 MASTER SHEET'!E71</f>
        <v/>
      </c>
      <c r="F71" s="67">
        <v>15.0</v>
      </c>
    </row>
    <row r="72">
      <c r="A72" s="62">
        <f>'WEEK 5 MASTER SHEET'!A72</f>
        <v>2</v>
      </c>
      <c r="B72" s="63">
        <f>'WEEK 5 MASTER SHEET'!B72</f>
        <v>50</v>
      </c>
      <c r="C72" s="104" t="str">
        <f>'WEEK 5 MASTER SHEET'!C72</f>
        <v>REP OUT</v>
      </c>
      <c r="D72" s="65" t="str">
        <f>'WEEK 5 MASTER SHEET'!D72</f>
        <v>1 MIN</v>
      </c>
      <c r="E72" s="66" t="str">
        <f>'WEEK 5 MASTER SHEET'!E72</f>
        <v/>
      </c>
      <c r="F72" s="67">
        <v>10.0</v>
      </c>
    </row>
    <row r="73">
      <c r="A73" s="68">
        <f>'WEEK 5 MASTER SHEET'!A73</f>
        <v>3</v>
      </c>
      <c r="B73" s="87">
        <f>'WEEK 5 MASTER SHEET'!B73</f>
        <v>50</v>
      </c>
      <c r="C73" s="105" t="str">
        <f>'WEEK 5 MASTER SHEET'!C73</f>
        <v>REP OUT</v>
      </c>
      <c r="D73" s="309" t="str">
        <f>'WEEK 5 MASTER SHEET'!D73</f>
        <v>1 MIN</v>
      </c>
      <c r="E73" s="72" t="str">
        <f>'WEEK 5 MASTER SHEET'!E73</f>
        <v/>
      </c>
      <c r="F73" s="67"/>
    </row>
    <row r="74">
      <c r="A74" s="103" t="str">
        <f>'WEEK 5 MASTER SHEET'!A74</f>
        <v/>
      </c>
      <c r="B74" s="103" t="str">
        <f>'WEEK 5 MASTER SHEET'!B74</f>
        <v/>
      </c>
      <c r="C74" s="103" t="str">
        <f>'WEEK 5 MASTER SHEET'!C74</f>
        <v/>
      </c>
      <c r="D74" s="103" t="str">
        <f>'WEEK 5 MASTER SHEET'!D74</f>
        <v/>
      </c>
      <c r="E74" s="222" t="str">
        <f>'WEEK 5 MASTER SHEET'!E74</f>
        <v/>
      </c>
      <c r="F74" s="103" t="str">
        <f>'WEEK 5 MASTER SHEET'!F74</f>
        <v/>
      </c>
    </row>
    <row r="75">
      <c r="A75" s="310" t="str">
        <f>'WEEK 5 MASTER SHEET'!A75</f>
        <v>CLICK TO COMPLETE WORKOUT</v>
      </c>
      <c r="B75" s="36"/>
      <c r="C75" s="36"/>
      <c r="D75" s="36"/>
      <c r="E75" s="36"/>
      <c r="F75" s="37"/>
    </row>
    <row r="76">
      <c r="A76" t="str">
        <f>'WEEK 5 MASTER SHEET'!A76</f>
        <v/>
      </c>
      <c r="B76" t="str">
        <f>'WEEK 5 MASTER SHEET'!B76</f>
        <v/>
      </c>
      <c r="C76" t="str">
        <f>'WEEK 5 MASTER SHEET'!C76</f>
        <v/>
      </c>
      <c r="D76" t="str">
        <f>'WEEK 5 MASTER SHEET'!D76</f>
        <v/>
      </c>
      <c r="E76" t="str">
        <f>'WEEK 5 MASTER SHEET'!E76</f>
        <v/>
      </c>
      <c r="F76" t="str">
        <f>'WEEK 5 MASTER SHEET'!F76</f>
        <v/>
      </c>
    </row>
    <row r="77">
      <c r="A77" s="224" t="str">
        <f>'WEEK 5 MASTER SHEET'!A77</f>
        <v>DAY 2 </v>
      </c>
      <c r="B77" s="36"/>
      <c r="C77" s="36"/>
      <c r="D77" s="36"/>
      <c r="E77" s="36"/>
      <c r="F77" s="37"/>
    </row>
    <row r="78">
      <c r="A78" t="str">
        <f>'WEEK 5 MASTER SHEET'!A78</f>
        <v/>
      </c>
      <c r="B78" t="str">
        <f>'WEEK 5 MASTER SHEET'!B78</f>
        <v/>
      </c>
      <c r="C78" t="str">
        <f>'WEEK 5 MASTER SHEET'!C78</f>
        <v/>
      </c>
      <c r="D78" t="str">
        <f>'WEEK 5 MASTER SHEET'!D78</f>
        <v/>
      </c>
      <c r="E78" t="str">
        <f>'WEEK 5 MASTER SHEET'!E78</f>
        <v/>
      </c>
      <c r="F78" t="str">
        <f>'WEEK 5 MASTER SHEET'!F78</f>
        <v/>
      </c>
    </row>
    <row r="79">
      <c r="A79" t="str">
        <f>'WEEK 5 MASTER SHEET'!A79</f>
        <v/>
      </c>
      <c r="B79" t="str">
        <f>'WEEK 5 MASTER SHEET'!B79</f>
        <v/>
      </c>
      <c r="C79" t="str">
        <f>'WEEK 5 MASTER SHEET'!C79</f>
        <v/>
      </c>
      <c r="D79" t="str">
        <f>'WEEK 5 MASTER SHEET'!D79</f>
        <v/>
      </c>
      <c r="E79" t="str">
        <f>'WEEK 5 MASTER SHEET'!E79</f>
        <v/>
      </c>
      <c r="F79" t="str">
        <f>'WEEK 5 MASTER SHEET'!F79</f>
        <v/>
      </c>
    </row>
    <row r="80">
      <c r="A80" s="93" t="str">
        <f>'WEEK 5 MASTER SHEET'!A80</f>
        <v>2. LEG EXTENSION</v>
      </c>
      <c r="B80" s="53"/>
      <c r="C80" s="53"/>
      <c r="D80" s="53"/>
      <c r="E80" s="53"/>
      <c r="F80" s="54"/>
    </row>
    <row r="81">
      <c r="A81" s="226" t="str">
        <f>'WEEK 5 MASTER SHEET'!A81</f>
        <v>CURRENT MAX</v>
      </c>
      <c r="B81" s="94">
        <f>'WEEK 5 MASTER SHEET'!B81</f>
        <v>80</v>
      </c>
      <c r="C81" s="20"/>
      <c r="D81" s="20"/>
      <c r="E81" s="20"/>
      <c r="F81" s="95"/>
    </row>
    <row r="82">
      <c r="A82" s="96" t="str">
        <f>'WEEK 5 MASTER SHEET'!A82</f>
        <v>SET</v>
      </c>
      <c r="B82" s="97" t="str">
        <f>'WEEK 5 MASTER SHEET'!B82</f>
        <v>WEIGHT</v>
      </c>
      <c r="C82" s="97" t="str">
        <f>'WEEK 5 MASTER SHEET'!C82</f>
        <v>REPS</v>
      </c>
      <c r="D82" s="97" t="str">
        <f>'WEEK 5 MASTER SHEET'!D82</f>
        <v>REST</v>
      </c>
      <c r="E82" s="98" t="str">
        <f>'WEEK 5 MASTER SHEET'!E82</f>
        <v>PREVIOUS</v>
      </c>
      <c r="F82" s="235" t="str">
        <f>'WEEK 5 MASTER SHEET'!F82</f>
        <v>REP LOG</v>
      </c>
    </row>
    <row r="83">
      <c r="A83" s="62">
        <f>'WEEK 5 MASTER SHEET'!A83</f>
        <v>1</v>
      </c>
      <c r="B83" s="99">
        <f>'WEEK 5 MASTER SHEET'!B83</f>
        <v>80</v>
      </c>
      <c r="C83" s="104">
        <f>'WEEK 5 MASTER SHEET'!C83</f>
        <v>20</v>
      </c>
      <c r="D83" s="83" t="str">
        <f>'WEEK 5 MASTER SHEET'!D83</f>
        <v>1 MIN</v>
      </c>
      <c r="E83" s="100" t="str">
        <f>'WEEK 5 MASTER SHEET'!E83</f>
        <v/>
      </c>
      <c r="F83" s="67"/>
    </row>
    <row r="84">
      <c r="A84" s="62">
        <f>'WEEK 5 MASTER SHEET'!A84</f>
        <v>2</v>
      </c>
      <c r="B84" s="99">
        <f>'WEEK 5 MASTER SHEET'!B84</f>
        <v>65</v>
      </c>
      <c r="C84" s="104">
        <f>'WEEK 5 MASTER SHEET'!C84</f>
        <v>20</v>
      </c>
      <c r="D84" s="83" t="str">
        <f>'WEEK 5 MASTER SHEET'!D84</f>
        <v>1 MIN</v>
      </c>
      <c r="E84" s="100" t="str">
        <f>'WEEK 5 MASTER SHEET'!E84</f>
        <v/>
      </c>
      <c r="F84" s="67"/>
    </row>
    <row r="85">
      <c r="A85" s="68">
        <f>'WEEK 5 MASTER SHEET'!A85</f>
        <v>3</v>
      </c>
      <c r="B85" s="101">
        <f>'WEEK 5 MASTER SHEET'!B85</f>
        <v>50</v>
      </c>
      <c r="C85" s="105">
        <f>'WEEK 5 MASTER SHEET'!C85</f>
        <v>20</v>
      </c>
      <c r="D85" s="88" t="str">
        <f>'WEEK 5 MASTER SHEET'!D85</f>
        <v>1 MIN</v>
      </c>
      <c r="E85" s="102" t="str">
        <f>'WEEK 5 MASTER SHEET'!E85</f>
        <v/>
      </c>
      <c r="F85" s="67"/>
    </row>
    <row r="86">
      <c r="A86" s="952" t="str">
        <f>'WEEK 5 MASTER SHEET'!A86</f>
        <v/>
      </c>
      <c r="B86" t="str">
        <f>'WEEK 5 MASTER SHEET'!B86</f>
        <v/>
      </c>
      <c r="C86" t="str">
        <f>'WEEK 5 MASTER SHEET'!C86</f>
        <v/>
      </c>
      <c r="D86" t="str">
        <f>'WEEK 5 MASTER SHEET'!D86</f>
        <v/>
      </c>
      <c r="E86" t="str">
        <f>'WEEK 5 MASTER SHEET'!E86</f>
        <v/>
      </c>
      <c r="F86" t="str">
        <f>'WEEK 5 MASTER SHEET'!F86</f>
        <v/>
      </c>
    </row>
    <row r="87">
      <c r="A87" t="str">
        <f>'WEEK 5 MASTER SHEET'!A87</f>
        <v/>
      </c>
      <c r="B87" t="str">
        <f>'WEEK 5 MASTER SHEET'!B87</f>
        <v/>
      </c>
      <c r="C87" t="str">
        <f>'WEEK 5 MASTER SHEET'!C87</f>
        <v/>
      </c>
      <c r="D87" t="str">
        <f>'WEEK 5 MASTER SHEET'!D87</f>
        <v/>
      </c>
      <c r="E87" t="str">
        <f>'WEEK 5 MASTER SHEET'!E87</f>
        <v/>
      </c>
      <c r="F87" t="str">
        <f>'WEEK 5 MASTER SHEET'!F87</f>
        <v/>
      </c>
    </row>
    <row r="88">
      <c r="A88" s="73" t="str">
        <f>'WEEK 5 MASTER SHEET'!A88</f>
        <v>4. LEG CURL</v>
      </c>
      <c r="B88" s="53"/>
      <c r="C88" s="53"/>
      <c r="D88" s="53"/>
      <c r="E88" s="53"/>
      <c r="F88" s="54"/>
      <c r="G88" s="103"/>
      <c r="H88" s="953" t="str">
        <f>'WEEK 5 MASTER SHEET'!H88</f>
        <v>4. PRONE LEG CURL</v>
      </c>
      <c r="I88" s="20"/>
      <c r="J88" s="20"/>
      <c r="K88" s="20"/>
      <c r="L88" s="20"/>
      <c r="M88" s="21"/>
      <c r="N88" s="498" t="str">
        <f>'WEEK 5 MASTER SHEET'!N90</f>
        <v/>
      </c>
    </row>
    <row r="89">
      <c r="A89" s="226" t="str">
        <f>'WEEK 5 MASTER SHEET'!A89</f>
        <v>CURRENT MAX</v>
      </c>
      <c r="B89" s="94">
        <f>'WEEK 5 MASTER SHEET'!B89</f>
        <v>95</v>
      </c>
      <c r="C89" s="20"/>
      <c r="D89" s="20"/>
      <c r="E89" s="20"/>
      <c r="F89" s="95"/>
      <c r="G89" s="103"/>
      <c r="H89" s="871" t="str">
        <f>'WEEK 5 MASTER SHEET'!H89</f>
        <v>CURRENT MAX</v>
      </c>
      <c r="I89" s="94">
        <f>'WEEK 5 MASTER SHEET'!I89</f>
        <v>80</v>
      </c>
      <c r="J89" s="20"/>
      <c r="K89" s="20"/>
      <c r="L89" s="20"/>
      <c r="M89" s="21"/>
      <c r="N89" s="498"/>
    </row>
    <row r="90">
      <c r="A90" s="96" t="str">
        <f>'WEEK 5 MASTER SHEET'!A90</f>
        <v>SET</v>
      </c>
      <c r="B90" s="97" t="str">
        <f>'WEEK 5 MASTER SHEET'!B90</f>
        <v>WEIGHT</v>
      </c>
      <c r="C90" s="97" t="str">
        <f>'WEEK 5 MASTER SHEET'!C90</f>
        <v>REPS</v>
      </c>
      <c r="D90" s="97" t="str">
        <f>'WEEK 5 MASTER SHEET'!D90</f>
        <v>REST</v>
      </c>
      <c r="E90" s="98" t="str">
        <f>'WEEK 5 MASTER SHEET'!E90</f>
        <v>PREVIOUS</v>
      </c>
      <c r="F90" s="235" t="str">
        <f>'WEEK 5 MASTER SHEET'!F90</f>
        <v>REP LOG</v>
      </c>
      <c r="G90" s="234" t="str">
        <f>'WEEK 5 MASTER SHEET'!G90</f>
        <v/>
      </c>
      <c r="H90" s="97" t="str">
        <f>'WEEK 5 MASTER SHEET'!H90</f>
        <v>SET</v>
      </c>
      <c r="I90" s="97" t="str">
        <f>'WEEK 5 MASTER SHEET'!I90</f>
        <v>WEIGHT</v>
      </c>
      <c r="J90" s="97" t="str">
        <f>'WEEK 5 MASTER SHEET'!J90</f>
        <v>REPS</v>
      </c>
      <c r="K90" s="97" t="str">
        <f>'WEEK 5 MASTER SHEET'!K90</f>
        <v>REST</v>
      </c>
      <c r="L90" s="98" t="str">
        <f>'WEEK 5 MASTER SHEET'!L90</f>
        <v>PREVIOUS</v>
      </c>
      <c r="M90" s="954" t="str">
        <f>'WEEK 5 MASTER SHEET'!M90</f>
        <v>REP LOG</v>
      </c>
      <c r="N90" s="498"/>
    </row>
    <row r="91">
      <c r="A91" s="62">
        <f>'WEEK 5 MASTER SHEET'!A91</f>
        <v>1</v>
      </c>
      <c r="B91" s="99">
        <f>'WEEK 5 MASTER SHEET'!B91</f>
        <v>95</v>
      </c>
      <c r="C91" s="64">
        <f>'WEEK 5 MASTER SHEET'!C91</f>
        <v>20</v>
      </c>
      <c r="D91" s="83" t="str">
        <f>'WEEK 5 MASTER SHEET'!D91</f>
        <v>1 MIN</v>
      </c>
      <c r="E91" s="100" t="str">
        <f>'WEEK 5 MASTER SHEET'!E91</f>
        <v/>
      </c>
      <c r="F91" s="67"/>
      <c r="G91" s="324" t="str">
        <f>'WEEK 5 MASTER SHEET'!G91</f>
        <v>ALTERNATE</v>
      </c>
      <c r="H91" s="955">
        <f>'WEEK 5 MASTER SHEET'!H91</f>
        <v>1</v>
      </c>
      <c r="I91" s="99">
        <f>'WEEK 5 MASTER SHEET'!I91</f>
        <v>80</v>
      </c>
      <c r="J91" s="64">
        <f>'WEEK 5 MASTER SHEET'!J91</f>
        <v>20</v>
      </c>
      <c r="K91" s="83" t="str">
        <f>'WEEK 5 MASTER SHEET'!K91</f>
        <v>1 MIN</v>
      </c>
      <c r="L91" s="100" t="str">
        <f>'WEEK 5 MASTER SHEET'!L91</f>
        <v/>
      </c>
      <c r="M91" s="956"/>
      <c r="N91" s="498"/>
    </row>
    <row r="92">
      <c r="A92" s="62">
        <f>'WEEK 5 MASTER SHEET'!A92</f>
        <v>2</v>
      </c>
      <c r="B92" s="99">
        <f>'WEEK 5 MASTER SHEET'!B92</f>
        <v>75</v>
      </c>
      <c r="C92" s="64">
        <f>'WEEK 5 MASTER SHEET'!C92</f>
        <v>20</v>
      </c>
      <c r="D92" s="83" t="str">
        <f>'WEEK 5 MASTER SHEET'!D92</f>
        <v>1 MIN</v>
      </c>
      <c r="E92" s="100" t="str">
        <f>'WEEK 5 MASTER SHEET'!E92</f>
        <v/>
      </c>
      <c r="F92" s="67"/>
      <c r="H92" s="955">
        <f>'WEEK 5 MASTER SHEET'!H92</f>
        <v>2</v>
      </c>
      <c r="I92" s="99">
        <f>'WEEK 5 MASTER SHEET'!I92</f>
        <v>65</v>
      </c>
      <c r="J92" s="64">
        <f>'WEEK 5 MASTER SHEET'!J92</f>
        <v>20</v>
      </c>
      <c r="K92" s="83" t="str">
        <f>'WEEK 5 MASTER SHEET'!K92</f>
        <v>1 MIN</v>
      </c>
      <c r="L92" s="100" t="str">
        <f>'WEEK 5 MASTER SHEET'!L92</f>
        <v/>
      </c>
      <c r="M92" s="956"/>
      <c r="N92" s="498"/>
    </row>
    <row r="93">
      <c r="A93" s="325">
        <f>'WEEK 5 MASTER SHEET'!A93</f>
        <v>3</v>
      </c>
      <c r="B93" s="326">
        <f>'WEEK 5 MASTER SHEET'!B93</f>
        <v>60</v>
      </c>
      <c r="C93" s="957">
        <f>'WEEK 5 MASTER SHEET'!C93</f>
        <v>20</v>
      </c>
      <c r="D93" s="328" t="str">
        <f>'WEEK 5 MASTER SHEET'!D93</f>
        <v>1 MIN</v>
      </c>
      <c r="E93" s="329" t="str">
        <f>'WEEK 5 MASTER SHEET'!E93</f>
        <v/>
      </c>
      <c r="F93" s="67"/>
      <c r="G93" s="103" t="str">
        <f>'WEEK 5 MASTER SHEET'!G93</f>
        <v/>
      </c>
      <c r="H93" s="955">
        <f>'WEEK 5 MASTER SHEET'!H93</f>
        <v>3</v>
      </c>
      <c r="I93" s="99">
        <f>'WEEK 5 MASTER SHEET'!I93</f>
        <v>50</v>
      </c>
      <c r="J93" s="64">
        <f>'WEEK 5 MASTER SHEET'!J93</f>
        <v>20</v>
      </c>
      <c r="K93" s="83" t="str">
        <f>'WEEK 5 MASTER SHEET'!K93</f>
        <v>1 MIN</v>
      </c>
      <c r="L93" s="100" t="str">
        <f>'WEEK 5 MASTER SHEET'!L93</f>
        <v/>
      </c>
      <c r="M93" s="958"/>
      <c r="N93" s="498"/>
    </row>
    <row r="94">
      <c r="A94" s="331" t="str">
        <f>'WEEK 5 MASTER SHEET'!A94</f>
        <v/>
      </c>
      <c r="B94" s="331" t="str">
        <f>'WEEK 5 MASTER SHEET'!B94</f>
        <v/>
      </c>
      <c r="C94" s="331" t="str">
        <f>'WEEK 5 MASTER SHEET'!C94</f>
        <v/>
      </c>
      <c r="D94" s="331" t="str">
        <f>'WEEK 5 MASTER SHEET'!D94</f>
        <v/>
      </c>
      <c r="E94" s="331" t="str">
        <f>'WEEK 5 MASTER SHEET'!E94</f>
        <v/>
      </c>
      <c r="F94" s="331" t="str">
        <f>'WEEK 5 MASTER SHEET'!F94</f>
        <v/>
      </c>
      <c r="G94" s="239" t="str">
        <f>'WEEK 5 MASTER SHEET'!G94</f>
        <v/>
      </c>
    </row>
    <row r="95">
      <c r="A95" t="str">
        <f>'WEEK 5 MASTER SHEET'!A95</f>
        <v/>
      </c>
      <c r="B95" t="str">
        <f>'WEEK 5 MASTER SHEET'!B95</f>
        <v/>
      </c>
      <c r="C95" t="str">
        <f>'WEEK 5 MASTER SHEET'!C95</f>
        <v/>
      </c>
      <c r="D95" t="str">
        <f>'WEEK 5 MASTER SHEET'!D95</f>
        <v/>
      </c>
      <c r="E95" t="str">
        <f>'WEEK 5 MASTER SHEET'!E95</f>
        <v/>
      </c>
      <c r="F95" t="str">
        <f>'WEEK 5 MASTER SHEET'!F95</f>
        <v/>
      </c>
    </row>
    <row r="96">
      <c r="A96" s="959" t="str">
        <f>'WEEK 5 MASTER SHEET'!A96</f>
        <v>2. MACHINE SQUAT</v>
      </c>
      <c r="B96" s="53"/>
      <c r="C96" s="53"/>
      <c r="D96" s="53"/>
      <c r="E96" s="53"/>
      <c r="F96" s="54"/>
    </row>
    <row r="97">
      <c r="A97" s="670" t="str">
        <f>'WEEK 5 MASTER SHEET'!A97</f>
        <v>CURRENT MAX</v>
      </c>
      <c r="B97" s="671">
        <f>'WEEK 5 MASTER SHEET'!B97</f>
        <v>100</v>
      </c>
      <c r="C97" s="36"/>
      <c r="D97" s="36"/>
      <c r="E97" s="36"/>
      <c r="F97" s="37"/>
    </row>
    <row r="98">
      <c r="A98" s="96" t="str">
        <f>'WEEK 5 MASTER SHEET'!A98</f>
        <v>SET</v>
      </c>
      <c r="B98" s="672" t="str">
        <f>'WEEK 5 MASTER SHEET'!B98</f>
        <v>WEIGHT</v>
      </c>
      <c r="C98" s="672" t="str">
        <f>'WEEK 5 MASTER SHEET'!C98</f>
        <v>REPS</v>
      </c>
      <c r="D98" s="672" t="str">
        <f>'WEEK 5 MASTER SHEET'!D98</f>
        <v>REST</v>
      </c>
      <c r="E98" s="673" t="str">
        <f>'WEEK 5 MASTER SHEET'!E98</f>
        <v>PREVIOUS</v>
      </c>
      <c r="F98" s="235" t="str">
        <f>'WEEK 5 MASTER SHEET'!F98</f>
        <v>REP LOG</v>
      </c>
    </row>
    <row r="99">
      <c r="A99" s="342">
        <f>'WEEK 5 MASTER SHEET'!A99</f>
        <v>1</v>
      </c>
      <c r="B99" s="674">
        <f>'WEEK 5 MASTER SHEET'!B99</f>
        <v>50</v>
      </c>
      <c r="C99" s="675">
        <f>'WEEK 5 MASTER SHEET'!C99</f>
        <v>10</v>
      </c>
      <c r="D99" s="350" t="str">
        <f>'WEEK 5 MASTER SHEET'!D99</f>
        <v>1-5 MIN</v>
      </c>
      <c r="E99" s="84" t="str">
        <f>'WEEK 5 MASTER SHEET'!E99</f>
        <v/>
      </c>
      <c r="F99" s="67"/>
    </row>
    <row r="100">
      <c r="A100" s="342">
        <f>'WEEK 5 MASTER SHEET'!A100</f>
        <v>2</v>
      </c>
      <c r="B100" s="674">
        <f>'WEEK 5 MASTER SHEET'!B100</f>
        <v>65</v>
      </c>
      <c r="C100" s="675">
        <f>'WEEK 5 MASTER SHEET'!C100</f>
        <v>10</v>
      </c>
      <c r="D100" s="350" t="str">
        <f>'WEEK 5 MASTER SHEET'!D100</f>
        <v>1-5 MIN</v>
      </c>
      <c r="E100" s="84" t="str">
        <f>'WEEK 5 MASTER SHEET'!E100</f>
        <v/>
      </c>
      <c r="F100" s="67"/>
    </row>
    <row r="101">
      <c r="A101" s="342">
        <f>'WEEK 5 MASTER SHEET'!A101</f>
        <v>3</v>
      </c>
      <c r="B101" s="674">
        <f>'WEEK 5 MASTER SHEET'!B101</f>
        <v>80</v>
      </c>
      <c r="C101" s="675">
        <f>'WEEK 5 MASTER SHEET'!C101</f>
        <v>10</v>
      </c>
      <c r="D101" s="350" t="str">
        <f>'WEEK 5 MASTER SHEET'!D101</f>
        <v>1-5 MIN</v>
      </c>
      <c r="E101" s="84">
        <f>'WEEK 5 MASTER SHEET'!E101</f>
        <v>5</v>
      </c>
      <c r="F101" s="67"/>
    </row>
    <row r="102">
      <c r="A102" s="342">
        <f>'WEEK 5 MASTER SHEET'!A102</f>
        <v>4</v>
      </c>
      <c r="B102" s="99">
        <f>'WEEK 5 MASTER SHEET'!B102</f>
        <v>95</v>
      </c>
      <c r="C102" s="675">
        <f>'WEEK 5 MASTER SHEET'!C102</f>
        <v>10</v>
      </c>
      <c r="D102" s="350" t="str">
        <f>'WEEK 5 MASTER SHEET'!D102</f>
        <v>1-5 MIN</v>
      </c>
      <c r="E102" s="84">
        <f>'WEEK 5 MASTER SHEET'!E102</f>
        <v>12</v>
      </c>
      <c r="F102" s="85"/>
    </row>
    <row r="103">
      <c r="A103" s="342">
        <f>'WEEK 5 MASTER SHEET'!A103</f>
        <v>5</v>
      </c>
      <c r="B103" s="170">
        <f>'WEEK 5 MASTER SHEET'!B103</f>
        <v>105</v>
      </c>
      <c r="C103" s="343">
        <f>'WEEK 5 MASTER SHEET'!C103</f>
        <v>10</v>
      </c>
      <c r="D103" s="350" t="str">
        <f>'WEEK 5 MASTER SHEET'!D103</f>
        <v>1-5 MIN</v>
      </c>
      <c r="E103" s="84" t="str">
        <f>'WEEK 5 MASTER SHEET'!E103</f>
        <v/>
      </c>
      <c r="F103" s="85"/>
    </row>
    <row r="104">
      <c r="A104" s="272" t="str">
        <f>'WEEK 5 MASTER SHEET'!A104</f>
        <v>FINAL MAX</v>
      </c>
      <c r="B104" s="332">
        <f>'WEEK 5 MASTER SHEET'!B104</f>
        <v>100</v>
      </c>
      <c r="C104" s="33"/>
      <c r="D104" s="33"/>
      <c r="E104" s="33"/>
      <c r="F104" s="34"/>
    </row>
    <row r="106">
      <c r="A106" s="310" t="str">
        <f>'WEEK 5 MASTER SHEET'!A106</f>
        <v>CLICK TO COMPLETE WORKOUT</v>
      </c>
      <c r="B106" s="36"/>
      <c r="C106" s="36"/>
      <c r="D106" s="36"/>
      <c r="E106" s="36"/>
      <c r="F106" s="37"/>
    </row>
    <row r="107">
      <c r="A107" t="str">
        <f>'WEEK 5 MASTER SHEET'!A107</f>
        <v/>
      </c>
      <c r="B107" t="str">
        <f>'WEEK 5 MASTER SHEET'!B107</f>
        <v/>
      </c>
      <c r="C107" t="str">
        <f>'WEEK 5 MASTER SHEET'!C107</f>
        <v/>
      </c>
      <c r="D107" t="str">
        <f>'WEEK 5 MASTER SHEET'!D107</f>
        <v/>
      </c>
      <c r="E107" t="str">
        <f>'WEEK 5 MASTER SHEET'!E107</f>
        <v/>
      </c>
      <c r="F107" t="str">
        <f>'WEEK 5 MASTER SHEET'!F107</f>
        <v/>
      </c>
    </row>
    <row r="108">
      <c r="A108" s="602" t="str">
        <f>'WEEK 5 MASTER SHEET'!A108</f>
        <v>DAY 3</v>
      </c>
      <c r="B108" s="36"/>
      <c r="C108" s="36"/>
      <c r="D108" s="36"/>
      <c r="E108" s="36"/>
      <c r="F108" s="37"/>
    </row>
    <row r="109">
      <c r="A109" t="str">
        <f>'WEEK 5 MASTER SHEET'!A109</f>
        <v/>
      </c>
      <c r="B109" t="str">
        <f>'WEEK 5 MASTER SHEET'!B109</f>
        <v/>
      </c>
      <c r="C109" t="str">
        <f>'WEEK 5 MASTER SHEET'!C109</f>
        <v/>
      </c>
      <c r="D109" t="str">
        <f>'WEEK 5 MASTER SHEET'!D109</f>
        <v/>
      </c>
      <c r="E109" t="str">
        <f>'WEEK 5 MASTER SHEET'!E109</f>
        <v/>
      </c>
      <c r="F109" t="str">
        <f>'WEEK 5 MASTER SHEET'!F109</f>
        <v/>
      </c>
    </row>
    <row r="110">
      <c r="A110" s="960" t="str">
        <f>'WEEK 5 MASTER SHEET'!A110</f>
        <v>1. SHOULDER CLEANS</v>
      </c>
      <c r="B110" s="53"/>
      <c r="C110" s="53"/>
      <c r="D110" s="53"/>
      <c r="E110" s="53"/>
      <c r="F110" s="54"/>
    </row>
    <row r="111">
      <c r="A111" s="961" t="str">
        <f>'WEEK 5 MASTER SHEET'!A111</f>
        <v>CURRENT MAX</v>
      </c>
      <c r="B111" s="76">
        <f>'WEEK 5 MASTER SHEET'!B111</f>
        <v>80</v>
      </c>
      <c r="C111" s="13"/>
      <c r="D111" s="13"/>
      <c r="E111" s="13"/>
      <c r="F111" s="57"/>
    </row>
    <row r="112">
      <c r="A112" s="962" t="str">
        <f>'WEEK 5 MASTER SHEET'!A112</f>
        <v>SET</v>
      </c>
      <c r="B112" s="963" t="str">
        <f>'WEEK 5 MASTER SHEET'!B112</f>
        <v>WEIGHT</v>
      </c>
      <c r="C112" s="963" t="str">
        <f>'WEEK 5 MASTER SHEET'!C112</f>
        <v>REPS</v>
      </c>
      <c r="D112" s="964" t="str">
        <f>'WEEK 5 MASTER SHEET'!D112</f>
        <v>REST</v>
      </c>
      <c r="E112" s="965" t="str">
        <f>'WEEK 5 MASTER SHEET'!E112</f>
        <v>PREVIOUS</v>
      </c>
      <c r="F112" s="966" t="str">
        <f>'WEEK 5 MASTER SHEET'!F112</f>
        <v>REP LOG</v>
      </c>
    </row>
    <row r="113">
      <c r="A113" s="967">
        <f>'WEEK 5 MASTER SHEET'!A113</f>
        <v>1</v>
      </c>
      <c r="B113" s="968">
        <f>'WEEK 5 MASTER SHEET'!B113</f>
        <v>80</v>
      </c>
      <c r="C113" s="968">
        <f>'WEEK 5 MASTER SHEET'!C113</f>
        <v>20</v>
      </c>
      <c r="D113" s="969" t="str">
        <f>'WEEK 5 MASTER SHEET'!D113</f>
        <v>1 MIN</v>
      </c>
      <c r="E113" s="970" t="str">
        <f>'WEEK 5 MASTER SHEET'!E113</f>
        <v/>
      </c>
      <c r="F113" s="67"/>
    </row>
    <row r="114">
      <c r="A114" s="967">
        <f>'WEEK 5 MASTER SHEET'!A114</f>
        <v>2</v>
      </c>
      <c r="B114" s="968">
        <f>'WEEK 5 MASTER SHEET'!B114</f>
        <v>60</v>
      </c>
      <c r="C114" s="968">
        <f>'WEEK 5 MASTER SHEET'!C114</f>
        <v>20</v>
      </c>
      <c r="D114" s="969" t="str">
        <f>'WEEK 5 MASTER SHEET'!D114</f>
        <v>1 MIN</v>
      </c>
      <c r="E114" s="970" t="str">
        <f>'WEEK 5 MASTER SHEET'!E114</f>
        <v/>
      </c>
      <c r="F114" s="67"/>
    </row>
    <row r="115">
      <c r="A115" s="971">
        <f>'WEEK 5 MASTER SHEET'!A115</f>
        <v>3</v>
      </c>
      <c r="B115" s="972">
        <f>'WEEK 5 MASTER SHEET'!B115</f>
        <v>35</v>
      </c>
      <c r="C115" s="972">
        <f>'WEEK 5 MASTER SHEET'!C115</f>
        <v>20</v>
      </c>
      <c r="D115" s="973" t="str">
        <f>'WEEK 5 MASTER SHEET'!D115</f>
        <v>1 MIN</v>
      </c>
      <c r="E115" s="974" t="str">
        <f>'WEEK 5 MASTER SHEET'!E115</f>
        <v/>
      </c>
      <c r="F115" s="67"/>
    </row>
    <row r="116">
      <c r="A116" t="str">
        <f>'WEEK 5 MASTER SHEET'!A116</f>
        <v/>
      </c>
      <c r="B116" t="str">
        <f>'WEEK 5 MASTER SHEET'!B116</f>
        <v/>
      </c>
      <c r="C116" t="str">
        <f>'WEEK 5 MASTER SHEET'!C116</f>
        <v/>
      </c>
      <c r="D116" t="str">
        <f>'WEEK 5 MASTER SHEET'!D116</f>
        <v/>
      </c>
      <c r="E116" t="str">
        <f>'WEEK 5 MASTER SHEET'!E116</f>
        <v/>
      </c>
      <c r="F116" t="str">
        <f>'WEEK 5 MASTER SHEET'!F116</f>
        <v/>
      </c>
    </row>
    <row r="117">
      <c r="A117" s="361" t="str">
        <f>'WEEK 5 MASTER SHEET'!A117</f>
        <v>2.  CABLE HIGH PULLEY ROW</v>
      </c>
      <c r="B117" s="53"/>
      <c r="C117" s="53"/>
      <c r="D117" s="53"/>
      <c r="E117" s="53"/>
      <c r="F117" s="54"/>
    </row>
    <row r="118">
      <c r="A118" s="226" t="str">
        <f>'WEEK 5 MASTER SHEET'!A118</f>
        <v>SHLDR PRSS MAX</v>
      </c>
      <c r="B118" s="90">
        <f>'WEEK 5 MASTER SHEET'!B118</f>
        <v>85</v>
      </c>
      <c r="C118" s="13"/>
      <c r="D118" s="13"/>
      <c r="E118" s="13"/>
      <c r="F118" s="57"/>
    </row>
    <row r="119">
      <c r="A119" s="77" t="str">
        <f>'WEEK 5 MASTER SHEET'!A119</f>
        <v>SET</v>
      </c>
      <c r="B119" s="78" t="str">
        <f>'WEEK 5 MASTER SHEET'!B119</f>
        <v>WEIGHT</v>
      </c>
      <c r="C119" s="78" t="str">
        <f>'WEEK 5 MASTER SHEET'!C119</f>
        <v>REPS</v>
      </c>
      <c r="D119" s="78" t="str">
        <f>'WEEK 5 MASTER SHEET'!D119</f>
        <v>REST</v>
      </c>
      <c r="E119" s="80" t="str">
        <f>'WEEK 5 MASTER SHEET'!E119</f>
        <v>PREVIOUS</v>
      </c>
      <c r="F119" s="235" t="str">
        <f>'WEEK 5 MASTER SHEET'!F119</f>
        <v>REP LOG</v>
      </c>
    </row>
    <row r="120">
      <c r="A120" s="81">
        <f>'WEEK 5 MASTER SHEET'!A120</f>
        <v>1</v>
      </c>
      <c r="B120" s="82">
        <f>'WEEK 5 MASTER SHEET'!B120</f>
        <v>120</v>
      </c>
      <c r="C120" s="65">
        <f>'WEEK 5 MASTER SHEET'!C120</f>
        <v>20</v>
      </c>
      <c r="D120" s="83" t="str">
        <f>'WEEK 5 MASTER SHEET'!D120</f>
        <v>1MIN</v>
      </c>
      <c r="E120" s="84" t="str">
        <f>'WEEK 5 MASTER SHEET'!E120</f>
        <v/>
      </c>
      <c r="F120" s="67"/>
    </row>
    <row r="121">
      <c r="A121" s="81">
        <f>'WEEK 5 MASTER SHEET'!A121</f>
        <v>2</v>
      </c>
      <c r="B121" s="82">
        <f>'WEEK 5 MASTER SHEET'!B121</f>
        <v>95</v>
      </c>
      <c r="C121" s="65">
        <f>'WEEK 5 MASTER SHEET'!C121</f>
        <v>20</v>
      </c>
      <c r="D121" s="83" t="str">
        <f>'WEEK 5 MASTER SHEET'!D121</f>
        <v>1MIN</v>
      </c>
      <c r="E121" s="84" t="str">
        <f>'WEEK 5 MASTER SHEET'!E121</f>
        <v/>
      </c>
      <c r="F121" s="67"/>
    </row>
    <row r="122">
      <c r="A122" s="86">
        <f>'WEEK 5 MASTER SHEET'!A122</f>
        <v>3</v>
      </c>
      <c r="B122" s="87">
        <f>'WEEK 5 MASTER SHEET'!B122</f>
        <v>75</v>
      </c>
      <c r="C122" s="71">
        <f>'WEEK 5 MASTER SHEET'!C122</f>
        <v>20</v>
      </c>
      <c r="D122" s="88" t="str">
        <f>'WEEK 5 MASTER SHEET'!D122</f>
        <v>1MIN</v>
      </c>
      <c r="E122" s="89" t="str">
        <f>'WEEK 5 MASTER SHEET'!E122</f>
        <v/>
      </c>
      <c r="F122" s="67"/>
    </row>
    <row r="123">
      <c r="A123" t="str">
        <f>'WEEK 5 MASTER SHEET'!A123</f>
        <v/>
      </c>
      <c r="B123" t="str">
        <f>'WEEK 5 MASTER SHEET'!B123</f>
        <v/>
      </c>
      <c r="C123" t="str">
        <f>'WEEK 5 MASTER SHEET'!C123</f>
        <v/>
      </c>
      <c r="D123" t="str">
        <f>'WEEK 5 MASTER SHEET'!D123</f>
        <v/>
      </c>
      <c r="E123" t="str">
        <f>'WEEK 5 MASTER SHEET'!E123</f>
        <v/>
      </c>
      <c r="F123" t="str">
        <f>'WEEK 5 MASTER SHEET'!F123</f>
        <v/>
      </c>
    </row>
    <row r="124">
      <c r="A124" s="513" t="str">
        <f>'WEEK 5 MASTER SHEET'!A124</f>
        <v>3. DUMBBELL SIDE LATERAL RAISE</v>
      </c>
      <c r="B124" s="53"/>
      <c r="C124" s="53"/>
      <c r="D124" s="53"/>
      <c r="E124" s="53"/>
      <c r="F124" s="54"/>
    </row>
    <row r="125">
      <c r="A125" s="226" t="str">
        <f>'WEEK 5 MASTER SHEET'!A125</f>
        <v>SHLDR PRSS MAX</v>
      </c>
      <c r="B125" s="90">
        <f>'WEEK 5 MASTER SHEET'!B125</f>
        <v>85</v>
      </c>
      <c r="C125" s="13"/>
      <c r="D125" s="13"/>
      <c r="E125" s="13"/>
      <c r="F125" s="57"/>
    </row>
    <row r="126">
      <c r="A126" s="376" t="str">
        <f>'WEEK 5 MASTER SHEET'!A126</f>
        <v>SET</v>
      </c>
      <c r="B126" s="79" t="str">
        <f>'WEEK 5 MASTER SHEET'!B126</f>
        <v>WEIGHT</v>
      </c>
      <c r="C126" s="79" t="str">
        <f>'WEEK 5 MASTER SHEET'!C126</f>
        <v>REPS</v>
      </c>
      <c r="D126" s="79" t="str">
        <f>'WEEK 5 MASTER SHEET'!D126</f>
        <v>REST</v>
      </c>
      <c r="E126" s="98" t="str">
        <f>'WEEK 5 MASTER SHEET'!E126</f>
        <v>PREVIOUS</v>
      </c>
      <c r="F126" s="377" t="str">
        <f>'WEEK 5 MASTER SHEET'!F126</f>
        <v>REP LOG</v>
      </c>
    </row>
    <row r="127">
      <c r="A127" s="81">
        <f>'WEEK 5 MASTER SHEET'!A127</f>
        <v>1</v>
      </c>
      <c r="B127" s="82">
        <f>'WEEK 5 MASTER SHEET'!B127</f>
        <v>15</v>
      </c>
      <c r="C127" s="65">
        <f>'WEEK 5 MASTER SHEET'!C127</f>
        <v>20</v>
      </c>
      <c r="D127" s="83" t="str">
        <f>'WEEK 5 MASTER SHEET'!D127</f>
        <v>1 MIN</v>
      </c>
      <c r="E127" s="378" t="str">
        <f>'WEEK 5 MASTER SHEET'!E127</f>
        <v/>
      </c>
      <c r="F127" s="67"/>
    </row>
    <row r="128">
      <c r="A128" s="81">
        <f>'WEEK 5 MASTER SHEET'!A128</f>
        <v>2</v>
      </c>
      <c r="B128" s="82">
        <f>'WEEK 5 MASTER SHEET'!B128</f>
        <v>12.5</v>
      </c>
      <c r="C128" s="65">
        <f>'WEEK 5 MASTER SHEET'!C128</f>
        <v>20</v>
      </c>
      <c r="D128" s="83" t="str">
        <f>'WEEK 5 MASTER SHEET'!D128</f>
        <v>1 MIN</v>
      </c>
      <c r="E128" s="378" t="str">
        <f>'WEEK 5 MASTER SHEET'!E128</f>
        <v/>
      </c>
      <c r="F128" s="67"/>
    </row>
    <row r="129">
      <c r="A129" s="86">
        <f>'WEEK 5 MASTER SHEET'!A129</f>
        <v>3</v>
      </c>
      <c r="B129" s="87">
        <f>'WEEK 5 MASTER SHEET'!B129</f>
        <v>7.5</v>
      </c>
      <c r="C129" s="71">
        <f>'WEEK 5 MASTER SHEET'!C129</f>
        <v>20</v>
      </c>
      <c r="D129" s="88" t="str">
        <f>'WEEK 5 MASTER SHEET'!D129</f>
        <v>1 MIN</v>
      </c>
      <c r="E129" s="379" t="str">
        <f>'WEEK 5 MASTER SHEET'!E129</f>
        <v/>
      </c>
      <c r="F129" s="67"/>
    </row>
    <row r="130">
      <c r="A130" t="str">
        <f>'WEEK 5 MASTER SHEET'!A130</f>
        <v/>
      </c>
      <c r="B130" t="str">
        <f>'WEEK 5 MASTER SHEET'!B130</f>
        <v/>
      </c>
      <c r="C130" t="str">
        <f>'WEEK 5 MASTER SHEET'!C130</f>
        <v/>
      </c>
      <c r="D130" t="str">
        <f>'WEEK 5 MASTER SHEET'!D130</f>
        <v/>
      </c>
      <c r="E130" t="str">
        <f>'WEEK 5 MASTER SHEET'!E130</f>
        <v/>
      </c>
      <c r="F130" t="str">
        <f>'WEEK 5 MASTER SHEET'!F130</f>
        <v/>
      </c>
    </row>
    <row r="131">
      <c r="A131" s="73" t="str">
        <f>'WEEK 5 MASTER SHEET'!A131</f>
        <v>4. TRICEP PUSH DOWNS</v>
      </c>
      <c r="B131" s="53"/>
      <c r="C131" s="53"/>
      <c r="D131" s="53"/>
      <c r="E131" s="53"/>
      <c r="F131" s="54"/>
    </row>
    <row r="132">
      <c r="A132" s="226" t="str">
        <f>'WEEK 5 MASTER SHEET'!A132</f>
        <v>CURRENT MAX</v>
      </c>
      <c r="B132" s="90">
        <f>'WEEK 5 MASTER SHEET'!B132</f>
        <v>65</v>
      </c>
      <c r="C132" s="13"/>
      <c r="D132" s="13"/>
      <c r="E132" s="13"/>
      <c r="F132" s="57"/>
    </row>
    <row r="133">
      <c r="A133" s="77" t="str">
        <f>'WEEK 5 MASTER SHEET'!A133</f>
        <v>SET</v>
      </c>
      <c r="B133" s="78" t="str">
        <f>'WEEK 5 MASTER SHEET'!B133</f>
        <v>WEIGHT</v>
      </c>
      <c r="C133" s="78" t="str">
        <f>'WEEK 5 MASTER SHEET'!C133</f>
        <v>REPS</v>
      </c>
      <c r="D133" s="78" t="str">
        <f>'WEEK 5 MASTER SHEET'!D133</f>
        <v>REST</v>
      </c>
      <c r="E133" s="80" t="str">
        <f>'WEEK 5 MASTER SHEET'!E133</f>
        <v>PREVIOUS</v>
      </c>
      <c r="F133" s="235" t="str">
        <f>'WEEK 5 MASTER SHEET'!F133</f>
        <v>REP LOG</v>
      </c>
    </row>
    <row r="134">
      <c r="A134" s="81">
        <f>'WEEK 5 MASTER SHEET'!A134</f>
        <v>1</v>
      </c>
      <c r="B134" s="82">
        <f>'WEEK 5 MASTER SHEET'!B134</f>
        <v>65</v>
      </c>
      <c r="C134" s="65">
        <f>'WEEK 5 MASTER SHEET'!C134</f>
        <v>20</v>
      </c>
      <c r="D134" s="83" t="str">
        <f>'WEEK 5 MASTER SHEET'!D134</f>
        <v>1MIN</v>
      </c>
      <c r="E134" s="84" t="str">
        <f>'WEEK 5 MASTER SHEET'!E134</f>
        <v/>
      </c>
      <c r="F134" s="85"/>
    </row>
    <row r="135">
      <c r="A135" s="81">
        <f>'WEEK 5 MASTER SHEET'!A135</f>
        <v>2</v>
      </c>
      <c r="B135" s="82">
        <f>'WEEK 5 MASTER SHEET'!B135</f>
        <v>50</v>
      </c>
      <c r="C135" s="65">
        <f>'WEEK 5 MASTER SHEET'!C135</f>
        <v>20</v>
      </c>
      <c r="D135" s="83" t="str">
        <f>'WEEK 5 MASTER SHEET'!D135</f>
        <v>1MIN</v>
      </c>
      <c r="E135" s="84" t="str">
        <f>'WEEK 5 MASTER SHEET'!E135</f>
        <v/>
      </c>
      <c r="F135" s="85"/>
    </row>
    <row r="136">
      <c r="A136" s="86">
        <f>'WEEK 5 MASTER SHEET'!A136</f>
        <v>3</v>
      </c>
      <c r="B136" s="87">
        <f>'WEEK 5 MASTER SHEET'!B136</f>
        <v>40</v>
      </c>
      <c r="C136" s="71">
        <f>'WEEK 5 MASTER SHEET'!C136</f>
        <v>20</v>
      </c>
      <c r="D136" s="88" t="str">
        <f>'WEEK 5 MASTER SHEET'!D136</f>
        <v>1MIN</v>
      </c>
      <c r="E136" s="89" t="str">
        <f>'WEEK 5 MASTER SHEET'!E136</f>
        <v/>
      </c>
      <c r="F136" s="85"/>
    </row>
    <row r="137">
      <c r="A137" t="str">
        <f>'WEEK 5 MASTER SHEET'!A137</f>
        <v/>
      </c>
    </row>
    <row r="139">
      <c r="A139" s="975" t="str">
        <f>'WEEK 5 MASTER SHEET'!A139</f>
        <v>5. BICEP CABLE CURL</v>
      </c>
      <c r="B139" s="20"/>
      <c r="C139" s="20"/>
      <c r="D139" s="20"/>
      <c r="E139" s="20"/>
      <c r="F139" s="21"/>
      <c r="G139" s="976"/>
      <c r="H139" s="977" t="str">
        <f>'WEEK 5 MASTER SHEET'!H139</f>
        <v>4. BICEP BAR CURL</v>
      </c>
      <c r="I139" s="20"/>
      <c r="J139" s="20"/>
      <c r="K139" s="20"/>
      <c r="L139" s="20"/>
      <c r="M139" s="21"/>
      <c r="N139" s="7"/>
    </row>
    <row r="140">
      <c r="A140" s="871" t="str">
        <f>'WEEK 5 MASTER SHEET'!A140</f>
        <v>CURRENT MAX</v>
      </c>
      <c r="B140" s="76">
        <f>'WEEK 5 MASTER SHEET'!B140</f>
        <v>30</v>
      </c>
      <c r="C140" s="13"/>
      <c r="D140" s="13"/>
      <c r="E140" s="13"/>
      <c r="F140" s="14"/>
      <c r="H140" s="871" t="str">
        <f>'WEEK 5 MASTER SHEET'!H140</f>
        <v>CURRENT MAX</v>
      </c>
      <c r="I140" s="76" t="str">
        <f>'WEEK 5 MASTER SHEET'!I140</f>
        <v/>
      </c>
      <c r="J140" s="13"/>
      <c r="K140" s="13"/>
      <c r="L140" s="13"/>
      <c r="M140" s="14"/>
    </row>
    <row r="141">
      <c r="A141" s="78" t="str">
        <f>'WEEK 5 MASTER SHEET'!A141</f>
        <v>SET</v>
      </c>
      <c r="B141" s="78" t="str">
        <f>'WEEK 5 MASTER SHEET'!B141</f>
        <v>WEIGHT</v>
      </c>
      <c r="C141" s="78" t="str">
        <f>'WEEK 5 MASTER SHEET'!C141</f>
        <v>REPS</v>
      </c>
      <c r="D141" s="78" t="str">
        <f>'WEEK 5 MASTER SHEET'!D141</f>
        <v>REST</v>
      </c>
      <c r="E141" s="80" t="str">
        <f>'WEEK 5 MASTER SHEET'!E141</f>
        <v>PREVIOUS</v>
      </c>
      <c r="F141" s="954" t="str">
        <f>'WEEK 5 MASTER SHEET'!F141</f>
        <v>REP LOG</v>
      </c>
      <c r="H141" s="78" t="str">
        <f>'WEEK 5 MASTER SHEET'!H141</f>
        <v>SET</v>
      </c>
      <c r="I141" s="78" t="str">
        <f>'WEEK 5 MASTER SHEET'!I141</f>
        <v>WEIGHT</v>
      </c>
      <c r="J141" s="78" t="str">
        <f>'WEEK 5 MASTER SHEET'!J141</f>
        <v>REPS</v>
      </c>
      <c r="K141" s="78" t="str">
        <f>'WEEK 5 MASTER SHEET'!K141</f>
        <v>REST</v>
      </c>
      <c r="L141" s="80" t="str">
        <f>'WEEK 5 MASTER SHEET'!L141</f>
        <v>PREVIOUS</v>
      </c>
      <c r="M141" s="954" t="str">
        <f>'WEEK 5 MASTER SHEET'!M141</f>
        <v>REP LOG</v>
      </c>
    </row>
    <row r="142">
      <c r="A142" s="978">
        <f>'WEEK 5 MASTER SHEET'!A142</f>
        <v>1</v>
      </c>
      <c r="B142" s="82">
        <f>'WEEK 5 MASTER SHEET'!B142</f>
        <v>30</v>
      </c>
      <c r="C142" s="65">
        <f>'WEEK 5 MASTER SHEET'!C142</f>
        <v>20</v>
      </c>
      <c r="D142" s="83" t="str">
        <f>'WEEK 5 MASTER SHEET'!D142</f>
        <v>1MIN</v>
      </c>
      <c r="E142" s="84">
        <f>'WEEK 5 MASTER SHEET'!E142</f>
        <v>20</v>
      </c>
      <c r="F142" s="979"/>
      <c r="H142" s="978">
        <f>'WEEK 5 MASTER SHEET'!H142</f>
        <v>1</v>
      </c>
      <c r="I142" s="82">
        <f>'WEEK 5 MASTER SHEET'!I142</f>
        <v>0</v>
      </c>
      <c r="J142" s="65">
        <f>'WEEK 5 MASTER SHEET'!J142</f>
        <v>20</v>
      </c>
      <c r="K142" s="83" t="str">
        <f>'WEEK 5 MASTER SHEET'!K142</f>
        <v>1MIN</v>
      </c>
      <c r="L142" s="84" t="str">
        <f>'WEEK 5 MASTER SHEET'!L142</f>
        <v/>
      </c>
      <c r="M142" s="979"/>
    </row>
    <row r="143">
      <c r="A143" s="978">
        <f>'WEEK 5 MASTER SHEET'!A143</f>
        <v>2</v>
      </c>
      <c r="B143" s="82">
        <f>'WEEK 5 MASTER SHEET'!B143</f>
        <v>25</v>
      </c>
      <c r="C143" s="65">
        <f>'WEEK 5 MASTER SHEET'!C143</f>
        <v>20</v>
      </c>
      <c r="D143" s="83" t="str">
        <f>'WEEK 5 MASTER SHEET'!D143</f>
        <v>1MIN</v>
      </c>
      <c r="E143" s="84"/>
      <c r="F143" s="979"/>
      <c r="H143" s="978">
        <f>'WEEK 5 MASTER SHEET'!H143</f>
        <v>2</v>
      </c>
      <c r="I143" s="82">
        <f>'WEEK 5 MASTER SHEET'!I143</f>
        <v>0</v>
      </c>
      <c r="J143" s="65">
        <f>'WEEK 5 MASTER SHEET'!J143</f>
        <v>20</v>
      </c>
      <c r="K143" s="83" t="str">
        <f>'WEEK 5 MASTER SHEET'!K143</f>
        <v>1MIN</v>
      </c>
      <c r="L143" s="84"/>
      <c r="M143" s="979"/>
    </row>
    <row r="144">
      <c r="A144" s="978">
        <f>'WEEK 5 MASTER SHEET'!A144</f>
        <v>3</v>
      </c>
      <c r="B144" s="82">
        <f>'WEEK 5 MASTER SHEET'!B144</f>
        <v>20</v>
      </c>
      <c r="C144" s="65">
        <f>'WEEK 5 MASTER SHEET'!C144</f>
        <v>20</v>
      </c>
      <c r="D144" s="83" t="str">
        <f>'WEEK 5 MASTER SHEET'!D144</f>
        <v>1MIN</v>
      </c>
      <c r="E144" s="84" t="str">
        <f>'WEEK 5 MASTER SHEET'!E144</f>
        <v/>
      </c>
      <c r="F144" s="980"/>
      <c r="H144" s="978">
        <f>'WEEK 5 MASTER SHEET'!H144</f>
        <v>3</v>
      </c>
      <c r="I144" s="82">
        <f>'WEEK 5 MASTER SHEET'!I144</f>
        <v>0</v>
      </c>
      <c r="J144" s="65">
        <f>'WEEK 5 MASTER SHEET'!J144</f>
        <v>20</v>
      </c>
      <c r="K144" s="83" t="str">
        <f>'WEEK 5 MASTER SHEET'!K144</f>
        <v>1MIN</v>
      </c>
      <c r="L144" s="84" t="str">
        <f>'WEEK 5 MASTER SHEET'!L144</f>
        <v>#REF!</v>
      </c>
      <c r="M144" s="980"/>
    </row>
    <row r="147">
      <c r="A147" s="310" t="str">
        <f>HYPERLINK("https://docs.google.com/a/fitnessresults.com/forms/d/e/1FAIpQLSd7MoczESe8Yjv6BKpmwAZGn9Aiymrs9-UdgfYIUpbr9t5NXg/viewform?usp=pp_url&amp;entry.93370101","CLICK TO COMPLETE WORKOUT")</f>
        <v>CLICK TO COMPLETE WORKOUT</v>
      </c>
      <c r="B147" s="36"/>
      <c r="C147" s="36"/>
      <c r="D147" s="36"/>
      <c r="E147" s="36"/>
      <c r="F147" s="37"/>
    </row>
    <row r="149">
      <c r="A149" s="639" t="s">
        <v>135</v>
      </c>
      <c r="B149" s="36"/>
      <c r="C149" s="36"/>
      <c r="D149" s="36"/>
      <c r="E149" s="36"/>
      <c r="F149" s="37"/>
    </row>
    <row r="151">
      <c r="A151" s="884" t="str">
        <f>HYPERLINK("https://www.amazon.com/30-Minute-Body-Investment-Champion/dp/0692791892/ref=sr_1_1?ie=UTF8&amp;qid=1490447969&amp;sr=8-1&amp;keywords=30+minute+body","WANT TO LEARN MORE?")</f>
        <v>WANT TO LEARN MORE?</v>
      </c>
      <c r="B151" s="16"/>
      <c r="C151" s="16"/>
      <c r="D151" s="16"/>
      <c r="E151" s="16"/>
      <c r="F151" s="17"/>
    </row>
    <row r="152">
      <c r="A152" s="18"/>
      <c r="B152" s="13"/>
      <c r="C152" s="13"/>
      <c r="D152" s="13"/>
      <c r="E152" s="13"/>
      <c r="F152" s="14"/>
    </row>
    <row r="153">
      <c r="A153" s="885"/>
      <c r="B153" s="886"/>
      <c r="C153" s="644" t="s">
        <v>67</v>
      </c>
      <c r="D153" s="25"/>
      <c r="E153" s="25"/>
      <c r="F153" s="26"/>
    </row>
    <row r="154">
      <c r="A154" s="887"/>
      <c r="B154" s="888"/>
      <c r="C154" s="529"/>
      <c r="F154" s="28"/>
    </row>
    <row r="155">
      <c r="A155" s="887"/>
      <c r="B155" s="888"/>
      <c r="C155" s="529"/>
      <c r="F155" s="28"/>
    </row>
    <row r="156">
      <c r="A156" s="887"/>
      <c r="B156" s="888"/>
      <c r="C156" s="529"/>
      <c r="F156" s="28"/>
    </row>
    <row r="157">
      <c r="A157" s="887"/>
      <c r="B157" s="888"/>
      <c r="C157" s="529"/>
      <c r="F157" s="28"/>
    </row>
    <row r="158">
      <c r="A158" s="887"/>
      <c r="B158" s="888"/>
      <c r="C158" s="529"/>
      <c r="F158" s="28"/>
    </row>
    <row r="159">
      <c r="A159" s="889"/>
      <c r="B159" s="888"/>
      <c r="C159" s="529"/>
      <c r="F159" s="28"/>
    </row>
    <row r="160">
      <c r="A160" s="887"/>
      <c r="B160" s="888"/>
      <c r="C160" s="529"/>
      <c r="F160" s="28"/>
    </row>
    <row r="161">
      <c r="A161" s="887"/>
      <c r="B161" s="888"/>
      <c r="C161" s="529"/>
      <c r="F161" s="28"/>
    </row>
    <row r="162">
      <c r="A162" s="890"/>
      <c r="B162" s="888"/>
      <c r="C162" s="529"/>
      <c r="F162" s="28"/>
    </row>
    <row r="163">
      <c r="A163" s="887"/>
      <c r="B163" s="888"/>
      <c r="C163" s="529"/>
      <c r="F163" s="28"/>
    </row>
    <row r="164">
      <c r="A164" s="887"/>
      <c r="B164" s="888"/>
      <c r="C164" s="529"/>
      <c r="F164" s="28"/>
    </row>
    <row r="165">
      <c r="A165" s="887"/>
      <c r="B165" s="888"/>
      <c r="C165" s="529"/>
      <c r="F165" s="28"/>
    </row>
    <row r="166">
      <c r="A166" s="887"/>
      <c r="B166" s="888"/>
      <c r="C166" s="529"/>
      <c r="F166" s="28"/>
    </row>
    <row r="167">
      <c r="A167" s="891"/>
      <c r="B167" s="892"/>
      <c r="C167" s="336"/>
      <c r="D167" s="11"/>
      <c r="E167" s="11"/>
      <c r="F167" s="46"/>
    </row>
  </sheetData>
  <mergeCells count="81">
    <mergeCell ref="H16:M16"/>
    <mergeCell ref="A17:N18"/>
    <mergeCell ref="A19:F19"/>
    <mergeCell ref="H19:M19"/>
    <mergeCell ref="A14:F15"/>
    <mergeCell ref="A16:F16"/>
    <mergeCell ref="N19:N31"/>
    <mergeCell ref="A20:F20"/>
    <mergeCell ref="H20:M20"/>
    <mergeCell ref="I21:M21"/>
    <mergeCell ref="H29:M29"/>
    <mergeCell ref="A68:F68"/>
    <mergeCell ref="B69:F69"/>
    <mergeCell ref="A44:F44"/>
    <mergeCell ref="B45:F45"/>
    <mergeCell ref="A51:F51"/>
    <mergeCell ref="A54:F54"/>
    <mergeCell ref="B57:F57"/>
    <mergeCell ref="A60:F60"/>
    <mergeCell ref="B61:F61"/>
    <mergeCell ref="B111:F111"/>
    <mergeCell ref="A117:F117"/>
    <mergeCell ref="B89:F89"/>
    <mergeCell ref="A96:F96"/>
    <mergeCell ref="B97:F97"/>
    <mergeCell ref="B104:F104"/>
    <mergeCell ref="A106:F106"/>
    <mergeCell ref="A108:F108"/>
    <mergeCell ref="A110:F110"/>
    <mergeCell ref="G94:N138"/>
    <mergeCell ref="H139:M139"/>
    <mergeCell ref="N139:N144"/>
    <mergeCell ref="I140:M140"/>
    <mergeCell ref="G27:G28"/>
    <mergeCell ref="H27:M27"/>
    <mergeCell ref="G42:N87"/>
    <mergeCell ref="H88:M88"/>
    <mergeCell ref="I89:M89"/>
    <mergeCell ref="G91:G92"/>
    <mergeCell ref="G139:G144"/>
    <mergeCell ref="G145:N168"/>
    <mergeCell ref="A12:F12"/>
    <mergeCell ref="A13:F13"/>
    <mergeCell ref="A1:N8"/>
    <mergeCell ref="A9:F9"/>
    <mergeCell ref="G9:G11"/>
    <mergeCell ref="H9:M9"/>
    <mergeCell ref="A10:F11"/>
    <mergeCell ref="H10:M10"/>
    <mergeCell ref="G12:N15"/>
    <mergeCell ref="B21:F21"/>
    <mergeCell ref="A27:F27"/>
    <mergeCell ref="G19:G26"/>
    <mergeCell ref="G29:G31"/>
    <mergeCell ref="G37:G41"/>
    <mergeCell ref="I34:M34"/>
    <mergeCell ref="A35:N36"/>
    <mergeCell ref="A37:F37"/>
    <mergeCell ref="H37:M37"/>
    <mergeCell ref="B38:F38"/>
    <mergeCell ref="I38:M38"/>
    <mergeCell ref="N38:N41"/>
    <mergeCell ref="A29:F29"/>
    <mergeCell ref="B34:F34"/>
    <mergeCell ref="A75:F75"/>
    <mergeCell ref="A77:F77"/>
    <mergeCell ref="A80:F80"/>
    <mergeCell ref="B81:F81"/>
    <mergeCell ref="A88:F88"/>
    <mergeCell ref="B140:F140"/>
    <mergeCell ref="A147:F147"/>
    <mergeCell ref="A149:F149"/>
    <mergeCell ref="A151:F152"/>
    <mergeCell ref="C153:F167"/>
    <mergeCell ref="B118:F118"/>
    <mergeCell ref="A124:F124"/>
    <mergeCell ref="B125:F125"/>
    <mergeCell ref="A131:F131"/>
    <mergeCell ref="B132:F132"/>
    <mergeCell ref="A137:F138"/>
    <mergeCell ref="A139:F139"/>
  </mergeCells>
  <dataValidations>
    <dataValidation type="decimal" allowBlank="1" showDropDown="1" showInputMessage="1" showErrorMessage="1" prompt="Enter a number between 0 and 30" sqref="F23:F26 M23:M26 F28 M28 F30:F33 M30:M33 F40:F41 M40:M41 F47:F50 F52:F53 F55:F56 F63:F65 F71:F73 F83:F85 F91:F93 M91:M93 F99:F103 F113:F115 F120:F122 F127:F129 F134">
      <formula1>0.0</formula1>
      <formula2>30.0</formula2>
    </dataValidation>
    <dataValidation type="decimal" operator="greaterThan" allowBlank="1" showDropDown="1" showErrorMessage="1" sqref="M11">
      <formula1>0.0</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174</v>
      </c>
      <c r="B9" s="20"/>
      <c r="C9" s="20"/>
      <c r="D9" s="20"/>
      <c r="E9" s="20"/>
      <c r="F9" s="21"/>
      <c r="G9" s="103"/>
      <c r="H9" s="24" t="s">
        <v>35</v>
      </c>
      <c r="I9" s="25"/>
      <c r="J9" s="25"/>
      <c r="K9" s="25"/>
      <c r="L9" s="25"/>
      <c r="M9" s="26"/>
      <c r="N9" s="103"/>
    </row>
    <row r="10">
      <c r="A10" s="15" t="str">
        <f>HYPERLINK("https://goo.gl/forms/3ibooB993Hi7SS2d2","PRESS TO RECORD BODY WEIGHT")</f>
        <v>PRESS TO RECORD BODY WEIGHT</v>
      </c>
      <c r="B10" s="16"/>
      <c r="C10" s="16"/>
      <c r="D10" s="16"/>
      <c r="E10" s="16"/>
      <c r="F10" s="17"/>
      <c r="G10" s="103"/>
      <c r="H10" s="147" t="s">
        <v>175</v>
      </c>
      <c r="M10" s="28"/>
      <c r="N10" s="103"/>
    </row>
    <row r="11">
      <c r="A11" s="18"/>
      <c r="B11" s="13"/>
      <c r="C11" s="13"/>
      <c r="D11" s="13"/>
      <c r="E11" s="13"/>
      <c r="F11" s="14"/>
      <c r="G11" s="103"/>
      <c r="H11" s="29" t="s">
        <v>176</v>
      </c>
      <c r="I11" s="30"/>
      <c r="J11" s="30"/>
      <c r="K11" s="30"/>
      <c r="L11" s="30"/>
      <c r="M11" s="31"/>
      <c r="N11" s="103"/>
    </row>
    <row r="12">
      <c r="A12" s="19" t="s">
        <v>69</v>
      </c>
      <c r="B12" s="20"/>
      <c r="C12" s="20"/>
      <c r="D12" s="20"/>
      <c r="E12" s="20"/>
      <c r="F12" s="21"/>
      <c r="G12" s="103"/>
      <c r="H12" s="219"/>
      <c r="I12" s="220"/>
      <c r="J12" s="221"/>
      <c r="K12" s="219"/>
      <c r="L12" s="222"/>
      <c r="M12" s="103"/>
      <c r="N12" s="103"/>
    </row>
    <row r="13">
      <c r="A13" s="22" t="s">
        <v>177</v>
      </c>
      <c r="B13" s="20"/>
      <c r="C13" s="20"/>
      <c r="D13" s="20"/>
      <c r="E13" s="20"/>
      <c r="F13" s="21"/>
      <c r="G13" s="103"/>
      <c r="H13" s="103"/>
      <c r="I13" s="103"/>
      <c r="J13" s="103"/>
      <c r="K13" s="103"/>
      <c r="L13" s="222"/>
      <c r="M13" s="103"/>
      <c r="N13" s="103"/>
    </row>
    <row r="14">
      <c r="A14" s="219"/>
      <c r="B14" s="219"/>
      <c r="C14" s="219"/>
      <c r="D14" s="219"/>
      <c r="E14" s="223"/>
      <c r="F14" s="103"/>
      <c r="G14" s="103"/>
      <c r="H14" s="219"/>
      <c r="I14" s="219"/>
      <c r="J14" s="219"/>
      <c r="K14" s="103"/>
      <c r="L14" s="222"/>
      <c r="M14" s="103"/>
      <c r="N14" s="103"/>
    </row>
    <row r="15">
      <c r="A15" s="209"/>
      <c r="G15" s="277"/>
      <c r="H15" s="850"/>
      <c r="N15" s="277"/>
    </row>
    <row r="16">
      <c r="A16" s="50" t="s">
        <v>79</v>
      </c>
      <c r="B16" s="36"/>
      <c r="C16" s="36"/>
      <c r="D16" s="36"/>
      <c r="E16" s="36"/>
      <c r="F16" s="37"/>
      <c r="G16" s="141"/>
      <c r="H16" s="50" t="s">
        <v>118</v>
      </c>
      <c r="I16" s="36"/>
      <c r="J16" s="36"/>
      <c r="K16" s="36"/>
      <c r="L16" s="36"/>
      <c r="M16" s="37"/>
      <c r="N16" s="141"/>
    </row>
    <row r="17">
      <c r="A17" s="657"/>
    </row>
    <row r="19">
      <c r="A19" s="51" t="s">
        <v>48</v>
      </c>
      <c r="B19" s="36"/>
      <c r="C19" s="36"/>
      <c r="D19" s="36"/>
      <c r="E19" s="36"/>
      <c r="F19" s="37"/>
      <c r="G19" s="141"/>
      <c r="H19" s="51" t="s">
        <v>48</v>
      </c>
      <c r="I19" s="36"/>
      <c r="J19" s="36"/>
      <c r="K19" s="36"/>
      <c r="L19" s="36"/>
      <c r="M19" s="37"/>
      <c r="N19" s="141"/>
    </row>
    <row r="20">
      <c r="A20" s="52" t="str">
        <f>HYPERLINK("https://youtu.be/ujVN-A0Z-ic","1. DUMBBELL INCLINE PRESS")</f>
        <v>1. DUMBBELL INCLINE PRESS</v>
      </c>
      <c r="B20" s="53"/>
      <c r="C20" s="53"/>
      <c r="D20" s="53"/>
      <c r="E20" s="53"/>
      <c r="F20" s="54"/>
      <c r="H20" s="52" t="str">
        <f>HYPERLINK("https://youtu.be/75e_H9Vq_Lw","1. MACHINE PRESS")</f>
        <v>1. MACHINE PRESS</v>
      </c>
      <c r="I20" s="53"/>
      <c r="J20" s="53"/>
      <c r="K20" s="53"/>
      <c r="L20" s="53"/>
      <c r="M20" s="54"/>
    </row>
    <row r="21">
      <c r="A21" s="228" t="s">
        <v>119</v>
      </c>
      <c r="B21" s="229">
        <f>IF('WEEK 4 '!I118="",'WEEK 3 '!B113,'WEEK 4 Master Sheet '!I118)</f>
        <v>85</v>
      </c>
      <c r="C21" s="16"/>
      <c r="D21" s="16"/>
      <c r="E21" s="16"/>
      <c r="F21" s="230"/>
      <c r="H21" s="228" t="s">
        <v>119</v>
      </c>
      <c r="I21" s="229">
        <f>IF('WEEK 4 '!B116="",'WEEK 3 '!I113,'WEEK 4 '!B116)</f>
        <v>228</v>
      </c>
      <c r="J21" s="16"/>
      <c r="K21" s="16"/>
      <c r="L21" s="16"/>
      <c r="M21" s="230"/>
    </row>
    <row r="22">
      <c r="A22" s="96" t="s">
        <v>50</v>
      </c>
      <c r="B22" s="97" t="s">
        <v>51</v>
      </c>
      <c r="C22" s="97" t="s">
        <v>52</v>
      </c>
      <c r="D22" s="97" t="s">
        <v>53</v>
      </c>
      <c r="E22" s="98" t="s">
        <v>54</v>
      </c>
      <c r="F22" s="235" t="s">
        <v>55</v>
      </c>
      <c r="H22" s="96" t="s">
        <v>50</v>
      </c>
      <c r="I22" s="97" t="s">
        <v>51</v>
      </c>
      <c r="J22" s="97" t="s">
        <v>52</v>
      </c>
      <c r="K22" s="97" t="s">
        <v>53</v>
      </c>
      <c r="L22" s="98" t="s">
        <v>54</v>
      </c>
      <c r="M22" s="235" t="s">
        <v>55</v>
      </c>
    </row>
    <row r="23">
      <c r="A23" s="244">
        <v>1.0</v>
      </c>
      <c r="B23" s="241">
        <f>mround('WEEK 5'!B21*0.35,5)</f>
        <v>30</v>
      </c>
      <c r="C23" s="63">
        <v>6.0</v>
      </c>
      <c r="D23" s="83" t="s">
        <v>57</v>
      </c>
      <c r="E23" s="84" t="str">
        <f>IF('WEEK 1 '!P22='WEEK 5'!B23,'WEEK 1 '!T22,"")</f>
        <v/>
      </c>
      <c r="F23" s="85">
        <v>6.0</v>
      </c>
      <c r="H23" s="244">
        <v>1.0</v>
      </c>
      <c r="I23" s="241">
        <f>mround('WEEK 5'!I21*0.35,5)</f>
        <v>80</v>
      </c>
      <c r="J23" s="63">
        <v>6.0</v>
      </c>
      <c r="K23" s="83" t="s">
        <v>57</v>
      </c>
      <c r="L23" s="84" t="str">
        <f>IF('WEEK 1 '!I22='WEEK 5'!I23,'WEEK 1 '!M22,"")</f>
        <v/>
      </c>
      <c r="M23" s="85"/>
    </row>
    <row r="24">
      <c r="A24" s="240">
        <v>2.0</v>
      </c>
      <c r="B24" s="241">
        <f>mround('WEEK 5'!B21*0.65,5)</f>
        <v>55</v>
      </c>
      <c r="C24" s="241">
        <v>1.0</v>
      </c>
      <c r="D24" s="83" t="s">
        <v>57</v>
      </c>
      <c r="E24" s="84" t="str">
        <f>IF('WEEK 1 '!P23='WEEK 5'!B24,'WEEK 1 '!T23,"")</f>
        <v/>
      </c>
      <c r="F24" s="85">
        <v>1.0</v>
      </c>
      <c r="H24" s="240">
        <v>2.0</v>
      </c>
      <c r="I24" s="241">
        <f>mround('WEEK 5'!I21*0.65,5)</f>
        <v>150</v>
      </c>
      <c r="J24" s="241">
        <v>1.0</v>
      </c>
      <c r="K24" s="83" t="s">
        <v>57</v>
      </c>
      <c r="L24" s="84" t="str">
        <f>IF('WEEK 1 '!I23='WEEK 2'!I24,'WEEK 1 '!M23,"")</f>
        <v/>
      </c>
      <c r="M24" s="85"/>
    </row>
    <row r="25">
      <c r="A25" s="240">
        <v>3.0</v>
      </c>
      <c r="B25" s="241">
        <f>mround('WEEK 5'!B21*0.85,5)</f>
        <v>70</v>
      </c>
      <c r="C25" s="63">
        <v>1.0</v>
      </c>
      <c r="D25" s="83" t="s">
        <v>57</v>
      </c>
      <c r="E25" s="84">
        <f>IF('WEEK 1 '!P24='WEEK 2'!B25,'WEEK 1 '!T24,"")</f>
        <v>1</v>
      </c>
      <c r="F25" s="85">
        <v>1.0</v>
      </c>
      <c r="H25" s="240">
        <v>3.0</v>
      </c>
      <c r="I25" s="241">
        <f>mround('WEEK 5'!I21*0.85,5)</f>
        <v>195</v>
      </c>
      <c r="J25" s="241">
        <v>1.0</v>
      </c>
      <c r="K25" s="83" t="s">
        <v>57</v>
      </c>
      <c r="L25" s="84" t="str">
        <f>IF('WEEK 1 '!I24='WEEK 2'!I25,'WEEK 1 '!M24,"")</f>
        <v/>
      </c>
      <c r="M25" s="85"/>
    </row>
    <row r="26">
      <c r="A26" s="240">
        <v>4.0</v>
      </c>
      <c r="B26" s="241">
        <f>mround('WEEK 5'!B21*1,5)</f>
        <v>85</v>
      </c>
      <c r="C26" s="245" t="s">
        <v>65</v>
      </c>
      <c r="D26" s="83" t="s">
        <v>57</v>
      </c>
      <c r="E26" s="84" t="str">
        <f>IF('WEEK 1 '!P25='WEEK 5'!B26,'WEEK 1 '!T25,"")</f>
        <v/>
      </c>
      <c r="F26" s="85">
        <v>10.0</v>
      </c>
      <c r="H26" s="240">
        <v>4.0</v>
      </c>
      <c r="I26" s="241">
        <f>mround('WEEK 5'!I21*1,5)</f>
        <v>230</v>
      </c>
      <c r="J26" s="245" t="s">
        <v>65</v>
      </c>
      <c r="K26" s="83" t="s">
        <v>57</v>
      </c>
      <c r="L26" s="84" t="str">
        <f>IF('WEEK 1 '!I25='WEEK 2'!I26,'WEEK 1 '!M25,"")</f>
        <v/>
      </c>
      <c r="M26" s="85"/>
    </row>
    <row r="27">
      <c r="A27" s="248" t="str">
        <f>IF(OR(ISBLANK('WEEK 5'!F26),ISBLANK('WEEK 5'!F25),ISBLANK('WEEK 5'!F24)),"PROCEED TO DOWNSETS",if('WEEK 5'!F26&gt;=6,"NEW 4 REP MAX ATTEMPT","PROCEED TO DOWN SETS"))</f>
        <v>PROCEED TO DOWNSETS</v>
      </c>
      <c r="F27" s="28"/>
      <c r="G27" s="247" t="s">
        <v>123</v>
      </c>
      <c r="H27" s="248" t="str">
        <f>IF(OR(ISBLANK('WEEK 5'!M26),ISBLANK('WEEK 5'!M25),ISBLANK('WEEK 5'!M24)),"PROCEED TO DOWNSETS",if('WEEK 5'!M26&gt;=6,"NEW 4 REP MAX ATTEMPT","PROCEED TO DOWN SETS"))</f>
        <v>PROCEED TO DOWNSETS</v>
      </c>
      <c r="M27" s="28"/>
    </row>
    <row r="28">
      <c r="A28" s="251" t="str">
        <f>IF(OR(ISBLANK('WEEK 5'!F26),ISBLANK('WEEK 5'!F25),ISBLANK('WEEK 5'!F24)),"",IF('WEEK 5'!F26&gt;=6,5,""))</f>
        <v/>
      </c>
      <c r="B28" s="252" t="str">
        <f>IF(OR(ISBLANK('WEEK 5'!F26),ISBLANK('WEEK 5'!F25),ISBLANK('WEEK 5'!F24)),"",IF('WEEK 5'!F26&gt;=6,'WEEK 5'!B21+5,""))</f>
        <v/>
      </c>
      <c r="C28" s="253" t="str">
        <f>IF(OR(ISBLANK('WEEK 5'!F26),ISBLANK('WEEK 5'!F25),ISBLANK('WEEK 5'!F24)),"",IF('WEEK 5'!F26&gt;=6,"REP OUT",""))</f>
        <v/>
      </c>
      <c r="D28" s="254" t="str">
        <f>IF(OR(ISBLANK('WEEK 5'!F26),ISBLANK('WEEK 5'!F25),ISBLANK('WEEK 5'!F24)),"",IF('WEEK 5'!F26&gt;5,"1 MIN",""))</f>
        <v/>
      </c>
      <c r="E28" s="84" t="str">
        <f>IF('WEEK 1 '!P27='WEEK 5'!B28,'WEEK 1 '!T27,"")</f>
        <v/>
      </c>
      <c r="F28" s="67"/>
      <c r="H28" s="251" t="str">
        <f>IF(OR(ISBLANK('WEEK 5'!M26),ISBLANK('WEEK 5'!M25),ISBLANK('WEEK 5'!M24)),"",IF('WEEK 5'!M26&gt;=6,5,""))</f>
        <v/>
      </c>
      <c r="I28" s="252" t="str">
        <f>IF(OR(ISBLANK('WEEK 5'!M26),ISBLANK('WEEK 5'!M25),ISBLANK('WEEK 5'!M24)),"",IF('WEEK 5'!M26&gt;=6,'WEEK 5'!I21+5,""))</f>
        <v/>
      </c>
      <c r="J28" s="253" t="str">
        <f>IF(OR(ISBLANK('WEEK 5'!M26),ISBLANK('WEEK 5'!M25),ISBLANK('WEEK 5'!M24)),"",IF('WEEK 5'!M26&gt;=6,"REP OUT",""))</f>
        <v/>
      </c>
      <c r="K28" s="254" t="str">
        <f>IF(OR(ISBLANK('WEEK 5'!M26),ISBLANK('WEEK 5'!M25),ISBLANK('WEEK 5'!M24)),"",IF('WEEK 5'!M26&gt;5,"1 MIN",""))</f>
        <v/>
      </c>
      <c r="L28" s="84" t="str">
        <f>IF('WEEK 1 '!I27='WEEK 2'!I28,'WEEK 1 '!M27,"")</f>
        <v/>
      </c>
      <c r="M28" s="67"/>
    </row>
    <row r="29">
      <c r="A29" s="260" t="str">
        <f>IF(OR(ISBLANK('WEEK 5'!F26),ISBLANK('WEEK 5'!F25),ISBLANK('WEEK 5'!F24)),"FILL OUT REP LOG FIRST","DOWN SETS")</f>
        <v>FILL OUT REP LOG FIRST</v>
      </c>
      <c r="B29" s="16"/>
      <c r="C29" s="16"/>
      <c r="D29" s="16"/>
      <c r="E29" s="16"/>
      <c r="F29" s="230"/>
      <c r="G29" s="141"/>
      <c r="H29" s="260" t="str">
        <f>IF(OR(ISBLANK('WEEK 5'!M26),ISBLANK('WEEK 5'!M25),ISBLANK('WEEK 5'!M24)),"FILL OUT REP LOG FIRST","DOWN SETS")</f>
        <v>FILL OUT REP LOG FIRST</v>
      </c>
      <c r="I29" s="16"/>
      <c r="J29" s="16"/>
      <c r="K29" s="16"/>
      <c r="L29" s="16"/>
      <c r="M29" s="230"/>
    </row>
    <row r="30">
      <c r="A30" s="545" t="str">
        <f>IF('WEEK 5'!F28&gt;=4,"",IF(OR(ISBLANK('WEEK 5'!F26),ISBLANK('WEEK 5'!F25),ISBLANK('WEEK 5'!F24)),"",IF('WEEK 5'!F26&gt;5,6,5)))</f>
        <v/>
      </c>
      <c r="B30" s="261" t="str">
        <f>IF('WEEK 5'!F28&gt;=4,"",IF(OR(ISBLANK('WEEK 5'!F26),ISBLANK('WEEK 5'!F25),ISBLANK('WEEK 5'!F24)),"",IF('WEEK 5'!F26&lt;6,mround('WEEK 5'!B21*0.8,5),IF('WEEK 5'!F26&lt;10,mround('WEEK 5'!B21*0.93,5),mround('WEEK 5'!B21*0.7,5)))))</f>
        <v/>
      </c>
      <c r="C30" s="262" t="str">
        <f>IF('WEEK 5'!F28&gt;=4,"",IF(OR(ISBLANK('WEEK 5'!F26),ISBLANK('WEEK 5'!F25),ISBLANK('WEEK 5'!F24)),"","REP OUT"))</f>
        <v/>
      </c>
      <c r="D30" s="65" t="str">
        <f>IF('WEEK 5'!F28&gt;=4,"",IF(OR(ISBLANK('WEEK 5'!F26),ISBLANK('WEEK 5'!F25),ISBLANK('WEEK 5'!F24)),"","1 MIN"))</f>
        <v/>
      </c>
      <c r="E30" s="84" t="str">
        <f>IF('WEEK 1 '!P29='WEEK 5'!B30,'WEEK 1 '!T29,"")</f>
        <v/>
      </c>
      <c r="F30" s="263"/>
      <c r="H30" s="91" t="str">
        <f>IF('WEEK 5'!M28&gt;=4,"",IF(OR(ISBLANK('WEEK 5'!M26),ISBLANK('WEEK 5'!M25),ISBLANK('WEEK 5'!M24)),"",IF('WEEK 5'!M26&gt;5,6,5)))</f>
        <v/>
      </c>
      <c r="I30" s="261" t="str">
        <f>IF('WEEK 5'!M28&gt;=4,"",IF(OR(ISBLANK('WEEK 5'!M26),ISBLANK('WEEK 5'!M25),ISBLANK('WEEK 5'!M24)),"",IF('WEEK 5'!M26&lt;6,mround('WEEK 5'!I21*0.8,5),IF('WEEK 5'!M26&lt;10,mround('WEEK 5'!I21*0.93,5),mround('WEEK 5'!I21*0.7,5)))))</f>
        <v/>
      </c>
      <c r="J30" s="262" t="str">
        <f>IF('WEEK 5'!M28&gt;=4,"",IF(OR(ISBLANK('WEEK 5'!M26),ISBLANK('WEEK 5'!M25),ISBLANK('WEEK 5'!M24)),"","REP OUT"))</f>
        <v/>
      </c>
      <c r="K30" s="65" t="str">
        <f>IF('WEEK 5'!M28&gt;=4,"",IF(OR(ISBLANK('WEEK 5'!M26),ISBLANK('WEEK 5'!M25),ISBLANK('WEEK 5'!M24)),"","1 MIN"))</f>
        <v/>
      </c>
      <c r="L30" s="84" t="str">
        <f>IF('WEEK 1 '!I29='WEEK 2'!I30,'WEEK 1 '!M29,"")</f>
        <v/>
      </c>
      <c r="M30" s="263"/>
    </row>
    <row r="31">
      <c r="A31" s="546" t="str">
        <f>IF('WEEK 5'!F28&gt;=4,"",IF(OR(ISBLANK('WEEK 5'!F26),ISBLANK('WEEK 5'!F25),ISBLANK('WEEK 5'!F24)),"",IF('WEEK 5'!F26&gt;5,7,6)))</f>
        <v/>
      </c>
      <c r="B31" s="254" t="str">
        <f>IF('WEEK 5'!F28&gt;=4,"",IF(OR(ISBLANK('WEEK 5'!F26),ISBLANK('WEEK 5'!F25),ISBLANK('WEEK 5'!F24)),"",IF('WEEK 5'!F26&lt;6,mround('WEEK 5'!B21*0.65,5),IF('WEEK 5'!F26&lt;10,mround('WEEK 5'!B21*0.7,5),mround('WEEK 5'!B21*0.65,5)))))</f>
        <v/>
      </c>
      <c r="C31" s="253" t="str">
        <f>IF('WEEK 5'!F28&gt;=4,"",IF(OR(ISBLANK('WEEK 5'!F26),ISBLANK('WEEK 5'!F25),ISBLANK('WEEK 5'!F24)),"","REP OUT"))</f>
        <v/>
      </c>
      <c r="D31" s="65" t="str">
        <f>IF('WEEK 5'!F28&gt;=4,"",IF(OR(ISBLANK('WEEK 5'!F26),ISBLANK('WEEK 5'!F25),ISBLANK('WEEK 5'!F24)),"","1 MIN"))</f>
        <v/>
      </c>
      <c r="E31" s="84">
        <f>IF('WEEK 1 '!P30='WEEK 2'!B31,'WEEK 1 '!T30,"")</f>
        <v>10</v>
      </c>
      <c r="F31" s="270"/>
      <c r="H31" s="269" t="str">
        <f>IF('WEEK 5'!M28&gt;=4,"",IF(OR(ISBLANK('WEEK 5'!M26),ISBLANK('WEEK 5'!M25),ISBLANK('WEEK 5'!M24)),"",IF('WEEK 5'!M26&gt;5,7,6)))</f>
        <v/>
      </c>
      <c r="I31" s="254" t="str">
        <f>IF('WEEK 5'!M28&gt;=4,"",IF(OR(ISBLANK('WEEK 5'!M26),ISBLANK('WEEK 5'!M25),ISBLANK('WEEK 5'!M24)),"",IF('WEEK 5'!M26&lt;6,mround('WEEK 5'!I21*0.65,5),IF('WEEK 5'!M26&lt;10,mround('WEEK 5'!I21*0.7,5),mround('WEEK 5'!I21*0.65,5)))))</f>
        <v/>
      </c>
      <c r="J31" s="253" t="str">
        <f>IF('WEEK 5'!M28&gt;=4,"",IF(OR(ISBLANK('WEEK 5'!M26),ISBLANK('WEEK 5'!M25),ISBLANK('WEEK 5'!M24)),"","REP OUT"))</f>
        <v/>
      </c>
      <c r="K31" s="65" t="str">
        <f>IF('WEEK 5'!M28&gt;=4,"",IF(OR(ISBLANK('WEEK 5'!M26),ISBLANK('WEEK 5'!M25),ISBLANK('WEEK 5'!M24)),"","1 MIN"))</f>
        <v/>
      </c>
      <c r="L31" s="84" t="str">
        <f>IF('WEEK 1 '!I30='WEEK 2'!I31,'WEEK 1 '!M30,"")</f>
        <v/>
      </c>
      <c r="M31" s="270"/>
    </row>
    <row r="32">
      <c r="A32" s="546" t="str">
        <f>IF('WEEK 5'!F28&lt;4,"",IF(OR(ISBLANK('WEEK 5'!F26),ISBLANK('WEEK 5'!F25),ISBLANK('WEEK 5'!F24)),"",IF('WEEK 5'!F28&gt;3,6,5)))</f>
        <v/>
      </c>
      <c r="B32" s="254" t="str">
        <f>IF('WEEK 5'!F28&lt;4,"",IF(OR(ISBLANK('WEEK 5'!F26),ISBLANK('WEEK 5'!F25),ISBLANK('WEEK 5'!F24)),"",IF('WEEK 5'!F28&lt;6,mround('WEEK 5'!B34*0.7,5),IF('WEEK 5'!F28&lt;10,mround('WEEK 5'!B34*0.8,5),mround(B34*0.93,5)))))</f>
        <v/>
      </c>
      <c r="C32" s="253" t="str">
        <f>IF('WEEK 5'!F28&lt;4,"",IF(OR(ISBLANK('WEEK 5'!F26),ISBLANK('WEEK 5'!F25),ISBLANK('WEEK 5'!F24)),"","REP OUT"))</f>
        <v/>
      </c>
      <c r="D32" s="65" t="str">
        <f>IF('WEEK 5'!F28&lt;4,"",IF(OR(ISBLANK('WEEK 5'!F26),ISBLANK('WEEK 5'!F25),ISBLANK('WEEK 5'!F24)),"","1 MIN"))</f>
        <v/>
      </c>
      <c r="E32" s="84" t="str">
        <f>IF('WEEK 1 '!P31='WEEK 5'!B32,'WEEK 1 '!T31,"")</f>
        <v/>
      </c>
      <c r="F32" s="270"/>
      <c r="G32" s="141"/>
      <c r="H32" s="269" t="str">
        <f>IF('WEEK 5'!M28&lt;4,"",IF(OR(ISBLANK('WEEK 5'!M26),ISBLANK('WEEK 5'!M25),ISBLANK('WEEK 5'!M24)),"",IF('WEEK 5'!M28&gt;3,6,5)))</f>
        <v/>
      </c>
      <c r="I32" s="254" t="str">
        <f>IF('WEEK 5'!M28&lt;4,"",IF(OR(ISBLANK('WEEK 5'!M26),ISBLANK('WEEK 5'!M25),ISBLANK('WEEK 5'!M24)),"",IF('WEEK 5'!M28&lt;6,mround('WEEK 5'!I34*0.7,5),IF('WEEK 5'!M28&lt;10,mround('WEEK 5'!I34*0.8,5),mround(I34*0.93,5)))))</f>
        <v/>
      </c>
      <c r="J32" s="253" t="str">
        <f>IF('WEEK 5'!M28&lt;4,"",IF(OR(ISBLANK('WEEK 5'!M26),ISBLANK('WEEK 5'!M25),ISBLANK('WEEK 5'!M24)),"","REP OUT"))</f>
        <v/>
      </c>
      <c r="K32" s="65" t="str">
        <f>IF('WEEK 5'!M28&lt;4,"",IF(OR(ISBLANK('WEEK 5'!M26),ISBLANK('WEEK 5'!M25),ISBLANK('WEEK 5'!M24)),"","1 MIN"))</f>
        <v/>
      </c>
      <c r="L32" s="84" t="str">
        <f>IF('WEEK 1 '!I31='WEEK 2'!I32,'WEEK 1 '!M31,"")</f>
        <v/>
      </c>
      <c r="M32" s="270"/>
      <c r="N32" s="141"/>
    </row>
    <row r="33">
      <c r="A33" s="546" t="str">
        <f>IF('WEEK 5'!F28&lt;4,"",IF(OR(ISBLANK('WEEK 5'!F26),ISBLANK('WEEK 5'!F25),ISBLANK('WEEK 5'!F24)),"",IF('WEEK 5'!F28&gt;3,7,"")))</f>
        <v/>
      </c>
      <c r="B33" s="254" t="str">
        <f>IF('WEEK 5'!F28&lt;4,"",IF(OR(ISBLANK('WEEK 5'!F26),ISBLANK('WEEK 5'!F25),ISBLANK('WEEK 5'!F24)),"",IF('WEEK 5'!F28&lt;6,mround('WEEK 5'!B34*0.65,5),IF('WEEK 5'!F28&lt;10,mround('WEEK 5'!B34*0.7,5),mround(B34*0.75,5)))))</f>
        <v/>
      </c>
      <c r="C33" s="253" t="str">
        <f>IF('WEEK 5'!F28&lt;4,"",IF(OR(ISBLANK('WEEK 5'!F26),ISBLANK('WEEK 5'!F25),ISBLANK('WEEK 5'!F24)),"","REP OUT"))</f>
        <v/>
      </c>
      <c r="D33" s="65" t="str">
        <f>IF('WEEK 5'!F28&lt;4,"",IF(OR(ISBLANK('WEEK 5'!F26),ISBLANK('WEEK 5'!F25),ISBLANK('WEEK 5'!F24)),"","1 MIN"))</f>
        <v/>
      </c>
      <c r="E33" s="84" t="str">
        <f>IF('WEEK 1 '!P32='WEEK 5'!B33,'WEEK 1 '!T32,"")</f>
        <v/>
      </c>
      <c r="F33" s="270"/>
      <c r="G33" s="141"/>
      <c r="H33" s="269" t="str">
        <f>IF('WEEK 5'!M28&lt;4,"",IF(OR(ISBLANK('WEEK 5'!M26),ISBLANK('WEEK 5'!M25),ISBLANK('WEEK 5'!M24)),"",IF('WEEK 5'!M28&gt;3,7,"")))</f>
        <v/>
      </c>
      <c r="I33" s="254" t="str">
        <f>IF('WEEK 5'!M28&lt;4,"",IF(OR(ISBLANK('WEEK 5'!M26),ISBLANK('WEEK 5'!M25),ISBLANK('WEEK 5'!M24)),"",IF('WEEK 5'!M28&lt;6,mround('WEEK 5'!I34*0.75,5),IF('WEEK 5'!M28&lt;10,mround('WEEK 5'!I34*0.7,5),mround(I34*0.65,5)))))</f>
        <v/>
      </c>
      <c r="J33" s="253" t="str">
        <f>IF('WEEK 5'!M28&lt;4,"",IF(OR(ISBLANK('WEEK 5'!M26),ISBLANK('WEEK 5'!M25),ISBLANK('WEEK 5'!M24)),"","REP OUT"))</f>
        <v/>
      </c>
      <c r="K33" s="65" t="str">
        <f>IF('WEEK 5'!M28&lt;4,"",IF(OR(ISBLANK('WEEK 5'!M26),ISBLANK('WEEK 5'!M25),ISBLANK('WEEK 5'!M24)),"","1 MIN"))</f>
        <v/>
      </c>
      <c r="L33" s="84" t="str">
        <f>IF('WEEK 1 '!I32='WEEK 2'!I33,'WEEK 1 '!M32,"")</f>
        <v/>
      </c>
      <c r="M33" s="270"/>
      <c r="N33" s="141"/>
    </row>
    <row r="34">
      <c r="A34" s="280" t="s">
        <v>124</v>
      </c>
      <c r="B34" s="273" t="str">
        <f>IF(OR(ISBLANK('WEEK 5'!F24),ISBLANK('WEEK 5'!F25),ISBLANK('WEEK 5'!F26)),"",IF('WEEK 5'!F28&gt;=4,'WEEK 5'!B28,IF('WEEK 5'!F26&lt;=3,'WEEK 5'!B26-5,'WEEK 5'!B26)))</f>
        <v/>
      </c>
      <c r="C34" s="11"/>
      <c r="D34" s="11"/>
      <c r="E34" s="11"/>
      <c r="F34" s="46"/>
      <c r="G34" s="141"/>
      <c r="H34" s="280" t="s">
        <v>124</v>
      </c>
      <c r="I34" s="273" t="str">
        <f>IF(OR(ISBLANK('WEEK 5'!M24),ISBLANK('WEEK 5'!M25),ISBLANK('WEEK 5'!M26)),"",IF('WEEK 5'!M28&gt;=4,'WEEK 5'!I28,IF('WEEK 5'!M26&lt;=3,'WEEK 5'!I26-5,'WEEK 5'!I26)))</f>
        <v/>
      </c>
      <c r="J34" s="11"/>
      <c r="K34" s="11"/>
      <c r="L34" s="11"/>
      <c r="M34" s="46"/>
      <c r="N34" s="141"/>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153</v>
      </c>
      <c r="B38" s="548">
        <f>if('WEEK 5'!B34="",'WEEK 4 Master Sheet '!B36,'WEEK 5'!B34)</f>
        <v>105</v>
      </c>
      <c r="C38" s="13"/>
      <c r="D38" s="13"/>
      <c r="E38" s="13"/>
      <c r="F38" s="57"/>
      <c r="G38" s="247" t="s">
        <v>123</v>
      </c>
      <c r="H38" s="226" t="s">
        <v>153</v>
      </c>
      <c r="I38" s="548">
        <f>'WEEK 5'!B38</f>
        <v>105</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5'!B38*0.29,2.5)</f>
        <v>30</v>
      </c>
      <c r="C40" s="241">
        <v>15.0</v>
      </c>
      <c r="D40" s="83" t="s">
        <v>57</v>
      </c>
      <c r="E40" s="84" t="str">
        <f>IF('WEEK 1 '!P37='WEEK 2'!B40,'WEEK 1 '!F37,"")</f>
        <v/>
      </c>
      <c r="F40" s="85"/>
      <c r="G40" s="659"/>
      <c r="H40" s="240">
        <v>1.0</v>
      </c>
      <c r="I40" s="254">
        <f>mround('WEEK 5'!I38*2*0.75,10)</f>
        <v>160</v>
      </c>
      <c r="J40" s="241">
        <v>15.0</v>
      </c>
      <c r="K40" s="83" t="s">
        <v>57</v>
      </c>
      <c r="L40" s="84" t="str">
        <f>IF('WEEK 1 '!W37='WEEK 2'!I40,'WEEK 1 '!M37,"")</f>
        <v/>
      </c>
      <c r="M40" s="85"/>
    </row>
    <row r="41">
      <c r="A41" s="661">
        <v>2.0</v>
      </c>
      <c r="B41" s="662">
        <f>mround('WEEK 5'!B38*0.29,2.5)</f>
        <v>30</v>
      </c>
      <c r="C41" s="662">
        <v>15.0</v>
      </c>
      <c r="D41" s="88" t="s">
        <v>57</v>
      </c>
      <c r="E41" s="89" t="str">
        <f>IF('WEEK 1 '!P38='WEEK 2'!B41,'WEEK 1 '!F38,"")</f>
        <v/>
      </c>
      <c r="F41" s="85"/>
      <c r="H41" s="661">
        <v>2.0</v>
      </c>
      <c r="I41" s="662">
        <f>mround('WEEK 5'!I38*2*0.75,10)</f>
        <v>160</v>
      </c>
      <c r="J41" s="662">
        <v>15.0</v>
      </c>
      <c r="K41" s="88" t="s">
        <v>57</v>
      </c>
      <c r="L41" s="89"/>
      <c r="M41" s="85"/>
    </row>
    <row r="44">
      <c r="A44" s="73" t="str">
        <f>HYPERLINK("https://www.youtube.com/watch?v=PnaDzYh2axA","3. LAT PULL DOWN")</f>
        <v>3. LAT PULL DOWN</v>
      </c>
      <c r="B44" s="53"/>
      <c r="C44" s="53"/>
      <c r="D44" s="53"/>
      <c r="E44" s="53"/>
      <c r="F44" s="54"/>
    </row>
    <row r="45">
      <c r="A45" s="226" t="s">
        <v>119</v>
      </c>
      <c r="B45" s="227">
        <f>'WEEK 4 '!B43</f>
        <v>265</v>
      </c>
      <c r="C45" s="20"/>
      <c r="D45" s="20"/>
      <c r="E45" s="20"/>
      <c r="F45" s="95"/>
    </row>
    <row r="46">
      <c r="A46" s="231" t="s">
        <v>50</v>
      </c>
      <c r="B46" s="232" t="s">
        <v>51</v>
      </c>
      <c r="C46" s="232" t="s">
        <v>52</v>
      </c>
      <c r="D46" s="232" t="s">
        <v>53</v>
      </c>
      <c r="E46" s="233" t="s">
        <v>54</v>
      </c>
      <c r="F46" s="61" t="s">
        <v>55</v>
      </c>
    </row>
    <row r="47">
      <c r="A47" s="236">
        <v>1.0</v>
      </c>
      <c r="B47" s="237">
        <f>mround('WEEK 5'!B45*0.35,5)</f>
        <v>95</v>
      </c>
      <c r="C47" s="238">
        <v>6.0</v>
      </c>
      <c r="D47" s="238" t="s">
        <v>120</v>
      </c>
      <c r="E47" s="66"/>
      <c r="F47" s="67"/>
    </row>
    <row r="48">
      <c r="A48" s="236">
        <v>2.0</v>
      </c>
      <c r="B48" s="237">
        <f>mround('WEEK 5'!B45*0.65,5)</f>
        <v>170</v>
      </c>
      <c r="C48" s="238">
        <v>3.0</v>
      </c>
      <c r="D48" s="238" t="s">
        <v>121</v>
      </c>
      <c r="E48" s="66"/>
      <c r="F48" s="67"/>
    </row>
    <row r="49">
      <c r="A49" s="242">
        <v>3.0</v>
      </c>
      <c r="B49" s="237">
        <f>mround('WEEK 5'!B45*0.9,5)</f>
        <v>240</v>
      </c>
      <c r="C49" s="63">
        <v>2.0</v>
      </c>
      <c r="D49" s="238" t="s">
        <v>121</v>
      </c>
      <c r="E49" s="66"/>
      <c r="F49" s="67"/>
    </row>
    <row r="50">
      <c r="A50" s="243">
        <v>4.0</v>
      </c>
      <c r="B50" s="237">
        <f>'WEEK 5'!B45</f>
        <v>265</v>
      </c>
      <c r="C50" s="257">
        <v>3.0</v>
      </c>
      <c r="D50" s="238" t="s">
        <v>122</v>
      </c>
      <c r="E50" s="66"/>
      <c r="F50" s="67"/>
    </row>
    <row r="51">
      <c r="A51" s="246" t="str">
        <f>IF('WEEK 5'!F50&lt;3,"PROCEED TO DOWN SETS","NEW 4 REP MAX ATTEMPT")</f>
        <v>NEW 4 REP MAX ATTEMPT</v>
      </c>
      <c r="B51" s="20"/>
      <c r="C51" s="20"/>
      <c r="D51" s="20"/>
      <c r="E51" s="20"/>
      <c r="F51" s="95"/>
    </row>
    <row r="52">
      <c r="A52" s="249">
        <f>if('WEEK 5'!F50&lt;=2,"",5)</f>
        <v>5</v>
      </c>
      <c r="B52" s="175">
        <f>IF('WEEK 5'!F50&lt;=2,"",B50+5)</f>
        <v>270</v>
      </c>
      <c r="C52" s="238">
        <f>if('WEEK 5'!F50&lt;=2,"",4)</f>
        <v>4</v>
      </c>
      <c r="D52" s="238" t="str">
        <f>if('WEEK 5'!F50&lt;=2,"","1-5 MIN")</f>
        <v>1-5 MIN</v>
      </c>
      <c r="E52" s="250"/>
      <c r="F52" s="67"/>
    </row>
    <row r="53">
      <c r="A53" s="256" t="str">
        <f>IF('WEEK 5'!F52&lt;4,"","6")</f>
        <v/>
      </c>
      <c r="B53" s="237" t="str">
        <f>IF('WEEK 5'!F52&lt;4,"",B52+5)</f>
        <v/>
      </c>
      <c r="C53" s="257" t="str">
        <f>IF('WEEK 5'!F52&lt;4,"","4")</f>
        <v/>
      </c>
      <c r="D53" s="257" t="str">
        <f>IF('WEEK 5'!F52&lt;4,"","1-5 MIN")</f>
        <v/>
      </c>
      <c r="E53" s="258"/>
      <c r="F53" s="67"/>
    </row>
    <row r="54">
      <c r="A54" s="246" t="str">
        <f>IF(OR(ISBLANK('WEEK 5'!F50),ISBLANK('WEEK 5'!F49),ISBLANK('WEEK 5'!F48)),"FILL OUT REP LOG FOR DOWN SETS","DOWN SETS")</f>
        <v>DOWN SETS</v>
      </c>
      <c r="B54" s="20"/>
      <c r="C54" s="20"/>
      <c r="D54" s="20"/>
      <c r="E54" s="20"/>
      <c r="F54" s="95"/>
    </row>
    <row r="55">
      <c r="A55" s="264">
        <f>IF(OR(ISBLANK('WEEK 5'!F50),ISBLANK('WEEK 5'!F49),ISBLANK('WEEK 5'!F48)),"",IF((AND(A52="",A53="")),5,IF((AND(A52&gt;1,A53="")),6,7)))</f>
        <v>6</v>
      </c>
      <c r="B55" s="265">
        <f>MROUND('WEEK 5'!B57*0.8,5)</f>
        <v>215</v>
      </c>
      <c r="C55" s="266" t="s">
        <v>65</v>
      </c>
      <c r="D55" s="267" t="s">
        <v>127</v>
      </c>
      <c r="E55" s="268"/>
      <c r="F55" s="67"/>
    </row>
    <row r="56">
      <c r="A56" s="243">
        <f>IF(OR(ISBLANK('WEEK 5'!F50),ISBLANK('WEEK 5'!F49),ISBLANK('WEEK 5'!F48)),"",IF((AND(A52="",A53="")),6,IF((AND(A52&gt;1,A53="")),7,8)))</f>
        <v>7</v>
      </c>
      <c r="B56" s="237">
        <f>mround('WEEK 5'!B57*0.7,5)</f>
        <v>190</v>
      </c>
      <c r="C56" s="245" t="s">
        <v>65</v>
      </c>
      <c r="D56" s="65" t="s">
        <v>127</v>
      </c>
      <c r="E56" s="258"/>
      <c r="F56" s="271"/>
    </row>
    <row r="57">
      <c r="A57" s="272" t="s">
        <v>124</v>
      </c>
      <c r="B57" s="273">
        <f>IF(OR(ISBLANK('WEEK 5'!F50),ISBLANK('WEEK 5'!F49),ISBLANK('WEEK 5'!F48)),"",IF('WEEK 5'!F53&gt;=4,'WEEK 5'!B53,IF('WEEK 5'!F52&gt;=1,'WEEK 5'!B52,IF('WEEK 5'!F50&lt;3,'WEEK 5'!B50-5,'WEEK 5'!B50))))</f>
        <v>270</v>
      </c>
      <c r="C57" s="11"/>
      <c r="D57" s="11"/>
      <c r="E57" s="11"/>
      <c r="F57" s="46"/>
    </row>
    <row r="58">
      <c r="A58" s="302"/>
      <c r="B58" s="302"/>
      <c r="C58" s="302"/>
      <c r="D58" s="302"/>
      <c r="E58" s="303"/>
      <c r="F58" s="103"/>
    </row>
    <row r="59">
      <c r="A59" s="302"/>
      <c r="B59" s="302"/>
      <c r="C59" s="302"/>
      <c r="D59" s="302"/>
      <c r="E59" s="303"/>
      <c r="F59" s="103"/>
    </row>
    <row r="60">
      <c r="A60" s="73" t="str">
        <f>HYPERLINK("https://www.youtube.com/watch?v=9YH1YvZbiY0","4. MACHINE LOW ROW")</f>
        <v>4. MACHINE LOW ROW</v>
      </c>
      <c r="B60" s="53"/>
      <c r="C60" s="53"/>
      <c r="D60" s="53"/>
      <c r="E60" s="53"/>
      <c r="F60" s="54"/>
    </row>
    <row r="61">
      <c r="A61" s="282" t="s">
        <v>119</v>
      </c>
      <c r="B61" s="56">
        <f>'WEEK 4 '!B51</f>
        <v>205</v>
      </c>
      <c r="C61" s="13"/>
      <c r="D61" s="13"/>
      <c r="E61" s="13"/>
      <c r="F61" s="57"/>
    </row>
    <row r="62">
      <c r="A62" s="58" t="s">
        <v>50</v>
      </c>
      <c r="B62" s="59" t="s">
        <v>51</v>
      </c>
      <c r="C62" s="59" t="s">
        <v>52</v>
      </c>
      <c r="D62" s="59" t="s">
        <v>53</v>
      </c>
      <c r="E62" s="60" t="s">
        <v>54</v>
      </c>
      <c r="F62" s="61" t="s">
        <v>55</v>
      </c>
    </row>
    <row r="63">
      <c r="A63" s="62">
        <v>1.0</v>
      </c>
      <c r="B63" s="63">
        <f> mround('WEEK 5'!B61*0.85,5)</f>
        <v>175</v>
      </c>
      <c r="C63" s="104" t="s">
        <v>65</v>
      </c>
      <c r="D63" s="65" t="s">
        <v>57</v>
      </c>
      <c r="E63" s="66"/>
      <c r="F63" s="67"/>
    </row>
    <row r="64">
      <c r="A64" s="62">
        <v>2.0</v>
      </c>
      <c r="B64" s="63">
        <f>IF('WEEK 5'!F63&lt;6,MROUND('WEEK 5'!B63*0.87,5),IF('WEEK 5'!F63&lt;=11,MROUND('WEEK 5'!B63*0.95,5),'WEEK 5'!B63))</f>
        <v>165</v>
      </c>
      <c r="C64" s="104" t="s">
        <v>65</v>
      </c>
      <c r="D64" s="65" t="s">
        <v>57</v>
      </c>
      <c r="E64" s="66"/>
      <c r="F64" s="67"/>
    </row>
    <row r="65">
      <c r="A65" s="68">
        <v>3.0</v>
      </c>
      <c r="B65" s="69">
        <f>IF('WEEK 5'!F64&lt;6,MROUND('WEEK 5'!B64*0.87,5),IF('WEEK 5'!F64&lt;=11,MROUND('WEEK 5'!B64*0.95,5),'WEEK 5'!B64))</f>
        <v>155</v>
      </c>
      <c r="C65" s="105" t="s">
        <v>65</v>
      </c>
      <c r="D65" s="71" t="s">
        <v>57</v>
      </c>
      <c r="E65" s="72"/>
      <c r="F65" s="67"/>
    </row>
    <row r="66">
      <c r="A66" s="103"/>
      <c r="B66" s="103"/>
      <c r="C66" s="103"/>
      <c r="D66" s="103"/>
      <c r="E66" s="222"/>
      <c r="F66" s="103"/>
    </row>
    <row r="67">
      <c r="A67" s="103"/>
      <c r="B67" s="103"/>
      <c r="C67" s="103"/>
      <c r="D67" s="103"/>
      <c r="E67" s="222"/>
      <c r="F67" s="103"/>
    </row>
    <row r="68">
      <c r="A68" s="73" t="str">
        <f>HYPERLINK("https://youtu.be/5-SUS-OVULY","5. MACHINE HIGH ROW")</f>
        <v>5. MACHINE HIGH ROW</v>
      </c>
      <c r="B68" s="53"/>
      <c r="C68" s="53"/>
      <c r="D68" s="53"/>
      <c r="E68" s="53"/>
      <c r="F68" s="54"/>
    </row>
    <row r="69">
      <c r="A69" s="282" t="s">
        <v>119</v>
      </c>
      <c r="B69" s="56">
        <f>'WEEK 4 '!B58</f>
        <v>60</v>
      </c>
      <c r="C69" s="13"/>
      <c r="D69" s="13"/>
      <c r="E69" s="13"/>
      <c r="F69" s="57"/>
    </row>
    <row r="70">
      <c r="A70" s="58" t="s">
        <v>50</v>
      </c>
      <c r="B70" s="59" t="s">
        <v>51</v>
      </c>
      <c r="C70" s="59" t="s">
        <v>52</v>
      </c>
      <c r="D70" s="59" t="s">
        <v>53</v>
      </c>
      <c r="E70" s="60" t="s">
        <v>54</v>
      </c>
      <c r="F70" s="61" t="s">
        <v>55</v>
      </c>
    </row>
    <row r="71">
      <c r="A71" s="62">
        <v>1.0</v>
      </c>
      <c r="B71" s="63">
        <f> mround('WEEK 5'!B69*0.8,5)</f>
        <v>50</v>
      </c>
      <c r="C71" s="104" t="s">
        <v>65</v>
      </c>
      <c r="D71" s="65" t="s">
        <v>57</v>
      </c>
      <c r="E71" s="66"/>
      <c r="F71" s="67"/>
    </row>
    <row r="72">
      <c r="A72" s="62">
        <v>2.0</v>
      </c>
      <c r="B72" s="63">
        <f>IF('WEEK 5'!F71&lt;6,MROUND('WEEK 5'!B69*0.7,5),IF('WEEK 5'!F71&lt;=11,MROUND('WEEK 5'!B69*0.75,5),'WEEK 5'!B71))</f>
        <v>50</v>
      </c>
      <c r="C72" s="104" t="s">
        <v>65</v>
      </c>
      <c r="D72" s="65" t="s">
        <v>57</v>
      </c>
      <c r="E72" s="66"/>
      <c r="F72" s="67"/>
    </row>
    <row r="73">
      <c r="A73" s="68">
        <v>3.0</v>
      </c>
      <c r="B73" s="87">
        <f>IF('WEEK 5'!F72&lt;6,MROUND('WEEK 5'!B72*0.8,5),IF('WEEK 5'!F72&lt;=11,MROUND('WEEK 5'!B69*0.85,5),'WEEK 5'!B72))</f>
        <v>50</v>
      </c>
      <c r="C73" s="105" t="s">
        <v>65</v>
      </c>
      <c r="D73" s="309" t="s">
        <v>57</v>
      </c>
      <c r="E73" s="72"/>
      <c r="F73" s="67"/>
    </row>
    <row r="74">
      <c r="A74" s="103"/>
      <c r="B74" s="103"/>
      <c r="C74" s="103"/>
      <c r="D74" s="103"/>
      <c r="E74" s="222"/>
      <c r="F74" s="103"/>
    </row>
    <row r="75">
      <c r="A75" s="310" t="str">
        <f>HYPERLINK("https://docs.google.com/a/fitnessresults.com/forms/d/e/1FAIpQLSd7MoczESe8Yjv6BKpmwAZGn9Aiymrs9-UdgfYIUpbr9t5NXg/viewform?usp=pp_url&amp;entry.93370101","CLICK TO COMPLETE WORKOUT")</f>
        <v>CLICK TO COMPLETE WORKOUT</v>
      </c>
      <c r="B75" s="36"/>
      <c r="C75" s="36"/>
      <c r="D75" s="36"/>
      <c r="E75" s="36"/>
      <c r="F75" s="37"/>
    </row>
    <row r="77">
      <c r="A77" s="224" t="s">
        <v>128</v>
      </c>
      <c r="B77" s="36"/>
      <c r="C77" s="36"/>
      <c r="D77" s="36"/>
      <c r="E77" s="36"/>
      <c r="F77" s="37"/>
    </row>
    <row r="80">
      <c r="A80" s="93" t="str">
        <f>HYPERLINK("https://www.youtube.com/watch?v=NZ9KiFtbiMs","2. LEG EXTENSION")</f>
        <v>2. LEG EXTENSION</v>
      </c>
      <c r="B80" s="53"/>
      <c r="C80" s="53"/>
      <c r="D80" s="53"/>
      <c r="E80" s="53"/>
      <c r="F80" s="54"/>
      <c r="G80" s="103"/>
      <c r="H80" s="103"/>
      <c r="I80" s="103"/>
      <c r="J80" s="103"/>
      <c r="K80" s="103"/>
      <c r="L80" s="222"/>
      <c r="M80" s="103"/>
    </row>
    <row r="81">
      <c r="A81" s="226" t="s">
        <v>119</v>
      </c>
      <c r="B81" s="94">
        <f>IF('WEEK 4 '!B87='WEEK 4 '!B89,'WEEK 4 '!B87+5,IF('WEEK 4 '!F87&lt;=9,MROUND('WEEK 4 '!B85*0.95,5),'WEEK 4 '!B87))</f>
        <v>80</v>
      </c>
      <c r="C81" s="20"/>
      <c r="D81" s="20"/>
      <c r="E81" s="20"/>
      <c r="F81" s="95"/>
      <c r="G81" s="103"/>
      <c r="H81" s="103"/>
      <c r="I81" s="103"/>
      <c r="J81" s="103"/>
      <c r="K81" s="103"/>
      <c r="L81" s="222"/>
      <c r="M81" s="103"/>
    </row>
    <row r="82">
      <c r="A82" s="96" t="s">
        <v>50</v>
      </c>
      <c r="B82" s="97" t="s">
        <v>51</v>
      </c>
      <c r="C82" s="97" t="s">
        <v>52</v>
      </c>
      <c r="D82" s="97" t="s">
        <v>53</v>
      </c>
      <c r="E82" s="98" t="s">
        <v>54</v>
      </c>
      <c r="F82" s="235" t="s">
        <v>55</v>
      </c>
      <c r="G82" s="234"/>
      <c r="H82" s="234"/>
      <c r="I82" s="234"/>
      <c r="J82" s="234"/>
      <c r="K82" s="234"/>
      <c r="L82" s="299"/>
      <c r="M82" s="234"/>
    </row>
    <row r="83">
      <c r="A83" s="62">
        <v>1.0</v>
      </c>
      <c r="B83" s="99">
        <f>if('WEEK 4 '!B87='WEEK 4 '!B89,'WEEK 5'!B81,'WEEK 5'!B81)</f>
        <v>80</v>
      </c>
      <c r="C83" s="104">
        <v>20.0</v>
      </c>
      <c r="D83" s="83" t="s">
        <v>57</v>
      </c>
      <c r="E83" s="100"/>
      <c r="F83" s="85"/>
      <c r="G83" s="103"/>
      <c r="H83" s="103"/>
      <c r="I83" s="103"/>
      <c r="J83" s="103"/>
      <c r="K83" s="103"/>
      <c r="L83" s="222"/>
      <c r="M83" s="103"/>
    </row>
    <row r="84">
      <c r="A84" s="62">
        <v>2.0</v>
      </c>
      <c r="B84" s="99">
        <f>if('WEEK 5'!F83&lt;8,mround('WEEK 5'!B83*0.8,5),IF('WEEK 5'!F83&lt;=14,MROUND('WEEK 5'!B83*0.95,5),'WEEK 5'!B83))</f>
        <v>65</v>
      </c>
      <c r="C84" s="104">
        <v>20.0</v>
      </c>
      <c r="D84" s="83" t="s">
        <v>57</v>
      </c>
      <c r="E84" s="100"/>
      <c r="F84" s="85"/>
      <c r="G84" s="239"/>
      <c r="H84" s="239"/>
      <c r="I84" s="239"/>
      <c r="J84" s="239"/>
      <c r="K84" s="239"/>
      <c r="L84" s="322"/>
      <c r="M84" s="239"/>
    </row>
    <row r="85">
      <c r="A85" s="68">
        <v>3.0</v>
      </c>
      <c r="B85" s="101">
        <f>if('WEEK 5'!F84&lt;8,mround('WEEK 5'!B84*0.8,5),IF('WEEK 5'!F84&lt;=14,MROUND('WEEK 5'!B84*0.95,5),'WEEK 5'!B84))</f>
        <v>50</v>
      </c>
      <c r="C85" s="105">
        <v>20.0</v>
      </c>
      <c r="D85" s="88" t="s">
        <v>57</v>
      </c>
      <c r="E85" s="102"/>
      <c r="F85" s="85"/>
      <c r="G85" s="103"/>
      <c r="H85" s="103"/>
      <c r="I85" s="103"/>
      <c r="J85" s="103"/>
      <c r="K85" s="103"/>
      <c r="L85" s="222"/>
      <c r="M85" s="103"/>
    </row>
    <row r="86">
      <c r="A86" s="103"/>
      <c r="B86" s="103"/>
      <c r="C86" s="103"/>
      <c r="D86" s="103"/>
      <c r="E86" s="222"/>
      <c r="F86" s="103"/>
      <c r="G86" s="103"/>
      <c r="H86" s="103"/>
      <c r="I86" s="103"/>
      <c r="J86" s="103"/>
      <c r="K86" s="103"/>
      <c r="L86" s="222"/>
      <c r="M86" s="103"/>
    </row>
    <row r="87">
      <c r="A87" s="103"/>
      <c r="B87" s="103"/>
      <c r="C87" s="103"/>
      <c r="D87" s="103"/>
      <c r="E87" s="222"/>
      <c r="F87" s="103"/>
      <c r="G87" s="103"/>
      <c r="H87" s="103"/>
      <c r="I87" s="103"/>
      <c r="J87" s="103"/>
      <c r="K87" s="103"/>
      <c r="L87" s="222"/>
      <c r="M87" s="103"/>
    </row>
    <row r="88">
      <c r="A88" s="73" t="str">
        <f>HYPERLINK("https://www.youtube.com/watch?v=NZ9KiFtbiMs","4. LEG CURL")</f>
        <v>4. LEG CURL</v>
      </c>
      <c r="B88" s="53"/>
      <c r="C88" s="53"/>
      <c r="D88" s="53"/>
      <c r="E88" s="53"/>
      <c r="F88" s="54"/>
      <c r="G88" s="103"/>
      <c r="H88" s="323" t="str">
        <f>HYPERLINK("https://youtu.be/kmN9cJ79PDE","4. PRONE LEG CURL")</f>
        <v>4. PRONE LEG CURL</v>
      </c>
      <c r="I88" s="53"/>
      <c r="J88" s="53"/>
      <c r="K88" s="53"/>
      <c r="L88" s="53"/>
      <c r="M88" s="54"/>
    </row>
    <row r="89">
      <c r="A89" s="226" t="s">
        <v>119</v>
      </c>
      <c r="B89" s="94">
        <f>IF('WEEK 4 '!B95='WEEK 4 '!B97,'WEEK 4 '!B95+5,IF('WEEK 4 '!F95&lt;=9,MROUND('WEEK 4 '!B93*0.95,5),'WEEK 4 '!B95))</f>
        <v>95</v>
      </c>
      <c r="C89" s="20"/>
      <c r="D89" s="20"/>
      <c r="E89" s="20"/>
      <c r="F89" s="95"/>
      <c r="G89" s="103"/>
      <c r="H89" s="226" t="s">
        <v>119</v>
      </c>
      <c r="I89" s="94">
        <f>IF('WEEK 4 '!I95='WEEK 4 '!I97,'WEEK 4 '!I95+5,IF('WEEK 4 '!M95&lt;=9,MROUND('WEEK 4 '!I93*0.95,5),'WEEK 4 '!I95))</f>
        <v>80</v>
      </c>
      <c r="J89" s="20"/>
      <c r="K89" s="20"/>
      <c r="L89" s="20"/>
      <c r="M89" s="95"/>
    </row>
    <row r="90">
      <c r="A90" s="96" t="s">
        <v>50</v>
      </c>
      <c r="B90" s="97" t="s">
        <v>51</v>
      </c>
      <c r="C90" s="97" t="s">
        <v>52</v>
      </c>
      <c r="D90" s="97" t="s">
        <v>53</v>
      </c>
      <c r="E90" s="98" t="s">
        <v>54</v>
      </c>
      <c r="F90" s="235" t="s">
        <v>55</v>
      </c>
      <c r="G90" s="234"/>
      <c r="H90" s="96" t="s">
        <v>50</v>
      </c>
      <c r="I90" s="97" t="s">
        <v>51</v>
      </c>
      <c r="J90" s="97" t="s">
        <v>52</v>
      </c>
      <c r="K90" s="97" t="s">
        <v>53</v>
      </c>
      <c r="L90" s="98" t="s">
        <v>54</v>
      </c>
      <c r="M90" s="235" t="s">
        <v>55</v>
      </c>
    </row>
    <row r="91">
      <c r="A91" s="62">
        <v>1.0</v>
      </c>
      <c r="B91" s="99">
        <f>if('WEEK 4 '!B95='WEEK 4 '!B97,B89,B89)</f>
        <v>95</v>
      </c>
      <c r="C91" s="104">
        <v>20.0</v>
      </c>
      <c r="D91" s="83" t="s">
        <v>57</v>
      </c>
      <c r="E91" s="100"/>
      <c r="F91" s="85"/>
      <c r="G91" s="324" t="s">
        <v>123</v>
      </c>
      <c r="H91" s="62">
        <v>1.0</v>
      </c>
      <c r="I91" s="99">
        <f>if('WEEK 4 '!I95='WEEK 4 '!I97,I89,I89)</f>
        <v>80</v>
      </c>
      <c r="J91" s="104">
        <v>20.0</v>
      </c>
      <c r="K91" s="83" t="s">
        <v>57</v>
      </c>
      <c r="L91" s="100"/>
      <c r="M91" s="85"/>
    </row>
    <row r="92">
      <c r="A92" s="62">
        <v>2.0</v>
      </c>
      <c r="B92" s="99">
        <f>if('WEEK 5'!F91&lt;8,mround('WEEK 5'!B91*0.8,5),IF('WEEK 5'!F91&lt;=14,MROUND('WEEK 5'!B91*0.95,5),'WEEK 5'!B91))</f>
        <v>75</v>
      </c>
      <c r="C92" s="104">
        <v>20.0</v>
      </c>
      <c r="D92" s="83" t="s">
        <v>57</v>
      </c>
      <c r="E92" s="100"/>
      <c r="F92" s="85"/>
      <c r="H92" s="62">
        <v>2.0</v>
      </c>
      <c r="I92" s="99">
        <f>if('WEEK 5'!M91&lt;8,mround('WEEK 5'!I91*0.8,5),IF('WEEK 5'!M91&lt;=14,MROUND('WEEK 5'!I91*0.95,5),'WEEK 5'!I91))</f>
        <v>65</v>
      </c>
      <c r="J92" s="104">
        <v>20.0</v>
      </c>
      <c r="K92" s="83" t="s">
        <v>57</v>
      </c>
      <c r="L92" s="100"/>
      <c r="M92" s="85"/>
    </row>
    <row r="93">
      <c r="A93" s="325">
        <v>3.0</v>
      </c>
      <c r="B93" s="326">
        <f>if('WEEK 5'!F92&lt;8,mround('WEEK 5'!B92*0.8,5),IF('WEEK 5'!F92&lt;=14,MROUND('WEEK 5'!B92*0.95,5),'WEEK 5'!B92))</f>
        <v>60</v>
      </c>
      <c r="C93" s="327">
        <v>20.0</v>
      </c>
      <c r="D93" s="328" t="s">
        <v>57</v>
      </c>
      <c r="E93" s="329"/>
      <c r="F93" s="330"/>
      <c r="G93" s="103"/>
      <c r="H93" s="325">
        <v>3.0</v>
      </c>
      <c r="I93" s="326">
        <f>if('WEEK 5'!M92&lt;8,mround('WEEK 5'!I92*0.8,5),IF('WEEK 5'!M92&lt;=14,MROUND('WEEK 5'!I92*0.95,5),'WEEK 5'!I92))</f>
        <v>50</v>
      </c>
      <c r="J93" s="327">
        <v>20.0</v>
      </c>
      <c r="K93" s="328" t="s">
        <v>57</v>
      </c>
      <c r="L93" s="329"/>
      <c r="M93" s="330"/>
    </row>
    <row r="94">
      <c r="A94" s="331"/>
      <c r="B94" s="331"/>
      <c r="C94" s="331"/>
      <c r="D94" s="331"/>
      <c r="E94" s="331"/>
      <c r="F94" s="331"/>
      <c r="G94" s="239"/>
      <c r="H94" s="272"/>
      <c r="I94" s="332"/>
      <c r="J94" s="33"/>
      <c r="K94" s="33"/>
      <c r="L94" s="33"/>
      <c r="M94" s="34"/>
    </row>
    <row r="96">
      <c r="A96" s="959" t="s">
        <v>167</v>
      </c>
      <c r="B96" s="53"/>
      <c r="C96" s="53"/>
      <c r="D96" s="53"/>
      <c r="E96" s="53"/>
      <c r="F96" s="54"/>
    </row>
    <row r="97">
      <c r="A97" s="670" t="s">
        <v>119</v>
      </c>
      <c r="B97" s="671">
        <f>'WEEK 4 Master Sheet '!B76</f>
        <v>100</v>
      </c>
      <c r="C97" s="36"/>
      <c r="D97" s="36"/>
      <c r="E97" s="36"/>
      <c r="F97" s="37"/>
    </row>
    <row r="98">
      <c r="A98" s="96" t="s">
        <v>50</v>
      </c>
      <c r="B98" s="672" t="s">
        <v>51</v>
      </c>
      <c r="C98" s="672" t="s">
        <v>52</v>
      </c>
      <c r="D98" s="672" t="s">
        <v>53</v>
      </c>
      <c r="E98" s="673" t="s">
        <v>54</v>
      </c>
      <c r="F98" s="235" t="s">
        <v>55</v>
      </c>
    </row>
    <row r="99">
      <c r="A99" s="342">
        <v>1.0</v>
      </c>
      <c r="B99" s="674">
        <f>mround('WEEK 5'!B97*0.5,5)</f>
        <v>50</v>
      </c>
      <c r="C99" s="343">
        <v>10.0</v>
      </c>
      <c r="D99" s="350" t="s">
        <v>122</v>
      </c>
      <c r="E99" s="84" t="str">
        <f>IF('WEEK 1 '!E93='WEEK 2'!B96,'WEEK 1 '!F93,"")</f>
        <v/>
      </c>
      <c r="F99" s="85"/>
    </row>
    <row r="100">
      <c r="A100" s="342">
        <v>2.0</v>
      </c>
      <c r="B100" s="674">
        <f>mround('WEEK 5'!B97*0.65,5)</f>
        <v>65</v>
      </c>
      <c r="C100" s="343">
        <v>10.0</v>
      </c>
      <c r="D100" s="350" t="s">
        <v>122</v>
      </c>
      <c r="E100" s="84" t="str">
        <f>IF('WEEK 1 '!E94='WEEK 2'!B97,'WEEK 1 '!F94,"")</f>
        <v/>
      </c>
      <c r="F100" s="85"/>
    </row>
    <row r="101">
      <c r="A101" s="342">
        <v>3.0</v>
      </c>
      <c r="B101" s="674">
        <f>mround('WEEK 5'!B97*0.8,5)</f>
        <v>80</v>
      </c>
      <c r="C101" s="343">
        <v>10.0</v>
      </c>
      <c r="D101" s="350" t="s">
        <v>122</v>
      </c>
      <c r="E101" s="84">
        <f>IF('WEEK 1 '!E95='WEEK 2'!B98,'WEEK 1 '!F95,"")</f>
        <v>5</v>
      </c>
      <c r="F101" s="85"/>
    </row>
    <row r="102">
      <c r="A102" s="342">
        <v>4.0</v>
      </c>
      <c r="B102" s="99">
        <f>mround('WEEK 5'!B97*0.95,5)</f>
        <v>95</v>
      </c>
      <c r="C102" s="343">
        <v>10.0</v>
      </c>
      <c r="D102" s="350" t="s">
        <v>122</v>
      </c>
      <c r="E102" s="84">
        <f>IF('WEEK 1 '!E96='WEEK 2'!B99,'WEEK 1 '!F96,"")</f>
        <v>12</v>
      </c>
      <c r="F102" s="85"/>
    </row>
    <row r="103">
      <c r="A103" s="342">
        <v>5.0</v>
      </c>
      <c r="B103" s="170">
        <f>mround('WEEK 5'!B97*1.05,5)</f>
        <v>105</v>
      </c>
      <c r="C103" s="343">
        <v>10.0</v>
      </c>
      <c r="D103" s="350" t="s">
        <v>122</v>
      </c>
      <c r="E103" s="84" t="str">
        <f>IF('WEEK 1 '!E97='WEEK 2'!B100,'WEEK 1 '!F97,"")</f>
        <v/>
      </c>
      <c r="F103" s="85"/>
    </row>
    <row r="104">
      <c r="A104" s="272" t="s">
        <v>124</v>
      </c>
      <c r="B104" s="332">
        <f>IF('WEEK 5'!F103&lt;10,'WEEK 5'!B97,IF('WEEK 5'!F103&gt;=10,'WEEK 5'!B103,'WEEK 5'!B97))</f>
        <v>100</v>
      </c>
      <c r="C104" s="33"/>
      <c r="D104" s="33"/>
      <c r="E104" s="33"/>
      <c r="F104" s="34"/>
    </row>
    <row r="106">
      <c r="A106" s="310" t="str">
        <f>HYPERLINK("https://docs.google.com/a/fitnessresults.com/forms/d/e/1FAIpQLSd7MoczESe8Yjv6BKpmwAZGn9Aiymrs9-UdgfYIUpbr9t5NXg/viewform?usp=pp_url&amp;entry.93370101","CLICK TO COMPLETE WORKOUT")</f>
        <v>CLICK TO COMPLETE WORKOUT</v>
      </c>
      <c r="B106" s="36"/>
      <c r="C106" s="36"/>
      <c r="D106" s="36"/>
      <c r="E106" s="36"/>
      <c r="F106" s="37"/>
    </row>
    <row r="107">
      <c r="A107" s="598"/>
      <c r="B107" s="598"/>
      <c r="C107" s="598"/>
      <c r="D107" s="598"/>
      <c r="E107" s="598"/>
      <c r="F107" s="598"/>
    </row>
    <row r="108">
      <c r="A108" s="602" t="s">
        <v>62</v>
      </c>
      <c r="B108" s="36"/>
      <c r="C108" s="36"/>
      <c r="D108" s="36"/>
      <c r="E108" s="36"/>
      <c r="F108" s="37"/>
    </row>
    <row r="110">
      <c r="A110" s="960" t="str">
        <f>HYPERLINK("https://youtu.be/ZhZ733bUA9Q","1. SHOULDER CLEANS")</f>
        <v>1. SHOULDER CLEANS</v>
      </c>
      <c r="B110" s="53"/>
      <c r="C110" s="53"/>
      <c r="D110" s="53"/>
      <c r="E110" s="53"/>
      <c r="F110" s="54"/>
    </row>
    <row r="111">
      <c r="A111" s="961" t="s">
        <v>119</v>
      </c>
      <c r="B111" s="76">
        <f>IF('WEEK 5'!B123='WEEK 5'!B125,'WEEK 5'!B125+5,IF(F113&lt;=15,MROUND('WEEK 5'!B121*0.85,5),'WEEK 5'!B123))</f>
        <v>80</v>
      </c>
      <c r="C111" s="13"/>
      <c r="D111" s="13"/>
      <c r="E111" s="13"/>
      <c r="F111" s="57"/>
    </row>
    <row r="112">
      <c r="A112" s="962" t="s">
        <v>50</v>
      </c>
      <c r="B112" s="963" t="s">
        <v>51</v>
      </c>
      <c r="C112" s="963" t="s">
        <v>52</v>
      </c>
      <c r="D112" s="981" t="s">
        <v>53</v>
      </c>
      <c r="E112" s="965" t="s">
        <v>54</v>
      </c>
      <c r="F112" s="966" t="s">
        <v>55</v>
      </c>
    </row>
    <row r="113">
      <c r="A113" s="967">
        <v>1.0</v>
      </c>
      <c r="B113" s="968">
        <f>if('WEEK 5'!B124='WEEK 5'!B125,'WEEK 5'!B111,'WEEK 5'!B111)</f>
        <v>80</v>
      </c>
      <c r="C113" s="968">
        <v>20.0</v>
      </c>
      <c r="D113" s="969" t="s">
        <v>57</v>
      </c>
      <c r="E113" s="970"/>
      <c r="F113" s="982"/>
    </row>
    <row r="114">
      <c r="A114" s="967">
        <v>2.0</v>
      </c>
      <c r="B114" s="968">
        <f>if('WEEK 5'!F113&lt;20,mround('WEEK 5'!B113*0.75,5),'WEEK 5'!B113)</f>
        <v>60</v>
      </c>
      <c r="C114" s="968">
        <v>20.0</v>
      </c>
      <c r="D114" s="969" t="s">
        <v>57</v>
      </c>
      <c r="E114" s="970"/>
      <c r="F114" s="983"/>
    </row>
    <row r="115">
      <c r="A115" s="971">
        <v>3.0</v>
      </c>
      <c r="B115" s="972">
        <f>if('WEEK 5'!F114&lt;20,mround('WEEK 5'!B114*0.6,5),'WEEK 5'!B114)</f>
        <v>35</v>
      </c>
      <c r="C115" s="972">
        <v>20.0</v>
      </c>
      <c r="D115" s="973" t="s">
        <v>57</v>
      </c>
      <c r="E115" s="974"/>
      <c r="F115" s="984"/>
    </row>
    <row r="117">
      <c r="A117" s="361" t="str">
        <f>HYPERLINK("https://www.youtube.com/watch?v=gxWVN6F_uxo","2.  CABLE HIGH PULLEY ROW")</f>
        <v>2.  CABLE HIGH PULLEY ROW</v>
      </c>
      <c r="B117" s="53"/>
      <c r="C117" s="53"/>
      <c r="D117" s="53"/>
      <c r="E117" s="53"/>
      <c r="F117" s="54"/>
    </row>
    <row r="118">
      <c r="A118" s="226" t="s">
        <v>134</v>
      </c>
      <c r="B118" s="90">
        <f>IF('WEEK 4 '!I118="",'WEEK 3 '!B113,'WEEK 4 '!I118)</f>
        <v>85</v>
      </c>
      <c r="C118" s="13"/>
      <c r="D118" s="13"/>
      <c r="E118" s="13"/>
      <c r="F118" s="57"/>
    </row>
    <row r="119">
      <c r="A119" s="77" t="s">
        <v>50</v>
      </c>
      <c r="B119" s="78" t="s">
        <v>51</v>
      </c>
      <c r="C119" s="78" t="s">
        <v>52</v>
      </c>
      <c r="D119" s="78" t="s">
        <v>53</v>
      </c>
      <c r="E119" s="80" t="s">
        <v>54</v>
      </c>
      <c r="F119" s="235" t="s">
        <v>55</v>
      </c>
    </row>
    <row r="120">
      <c r="A120" s="81">
        <v>1.0</v>
      </c>
      <c r="B120" s="82">
        <f> mround('WEEK 5'!B118*2*0.7,5)</f>
        <v>120</v>
      </c>
      <c r="C120" s="65">
        <v>20.0</v>
      </c>
      <c r="D120" s="83" t="s">
        <v>58</v>
      </c>
      <c r="E120" s="84" t="str">
        <f>IF('WEEK 1 '!B117=B120,'WEEK 1 '!F117,"")</f>
        <v/>
      </c>
      <c r="F120" s="85"/>
    </row>
    <row r="121">
      <c r="A121" s="81">
        <v>2.0</v>
      </c>
      <c r="B121" s="82">
        <f>if('WEEK 5'!F120&lt;10,mround(B120*0.8,5),IF('WEEK 5'!F120&lt;=14,MROUND('WEEK 5'!B120*0.95,5),'WEEK 5'!B120))</f>
        <v>95</v>
      </c>
      <c r="C121" s="65">
        <v>20.0</v>
      </c>
      <c r="D121" s="83" t="s">
        <v>58</v>
      </c>
      <c r="E121" s="84" t="str">
        <f>IF('WEEK 1 '!B118=B121,'WEEK 1 '!F118,"")</f>
        <v/>
      </c>
      <c r="F121" s="85"/>
    </row>
    <row r="122">
      <c r="A122" s="86">
        <v>3.0</v>
      </c>
      <c r="B122" s="87">
        <f>if('WEEK 5'!F121&lt;8,mround('WEEK 5'!B121*0.8,5),IF('WEEK 5'!F121&lt;=14,MROUND('WEEK 5'!B121*0.95,5),'WEEK 5'!B121))</f>
        <v>75</v>
      </c>
      <c r="C122" s="71">
        <v>20.0</v>
      </c>
      <c r="D122" s="88" t="s">
        <v>58</v>
      </c>
      <c r="E122" s="89" t="str">
        <f>IF('WEEK 1 '!B119=B122,'WEEK 1 '!F119,"")</f>
        <v/>
      </c>
      <c r="F122" s="85"/>
    </row>
    <row r="124">
      <c r="A124" s="513" t="str">
        <f>HYPERLINK("https://youtu.be/QUNZvtb6mnY","3. DUMBBELL SIDE LATERAL RAISE")</f>
        <v>3. DUMBBELL SIDE LATERAL RAISE</v>
      </c>
      <c r="B124" s="53"/>
      <c r="C124" s="53"/>
      <c r="D124" s="53"/>
      <c r="E124" s="53"/>
      <c r="F124" s="54"/>
    </row>
    <row r="125">
      <c r="A125" s="226" t="s">
        <v>134</v>
      </c>
      <c r="B125" s="90">
        <f>'WEEK 4 Master Sheet '!B129</f>
        <v>85</v>
      </c>
      <c r="C125" s="13"/>
      <c r="D125" s="13"/>
      <c r="E125" s="13"/>
      <c r="F125" s="57"/>
    </row>
    <row r="126">
      <c r="A126" s="376" t="s">
        <v>50</v>
      </c>
      <c r="B126" s="79" t="s">
        <v>51</v>
      </c>
      <c r="C126" s="79" t="s">
        <v>52</v>
      </c>
      <c r="D126" s="79" t="s">
        <v>53</v>
      </c>
      <c r="E126" s="98" t="s">
        <v>54</v>
      </c>
      <c r="F126" s="377" t="s">
        <v>55</v>
      </c>
    </row>
    <row r="127">
      <c r="A127" s="81">
        <v>1.0</v>
      </c>
      <c r="B127" s="82">
        <f>mround('WEEK 5'!B125*0.2,5)</f>
        <v>15</v>
      </c>
      <c r="C127" s="65">
        <v>20.0</v>
      </c>
      <c r="D127" s="83" t="s">
        <v>57</v>
      </c>
      <c r="E127" s="378"/>
      <c r="F127" s="796"/>
    </row>
    <row r="128">
      <c r="A128" s="81">
        <v>2.0</v>
      </c>
      <c r="B128" s="82">
        <f>if('WEEK 5'!F127&lt;12,mround('WEEK 5'!B125*0.15,2.5),'WEEK 5'!B127)</f>
        <v>12.5</v>
      </c>
      <c r="C128" s="65">
        <v>20.0</v>
      </c>
      <c r="D128" s="83" t="s">
        <v>57</v>
      </c>
      <c r="E128" s="378"/>
      <c r="F128" s="330"/>
    </row>
    <row r="129">
      <c r="A129" s="86">
        <v>3.0</v>
      </c>
      <c r="B129" s="87">
        <f>if('WEEK 5'!F128&lt;12,mround('WEEK 5'!B125*0.1,2.5),'WEEK 5'!B128)</f>
        <v>7.5</v>
      </c>
      <c r="C129" s="71">
        <v>20.0</v>
      </c>
      <c r="D129" s="88" t="s">
        <v>57</v>
      </c>
      <c r="E129" s="379"/>
      <c r="F129" s="85"/>
    </row>
    <row r="131">
      <c r="A131" s="73" t="str">
        <f>HYPERLINK("https://youtu.be/Yke__29qVfo","4. TRICEP PUSH DOWNS")</f>
        <v>4. TRICEP PUSH DOWNS</v>
      </c>
      <c r="B131" s="53"/>
      <c r="C131" s="53"/>
      <c r="D131" s="53"/>
      <c r="E131" s="53"/>
      <c r="F131" s="54"/>
      <c r="G131" s="697"/>
      <c r="H131" s="697"/>
      <c r="I131" s="697"/>
      <c r="J131" s="697"/>
      <c r="K131" s="697"/>
      <c r="L131" s="697"/>
      <c r="M131" s="697"/>
      <c r="N131" s="697"/>
    </row>
    <row r="132">
      <c r="A132" s="226" t="s">
        <v>119</v>
      </c>
      <c r="B132" s="90">
        <f>IF('WEEK 2'!B147='WEEK 2'!B149,'WEEK 2'!B147+5,IF('WEEK 2'!F147&lt;=9,MROUND('WEEK 2'!B145*0.95,5),'WEEK 2'!B147))</f>
        <v>65</v>
      </c>
      <c r="C132" s="13"/>
      <c r="D132" s="13"/>
      <c r="E132" s="13"/>
      <c r="F132" s="57"/>
      <c r="G132" s="697"/>
      <c r="H132" s="697"/>
      <c r="I132" s="697"/>
      <c r="J132" s="697"/>
      <c r="K132" s="697"/>
      <c r="L132" s="697"/>
      <c r="M132" s="697"/>
      <c r="N132" s="697"/>
    </row>
    <row r="133">
      <c r="A133" s="77" t="s">
        <v>50</v>
      </c>
      <c r="B133" s="78" t="s">
        <v>51</v>
      </c>
      <c r="C133" s="78" t="s">
        <v>52</v>
      </c>
      <c r="D133" s="78" t="s">
        <v>53</v>
      </c>
      <c r="E133" s="80" t="s">
        <v>54</v>
      </c>
      <c r="F133" s="235" t="s">
        <v>55</v>
      </c>
      <c r="G133" s="697"/>
      <c r="H133" s="697"/>
      <c r="I133" s="697"/>
      <c r="J133" s="697"/>
      <c r="K133" s="697"/>
      <c r="L133" s="697"/>
      <c r="M133" s="697"/>
      <c r="N133" s="697"/>
    </row>
    <row r="134">
      <c r="A134" s="81">
        <v>1.0</v>
      </c>
      <c r="B134" s="82">
        <f>'WEEK 5'!B132</f>
        <v>65</v>
      </c>
      <c r="C134" s="65">
        <v>20.0</v>
      </c>
      <c r="D134" s="83" t="s">
        <v>58</v>
      </c>
      <c r="E134" s="84" t="str">
        <f>IF('WEEK 2'!B147='WEEK 5'!B134,'WEEK 2'!F147,"")</f>
        <v/>
      </c>
      <c r="F134" s="85"/>
      <c r="G134" s="697"/>
      <c r="H134" s="697"/>
      <c r="I134" s="697"/>
      <c r="J134" s="697"/>
      <c r="K134" s="697"/>
      <c r="L134" s="697"/>
      <c r="M134" s="697"/>
      <c r="N134" s="697"/>
    </row>
    <row r="135">
      <c r="A135" s="81">
        <v>2.0</v>
      </c>
      <c r="B135" s="82">
        <f>if('WEEK 5'!F134&lt;10,mround('WEEK 5'!B134*0.8,5),IF('WEEK 5'!F134&lt;=14,MROUND('WEEK 5'!B132*0.95,5),'WEEK 5'!B134))</f>
        <v>50</v>
      </c>
      <c r="C135" s="65">
        <v>20.0</v>
      </c>
      <c r="D135" s="83" t="s">
        <v>58</v>
      </c>
      <c r="E135" s="84" t="str">
        <f>IF('WEEK 2'!B148='WEEK 5'!B135,'WEEK 2'!F148,"")</f>
        <v/>
      </c>
      <c r="F135" s="85"/>
      <c r="G135" s="697"/>
      <c r="H135" s="697"/>
      <c r="I135" s="697"/>
      <c r="J135" s="697"/>
      <c r="K135" s="697"/>
      <c r="L135" s="697"/>
      <c r="M135" s="697"/>
      <c r="N135" s="697"/>
    </row>
    <row r="136">
      <c r="A136" s="629">
        <v>3.0</v>
      </c>
      <c r="B136" s="630">
        <f>if('WEEK 5'!F135&lt;10,mround('WEEK 5'!B135*0.8,5),IF('WEEK 5'!F135&lt;=14,MROUND('WEEK 5'!B135*0.95,5),'WEEK 5'!B135))</f>
        <v>40</v>
      </c>
      <c r="C136" s="631">
        <v>20.0</v>
      </c>
      <c r="D136" s="328" t="s">
        <v>58</v>
      </c>
      <c r="E136" s="84" t="str">
        <f>IF('WEEK 2'!B149='WEEK 5'!B136,'WEEK 2'!F149,"")</f>
        <v/>
      </c>
      <c r="F136" s="330"/>
      <c r="G136" s="697"/>
      <c r="H136" s="697"/>
      <c r="I136" s="697"/>
      <c r="J136" s="697"/>
      <c r="K136" s="697"/>
      <c r="L136" s="697"/>
      <c r="M136" s="697"/>
      <c r="N136" s="697"/>
    </row>
    <row r="137">
      <c r="G137" s="697"/>
      <c r="H137" s="697"/>
      <c r="I137" s="697"/>
      <c r="J137" s="697"/>
      <c r="K137" s="697"/>
      <c r="L137" s="697"/>
      <c r="M137" s="697"/>
      <c r="N137" s="697"/>
    </row>
    <row r="138">
      <c r="G138" s="697"/>
      <c r="H138" s="697"/>
      <c r="I138" s="697"/>
      <c r="J138" s="697"/>
      <c r="K138" s="697"/>
      <c r="L138" s="697"/>
      <c r="M138" s="697"/>
      <c r="N138" s="697"/>
    </row>
    <row r="139">
      <c r="A139" s="75" t="str">
        <f>HYPERLINK("https://www.youtube.com/watch?v=9IqvmIhFxtY","5. BICEP CABLE CURL")</f>
        <v>5. BICEP CABLE CURL</v>
      </c>
      <c r="B139" s="53"/>
      <c r="C139" s="53"/>
      <c r="D139" s="53"/>
      <c r="E139" s="53"/>
      <c r="F139" s="54"/>
      <c r="G139" s="698"/>
      <c r="H139" s="75" t="s">
        <v>178</v>
      </c>
      <c r="I139" s="53"/>
      <c r="J139" s="53"/>
      <c r="K139" s="53"/>
      <c r="L139" s="53"/>
      <c r="M139" s="54"/>
      <c r="N139" s="141"/>
    </row>
    <row r="140">
      <c r="A140" s="226" t="s">
        <v>119</v>
      </c>
      <c r="B140" s="76">
        <f>IF('WEEK 3 '!B149='WEEK 3 '!B151,'WEEK 3 '!B147,IF('WEEK 3 '!F149&lt;=15,MROUND('WEEK 3 '!B147*0.95,5),'WEEK 3 '!B147))</f>
        <v>30</v>
      </c>
      <c r="C140" s="13"/>
      <c r="D140" s="13"/>
      <c r="E140" s="13"/>
      <c r="F140" s="57"/>
      <c r="G140" s="985"/>
      <c r="H140" s="226" t="s">
        <v>119</v>
      </c>
      <c r="I140" s="76" t="str">
        <f>IF('WEEK 3 '!I149='WEEK 3 '!I151,'WEEK 3 '!I147,IF('WEEK 3 '!M149&lt;=15,MROUND('WEEK 3 '!I147*0.95,5),'WEEK 3 '!I147))</f>
        <v/>
      </c>
      <c r="J140" s="13"/>
      <c r="K140" s="13"/>
      <c r="L140" s="13"/>
      <c r="M140" s="57"/>
    </row>
    <row r="141">
      <c r="A141" s="77" t="s">
        <v>50</v>
      </c>
      <c r="B141" s="78" t="s">
        <v>51</v>
      </c>
      <c r="C141" s="78" t="s">
        <v>52</v>
      </c>
      <c r="D141" s="78" t="s">
        <v>53</v>
      </c>
      <c r="E141" s="80" t="s">
        <v>54</v>
      </c>
      <c r="F141" s="235" t="s">
        <v>55</v>
      </c>
      <c r="G141" s="985"/>
      <c r="H141" s="77" t="s">
        <v>50</v>
      </c>
      <c r="I141" s="78" t="s">
        <v>51</v>
      </c>
      <c r="J141" s="78" t="s">
        <v>52</v>
      </c>
      <c r="K141" s="78" t="s">
        <v>53</v>
      </c>
      <c r="L141" s="80" t="s">
        <v>54</v>
      </c>
      <c r="M141" s="235" t="s">
        <v>55</v>
      </c>
    </row>
    <row r="142">
      <c r="A142" s="81">
        <v>1.0</v>
      </c>
      <c r="B142" s="82">
        <f>MROUND('WEEK 5'!B140,5)</f>
        <v>30</v>
      </c>
      <c r="C142" s="65">
        <v>20.0</v>
      </c>
      <c r="D142" s="83" t="s">
        <v>58</v>
      </c>
      <c r="E142" s="84">
        <f>IF('WEEK 3 '!B149='WEEK 5'!B142,'WEEK 3 '!F149,"")</f>
        <v>20</v>
      </c>
      <c r="F142" s="85"/>
      <c r="G142" s="985"/>
      <c r="H142" s="81">
        <v>1.0</v>
      </c>
      <c r="I142" s="82">
        <f>MROUND('WEEK 5'!I140,5)</f>
        <v>0</v>
      </c>
      <c r="J142" s="65">
        <v>20.0</v>
      </c>
      <c r="K142" s="83" t="s">
        <v>58</v>
      </c>
      <c r="L142" s="84" t="str">
        <f>IF('WEEK 1 '!I149=I142,'WEEK 1 '!M149,"")</f>
        <v/>
      </c>
      <c r="M142" s="85"/>
    </row>
    <row r="143">
      <c r="A143" s="81">
        <v>2.0</v>
      </c>
      <c r="B143" s="82">
        <f>if('WEEK 5'!F142&lt;15,mround('WEEK 5'!B142*0.8,5),IF('WEEK 5'!F142&lt;=18,MROUND('WEEK 5'!B140*0.95,5),'WEEK 5'!B142))</f>
        <v>25</v>
      </c>
      <c r="C143" s="65">
        <v>20.0</v>
      </c>
      <c r="D143" s="83" t="s">
        <v>58</v>
      </c>
      <c r="E143" s="84" t="str">
        <f>IF('WEEK 3 '!B150='WEEK 5'!B143,'WEEK 3 '!F150,"")</f>
        <v/>
      </c>
      <c r="F143" s="85"/>
      <c r="G143" s="985"/>
      <c r="H143" s="81">
        <v>2.0</v>
      </c>
      <c r="I143" s="82">
        <f>if('WEEK 5'!M142&lt;15,mround('WEEK 5'!I142*0.8,5),IF('WEEK 5'!M142&lt;=18,MROUND('WEEK 5'!I140*0.95,5),'WEEK 5'!I142))</f>
        <v>0</v>
      </c>
      <c r="J143" s="65">
        <v>20.0</v>
      </c>
      <c r="K143" s="83" t="s">
        <v>58</v>
      </c>
      <c r="L143" s="84" t="str">
        <f t="shared" ref="L143:L144" si="1">IF(#REF!=I143,#REF!,"")</f>
        <v>#REF!</v>
      </c>
      <c r="M143" s="85"/>
    </row>
    <row r="144">
      <c r="A144" s="629">
        <v>3.0</v>
      </c>
      <c r="B144" s="630">
        <f>if('WEEK 5'!F143&lt;15,mround('WEEK 5'!B143*0.8,5),IF('WEEK 5'!F143&lt;=18,MROUND('WEEK 5'!B141*0.95,5),'WEEK 5'!B143))</f>
        <v>20</v>
      </c>
      <c r="C144" s="631">
        <v>20.0</v>
      </c>
      <c r="D144" s="328" t="s">
        <v>58</v>
      </c>
      <c r="E144" s="84" t="str">
        <f>IF('WEEK 3 '!B151='WEEK 5'!B144,'WEEK 3 '!F151,"")</f>
        <v/>
      </c>
      <c r="F144" s="330"/>
      <c r="G144" s="985"/>
      <c r="H144" s="86">
        <v>3.0</v>
      </c>
      <c r="I144" s="87">
        <f>if('WEEK 5'!M143&lt;15,mround('WEEK 5'!I143*0.8,5),IF('WEEK 5'!M143&lt;=18,MROUND('WEEK 5'!I141*0.95,5),'WEEK 5'!I143))</f>
        <v>0</v>
      </c>
      <c r="J144" s="71">
        <v>20.0</v>
      </c>
      <c r="K144" s="88" t="s">
        <v>58</v>
      </c>
      <c r="L144" s="89" t="str">
        <f t="shared" si="1"/>
        <v>#REF!</v>
      </c>
      <c r="M144" s="85"/>
    </row>
    <row r="147">
      <c r="A147" s="310" t="str">
        <f>HYPERLINK("https://docs.google.com/a/fitnessresults.com/forms/d/e/1FAIpQLSd7MoczESe8Yjv6BKpmwAZGn9Aiymrs9-UdgfYIUpbr9t5NXg/viewform?usp=pp_url&amp;entry.93370101","CLICK TO COMPLETE WORKOUT")</f>
        <v>CLICK TO COMPLETE WORKOUT</v>
      </c>
      <c r="B147" s="36"/>
      <c r="C147" s="36"/>
      <c r="D147" s="36"/>
      <c r="E147" s="36"/>
      <c r="F147" s="37"/>
    </row>
    <row r="148">
      <c r="A148" s="598"/>
      <c r="B148" s="598"/>
      <c r="C148" s="598"/>
      <c r="D148" s="598"/>
      <c r="E148" s="598"/>
      <c r="F148" s="598"/>
    </row>
    <row r="149">
      <c r="A149" s="639" t="s">
        <v>135</v>
      </c>
      <c r="B149" s="36"/>
      <c r="C149" s="36"/>
      <c r="D149" s="36"/>
      <c r="E149" s="36"/>
      <c r="F149" s="37"/>
    </row>
    <row r="150">
      <c r="A150" s="883"/>
    </row>
    <row r="151">
      <c r="A151" s="884" t="str">
        <f>HYPERLINK("https://www.amazon.com/30-Minute-Body-Investment-Champion/dp/0692791892/ref=sr_1_1?ie=UTF8&amp;qid=1490447969&amp;sr=8-1&amp;keywords=30+minute+body","WANT TO LEARN MORE?")</f>
        <v>WANT TO LEARN MORE?</v>
      </c>
      <c r="B151" s="16"/>
      <c r="C151" s="16"/>
      <c r="D151" s="16"/>
      <c r="E151" s="16"/>
      <c r="F151" s="17"/>
    </row>
    <row r="152">
      <c r="A152" s="18"/>
      <c r="B152" s="13"/>
      <c r="C152" s="13"/>
      <c r="D152" s="13"/>
      <c r="E152" s="13"/>
      <c r="F152" s="14"/>
    </row>
    <row r="153">
      <c r="A153" s="885"/>
      <c r="B153" s="886"/>
      <c r="C153" s="644" t="s">
        <v>67</v>
      </c>
      <c r="D153" s="25"/>
      <c r="E153" s="25"/>
      <c r="F153" s="26"/>
    </row>
    <row r="154">
      <c r="A154" s="887"/>
      <c r="B154" s="888"/>
      <c r="C154" s="529"/>
      <c r="F154" s="28"/>
    </row>
    <row r="155">
      <c r="A155" s="887"/>
      <c r="B155" s="888"/>
      <c r="C155" s="529"/>
      <c r="F155" s="28"/>
    </row>
    <row r="156">
      <c r="A156" s="887"/>
      <c r="B156" s="888"/>
      <c r="C156" s="529"/>
      <c r="F156" s="28"/>
    </row>
    <row r="157">
      <c r="A157" s="887"/>
      <c r="B157" s="888"/>
      <c r="C157" s="529"/>
      <c r="F157" s="28"/>
    </row>
    <row r="158">
      <c r="A158" s="887"/>
      <c r="B158" s="888"/>
      <c r="C158" s="529"/>
      <c r="F158" s="28"/>
    </row>
    <row r="159">
      <c r="A159" s="889"/>
      <c r="B159" s="888"/>
      <c r="C159" s="529"/>
      <c r="F159" s="28"/>
    </row>
    <row r="160">
      <c r="A160" s="887"/>
      <c r="B160" s="888"/>
      <c r="C160" s="529"/>
      <c r="F160" s="28"/>
    </row>
    <row r="161">
      <c r="A161" s="887"/>
      <c r="B161" s="888"/>
      <c r="C161" s="529"/>
      <c r="F161" s="28"/>
    </row>
    <row r="162">
      <c r="A162" s="890"/>
      <c r="B162" s="888"/>
      <c r="C162" s="529"/>
      <c r="F162" s="28"/>
    </row>
    <row r="163">
      <c r="A163" s="887"/>
      <c r="B163" s="888"/>
      <c r="C163" s="529"/>
      <c r="F163" s="28"/>
    </row>
    <row r="164">
      <c r="A164" s="887"/>
      <c r="B164" s="888"/>
      <c r="C164" s="529"/>
      <c r="F164" s="28"/>
    </row>
    <row r="165">
      <c r="A165" s="887"/>
      <c r="B165" s="888"/>
      <c r="C165" s="529"/>
      <c r="F165" s="28"/>
    </row>
    <row r="166">
      <c r="A166" s="887"/>
      <c r="B166" s="888"/>
      <c r="C166" s="529"/>
      <c r="F166" s="28"/>
    </row>
    <row r="167">
      <c r="A167" s="891"/>
      <c r="B167" s="892"/>
      <c r="C167" s="336"/>
      <c r="D167" s="11"/>
      <c r="E167" s="11"/>
      <c r="F167" s="46"/>
    </row>
  </sheetData>
  <mergeCells count="79">
    <mergeCell ref="I34:M34"/>
    <mergeCell ref="A35:N36"/>
    <mergeCell ref="A37:F37"/>
    <mergeCell ref="H37:M37"/>
    <mergeCell ref="B38:F38"/>
    <mergeCell ref="I38:M38"/>
    <mergeCell ref="N38:N41"/>
    <mergeCell ref="G40:G41"/>
    <mergeCell ref="A44:F44"/>
    <mergeCell ref="B45:F45"/>
    <mergeCell ref="A51:F51"/>
    <mergeCell ref="A54:F54"/>
    <mergeCell ref="B57:F57"/>
    <mergeCell ref="A60:F60"/>
    <mergeCell ref="B61:F61"/>
    <mergeCell ref="A68:F68"/>
    <mergeCell ref="B69:F69"/>
    <mergeCell ref="A75:F75"/>
    <mergeCell ref="A77:F77"/>
    <mergeCell ref="A80:F80"/>
    <mergeCell ref="B81:F81"/>
    <mergeCell ref="A88:F88"/>
    <mergeCell ref="H88:M88"/>
    <mergeCell ref="B89:F89"/>
    <mergeCell ref="I89:M89"/>
    <mergeCell ref="G91:G92"/>
    <mergeCell ref="I94:M94"/>
    <mergeCell ref="A96:F96"/>
    <mergeCell ref="B97:F97"/>
    <mergeCell ref="B104:F104"/>
    <mergeCell ref="A106:F106"/>
    <mergeCell ref="A108:F108"/>
    <mergeCell ref="A110:F110"/>
    <mergeCell ref="B111:F111"/>
    <mergeCell ref="A117:F117"/>
    <mergeCell ref="A139:F139"/>
    <mergeCell ref="H139:M139"/>
    <mergeCell ref="N139:N144"/>
    <mergeCell ref="B140:F140"/>
    <mergeCell ref="I140:M140"/>
    <mergeCell ref="A147:F147"/>
    <mergeCell ref="A149:F149"/>
    <mergeCell ref="A150:F150"/>
    <mergeCell ref="A151:F152"/>
    <mergeCell ref="C153:F167"/>
    <mergeCell ref="B118:F118"/>
    <mergeCell ref="A124:F124"/>
    <mergeCell ref="B125:F125"/>
    <mergeCell ref="A131:F131"/>
    <mergeCell ref="B132:F132"/>
    <mergeCell ref="A137:F138"/>
    <mergeCell ref="G139:G144"/>
    <mergeCell ref="H16:M16"/>
    <mergeCell ref="A17:N18"/>
    <mergeCell ref="A19:F19"/>
    <mergeCell ref="H19:M19"/>
    <mergeCell ref="A9:F9"/>
    <mergeCell ref="H9:M9"/>
    <mergeCell ref="A10:F11"/>
    <mergeCell ref="H10:M10"/>
    <mergeCell ref="A12:F12"/>
    <mergeCell ref="A13:F13"/>
    <mergeCell ref="H15:M15"/>
    <mergeCell ref="B21:F21"/>
    <mergeCell ref="A27:F27"/>
    <mergeCell ref="G27:G28"/>
    <mergeCell ref="H27:M27"/>
    <mergeCell ref="G19:G26"/>
    <mergeCell ref="G29:G31"/>
    <mergeCell ref="G38:G39"/>
    <mergeCell ref="A29:F29"/>
    <mergeCell ref="B34:F34"/>
    <mergeCell ref="A15:F15"/>
    <mergeCell ref="A16:F16"/>
    <mergeCell ref="N19:N31"/>
    <mergeCell ref="A20:F20"/>
    <mergeCell ref="H20:M20"/>
    <mergeCell ref="I21:M21"/>
    <mergeCell ref="H29:M29"/>
  </mergeCells>
  <dataValidations>
    <dataValidation type="decimal" operator="greaterThanOrEqual" allowBlank="1" showDropDown="1" showErrorMessage="1" sqref="M12:M14 F22:F26 F39:F41 F82:F85 M80:M87 F90:F93 M90:M93 F98:F103 F126:F129">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14 F58:F59 F62:F67 F70:F74 F86:F87">
      <formula1>0.0</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86"/>
      <c r="B1" s="986"/>
      <c r="C1" s="986"/>
      <c r="D1" s="986"/>
      <c r="E1" s="986"/>
      <c r="F1" s="987"/>
      <c r="G1" s="987"/>
      <c r="H1" s="987"/>
      <c r="I1" s="987"/>
      <c r="J1" s="987"/>
      <c r="K1" s="987"/>
      <c r="L1" s="987"/>
      <c r="M1" s="987"/>
      <c r="N1" s="987"/>
      <c r="O1" s="987"/>
      <c r="P1" s="987"/>
      <c r="Q1" s="987"/>
      <c r="R1" s="987"/>
      <c r="S1" s="987"/>
      <c r="T1" s="987"/>
      <c r="U1" s="987"/>
      <c r="V1" s="987"/>
      <c r="W1" s="987"/>
      <c r="X1" s="987"/>
      <c r="Y1" s="987"/>
      <c r="Z1" s="987"/>
    </row>
    <row r="2">
      <c r="A2" s="986"/>
      <c r="B2" s="986"/>
      <c r="C2" s="986"/>
      <c r="D2" s="986"/>
      <c r="E2" s="986"/>
      <c r="F2" s="987"/>
      <c r="G2" s="987"/>
      <c r="H2" s="987"/>
      <c r="I2" s="987"/>
      <c r="J2" s="987"/>
      <c r="K2" s="987"/>
      <c r="L2" s="987"/>
      <c r="M2" s="987"/>
      <c r="N2" s="987"/>
      <c r="O2" s="987"/>
      <c r="P2" s="987"/>
      <c r="Q2" s="987"/>
      <c r="R2" s="987"/>
      <c r="S2" s="987"/>
      <c r="T2" s="987"/>
      <c r="U2" s="987"/>
      <c r="V2" s="987"/>
      <c r="W2" s="987"/>
      <c r="X2" s="987"/>
      <c r="Y2" s="987"/>
      <c r="Z2" s="987"/>
    </row>
    <row r="3">
      <c r="A3" s="986"/>
      <c r="B3" s="986"/>
      <c r="C3" s="986"/>
      <c r="D3" s="986"/>
      <c r="E3" s="986"/>
      <c r="F3" s="987"/>
      <c r="G3" s="987"/>
      <c r="H3" s="987"/>
      <c r="I3" s="987"/>
      <c r="J3" s="987"/>
      <c r="K3" s="987"/>
      <c r="L3" s="987"/>
      <c r="M3" s="987"/>
      <c r="N3" s="987"/>
      <c r="O3" s="987"/>
      <c r="P3" s="987"/>
      <c r="Q3" s="987"/>
      <c r="R3" s="987"/>
      <c r="S3" s="987"/>
      <c r="T3" s="987"/>
      <c r="U3" s="987"/>
      <c r="V3" s="987"/>
      <c r="W3" s="987"/>
      <c r="X3" s="987"/>
      <c r="Y3" s="987"/>
      <c r="Z3" s="987"/>
    </row>
    <row r="4">
      <c r="A4" s="986"/>
      <c r="B4" s="986"/>
      <c r="C4" s="986"/>
      <c r="D4" s="986"/>
      <c r="E4" s="986"/>
      <c r="F4" s="987"/>
      <c r="G4" s="987"/>
      <c r="H4" s="987"/>
      <c r="I4" s="987"/>
      <c r="J4" s="987"/>
      <c r="K4" s="987"/>
      <c r="L4" s="987"/>
      <c r="M4" s="987"/>
      <c r="N4" s="987"/>
      <c r="O4" s="987"/>
      <c r="P4" s="987"/>
      <c r="Q4" s="987"/>
      <c r="R4" s="987"/>
      <c r="S4" s="987"/>
      <c r="T4" s="987"/>
      <c r="U4" s="987"/>
      <c r="V4" s="987"/>
      <c r="W4" s="987"/>
      <c r="X4" s="987"/>
      <c r="Y4" s="987"/>
      <c r="Z4" s="987"/>
    </row>
    <row r="5">
      <c r="A5" s="986"/>
      <c r="B5" s="986"/>
      <c r="C5" s="986"/>
      <c r="D5" s="986"/>
      <c r="E5" s="986"/>
      <c r="F5" s="987"/>
      <c r="G5" s="987"/>
      <c r="H5" s="987"/>
      <c r="I5" s="987"/>
      <c r="J5" s="987"/>
      <c r="K5" s="987"/>
      <c r="L5" s="987"/>
      <c r="M5" s="987"/>
      <c r="N5" s="987"/>
      <c r="O5" s="987"/>
      <c r="P5" s="987"/>
      <c r="Q5" s="987"/>
      <c r="R5" s="987"/>
      <c r="S5" s="987"/>
      <c r="T5" s="987"/>
      <c r="U5" s="987"/>
      <c r="V5" s="987"/>
      <c r="W5" s="987"/>
      <c r="X5" s="987"/>
      <c r="Y5" s="987"/>
      <c r="Z5" s="987"/>
    </row>
    <row r="6">
      <c r="A6" s="986"/>
      <c r="B6" s="986"/>
      <c r="C6" s="986"/>
      <c r="D6" s="986"/>
      <c r="E6" s="986"/>
      <c r="F6" s="987"/>
      <c r="G6" s="987"/>
      <c r="H6" s="987"/>
      <c r="I6" s="987"/>
      <c r="J6" s="987"/>
      <c r="K6" s="987"/>
      <c r="L6" s="987"/>
      <c r="M6" s="987"/>
      <c r="N6" s="987"/>
      <c r="O6" s="987"/>
      <c r="P6" s="987"/>
      <c r="Q6" s="987"/>
      <c r="R6" s="987"/>
      <c r="S6" s="987"/>
      <c r="T6" s="987"/>
      <c r="U6" s="987"/>
      <c r="V6" s="987"/>
      <c r="W6" s="987"/>
      <c r="X6" s="987"/>
      <c r="Y6" s="987"/>
      <c r="Z6" s="987"/>
    </row>
    <row r="7">
      <c r="A7" s="986"/>
      <c r="B7" s="986"/>
      <c r="C7" s="986"/>
      <c r="D7" s="986"/>
      <c r="E7" s="986"/>
      <c r="F7" s="987"/>
      <c r="G7" s="987"/>
      <c r="H7" s="987"/>
      <c r="I7" s="987"/>
      <c r="J7" s="987"/>
      <c r="K7" s="987"/>
      <c r="L7" s="987"/>
      <c r="M7" s="987"/>
      <c r="N7" s="987"/>
      <c r="O7" s="987"/>
      <c r="P7" s="987"/>
      <c r="Q7" s="987"/>
      <c r="R7" s="987"/>
      <c r="S7" s="987"/>
      <c r="T7" s="987"/>
      <c r="U7" s="987"/>
      <c r="V7" s="987"/>
      <c r="W7" s="987"/>
      <c r="X7" s="987"/>
      <c r="Y7" s="987"/>
      <c r="Z7" s="987"/>
    </row>
    <row r="8">
      <c r="A8" s="988"/>
      <c r="B8" s="988"/>
      <c r="C8" s="988"/>
      <c r="D8" s="988"/>
      <c r="E8" s="988"/>
      <c r="F8" s="989"/>
      <c r="G8" s="987"/>
      <c r="H8" s="987"/>
      <c r="I8" s="987"/>
      <c r="J8" s="987"/>
      <c r="K8" s="987"/>
      <c r="L8" s="987"/>
      <c r="M8" s="987"/>
      <c r="N8" s="987"/>
      <c r="O8" s="987"/>
      <c r="P8" s="987"/>
      <c r="Q8" s="987"/>
      <c r="R8" s="987"/>
      <c r="S8" s="987"/>
      <c r="T8" s="987"/>
      <c r="U8" s="987"/>
      <c r="V8" s="987"/>
      <c r="W8" s="987"/>
      <c r="X8" s="987"/>
      <c r="Y8" s="987"/>
      <c r="Z8" s="987"/>
    </row>
    <row r="9">
      <c r="A9" s="990" t="s">
        <v>179</v>
      </c>
      <c r="B9" s="11"/>
      <c r="C9" s="11"/>
      <c r="D9" s="11"/>
      <c r="E9" s="11"/>
      <c r="F9" s="46"/>
      <c r="G9" s="987"/>
      <c r="H9" s="987"/>
      <c r="I9" s="987"/>
      <c r="J9" s="987"/>
      <c r="K9" s="987"/>
      <c r="L9" s="987"/>
      <c r="M9" s="987"/>
      <c r="N9" s="987"/>
      <c r="O9" s="987"/>
      <c r="P9" s="987"/>
      <c r="Q9" s="987"/>
      <c r="R9" s="987"/>
      <c r="S9" s="987"/>
      <c r="T9" s="987"/>
      <c r="U9" s="987"/>
      <c r="V9" s="987"/>
      <c r="W9" s="987"/>
      <c r="X9" s="987"/>
      <c r="Y9" s="987"/>
      <c r="Z9" s="987"/>
    </row>
    <row r="10">
      <c r="A10" s="991" t="str">
        <f>HYPERLINK("https://goo.gl/forms/3ibooB993Hi7SS2d2","PRESS TO RECORD BODY WEIGHT")</f>
        <v>PRESS TO RECORD BODY WEIGHT</v>
      </c>
      <c r="F10" s="28"/>
      <c r="G10" s="987"/>
      <c r="H10" s="987"/>
      <c r="I10" s="987"/>
      <c r="J10" s="987"/>
      <c r="K10" s="987"/>
      <c r="L10" s="987"/>
      <c r="M10" s="987"/>
      <c r="N10" s="987"/>
      <c r="O10" s="987"/>
      <c r="P10" s="987"/>
      <c r="Q10" s="987"/>
      <c r="R10" s="987"/>
      <c r="S10" s="987"/>
      <c r="T10" s="987"/>
      <c r="U10" s="987"/>
      <c r="V10" s="987"/>
      <c r="W10" s="987"/>
      <c r="X10" s="987"/>
      <c r="Y10" s="987"/>
      <c r="Z10" s="987"/>
    </row>
    <row r="11">
      <c r="A11" s="336"/>
      <c r="B11" s="11"/>
      <c r="C11" s="11"/>
      <c r="D11" s="11"/>
      <c r="E11" s="11"/>
      <c r="F11" s="46"/>
      <c r="G11" s="987"/>
      <c r="H11" s="987"/>
      <c r="I11" s="987"/>
      <c r="J11" s="987"/>
      <c r="K11" s="987"/>
      <c r="L11" s="987"/>
      <c r="M11" s="987"/>
      <c r="N11" s="987"/>
      <c r="O11" s="987"/>
      <c r="P11" s="987"/>
      <c r="Q11" s="987"/>
      <c r="R11" s="987"/>
      <c r="S11" s="987"/>
      <c r="T11" s="987"/>
      <c r="U11" s="987"/>
      <c r="V11" s="987"/>
      <c r="W11" s="987"/>
      <c r="X11" s="987"/>
      <c r="Y11" s="987"/>
      <c r="Z11" s="987"/>
    </row>
    <row r="12">
      <c r="A12" s="992" t="s">
        <v>69</v>
      </c>
      <c r="B12" s="11"/>
      <c r="C12" s="11"/>
      <c r="D12" s="11"/>
      <c r="E12" s="11"/>
      <c r="F12" s="46"/>
      <c r="G12" s="987"/>
      <c r="H12" s="987"/>
      <c r="I12" s="987"/>
      <c r="J12" s="987"/>
      <c r="K12" s="987"/>
      <c r="L12" s="987"/>
      <c r="M12" s="987"/>
      <c r="N12" s="987"/>
      <c r="O12" s="987"/>
      <c r="P12" s="987"/>
      <c r="Q12" s="987"/>
      <c r="R12" s="987"/>
      <c r="S12" s="987"/>
      <c r="T12" s="987"/>
      <c r="U12" s="987"/>
      <c r="V12" s="987"/>
      <c r="W12" s="987"/>
      <c r="X12" s="987"/>
      <c r="Y12" s="987"/>
      <c r="Z12" s="987"/>
    </row>
    <row r="13">
      <c r="A13" s="993" t="s">
        <v>180</v>
      </c>
      <c r="B13" s="11"/>
      <c r="C13" s="11"/>
      <c r="D13" s="11"/>
      <c r="E13" s="11"/>
      <c r="F13" s="46"/>
      <c r="G13" s="987"/>
      <c r="H13" s="987"/>
      <c r="I13" s="987"/>
      <c r="J13" s="987"/>
      <c r="K13" s="987"/>
      <c r="L13" s="987"/>
      <c r="M13" s="987"/>
      <c r="N13" s="987"/>
      <c r="O13" s="987"/>
      <c r="P13" s="987"/>
      <c r="Q13" s="987"/>
      <c r="R13" s="987"/>
      <c r="S13" s="987"/>
      <c r="T13" s="987"/>
      <c r="U13" s="987"/>
      <c r="V13" s="987"/>
      <c r="W13" s="987"/>
      <c r="X13" s="987"/>
      <c r="Y13" s="987"/>
      <c r="Z13" s="987"/>
    </row>
    <row r="14">
      <c r="A14" s="994"/>
      <c r="B14" s="994"/>
      <c r="C14" s="994"/>
      <c r="D14" s="994"/>
      <c r="E14" s="994"/>
      <c r="F14" s="995"/>
      <c r="G14" s="987"/>
      <c r="H14" s="989"/>
      <c r="I14" s="989"/>
      <c r="J14" s="989"/>
      <c r="K14" s="989"/>
      <c r="L14" s="989"/>
      <c r="M14" s="989"/>
      <c r="N14" s="987"/>
      <c r="O14" s="987"/>
      <c r="P14" s="987"/>
      <c r="Q14" s="987"/>
      <c r="R14" s="987"/>
      <c r="S14" s="987"/>
      <c r="T14" s="987"/>
      <c r="U14" s="987"/>
      <c r="V14" s="987"/>
      <c r="W14" s="987"/>
      <c r="X14" s="987"/>
      <c r="Y14" s="987"/>
      <c r="Z14" s="987"/>
    </row>
    <row r="15">
      <c r="A15" s="996" t="s">
        <v>47</v>
      </c>
      <c r="B15" s="11"/>
      <c r="C15" s="11"/>
      <c r="D15" s="11"/>
      <c r="E15" s="11"/>
      <c r="F15" s="46"/>
      <c r="G15" s="997"/>
      <c r="H15" s="998" t="s">
        <v>118</v>
      </c>
      <c r="I15" s="11"/>
      <c r="J15" s="11"/>
      <c r="K15" s="11"/>
      <c r="L15" s="11"/>
      <c r="M15" s="46"/>
      <c r="N15" s="987"/>
      <c r="O15" s="998" t="s">
        <v>118</v>
      </c>
      <c r="P15" s="11"/>
      <c r="Q15" s="11"/>
      <c r="R15" s="11"/>
      <c r="S15" s="11"/>
      <c r="T15" s="46"/>
      <c r="U15" s="987"/>
      <c r="V15" s="987"/>
      <c r="W15" s="987"/>
      <c r="X15" s="987"/>
      <c r="Y15" s="987"/>
      <c r="Z15" s="987"/>
    </row>
    <row r="16">
      <c r="A16" s="987"/>
      <c r="B16" s="987"/>
      <c r="C16" s="987"/>
      <c r="D16" s="987"/>
      <c r="E16" s="987"/>
      <c r="F16" s="987"/>
      <c r="G16" s="623"/>
      <c r="H16" s="987"/>
      <c r="I16" s="987"/>
      <c r="J16" s="987"/>
      <c r="K16" s="987"/>
      <c r="L16" s="987"/>
      <c r="M16" s="987"/>
      <c r="N16" s="987"/>
      <c r="O16" s="987"/>
      <c r="P16" s="987"/>
      <c r="Q16" s="987"/>
      <c r="R16" s="987"/>
      <c r="S16" s="987"/>
      <c r="T16" s="987"/>
      <c r="U16" s="987"/>
      <c r="V16" s="987"/>
      <c r="W16" s="987"/>
      <c r="X16" s="987"/>
      <c r="Y16" s="987"/>
      <c r="Z16" s="987"/>
    </row>
    <row r="17">
      <c r="A17" s="989"/>
      <c r="B17" s="989"/>
      <c r="C17" s="989"/>
      <c r="D17" s="989"/>
      <c r="E17" s="989"/>
      <c r="F17" s="989"/>
      <c r="G17" s="623"/>
      <c r="H17" s="989"/>
      <c r="I17" s="989"/>
      <c r="J17" s="989"/>
      <c r="K17" s="989"/>
      <c r="L17" s="989"/>
      <c r="M17" s="989"/>
      <c r="N17" s="987"/>
      <c r="O17" s="987"/>
      <c r="P17" s="987"/>
      <c r="Q17" s="987"/>
      <c r="R17" s="987"/>
      <c r="S17" s="987"/>
      <c r="T17" s="987"/>
      <c r="U17" s="987"/>
      <c r="V17" s="987"/>
      <c r="W17" s="987"/>
      <c r="X17" s="987"/>
      <c r="Y17" s="987"/>
      <c r="Z17" s="987"/>
    </row>
    <row r="18">
      <c r="A18" s="51" t="s">
        <v>48</v>
      </c>
      <c r="B18" s="36"/>
      <c r="C18" s="36"/>
      <c r="D18" s="36"/>
      <c r="E18" s="36"/>
      <c r="F18" s="37"/>
      <c r="G18" s="999"/>
      <c r="H18" s="1000" t="s">
        <v>48</v>
      </c>
      <c r="I18" s="11"/>
      <c r="J18" s="11"/>
      <c r="K18" s="11"/>
      <c r="L18" s="11"/>
      <c r="M18" s="46"/>
      <c r="N18" s="623"/>
      <c r="O18" s="51" t="b">
        <f>B33='WEEK 5'!B38</f>
        <v>1</v>
      </c>
      <c r="P18" s="36"/>
      <c r="Q18" s="36"/>
      <c r="R18" s="36"/>
      <c r="S18" s="36"/>
      <c r="T18" s="37"/>
      <c r="U18" s="987"/>
      <c r="V18" s="987"/>
      <c r="W18" s="987"/>
      <c r="X18" s="987"/>
      <c r="Y18" s="987"/>
      <c r="Z18" s="987"/>
    </row>
    <row r="19">
      <c r="A19" s="93" t="str">
        <f>HYPERLINK("https://youtu.be/iLgUDezDMbU","1. BENCH PRESS")</f>
        <v>1. BENCH PRESS</v>
      </c>
      <c r="B19" s="53"/>
      <c r="C19" s="53"/>
      <c r="D19" s="53"/>
      <c r="E19" s="53"/>
      <c r="F19" s="54"/>
      <c r="G19" s="999"/>
      <c r="H19" s="1001" t="s">
        <v>181</v>
      </c>
      <c r="I19" s="13"/>
      <c r="J19" s="13"/>
      <c r="K19" s="13"/>
      <c r="L19" s="13"/>
      <c r="M19" s="57"/>
      <c r="N19" s="623"/>
      <c r="O19" s="93" t="str">
        <f>HYPERLINK("https://youtu.be/75e_H9Vq_Lw","1. MACHINE PRESS")</f>
        <v>1. MACHINE PRESS</v>
      </c>
      <c r="P19" s="53"/>
      <c r="Q19" s="53"/>
      <c r="R19" s="53"/>
      <c r="S19" s="53"/>
      <c r="T19" s="54"/>
      <c r="U19" s="987"/>
      <c r="V19" s="987"/>
      <c r="W19" s="987"/>
      <c r="X19" s="987"/>
      <c r="Y19" s="987"/>
      <c r="Z19" s="987"/>
    </row>
    <row r="20">
      <c r="A20" s="226" t="s">
        <v>119</v>
      </c>
      <c r="B20" s="691">
        <f>'WEEK 4 '!B32</f>
        <v>100</v>
      </c>
      <c r="C20" s="13"/>
      <c r="D20" s="13"/>
      <c r="E20" s="13"/>
      <c r="F20" s="57"/>
      <c r="G20" s="999"/>
      <c r="H20" s="1002" t="s">
        <v>119</v>
      </c>
      <c r="I20" s="76" t="str">
        <f>'WEEK 5'!B34</f>
        <v/>
      </c>
      <c r="J20" s="13"/>
      <c r="K20" s="13"/>
      <c r="L20" s="13"/>
      <c r="M20" s="57"/>
      <c r="N20" s="623"/>
      <c r="O20" s="226" t="s">
        <v>119</v>
      </c>
      <c r="P20" s="691" t="str">
        <f>'WEEK 5 MASTER SHEET'!I34</f>
        <v/>
      </c>
      <c r="Q20" s="13"/>
      <c r="R20" s="13"/>
      <c r="S20" s="13"/>
      <c r="T20" s="57"/>
      <c r="U20" s="987"/>
      <c r="V20" s="987"/>
      <c r="W20" s="987"/>
      <c r="X20" s="987"/>
      <c r="Y20" s="987"/>
      <c r="Z20" s="987"/>
    </row>
    <row r="21">
      <c r="A21" s="96" t="s">
        <v>50</v>
      </c>
      <c r="B21" s="97" t="s">
        <v>51</v>
      </c>
      <c r="C21" s="97" t="s">
        <v>52</v>
      </c>
      <c r="D21" s="97" t="s">
        <v>53</v>
      </c>
      <c r="E21" s="341" t="s">
        <v>54</v>
      </c>
      <c r="F21" s="1003" t="s">
        <v>55</v>
      </c>
      <c r="G21" s="1004"/>
      <c r="H21" s="963" t="s">
        <v>50</v>
      </c>
      <c r="I21" s="963" t="s">
        <v>51</v>
      </c>
      <c r="J21" s="963" t="s">
        <v>52</v>
      </c>
      <c r="K21" s="963" t="s">
        <v>53</v>
      </c>
      <c r="L21" s="1005" t="s">
        <v>54</v>
      </c>
      <c r="M21" s="1006" t="s">
        <v>55</v>
      </c>
      <c r="N21" s="623"/>
      <c r="O21" s="96" t="s">
        <v>50</v>
      </c>
      <c r="P21" s="97" t="s">
        <v>51</v>
      </c>
      <c r="Q21" s="97" t="s">
        <v>52</v>
      </c>
      <c r="R21" s="97" t="s">
        <v>53</v>
      </c>
      <c r="S21" s="341" t="s">
        <v>54</v>
      </c>
      <c r="T21" s="235" t="s">
        <v>55</v>
      </c>
      <c r="U21" s="1007"/>
      <c r="V21" s="1007"/>
      <c r="W21" s="1007"/>
      <c r="X21" s="1007"/>
      <c r="Y21" s="1007"/>
      <c r="Z21" s="1007"/>
    </row>
    <row r="22">
      <c r="A22" s="725">
        <v>1.0</v>
      </c>
      <c r="B22" s="726">
        <f>IF( 'WEEK 6'!B20&lt;125,45, mround('WEEK 6'!B20*0.9*0.35,5))</f>
        <v>45</v>
      </c>
      <c r="C22" s="344">
        <v>6.0</v>
      </c>
      <c r="D22" s="343" t="s">
        <v>150</v>
      </c>
      <c r="E22" s="727"/>
      <c r="F22" s="85">
        <v>6.0</v>
      </c>
      <c r="G22" s="1008"/>
      <c r="H22" s="1009">
        <v>1.0</v>
      </c>
      <c r="I22" s="968">
        <f>mround('WEEK 6'!I20*0.9*0.35,5)</f>
        <v>0</v>
      </c>
      <c r="J22" s="968">
        <v>6.0</v>
      </c>
      <c r="K22" s="968" t="s">
        <v>127</v>
      </c>
      <c r="L22" s="1010"/>
      <c r="M22" s="1011">
        <v>6.0</v>
      </c>
      <c r="N22" s="623"/>
      <c r="O22" s="725">
        <v>1.0</v>
      </c>
      <c r="P22" s="344">
        <f>mround('WEEK 6'!P20*0.9*0.35,5)</f>
        <v>0</v>
      </c>
      <c r="Q22" s="344">
        <v>6.0</v>
      </c>
      <c r="R22" s="343" t="s">
        <v>150</v>
      </c>
      <c r="S22" s="727"/>
      <c r="T22" s="85">
        <v>6.0</v>
      </c>
      <c r="U22" s="1012"/>
      <c r="V22" s="1012"/>
      <c r="W22" s="1012"/>
      <c r="X22" s="1012"/>
      <c r="Y22" s="1012"/>
      <c r="Z22" s="1012"/>
    </row>
    <row r="23">
      <c r="A23" s="725">
        <v>2.0</v>
      </c>
      <c r="B23" s="729">
        <f>IF( 'WEEK 6'!B20&lt;70,MROUND('WEEK 6'!B20*0.78,5),MROUND('WEEK 6'!B20*0.9*0.72,5))</f>
        <v>65</v>
      </c>
      <c r="C23" s="344">
        <v>1.0</v>
      </c>
      <c r="D23" s="343" t="s">
        <v>151</v>
      </c>
      <c r="E23" s="727"/>
      <c r="F23" s="85">
        <v>1.0</v>
      </c>
      <c r="G23" s="1013" t="s">
        <v>123</v>
      </c>
      <c r="H23" s="1009">
        <v>2.0</v>
      </c>
      <c r="I23" s="968">
        <f>mround('WEEK 6'!I20*0.9*0.72,5)</f>
        <v>0</v>
      </c>
      <c r="J23" s="968">
        <v>1.0</v>
      </c>
      <c r="K23" s="968" t="s">
        <v>127</v>
      </c>
      <c r="L23" s="1010"/>
      <c r="M23" s="1011">
        <v>1.0</v>
      </c>
      <c r="N23" s="623"/>
      <c r="O23" s="725">
        <v>2.0</v>
      </c>
      <c r="P23" s="344">
        <f>mround('WEEK 6'!P20*0.9*0.72,5)</f>
        <v>0</v>
      </c>
      <c r="Q23" s="344">
        <v>1.0</v>
      </c>
      <c r="R23" s="343" t="s">
        <v>151</v>
      </c>
      <c r="S23" s="727"/>
      <c r="T23" s="85">
        <v>1.0</v>
      </c>
      <c r="U23" s="1012"/>
      <c r="V23" s="1012"/>
      <c r="W23" s="1012"/>
      <c r="X23" s="1012"/>
      <c r="Y23" s="1012"/>
      <c r="Z23" s="1012"/>
    </row>
    <row r="24">
      <c r="A24" s="725">
        <v>3.0</v>
      </c>
      <c r="B24" s="344">
        <f>mround('WEEK 6'!B20*0.9*0.9,5)</f>
        <v>80</v>
      </c>
      <c r="C24" s="344">
        <v>1.0</v>
      </c>
      <c r="D24" s="343" t="s">
        <v>57</v>
      </c>
      <c r="E24" s="727"/>
      <c r="F24" s="85">
        <v>1.0</v>
      </c>
      <c r="G24" s="28"/>
      <c r="H24" s="1009">
        <v>3.0</v>
      </c>
      <c r="I24" s="968">
        <f>mround('WEEK 6'!I20*0.9*0.9,5)</f>
        <v>0</v>
      </c>
      <c r="J24" s="968">
        <v>1.0</v>
      </c>
      <c r="K24" s="968" t="s">
        <v>127</v>
      </c>
      <c r="L24" s="1010"/>
      <c r="M24" s="1011">
        <v>1.0</v>
      </c>
      <c r="N24" s="623"/>
      <c r="O24" s="725">
        <v>3.0</v>
      </c>
      <c r="P24" s="344">
        <f>mround('WEEK 6'!P20*0.9*0.9,5)</f>
        <v>0</v>
      </c>
      <c r="Q24" s="344">
        <v>1.0</v>
      </c>
      <c r="R24" s="343" t="s">
        <v>57</v>
      </c>
      <c r="S24" s="727"/>
      <c r="T24" s="85">
        <v>1.0</v>
      </c>
      <c r="U24" s="1012"/>
      <c r="V24" s="1012"/>
      <c r="W24" s="1012"/>
      <c r="X24" s="1012"/>
      <c r="Y24" s="1012"/>
      <c r="Z24" s="1012"/>
    </row>
    <row r="25">
      <c r="A25" s="730" t="s">
        <v>152</v>
      </c>
      <c r="B25" s="13"/>
      <c r="C25" s="13"/>
      <c r="D25" s="13"/>
      <c r="E25" s="13"/>
      <c r="F25" s="57"/>
      <c r="G25" s="999"/>
      <c r="H25" s="1014" t="s">
        <v>182</v>
      </c>
      <c r="I25" s="13"/>
      <c r="J25" s="13"/>
      <c r="K25" s="13"/>
      <c r="L25" s="13"/>
      <c r="M25" s="57"/>
      <c r="N25" s="623"/>
      <c r="O25" s="730" t="s">
        <v>152</v>
      </c>
      <c r="P25" s="13"/>
      <c r="Q25" s="13"/>
      <c r="R25" s="13"/>
      <c r="S25" s="13"/>
      <c r="T25" s="57"/>
      <c r="U25" s="987"/>
      <c r="V25" s="987"/>
      <c r="W25" s="987"/>
      <c r="X25" s="987"/>
      <c r="Y25" s="987"/>
      <c r="Z25" s="987"/>
    </row>
    <row r="26">
      <c r="A26" s="96" t="s">
        <v>50</v>
      </c>
      <c r="B26" s="97" t="s">
        <v>51</v>
      </c>
      <c r="C26" s="97" t="s">
        <v>52</v>
      </c>
      <c r="D26" s="97" t="s">
        <v>53</v>
      </c>
      <c r="E26" s="341" t="s">
        <v>54</v>
      </c>
      <c r="F26" s="1003" t="s">
        <v>55</v>
      </c>
      <c r="G26" s="1004"/>
      <c r="H26" s="963" t="s">
        <v>50</v>
      </c>
      <c r="I26" s="963" t="s">
        <v>51</v>
      </c>
      <c r="J26" s="963" t="s">
        <v>52</v>
      </c>
      <c r="K26" s="963" t="s">
        <v>53</v>
      </c>
      <c r="L26" s="1005" t="s">
        <v>54</v>
      </c>
      <c r="M26" s="1006" t="s">
        <v>55</v>
      </c>
      <c r="N26" s="623"/>
      <c r="O26" s="96" t="s">
        <v>50</v>
      </c>
      <c r="P26" s="97" t="s">
        <v>51</v>
      </c>
      <c r="Q26" s="97" t="s">
        <v>52</v>
      </c>
      <c r="R26" s="97" t="s">
        <v>53</v>
      </c>
      <c r="S26" s="341" t="s">
        <v>54</v>
      </c>
      <c r="T26" s="235" t="s">
        <v>55</v>
      </c>
      <c r="U26" s="1007"/>
      <c r="V26" s="1007"/>
      <c r="W26" s="1007"/>
      <c r="X26" s="1007"/>
      <c r="Y26" s="1007"/>
      <c r="Z26" s="1007"/>
    </row>
    <row r="27">
      <c r="A27" s="342">
        <v>1.0</v>
      </c>
      <c r="B27" s="348">
        <f>mround('WEEK 6'!B20*1*0.9,5)</f>
        <v>90</v>
      </c>
      <c r="C27" s="437" t="s">
        <v>65</v>
      </c>
      <c r="D27" s="343" t="s">
        <v>122</v>
      </c>
      <c r="E27" s="727"/>
      <c r="F27" s="85">
        <v>3.0</v>
      </c>
      <c r="G27" s="1008"/>
      <c r="H27" s="1009">
        <v>1.0</v>
      </c>
      <c r="I27" s="1015">
        <f>mround('WEEK 6'!I20*1*0.9,5)</f>
        <v>0</v>
      </c>
      <c r="J27" s="1016" t="s">
        <v>65</v>
      </c>
      <c r="K27" s="968" t="s">
        <v>127</v>
      </c>
      <c r="L27" s="1010"/>
      <c r="M27" s="1017"/>
      <c r="N27" s="623"/>
      <c r="O27" s="725">
        <v>1.0</v>
      </c>
      <c r="P27" s="348">
        <f>mround('WEEK 6'!P20*1*0.9,5)</f>
        <v>0</v>
      </c>
      <c r="Q27" s="437" t="s">
        <v>65</v>
      </c>
      <c r="R27" s="343" t="s">
        <v>122</v>
      </c>
      <c r="S27" s="727"/>
      <c r="T27" s="85">
        <v>6.0</v>
      </c>
      <c r="U27" s="1012"/>
      <c r="V27" s="1012"/>
      <c r="W27" s="1012"/>
      <c r="X27" s="1012"/>
      <c r="Y27" s="1012"/>
      <c r="Z27" s="1012"/>
    </row>
    <row r="28">
      <c r="A28" s="725">
        <v>2.0</v>
      </c>
      <c r="B28" s="348">
        <f>IF('WEEK 6'!F27&lt;3,MROUND('WEEK 6'!B27*0.75,5),IF('WEEK 6'!F27&lt;6,MROUND('WEEK 6'!B27*0.85,5),mround('WEEK 6'!B27*0.9,5)))</f>
        <v>70</v>
      </c>
      <c r="C28" s="437" t="s">
        <v>65</v>
      </c>
      <c r="D28" s="343" t="s">
        <v>122</v>
      </c>
      <c r="E28" s="727"/>
      <c r="F28" s="85"/>
      <c r="G28" s="999"/>
      <c r="H28" s="1009">
        <v>2.0</v>
      </c>
      <c r="I28" s="1015">
        <f>mround('WEEK 6'!I27*0.84,5)</f>
        <v>0</v>
      </c>
      <c r="J28" s="1016" t="s">
        <v>65</v>
      </c>
      <c r="K28" s="968" t="s">
        <v>127</v>
      </c>
      <c r="L28" s="1010"/>
      <c r="M28" s="1017"/>
      <c r="N28" s="623"/>
      <c r="O28" s="725">
        <v>2.0</v>
      </c>
      <c r="P28" s="348">
        <f>IF('WEEK 6'!T27&lt;3,MROUND('WEEK 6'!P27*0.75,5),IF('WEEK 6'!T27&lt;6,MROUND('WEEK 6'!P27*0.85,5),mround('WEEK 6'!P27*0.9,5)))</f>
        <v>0</v>
      </c>
      <c r="Q28" s="437" t="s">
        <v>65</v>
      </c>
      <c r="R28" s="343" t="s">
        <v>122</v>
      </c>
      <c r="S28" s="727"/>
      <c r="T28" s="85"/>
      <c r="U28" s="987"/>
      <c r="V28" s="987"/>
      <c r="W28" s="987"/>
      <c r="X28" s="987"/>
      <c r="Y28" s="987"/>
      <c r="Z28" s="987"/>
    </row>
    <row r="29">
      <c r="A29" s="485">
        <v>3.0</v>
      </c>
      <c r="B29" s="732">
        <f>IF('WEEK 6'!F28&lt;3,MROUND('WEEK 6'!B28*0.75,5),IF('WEEK 6'!F28&lt;6,MROUND('WEEK 6'!B28*0.85,5),mround('WEEK 6'!B28*0.9,5)))</f>
        <v>55</v>
      </c>
      <c r="C29" s="733" t="s">
        <v>65</v>
      </c>
      <c r="D29" s="486" t="s">
        <v>122</v>
      </c>
      <c r="E29" s="734"/>
      <c r="F29" s="85"/>
      <c r="G29" s="999"/>
      <c r="H29" s="1018">
        <v>3.0</v>
      </c>
      <c r="I29" s="1019">
        <f>mround('WEEK 6'!I27*0.72,5)</f>
        <v>0</v>
      </c>
      <c r="J29" s="1020" t="s">
        <v>65</v>
      </c>
      <c r="K29" s="972" t="s">
        <v>127</v>
      </c>
      <c r="L29" s="1021"/>
      <c r="M29" s="1017"/>
      <c r="N29" s="623"/>
      <c r="O29" s="753">
        <v>3.0</v>
      </c>
      <c r="P29" s="732">
        <f>IF('WEEK 6'!T28&lt;3,MROUND('WEEK 6'!P28*0.75,5),IF('WEEK 6'!T28&lt;6,MROUND('WEEK 6'!P28*0.85,5),mround('WEEK 6'!P28*0.9,5)))</f>
        <v>0</v>
      </c>
      <c r="Q29" s="733" t="s">
        <v>65</v>
      </c>
      <c r="R29" s="486" t="s">
        <v>122</v>
      </c>
      <c r="S29" s="734"/>
      <c r="T29" s="85"/>
      <c r="U29" s="987"/>
      <c r="V29" s="987"/>
      <c r="W29" s="987"/>
      <c r="X29" s="987"/>
      <c r="Y29" s="987"/>
      <c r="Z29" s="987"/>
    </row>
    <row r="30">
      <c r="G30" s="623"/>
      <c r="H30" s="987"/>
      <c r="I30" s="987"/>
      <c r="J30" s="987"/>
      <c r="K30" s="987"/>
      <c r="L30" s="987"/>
      <c r="M30" s="987"/>
      <c r="N30" s="987"/>
      <c r="O30" s="987"/>
      <c r="P30" s="987"/>
      <c r="Q30" s="987"/>
      <c r="R30" s="987"/>
      <c r="S30" s="987"/>
      <c r="T30" s="987"/>
      <c r="U30" s="987"/>
      <c r="V30" s="987"/>
      <c r="W30" s="987"/>
      <c r="X30" s="987"/>
      <c r="Y30" s="987"/>
      <c r="Z30" s="987"/>
    </row>
    <row r="31">
      <c r="A31" s="1022"/>
      <c r="B31" s="1022"/>
      <c r="C31" s="1022"/>
      <c r="D31" s="1022"/>
      <c r="E31" s="1022"/>
      <c r="F31" s="989"/>
      <c r="G31" s="987"/>
      <c r="H31" s="987"/>
      <c r="I31" s="987"/>
      <c r="J31" s="987"/>
      <c r="K31" s="987"/>
      <c r="L31" s="987"/>
      <c r="M31" s="987"/>
      <c r="N31" s="987"/>
      <c r="O31" s="987"/>
      <c r="P31" s="987"/>
      <c r="Q31" s="987"/>
      <c r="R31" s="987"/>
      <c r="S31" s="987"/>
      <c r="T31" s="987"/>
      <c r="U31" s="987"/>
      <c r="V31" s="987"/>
      <c r="W31" s="987"/>
      <c r="X31" s="987"/>
      <c r="Y31" s="987"/>
      <c r="Z31" s="987"/>
    </row>
    <row r="32">
      <c r="A32" s="1023" t="str">
        <f>HYPERLINK("https://www.youtube.com/watch?v=mGv8D2DGyNQ","2. DB CHEST FLY")</f>
        <v>2. DB CHEST FLY</v>
      </c>
      <c r="B32" s="13"/>
      <c r="C32" s="13"/>
      <c r="D32" s="13"/>
      <c r="E32" s="13"/>
      <c r="F32" s="57"/>
      <c r="G32" s="987"/>
      <c r="H32" s="504" t="str">
        <f>HYPERLINK("https://www.youtube.com/watch?v=THb0dhfIu1k","2. MACHINE CHEST FLY")</f>
        <v>2. MACHINE CHEST FLY</v>
      </c>
      <c r="I32" s="53"/>
      <c r="J32" s="53"/>
      <c r="K32" s="53"/>
      <c r="L32" s="53"/>
      <c r="M32" s="54"/>
      <c r="N32" s="987"/>
      <c r="O32" s="987"/>
      <c r="P32" s="987"/>
      <c r="Q32" s="987"/>
      <c r="R32" s="987"/>
      <c r="S32" s="987"/>
      <c r="T32" s="987"/>
      <c r="U32" s="987"/>
      <c r="V32" s="987"/>
      <c r="W32" s="987"/>
      <c r="X32" s="987"/>
      <c r="Y32" s="987"/>
      <c r="Z32" s="987"/>
    </row>
    <row r="33">
      <c r="A33" s="226" t="s">
        <v>153</v>
      </c>
      <c r="B33" s="76">
        <f>'WEEK 5 MASTER SHEET'!B38</f>
        <v>105</v>
      </c>
      <c r="C33" s="13"/>
      <c r="D33" s="13"/>
      <c r="E33" s="13"/>
      <c r="F33" s="57"/>
      <c r="G33" s="987"/>
      <c r="H33" s="226" t="s">
        <v>119</v>
      </c>
      <c r="I33" s="548">
        <f>'WEEK 6'!B33</f>
        <v>105</v>
      </c>
      <c r="J33" s="13"/>
      <c r="K33" s="13"/>
      <c r="L33" s="13"/>
      <c r="M33" s="57"/>
      <c r="N33" s="987"/>
      <c r="O33" s="987"/>
      <c r="P33" s="987"/>
      <c r="Q33" s="987"/>
      <c r="R33" s="987"/>
      <c r="S33" s="987"/>
      <c r="T33" s="987"/>
      <c r="U33" s="987"/>
      <c r="V33" s="987"/>
      <c r="W33" s="987"/>
      <c r="X33" s="987"/>
      <c r="Y33" s="987"/>
      <c r="Z33" s="987"/>
    </row>
    <row r="34">
      <c r="A34" s="1024" t="s">
        <v>50</v>
      </c>
      <c r="B34" s="1025" t="s">
        <v>51</v>
      </c>
      <c r="C34" s="1025" t="s">
        <v>52</v>
      </c>
      <c r="D34" s="1025" t="s">
        <v>53</v>
      </c>
      <c r="E34" s="1026" t="s">
        <v>54</v>
      </c>
      <c r="F34" s="1027" t="s">
        <v>55</v>
      </c>
      <c r="G34" s="1007"/>
      <c r="H34" s="96" t="s">
        <v>50</v>
      </c>
      <c r="I34" s="97" t="s">
        <v>51</v>
      </c>
      <c r="J34" s="97" t="s">
        <v>52</v>
      </c>
      <c r="K34" s="97" t="s">
        <v>53</v>
      </c>
      <c r="L34" s="341" t="s">
        <v>54</v>
      </c>
      <c r="M34" s="235" t="s">
        <v>55</v>
      </c>
      <c r="N34" s="1007"/>
      <c r="O34" s="1007"/>
      <c r="P34" s="1007"/>
      <c r="Q34" s="1007"/>
      <c r="R34" s="1007"/>
      <c r="S34" s="1007"/>
      <c r="T34" s="1007"/>
      <c r="U34" s="1007"/>
      <c r="V34" s="1007"/>
      <c r="W34" s="1007"/>
      <c r="X34" s="1007"/>
      <c r="Y34" s="1007"/>
      <c r="Z34" s="1007"/>
    </row>
    <row r="35">
      <c r="A35" s="967">
        <v>1.0</v>
      </c>
      <c r="B35" s="1028">
        <f>mround('WEEK 6'!B33*0.29,2.5)</f>
        <v>30</v>
      </c>
      <c r="C35" s="968">
        <v>15.0</v>
      </c>
      <c r="D35" s="968" t="s">
        <v>127</v>
      </c>
      <c r="E35" s="1010"/>
      <c r="F35" s="1011">
        <v>15.0</v>
      </c>
      <c r="G35" s="1012"/>
      <c r="H35" s="240">
        <v>1.0</v>
      </c>
      <c r="I35" s="254">
        <f>mround('WEEK 6'!I33*2*0.75,10)</f>
        <v>160</v>
      </c>
      <c r="J35" s="241">
        <v>15.0</v>
      </c>
      <c r="K35" s="83" t="s">
        <v>127</v>
      </c>
      <c r="L35" s="84" t="str">
        <f>IF('WEEK 5'!I40='WEEK 6'!I35,'WEEK 5'!M40,"")</f>
        <v/>
      </c>
      <c r="M35" s="85"/>
      <c r="N35" s="1012"/>
      <c r="O35" s="1012"/>
      <c r="P35" s="1012"/>
      <c r="Q35" s="1012"/>
      <c r="R35" s="1012"/>
      <c r="S35" s="1012"/>
      <c r="T35" s="1012"/>
      <c r="U35" s="1012"/>
      <c r="V35" s="1012"/>
      <c r="W35" s="1012"/>
      <c r="X35" s="1012"/>
      <c r="Y35" s="1012"/>
      <c r="Z35" s="1012"/>
    </row>
    <row r="36">
      <c r="A36" s="971">
        <v>2.0</v>
      </c>
      <c r="B36" s="972">
        <f>mround('WEEK 6'!B33*0.29,2.5)</f>
        <v>30</v>
      </c>
      <c r="C36" s="972">
        <v>15.0</v>
      </c>
      <c r="D36" s="972" t="s">
        <v>127</v>
      </c>
      <c r="E36" s="1021"/>
      <c r="F36" s="1011">
        <v>15.0</v>
      </c>
      <c r="G36" s="1012"/>
      <c r="H36" s="661">
        <v>2.0</v>
      </c>
      <c r="I36" s="662">
        <f>mround('WEEK 6'!I33*2*0.75,10)</f>
        <v>160</v>
      </c>
      <c r="J36" s="662">
        <v>15.0</v>
      </c>
      <c r="K36" s="88" t="s">
        <v>127</v>
      </c>
      <c r="L36" s="89" t="str">
        <f>IF('WEEK 5'!I41='WEEK 6'!I36,'WEEK 5'!M41,"")</f>
        <v/>
      </c>
      <c r="M36" s="85"/>
      <c r="N36" s="1012"/>
      <c r="O36" s="1012"/>
      <c r="P36" s="1012"/>
      <c r="Q36" s="1012"/>
      <c r="R36" s="1012"/>
      <c r="S36" s="1012"/>
      <c r="T36" s="1012"/>
      <c r="U36" s="1012"/>
      <c r="V36" s="1012"/>
      <c r="W36" s="1012"/>
      <c r="X36" s="1012"/>
      <c r="Y36" s="1012"/>
      <c r="Z36" s="1012"/>
    </row>
    <row r="37">
      <c r="A37" s="987"/>
      <c r="B37" s="987"/>
      <c r="C37" s="987"/>
      <c r="D37" s="987"/>
      <c r="E37" s="987"/>
      <c r="F37" s="987"/>
      <c r="G37" s="987"/>
      <c r="H37" s="987"/>
      <c r="I37" s="987"/>
      <c r="J37" s="987"/>
      <c r="K37" s="987"/>
      <c r="L37" s="987"/>
      <c r="M37" s="987"/>
      <c r="N37" s="987"/>
      <c r="O37" s="987"/>
      <c r="P37" s="987"/>
      <c r="Q37" s="987"/>
      <c r="R37" s="987"/>
      <c r="S37" s="987"/>
      <c r="T37" s="987"/>
      <c r="U37" s="987"/>
      <c r="V37" s="987"/>
      <c r="W37" s="987"/>
      <c r="X37" s="987"/>
      <c r="Y37" s="987"/>
      <c r="Z37" s="987"/>
    </row>
    <row r="38">
      <c r="A38" s="989"/>
      <c r="B38" s="989"/>
      <c r="C38" s="989"/>
      <c r="D38" s="989"/>
      <c r="E38" s="989"/>
      <c r="F38" s="989"/>
      <c r="G38" s="987"/>
      <c r="H38" s="987"/>
      <c r="I38" s="987"/>
      <c r="J38" s="987"/>
      <c r="K38" s="987"/>
      <c r="L38" s="987"/>
      <c r="M38" s="987"/>
      <c r="N38" s="987"/>
      <c r="O38" s="987"/>
      <c r="P38" s="987"/>
      <c r="Q38" s="987"/>
      <c r="R38" s="987"/>
      <c r="S38" s="987"/>
      <c r="T38" s="987"/>
      <c r="U38" s="987"/>
      <c r="V38" s="987"/>
      <c r="W38" s="987"/>
      <c r="X38" s="987"/>
      <c r="Y38" s="987"/>
      <c r="Z38" s="987"/>
    </row>
    <row r="39">
      <c r="A39" s="73" t="str">
        <f>HYPERLINK("https://youtu.be/9YH1YvZbiY0","3. MACHINE LOW ROW ")</f>
        <v>3. MACHINE LOW ROW </v>
      </c>
      <c r="B39" s="53"/>
      <c r="C39" s="53"/>
      <c r="D39" s="53"/>
      <c r="E39" s="53"/>
      <c r="F39" s="54"/>
      <c r="G39" s="987"/>
      <c r="H39" s="987"/>
      <c r="I39" s="987"/>
      <c r="J39" s="987"/>
      <c r="K39" s="987"/>
      <c r="L39" s="987"/>
      <c r="M39" s="987"/>
      <c r="N39" s="987"/>
      <c r="O39" s="987"/>
      <c r="P39" s="987"/>
      <c r="Q39" s="987"/>
      <c r="R39" s="987"/>
      <c r="S39" s="987"/>
      <c r="T39" s="987"/>
      <c r="U39" s="987"/>
      <c r="V39" s="987"/>
      <c r="W39" s="987"/>
      <c r="X39" s="987"/>
      <c r="Y39" s="987"/>
      <c r="Z39" s="987"/>
    </row>
    <row r="40">
      <c r="A40" s="226" t="s">
        <v>119</v>
      </c>
      <c r="B40" s="227">
        <f>'WEEK 5'!B61</f>
        <v>205</v>
      </c>
      <c r="C40" s="20"/>
      <c r="D40" s="20"/>
      <c r="E40" s="20"/>
      <c r="F40" s="95"/>
      <c r="G40" s="987"/>
      <c r="H40" s="987"/>
      <c r="I40" s="987"/>
      <c r="J40" s="987"/>
      <c r="K40" s="987"/>
      <c r="L40" s="987"/>
      <c r="M40" s="987"/>
      <c r="N40" s="987"/>
      <c r="O40" s="987"/>
      <c r="P40" s="987"/>
      <c r="Q40" s="987"/>
      <c r="R40" s="987"/>
      <c r="S40" s="987"/>
      <c r="T40" s="987"/>
      <c r="U40" s="987"/>
      <c r="V40" s="987"/>
      <c r="W40" s="987"/>
      <c r="X40" s="987"/>
      <c r="Y40" s="987"/>
      <c r="Z40" s="987"/>
    </row>
    <row r="41">
      <c r="A41" s="231" t="s">
        <v>50</v>
      </c>
      <c r="B41" s="232" t="s">
        <v>51</v>
      </c>
      <c r="C41" s="232" t="s">
        <v>52</v>
      </c>
      <c r="D41" s="232" t="s">
        <v>53</v>
      </c>
      <c r="E41" s="233" t="s">
        <v>54</v>
      </c>
      <c r="F41" s="61" t="s">
        <v>55</v>
      </c>
      <c r="G41" s="1007"/>
      <c r="H41" s="1007"/>
      <c r="I41" s="1007"/>
      <c r="J41" s="1007"/>
      <c r="K41" s="1007"/>
      <c r="L41" s="1007"/>
      <c r="M41" s="1007"/>
      <c r="N41" s="1007"/>
      <c r="O41" s="1007"/>
      <c r="P41" s="1007"/>
      <c r="Q41" s="1007"/>
      <c r="R41" s="1007"/>
      <c r="S41" s="1007"/>
      <c r="T41" s="1007"/>
      <c r="U41" s="1007"/>
      <c r="V41" s="1007"/>
      <c r="W41" s="1007"/>
      <c r="X41" s="1007"/>
      <c r="Y41" s="1007"/>
      <c r="Z41" s="1007"/>
    </row>
    <row r="42">
      <c r="A42" s="236">
        <v>1.0</v>
      </c>
      <c r="B42" s="237">
        <f>mround('WEEK 6'!B40*0.35,5)</f>
        <v>70</v>
      </c>
      <c r="C42" s="237">
        <v>6.0</v>
      </c>
      <c r="D42" s="238" t="s">
        <v>120</v>
      </c>
      <c r="E42" s="66"/>
      <c r="F42" s="67"/>
      <c r="G42" s="1012"/>
      <c r="H42" s="1012"/>
      <c r="I42" s="1012"/>
      <c r="J42" s="1012"/>
      <c r="K42" s="1012"/>
      <c r="L42" s="1012"/>
      <c r="M42" s="1012"/>
      <c r="N42" s="1012"/>
      <c r="O42" s="1012"/>
      <c r="P42" s="1012"/>
      <c r="Q42" s="1012"/>
      <c r="R42" s="1012"/>
      <c r="S42" s="1012"/>
      <c r="T42" s="1012"/>
      <c r="U42" s="1012"/>
      <c r="V42" s="1012"/>
      <c r="W42" s="1012"/>
      <c r="X42" s="1012"/>
      <c r="Y42" s="1012"/>
      <c r="Z42" s="1012"/>
    </row>
    <row r="43">
      <c r="A43" s="236">
        <v>2.0</v>
      </c>
      <c r="B43" s="237">
        <f>mround('WEEK 6'!B40*0.65,5)</f>
        <v>135</v>
      </c>
      <c r="C43" s="238">
        <v>3.0</v>
      </c>
      <c r="D43" s="238" t="s">
        <v>121</v>
      </c>
      <c r="E43" s="66"/>
      <c r="F43" s="67"/>
      <c r="G43" s="1012"/>
      <c r="H43" s="1012"/>
      <c r="I43" s="1012"/>
      <c r="J43" s="1012"/>
      <c r="K43" s="1012"/>
      <c r="L43" s="1012"/>
      <c r="M43" s="1012"/>
      <c r="N43" s="1012"/>
      <c r="O43" s="1012"/>
      <c r="P43" s="1012"/>
      <c r="Q43" s="1012"/>
      <c r="R43" s="1012"/>
      <c r="S43" s="1012"/>
      <c r="T43" s="1012"/>
      <c r="U43" s="1012"/>
      <c r="V43" s="1012"/>
      <c r="W43" s="1012"/>
      <c r="X43" s="1012"/>
      <c r="Y43" s="1012"/>
      <c r="Z43" s="1012"/>
    </row>
    <row r="44">
      <c r="A44" s="242">
        <v>3.0</v>
      </c>
      <c r="B44" s="237">
        <f>mround('WEEK 6'!B40*0.9,5)</f>
        <v>185</v>
      </c>
      <c r="C44" s="63">
        <v>2.0</v>
      </c>
      <c r="D44" s="238" t="s">
        <v>121</v>
      </c>
      <c r="E44" s="66"/>
      <c r="F44" s="67"/>
      <c r="G44" s="1012"/>
      <c r="H44" s="1012"/>
      <c r="I44" s="1012"/>
      <c r="J44" s="1012"/>
      <c r="K44" s="1012"/>
      <c r="L44" s="1012"/>
      <c r="M44" s="1012"/>
      <c r="N44" s="1012"/>
      <c r="O44" s="1012"/>
      <c r="P44" s="1012"/>
      <c r="Q44" s="1012"/>
      <c r="R44" s="1012"/>
      <c r="S44" s="1012"/>
      <c r="T44" s="1012"/>
      <c r="U44" s="1012"/>
      <c r="V44" s="1012"/>
      <c r="W44" s="1012"/>
      <c r="X44" s="1012"/>
      <c r="Y44" s="1012"/>
      <c r="Z44" s="1012"/>
    </row>
    <row r="45">
      <c r="A45" s="243">
        <v>4.0</v>
      </c>
      <c r="B45" s="237">
        <f>'WEEK 6'!B40</f>
        <v>205</v>
      </c>
      <c r="C45" s="257">
        <v>3.0</v>
      </c>
      <c r="D45" s="238" t="s">
        <v>122</v>
      </c>
      <c r="E45" s="66"/>
      <c r="F45" s="67"/>
      <c r="G45" s="1012"/>
      <c r="H45" s="1012"/>
      <c r="I45" s="1012"/>
      <c r="J45" s="1012"/>
      <c r="K45" s="1012"/>
      <c r="L45" s="1012"/>
      <c r="M45" s="1012"/>
      <c r="N45" s="1012"/>
      <c r="O45" s="1012"/>
      <c r="P45" s="1012"/>
      <c r="Q45" s="1012"/>
      <c r="R45" s="1012"/>
      <c r="S45" s="1012"/>
      <c r="T45" s="1012"/>
      <c r="U45" s="1012"/>
      <c r="V45" s="1012"/>
      <c r="W45" s="1012"/>
      <c r="X45" s="1012"/>
      <c r="Y45" s="1012"/>
      <c r="Z45" s="1012"/>
    </row>
    <row r="46">
      <c r="A46" s="246" t="str">
        <f>IF('WEEK 6'!F45&lt;3,"PROCEED TO DOWN SETS","NEW 4 REP MAX ATTEMPT")</f>
        <v>PROCEED TO DOWN SETS</v>
      </c>
      <c r="B46" s="20"/>
      <c r="C46" s="20"/>
      <c r="D46" s="20"/>
      <c r="E46" s="20"/>
      <c r="F46" s="95"/>
      <c r="G46" s="987"/>
      <c r="H46" s="987"/>
      <c r="I46" s="987"/>
      <c r="J46" s="987"/>
      <c r="K46" s="987"/>
      <c r="L46" s="987"/>
      <c r="M46" s="987"/>
      <c r="N46" s="987"/>
      <c r="O46" s="987"/>
      <c r="P46" s="987"/>
      <c r="Q46" s="987"/>
      <c r="R46" s="987"/>
      <c r="S46" s="987"/>
      <c r="T46" s="987"/>
      <c r="U46" s="987"/>
      <c r="V46" s="987"/>
      <c r="W46" s="987"/>
      <c r="X46" s="987"/>
      <c r="Y46" s="987"/>
      <c r="Z46" s="987"/>
    </row>
    <row r="47">
      <c r="A47" s="249" t="str">
        <f>if('WEEK 6'!F45&lt;=2,"",5)</f>
        <v/>
      </c>
      <c r="B47" s="175" t="str">
        <f>IF('WEEK 6'!F45&lt;=2,"",'WEEK 6'!B45+5)</f>
        <v/>
      </c>
      <c r="C47" s="238" t="str">
        <f>if('WEEK 6'!F45&lt;=2,"",4)</f>
        <v/>
      </c>
      <c r="D47" s="238" t="str">
        <f>if('WEEK 6'!F45&lt;=2,"","1-5 MIN")</f>
        <v/>
      </c>
      <c r="E47" s="250"/>
      <c r="F47" s="67"/>
      <c r="G47" s="1012"/>
      <c r="H47" s="1012"/>
      <c r="I47" s="1012"/>
      <c r="J47" s="1012"/>
      <c r="K47" s="1012"/>
      <c r="L47" s="1012"/>
      <c r="M47" s="1012"/>
      <c r="N47" s="1012"/>
      <c r="O47" s="1012"/>
      <c r="P47" s="1012"/>
      <c r="Q47" s="1012"/>
      <c r="R47" s="1012"/>
      <c r="S47" s="1012"/>
      <c r="T47" s="1012"/>
      <c r="U47" s="1012"/>
      <c r="V47" s="1012"/>
      <c r="W47" s="1012"/>
      <c r="X47" s="1012"/>
      <c r="Y47" s="1012"/>
      <c r="Z47" s="1012"/>
    </row>
    <row r="48">
      <c r="A48" s="259" t="str">
        <f>IF('WEEK 6'!F47&lt;4,"","6")</f>
        <v/>
      </c>
      <c r="B48" s="237" t="str">
        <f>IF('WEEK 6'!F47&lt;4,"",'WEEK 6'!B47+5)</f>
        <v/>
      </c>
      <c r="C48" s="257" t="str">
        <f>IF('WEEK 6'!F47&lt;4,"","4")</f>
        <v/>
      </c>
      <c r="D48" s="257" t="str">
        <f>IF('WEEK 6'!F47&lt;4,"","1-5 MIN")</f>
        <v/>
      </c>
      <c r="E48" s="258"/>
      <c r="F48" s="67"/>
      <c r="G48" s="1012"/>
      <c r="H48" s="1012"/>
      <c r="I48" s="1012"/>
      <c r="J48" s="1012"/>
      <c r="K48" s="1012"/>
      <c r="L48" s="1012"/>
      <c r="M48" s="1012"/>
      <c r="N48" s="1012"/>
      <c r="O48" s="1012"/>
      <c r="P48" s="1012"/>
      <c r="Q48" s="1012"/>
      <c r="R48" s="1012"/>
      <c r="S48" s="1012"/>
      <c r="T48" s="1012"/>
      <c r="U48" s="1012"/>
      <c r="V48" s="1012"/>
      <c r="W48" s="1012"/>
      <c r="X48" s="1012"/>
      <c r="Y48" s="1012"/>
      <c r="Z48" s="1012"/>
    </row>
    <row r="49">
      <c r="A49" s="246" t="s">
        <v>133</v>
      </c>
      <c r="B49" s="20"/>
      <c r="C49" s="20"/>
      <c r="D49" s="20"/>
      <c r="E49" s="20"/>
      <c r="F49" s="95"/>
      <c r="G49" s="1012"/>
      <c r="H49" s="1012"/>
      <c r="I49" s="1012"/>
      <c r="J49" s="1012"/>
      <c r="K49" s="1012"/>
      <c r="L49" s="1012"/>
      <c r="M49" s="1012"/>
      <c r="N49" s="1012"/>
      <c r="O49" s="1012"/>
      <c r="P49" s="1012"/>
      <c r="Q49" s="1012"/>
      <c r="R49" s="1012"/>
      <c r="S49" s="1012"/>
      <c r="T49" s="1012"/>
      <c r="U49" s="1012"/>
      <c r="V49" s="1012"/>
      <c r="W49" s="1012"/>
      <c r="X49" s="1012"/>
      <c r="Y49" s="1012"/>
      <c r="Z49" s="1012"/>
    </row>
    <row r="50">
      <c r="A50" s="264" t="str">
        <f>IF(OR(ISBLANK('WEEK 6'!F45),ISBLANK('WEEK 6'!F44),ISBLANK('WEEK 6'!F43)),"",IF((AND('WEEK 6'!A47="",'WEEK 6'!A48="")),5,IF((AND('WEEK 6'!A47&gt;1,'WEEK 6'!A48="")),6,7)))</f>
        <v/>
      </c>
      <c r="B50" s="265">
        <f>MROUND('WEEK 6'!B52*0.8,5)</f>
        <v>0</v>
      </c>
      <c r="C50" s="266" t="s">
        <v>65</v>
      </c>
      <c r="D50" s="267" t="s">
        <v>127</v>
      </c>
      <c r="E50" s="268"/>
      <c r="F50" s="67"/>
      <c r="G50" s="987"/>
      <c r="H50" s="987"/>
      <c r="I50" s="987"/>
      <c r="J50" s="987"/>
      <c r="K50" s="987"/>
      <c r="L50" s="987"/>
      <c r="M50" s="987"/>
      <c r="N50" s="987"/>
      <c r="O50" s="987"/>
      <c r="P50" s="987"/>
      <c r="Q50" s="987"/>
      <c r="R50" s="987"/>
      <c r="S50" s="987"/>
      <c r="T50" s="987"/>
      <c r="U50" s="987"/>
      <c r="V50" s="987"/>
      <c r="W50" s="987"/>
      <c r="X50" s="987"/>
      <c r="Y50" s="987"/>
      <c r="Z50" s="987"/>
    </row>
    <row r="51">
      <c r="A51" s="243" t="str">
        <f>IF(OR(ISBLANK('WEEK 6'!F45),ISBLANK('WEEK 6'!F44),ISBLANK('WEEK 6'!F43)),"",IF((AND('WEEK 6'!A47="",'WEEK 6'!A48="")),6,IF((AND('WEEK 6'!A47&gt;1,'WEEK 6'!A48="")),7,8)))</f>
        <v/>
      </c>
      <c r="B51" s="237">
        <f>mround('WEEK 6'!B52*0.7,5)</f>
        <v>0</v>
      </c>
      <c r="C51" s="245" t="s">
        <v>65</v>
      </c>
      <c r="D51" s="65" t="s">
        <v>127</v>
      </c>
      <c r="E51" s="258"/>
      <c r="F51" s="271"/>
      <c r="G51" s="987"/>
      <c r="H51" s="987"/>
      <c r="I51" s="987"/>
      <c r="J51" s="987"/>
      <c r="K51" s="987"/>
      <c r="L51" s="987"/>
      <c r="M51" s="987"/>
      <c r="N51" s="987"/>
      <c r="O51" s="987"/>
      <c r="P51" s="987"/>
      <c r="Q51" s="987"/>
      <c r="R51" s="987"/>
      <c r="S51" s="987"/>
      <c r="T51" s="987"/>
      <c r="U51" s="987"/>
      <c r="V51" s="987"/>
      <c r="W51" s="987"/>
      <c r="X51" s="987"/>
      <c r="Y51" s="987"/>
      <c r="Z51" s="987"/>
    </row>
    <row r="52">
      <c r="A52" s="272" t="s">
        <v>124</v>
      </c>
      <c r="B52" s="273" t="str">
        <f>IF(OR(ISBLANK('WEEK 6'!F45),ISBLANK('WEEK 6'!F44),ISBLANK('WEEK 6'!F43)),"",IF('WEEK 6'!F48&gt;=4,'WEEK 6'!B48,IF('WEEK 6'!F47&gt;=1,'WEEK 6'!B47,IF('WEEK 6'!F45&lt;3,'WEEK 6'!B45-5,'WEEK 6'!B45))))</f>
        <v/>
      </c>
      <c r="C52" s="11"/>
      <c r="D52" s="11"/>
      <c r="E52" s="11"/>
      <c r="F52" s="46"/>
      <c r="G52" s="987"/>
      <c r="H52" s="987"/>
      <c r="I52" s="987"/>
      <c r="J52" s="987"/>
      <c r="K52" s="987"/>
      <c r="L52" s="987"/>
      <c r="M52" s="987"/>
      <c r="N52" s="987"/>
      <c r="O52" s="987"/>
      <c r="P52" s="987"/>
      <c r="Q52" s="987"/>
      <c r="R52" s="987"/>
      <c r="S52" s="987"/>
      <c r="T52" s="987"/>
      <c r="U52" s="987"/>
      <c r="V52" s="987"/>
      <c r="W52" s="987"/>
      <c r="X52" s="987"/>
      <c r="Y52" s="987"/>
      <c r="Z52" s="987"/>
    </row>
    <row r="53">
      <c r="A53" s="292"/>
      <c r="B53" s="292"/>
      <c r="C53" s="292"/>
      <c r="D53" s="292"/>
      <c r="E53" s="292"/>
      <c r="F53" s="292"/>
      <c r="G53" s="987"/>
      <c r="H53" s="987"/>
      <c r="I53" s="987"/>
      <c r="J53" s="987"/>
      <c r="K53" s="987"/>
      <c r="L53" s="987"/>
      <c r="M53" s="987"/>
      <c r="N53" s="987"/>
      <c r="O53" s="987"/>
      <c r="P53" s="987"/>
      <c r="Q53" s="987"/>
      <c r="R53" s="987"/>
      <c r="S53" s="987"/>
      <c r="T53" s="987"/>
      <c r="U53" s="987"/>
      <c r="V53" s="987"/>
      <c r="W53" s="987"/>
      <c r="X53" s="987"/>
      <c r="Y53" s="987"/>
      <c r="Z53" s="987"/>
    </row>
    <row r="54">
      <c r="A54" s="73" t="str">
        <f>HYPERLINK("https://youtu.be/hMUUvL3FlkE","4. HIGH ROW")</f>
        <v>4. HIGH ROW</v>
      </c>
      <c r="B54" s="53"/>
      <c r="C54" s="53"/>
      <c r="D54" s="53"/>
      <c r="E54" s="53"/>
      <c r="F54" s="54"/>
      <c r="G54" s="1029" t="s">
        <v>41</v>
      </c>
      <c r="H54" s="987"/>
      <c r="I54" s="987"/>
      <c r="J54" s="987"/>
      <c r="K54" s="987"/>
      <c r="L54" s="987"/>
      <c r="M54" s="987"/>
      <c r="N54" s="987"/>
      <c r="O54" s="987"/>
      <c r="P54" s="987"/>
      <c r="Q54" s="987"/>
      <c r="R54" s="987"/>
      <c r="S54" s="987"/>
      <c r="T54" s="987"/>
      <c r="U54" s="987"/>
      <c r="V54" s="987"/>
      <c r="W54" s="987"/>
      <c r="X54" s="987"/>
      <c r="Y54" s="987"/>
      <c r="Z54" s="987"/>
    </row>
    <row r="55">
      <c r="A55" s="282" t="s">
        <v>119</v>
      </c>
      <c r="B55" s="56">
        <f>'WEEK 5'!B69</f>
        <v>60</v>
      </c>
      <c r="C55" s="13"/>
      <c r="D55" s="13"/>
      <c r="E55" s="13"/>
      <c r="F55" s="57"/>
      <c r="G55" s="1007"/>
      <c r="H55" s="1007"/>
      <c r="I55" s="1007"/>
      <c r="J55" s="1007"/>
      <c r="K55" s="1007"/>
      <c r="L55" s="1007"/>
      <c r="M55" s="1007"/>
      <c r="N55" s="1007"/>
      <c r="O55" s="1007"/>
      <c r="P55" s="1007"/>
      <c r="Q55" s="1007"/>
      <c r="R55" s="1007"/>
      <c r="S55" s="1007"/>
      <c r="T55" s="1007"/>
      <c r="U55" s="1007"/>
      <c r="V55" s="1007"/>
      <c r="W55" s="1007"/>
      <c r="X55" s="1007"/>
      <c r="Y55" s="1007"/>
      <c r="Z55" s="1007"/>
    </row>
    <row r="56">
      <c r="A56" s="58" t="s">
        <v>50</v>
      </c>
      <c r="B56" s="59" t="s">
        <v>51</v>
      </c>
      <c r="C56" s="59" t="s">
        <v>52</v>
      </c>
      <c r="D56" s="59" t="s">
        <v>53</v>
      </c>
      <c r="E56" s="60" t="s">
        <v>54</v>
      </c>
      <c r="F56" s="61" t="s">
        <v>55</v>
      </c>
      <c r="G56" s="1012"/>
      <c r="H56" s="1012"/>
      <c r="I56" s="1012"/>
      <c r="J56" s="1012"/>
      <c r="K56" s="1012"/>
      <c r="L56" s="1012"/>
      <c r="M56" s="1012"/>
      <c r="N56" s="1012"/>
      <c r="O56" s="1012"/>
      <c r="P56" s="1012"/>
      <c r="Q56" s="1012"/>
      <c r="R56" s="1012"/>
      <c r="S56" s="1012"/>
      <c r="T56" s="1012"/>
      <c r="U56" s="1012"/>
      <c r="V56" s="1012"/>
      <c r="W56" s="1012"/>
      <c r="X56" s="1012"/>
      <c r="Y56" s="1012"/>
      <c r="Z56" s="1012"/>
    </row>
    <row r="57">
      <c r="A57" s="62">
        <v>1.0</v>
      </c>
      <c r="B57" s="63">
        <f>MROUND('WEEK 6'!B55*0.9,5)</f>
        <v>55</v>
      </c>
      <c r="C57" s="104" t="s">
        <v>65</v>
      </c>
      <c r="D57" s="65" t="s">
        <v>57</v>
      </c>
      <c r="E57" s="84" t="str">
        <f>IF('WEEK 1 '!B63='WEEK 6'!B57,'WEEK 1 '!F63,"")</f>
        <v/>
      </c>
      <c r="F57" s="67"/>
      <c r="G57" s="1012"/>
      <c r="H57" s="1012"/>
      <c r="I57" s="1012"/>
      <c r="J57" s="1012"/>
      <c r="K57" s="1012"/>
      <c r="L57" s="1012"/>
      <c r="M57" s="1012"/>
      <c r="N57" s="1012"/>
      <c r="O57" s="1012"/>
      <c r="P57" s="1012"/>
      <c r="Q57" s="1012"/>
      <c r="R57" s="1012"/>
      <c r="S57" s="1012"/>
      <c r="T57" s="1012"/>
      <c r="U57" s="1012"/>
      <c r="V57" s="1012"/>
      <c r="W57" s="1012"/>
      <c r="X57" s="1012"/>
      <c r="Y57" s="1012"/>
      <c r="Z57" s="1012"/>
    </row>
    <row r="58">
      <c r="A58" s="62">
        <v>2.0</v>
      </c>
      <c r="B58" s="63">
        <f>IF('WEEK 6'!F57&lt;6,MROUND('WEEK 6'!B55*0.75,5),IF('WEEK 6'!F57&lt;=11,MROUND('WEEK 6'!B55*0.85,5),'WEEK 6'!B57))</f>
        <v>45</v>
      </c>
      <c r="C58" s="104" t="s">
        <v>65</v>
      </c>
      <c r="D58" s="65" t="s">
        <v>57</v>
      </c>
      <c r="E58" s="84" t="str">
        <f>IF('WEEK 1 '!B64='WEEK 6'!B58,'WEEK 1 '!F64,"")</f>
        <v/>
      </c>
      <c r="F58" s="67"/>
      <c r="G58" s="1012"/>
      <c r="H58" s="1012"/>
      <c r="I58" s="1012"/>
      <c r="J58" s="1012"/>
      <c r="K58" s="1012"/>
      <c r="L58" s="1012"/>
      <c r="M58" s="1012"/>
      <c r="N58" s="1012"/>
      <c r="O58" s="1012"/>
      <c r="P58" s="1012"/>
      <c r="Q58" s="1012"/>
      <c r="R58" s="1012"/>
      <c r="S58" s="1012"/>
      <c r="T58" s="1012"/>
      <c r="U58" s="1012"/>
      <c r="V58" s="1012"/>
      <c r="W58" s="1012"/>
      <c r="X58" s="1012"/>
      <c r="Y58" s="1012"/>
      <c r="Z58" s="1012"/>
    </row>
    <row r="59">
      <c r="A59" s="68">
        <v>3.0</v>
      </c>
      <c r="B59" s="69">
        <f>IF('WEEK 6'!F58&lt;6,MROUND('WEEK 6'!B55*0.75,5),IF('WEEK 6'!F58&lt;=11,MROUND('WEEK 6'!B55*0.85,5),'WEEK 6'!B58))</f>
        <v>45</v>
      </c>
      <c r="C59" s="105" t="s">
        <v>65</v>
      </c>
      <c r="D59" s="71" t="s">
        <v>57</v>
      </c>
      <c r="E59" s="89" t="str">
        <f>IF('WEEK 1 '!B65='WEEK 6'!B59,'WEEK 1 '!F65,"")</f>
        <v/>
      </c>
      <c r="F59" s="67"/>
      <c r="G59" s="987"/>
      <c r="H59" s="987"/>
      <c r="I59" s="987"/>
      <c r="J59" s="987"/>
      <c r="K59" s="987"/>
      <c r="L59" s="987"/>
      <c r="M59" s="987"/>
      <c r="N59" s="987"/>
      <c r="O59" s="987"/>
      <c r="P59" s="987"/>
      <c r="Q59" s="987"/>
      <c r="R59" s="987"/>
      <c r="S59" s="987"/>
      <c r="T59" s="987"/>
      <c r="U59" s="987"/>
      <c r="V59" s="987"/>
      <c r="W59" s="987"/>
      <c r="X59" s="987"/>
      <c r="Y59" s="987"/>
      <c r="Z59" s="987"/>
    </row>
    <row r="60">
      <c r="A60" s="657"/>
      <c r="G60" s="987"/>
      <c r="H60" s="987"/>
      <c r="I60" s="987"/>
      <c r="J60" s="987"/>
      <c r="K60" s="987"/>
      <c r="L60" s="987"/>
      <c r="M60" s="987"/>
      <c r="N60" s="987"/>
      <c r="O60" s="987"/>
      <c r="P60" s="987"/>
      <c r="Q60" s="987"/>
      <c r="R60" s="987"/>
      <c r="S60" s="987"/>
      <c r="T60" s="987"/>
      <c r="U60" s="987"/>
      <c r="V60" s="987"/>
      <c r="W60" s="987"/>
      <c r="X60" s="987"/>
      <c r="Y60" s="987"/>
      <c r="Z60" s="987"/>
    </row>
    <row r="61">
      <c r="G61" s="987"/>
      <c r="H61" s="987"/>
      <c r="I61" s="987"/>
      <c r="J61" s="987"/>
      <c r="K61" s="987"/>
      <c r="L61" s="987"/>
      <c r="M61" s="987"/>
      <c r="N61" s="987"/>
      <c r="O61" s="987"/>
      <c r="P61" s="987"/>
      <c r="Q61" s="987"/>
      <c r="R61" s="987"/>
      <c r="S61" s="987"/>
      <c r="T61" s="987"/>
      <c r="U61" s="987"/>
      <c r="V61" s="987"/>
      <c r="W61" s="987"/>
      <c r="X61" s="987"/>
      <c r="Y61" s="987"/>
      <c r="Z61" s="987"/>
    </row>
    <row r="62">
      <c r="A62" s="440" t="str">
        <f>HYPERLINK("https://www.youtube.com/watch?v=PnaDzYh2axA","5. LAT PULL DOWN")</f>
        <v>5. LAT PULL DOWN</v>
      </c>
      <c r="B62" s="53"/>
      <c r="C62" s="53"/>
      <c r="D62" s="53"/>
      <c r="E62" s="53"/>
      <c r="F62" s="54"/>
      <c r="G62" s="987"/>
      <c r="H62" s="987"/>
      <c r="I62" s="987"/>
      <c r="J62" s="987"/>
      <c r="K62" s="987"/>
      <c r="L62" s="987"/>
      <c r="M62" s="987"/>
      <c r="N62" s="987"/>
      <c r="O62" s="987"/>
      <c r="P62" s="987"/>
      <c r="Q62" s="987"/>
      <c r="R62" s="987"/>
      <c r="S62" s="987"/>
      <c r="T62" s="987"/>
      <c r="U62" s="987"/>
      <c r="V62" s="987"/>
      <c r="W62" s="987"/>
      <c r="X62" s="987"/>
      <c r="Y62" s="987"/>
      <c r="Z62" s="987"/>
    </row>
    <row r="63">
      <c r="A63" s="282" t="s">
        <v>119</v>
      </c>
      <c r="B63" s="56">
        <f>'WEEK 5'!B57</f>
        <v>270</v>
      </c>
      <c r="C63" s="13"/>
      <c r="D63" s="13"/>
      <c r="E63" s="13"/>
      <c r="F63" s="57"/>
      <c r="G63" s="1007"/>
      <c r="H63" s="1007"/>
      <c r="I63" s="1007"/>
      <c r="J63" s="1007"/>
      <c r="K63" s="1007"/>
      <c r="L63" s="1007"/>
      <c r="M63" s="1007"/>
      <c r="N63" s="1007"/>
      <c r="O63" s="1007"/>
      <c r="P63" s="1007"/>
      <c r="Q63" s="1007"/>
      <c r="R63" s="1007"/>
      <c r="S63" s="1007"/>
      <c r="T63" s="1007"/>
      <c r="U63" s="1007"/>
      <c r="V63" s="1007"/>
      <c r="W63" s="1007"/>
      <c r="X63" s="1007"/>
      <c r="Y63" s="1007"/>
      <c r="Z63" s="1007"/>
    </row>
    <row r="64">
      <c r="A64" s="58" t="s">
        <v>50</v>
      </c>
      <c r="B64" s="59" t="s">
        <v>51</v>
      </c>
      <c r="C64" s="59" t="s">
        <v>52</v>
      </c>
      <c r="D64" s="59" t="s">
        <v>53</v>
      </c>
      <c r="E64" s="60" t="s">
        <v>54</v>
      </c>
      <c r="F64" s="61" t="s">
        <v>55</v>
      </c>
      <c r="G64" s="987"/>
      <c r="H64" s="987"/>
      <c r="I64" s="987"/>
      <c r="J64" s="987"/>
      <c r="K64" s="987"/>
      <c r="L64" s="987"/>
      <c r="M64" s="987"/>
      <c r="N64" s="987"/>
      <c r="O64" s="987"/>
      <c r="P64" s="987"/>
      <c r="Q64" s="987"/>
      <c r="R64" s="987"/>
      <c r="S64" s="987"/>
      <c r="T64" s="987"/>
      <c r="U64" s="987"/>
      <c r="V64" s="987"/>
      <c r="W64" s="987"/>
      <c r="X64" s="987"/>
      <c r="Y64" s="987"/>
      <c r="Z64" s="987"/>
    </row>
    <row r="65">
      <c r="A65" s="62">
        <v>1.0</v>
      </c>
      <c r="B65" s="63">
        <f>MROUND('WEEK 6'!B63*0.85,5)</f>
        <v>230</v>
      </c>
      <c r="C65" s="104" t="s">
        <v>65</v>
      </c>
      <c r="D65" s="65" t="s">
        <v>57</v>
      </c>
      <c r="E65" s="66"/>
      <c r="F65" s="67"/>
      <c r="G65" s="987"/>
      <c r="H65" s="987"/>
      <c r="I65" s="987"/>
      <c r="J65" s="987"/>
      <c r="K65" s="987"/>
      <c r="L65" s="987"/>
      <c r="M65" s="987"/>
      <c r="N65" s="987"/>
      <c r="O65" s="987"/>
      <c r="P65" s="987"/>
      <c r="Q65" s="987"/>
      <c r="R65" s="987"/>
      <c r="S65" s="987"/>
      <c r="T65" s="987"/>
      <c r="U65" s="987"/>
      <c r="V65" s="987"/>
      <c r="W65" s="987"/>
      <c r="X65" s="987"/>
      <c r="Y65" s="987"/>
      <c r="Z65" s="987"/>
    </row>
    <row r="66">
      <c r="A66" s="62">
        <v>2.0</v>
      </c>
      <c r="B66" s="63">
        <f>IF('WEEK 6'!F65&lt;6,MROUND('WEEK 6'!B63*0.75,5),IF('WEEK 6'!F65&lt;=11,MROUND('WEEK 6'!B63*0.85,5),'WEEK 6'!B65))</f>
        <v>205</v>
      </c>
      <c r="C66" s="104" t="s">
        <v>65</v>
      </c>
      <c r="D66" s="65" t="s">
        <v>57</v>
      </c>
      <c r="E66" s="66"/>
      <c r="F66" s="67"/>
      <c r="G66" s="987"/>
      <c r="H66" s="987"/>
      <c r="I66" s="987"/>
      <c r="J66" s="987"/>
      <c r="K66" s="987"/>
      <c r="L66" s="987"/>
      <c r="M66" s="987"/>
      <c r="N66" s="987"/>
      <c r="O66" s="987"/>
      <c r="P66" s="987"/>
      <c r="Q66" s="987"/>
      <c r="R66" s="987"/>
      <c r="S66" s="987"/>
      <c r="T66" s="987"/>
      <c r="U66" s="987"/>
      <c r="V66" s="987"/>
      <c r="W66" s="987"/>
      <c r="X66" s="987"/>
      <c r="Y66" s="987"/>
      <c r="Z66" s="987"/>
    </row>
    <row r="67">
      <c r="A67" s="325">
        <v>3.0</v>
      </c>
      <c r="B67" s="663">
        <f>IF('WEEK 6'!F66&lt;6,MROUND('WEEK 6'!B63*0.75,5),IF('WEEK 6'!F66&lt;=11,MROUND('WEEK 6'!B63*0.85,5),'WEEK 6'!B66))</f>
        <v>205</v>
      </c>
      <c r="C67" s="327" t="s">
        <v>65</v>
      </c>
      <c r="D67" s="631" t="s">
        <v>57</v>
      </c>
      <c r="E67" s="664"/>
      <c r="F67" s="665"/>
      <c r="G67" s="987"/>
      <c r="H67" s="987"/>
      <c r="I67" s="987"/>
      <c r="J67" s="987"/>
      <c r="K67" s="987"/>
      <c r="L67" s="987"/>
      <c r="M67" s="987"/>
      <c r="N67" s="987"/>
      <c r="O67" s="987"/>
      <c r="P67" s="987"/>
      <c r="Q67" s="987"/>
      <c r="R67" s="987"/>
      <c r="S67" s="987"/>
      <c r="T67" s="987"/>
      <c r="U67" s="987"/>
      <c r="V67" s="987"/>
      <c r="W67" s="987"/>
      <c r="X67" s="987"/>
      <c r="Y67" s="987"/>
      <c r="Z67" s="987"/>
    </row>
    <row r="68">
      <c r="A68" s="1030"/>
      <c r="B68" s="1030"/>
      <c r="C68" s="1030"/>
      <c r="D68" s="1030"/>
      <c r="E68" s="1030"/>
      <c r="F68" s="1030"/>
      <c r="G68" s="987"/>
      <c r="H68" s="987"/>
      <c r="I68" s="987"/>
      <c r="J68" s="987"/>
      <c r="K68" s="987"/>
      <c r="L68" s="987"/>
      <c r="M68" s="987"/>
      <c r="N68" s="987"/>
      <c r="O68" s="987"/>
      <c r="P68" s="987"/>
      <c r="Q68" s="987"/>
      <c r="R68" s="987"/>
      <c r="S68" s="987"/>
      <c r="T68" s="987"/>
      <c r="U68" s="987"/>
      <c r="V68" s="987"/>
      <c r="W68" s="987"/>
      <c r="X68" s="987"/>
      <c r="Y68" s="987"/>
      <c r="Z68" s="987"/>
    </row>
    <row r="69">
      <c r="A69" s="11"/>
      <c r="B69" s="11"/>
      <c r="C69" s="11"/>
      <c r="D69" s="11"/>
      <c r="E69" s="11"/>
      <c r="F69" s="11"/>
      <c r="G69" s="987"/>
      <c r="H69" s="987"/>
      <c r="I69" s="987"/>
      <c r="J69" s="987"/>
      <c r="K69" s="987"/>
      <c r="L69" s="987"/>
      <c r="M69" s="987"/>
      <c r="N69" s="987"/>
      <c r="O69" s="987"/>
      <c r="P69" s="987"/>
      <c r="Q69" s="987"/>
      <c r="R69" s="987"/>
      <c r="S69" s="987"/>
      <c r="T69" s="987"/>
      <c r="U69" s="987"/>
      <c r="V69" s="987"/>
      <c r="W69" s="987"/>
      <c r="X69" s="987"/>
      <c r="Y69" s="987"/>
      <c r="Z69" s="987"/>
    </row>
    <row r="70">
      <c r="A70" s="996" t="s">
        <v>128</v>
      </c>
      <c r="B70" s="11"/>
      <c r="C70" s="11"/>
      <c r="D70" s="11"/>
      <c r="E70" s="11"/>
      <c r="F70" s="46"/>
      <c r="G70" s="987"/>
      <c r="H70" s="987"/>
      <c r="I70" s="987"/>
      <c r="J70" s="987"/>
      <c r="K70" s="987"/>
      <c r="L70" s="987"/>
      <c r="M70" s="987"/>
      <c r="N70" s="987"/>
      <c r="O70" s="987"/>
      <c r="P70" s="987"/>
      <c r="Q70" s="987"/>
      <c r="R70" s="987"/>
      <c r="S70" s="987"/>
      <c r="T70" s="987"/>
      <c r="U70" s="987"/>
      <c r="V70" s="987"/>
      <c r="W70" s="987"/>
      <c r="X70" s="987"/>
      <c r="Y70" s="987"/>
      <c r="Z70" s="987"/>
    </row>
    <row r="71">
      <c r="A71" s="1031"/>
      <c r="B71" s="1031"/>
      <c r="C71" s="1031"/>
      <c r="D71" s="1031"/>
      <c r="E71" s="1031"/>
      <c r="F71" s="1031"/>
      <c r="G71" s="987"/>
      <c r="H71" s="987"/>
      <c r="I71" s="987"/>
      <c r="J71" s="987"/>
      <c r="K71" s="987"/>
      <c r="L71" s="987"/>
      <c r="M71" s="987"/>
      <c r="N71" s="987"/>
      <c r="O71" s="987"/>
      <c r="P71" s="987"/>
      <c r="Q71" s="987"/>
      <c r="R71" s="987"/>
      <c r="S71" s="987"/>
      <c r="T71" s="987"/>
      <c r="U71" s="987"/>
      <c r="V71" s="987"/>
      <c r="W71" s="987"/>
      <c r="X71" s="987"/>
      <c r="Y71" s="987"/>
      <c r="Z71" s="987"/>
    </row>
    <row r="72">
      <c r="A72" s="11"/>
      <c r="B72" s="11"/>
      <c r="C72" s="11"/>
      <c r="D72" s="11"/>
      <c r="E72" s="11"/>
      <c r="F72" s="11"/>
      <c r="G72" s="987"/>
      <c r="H72" s="1032"/>
      <c r="I72" s="1032"/>
      <c r="J72" s="1032"/>
      <c r="K72" s="1032"/>
      <c r="L72" s="1032"/>
      <c r="M72" s="1032"/>
      <c r="N72" s="987"/>
      <c r="O72" s="987"/>
      <c r="P72" s="987"/>
      <c r="Q72" s="987"/>
      <c r="R72" s="987"/>
      <c r="S72" s="987"/>
      <c r="T72" s="987"/>
      <c r="U72" s="987"/>
      <c r="V72" s="987"/>
      <c r="W72" s="987"/>
      <c r="X72" s="987"/>
      <c r="Y72" s="987"/>
      <c r="Z72" s="987"/>
    </row>
    <row r="73">
      <c r="A73" s="1033" t="s">
        <v>154</v>
      </c>
      <c r="B73" s="11"/>
      <c r="C73" s="11"/>
      <c r="D73" s="11"/>
      <c r="E73" s="11"/>
      <c r="F73" s="46"/>
      <c r="G73" s="1034"/>
      <c r="H73" s="1032"/>
      <c r="I73" s="1032"/>
      <c r="J73" s="1032"/>
      <c r="K73" s="1032"/>
      <c r="L73" s="1032"/>
      <c r="M73" s="1032"/>
      <c r="N73" s="987"/>
      <c r="O73" s="987"/>
      <c r="P73" s="987"/>
      <c r="Q73" s="987"/>
      <c r="R73" s="987"/>
      <c r="S73" s="987"/>
      <c r="T73" s="987"/>
      <c r="U73" s="987"/>
      <c r="V73" s="987"/>
      <c r="W73" s="987"/>
      <c r="X73" s="987"/>
      <c r="Y73" s="987"/>
      <c r="Z73" s="987"/>
    </row>
    <row r="74">
      <c r="A74" s="960" t="str">
        <f>HYPERLINK("https://www.youtube.com/watch?v=dVterVQksD4","2. LEG PRESS")</f>
        <v>2. LEG PRESS</v>
      </c>
      <c r="B74" s="53"/>
      <c r="C74" s="53"/>
      <c r="D74" s="53"/>
      <c r="E74" s="53"/>
      <c r="F74" s="53"/>
      <c r="G74" s="987"/>
      <c r="H74" s="1032"/>
      <c r="I74" s="1032"/>
      <c r="J74" s="1032"/>
      <c r="K74" s="1032"/>
      <c r="L74" s="1032"/>
      <c r="M74" s="1032"/>
      <c r="N74" s="987"/>
      <c r="O74" s="987"/>
      <c r="P74" s="987"/>
      <c r="Q74" s="987"/>
      <c r="R74" s="987"/>
      <c r="S74" s="987"/>
      <c r="T74" s="987"/>
      <c r="U74" s="987"/>
      <c r="V74" s="987"/>
      <c r="W74" s="987"/>
      <c r="X74" s="987"/>
      <c r="Y74" s="987"/>
      <c r="Z74" s="987"/>
    </row>
    <row r="75">
      <c r="A75" s="961" t="s">
        <v>119</v>
      </c>
      <c r="B75" s="1035">
        <f>'Week 2 (MASTER SHEET)'!B96</f>
        <v>250</v>
      </c>
      <c r="C75" s="13"/>
      <c r="D75" s="13"/>
      <c r="E75" s="13"/>
      <c r="F75" s="57"/>
      <c r="G75" s="1007"/>
      <c r="H75" s="1032"/>
      <c r="I75" s="1032"/>
      <c r="J75" s="1032"/>
      <c r="K75" s="1032"/>
      <c r="L75" s="1032"/>
      <c r="M75" s="1032"/>
      <c r="N75" s="1007"/>
      <c r="O75" s="1007"/>
      <c r="P75" s="1007"/>
      <c r="Q75" s="1007"/>
      <c r="R75" s="1007"/>
      <c r="S75" s="1007"/>
      <c r="T75" s="1007"/>
      <c r="U75" s="1007"/>
      <c r="V75" s="1007"/>
      <c r="W75" s="1007"/>
      <c r="X75" s="1007"/>
      <c r="Y75" s="1007"/>
      <c r="Z75" s="1007"/>
    </row>
    <row r="76">
      <c r="A76" s="231" t="s">
        <v>50</v>
      </c>
      <c r="B76" s="232" t="s">
        <v>51</v>
      </c>
      <c r="C76" s="232" t="s">
        <v>52</v>
      </c>
      <c r="D76" s="232" t="s">
        <v>53</v>
      </c>
      <c r="E76" s="233" t="s">
        <v>54</v>
      </c>
      <c r="F76" s="61" t="s">
        <v>55</v>
      </c>
      <c r="G76" s="1036"/>
      <c r="H76" s="1032"/>
      <c r="I76" s="1032"/>
      <c r="J76" s="1032"/>
      <c r="K76" s="1032"/>
      <c r="L76" s="1032"/>
      <c r="M76" s="1032"/>
      <c r="N76" s="987"/>
      <c r="O76" s="987"/>
      <c r="P76" s="987"/>
      <c r="Q76" s="987"/>
      <c r="R76" s="987"/>
      <c r="S76" s="987"/>
      <c r="T76" s="987"/>
      <c r="U76" s="987"/>
      <c r="V76" s="987"/>
      <c r="W76" s="987"/>
      <c r="X76" s="987"/>
      <c r="Y76" s="987"/>
      <c r="Z76" s="987"/>
    </row>
    <row r="77">
      <c r="A77" s="236">
        <v>1.0</v>
      </c>
      <c r="B77" s="237">
        <f>mround('WEEK 6'!B75*0.35,5)</f>
        <v>90</v>
      </c>
      <c r="C77" s="238">
        <v>20.0</v>
      </c>
      <c r="D77" s="238" t="s">
        <v>120</v>
      </c>
      <c r="E77" s="66" t="str">
        <f>IF('WEEK 2'!B89='WEEK 6'!B77,'WEEK 2'!F89,"")</f>
        <v/>
      </c>
      <c r="F77" s="67"/>
      <c r="H77" s="1032"/>
      <c r="I77" s="1032"/>
      <c r="J77" s="1032"/>
      <c r="K77" s="1032"/>
      <c r="L77" s="1032"/>
      <c r="M77" s="1032"/>
      <c r="N77" s="987"/>
      <c r="O77" s="987"/>
      <c r="P77" s="987"/>
      <c r="Q77" s="987"/>
      <c r="R77" s="987"/>
      <c r="S77" s="987"/>
      <c r="T77" s="987"/>
      <c r="U77" s="987"/>
      <c r="V77" s="987"/>
      <c r="W77" s="987"/>
      <c r="X77" s="987"/>
      <c r="Y77" s="987"/>
      <c r="Z77" s="987"/>
    </row>
    <row r="78">
      <c r="A78" s="236">
        <v>2.0</v>
      </c>
      <c r="B78" s="237">
        <f>mround('WEEK 6'!B75*0.65,5)</f>
        <v>165</v>
      </c>
      <c r="C78" s="238">
        <v>20.0</v>
      </c>
      <c r="D78" s="238" t="s">
        <v>121</v>
      </c>
      <c r="E78" s="66" t="str">
        <f>IF('WEEK 2'!B90='WEEK 6'!B78,'WEEK 2'!F90,"")</f>
        <v/>
      </c>
      <c r="F78" s="67"/>
      <c r="G78" s="987"/>
      <c r="H78" s="1032"/>
      <c r="I78" s="1032"/>
      <c r="J78" s="1032"/>
      <c r="K78" s="1032"/>
      <c r="L78" s="1032"/>
      <c r="M78" s="1032"/>
      <c r="N78" s="987"/>
      <c r="O78" s="987"/>
      <c r="P78" s="987"/>
      <c r="Q78" s="987"/>
      <c r="R78" s="987"/>
      <c r="S78" s="987"/>
      <c r="T78" s="987"/>
      <c r="U78" s="987"/>
      <c r="V78" s="987"/>
      <c r="W78" s="987"/>
      <c r="X78" s="987"/>
      <c r="Y78" s="987"/>
      <c r="Z78" s="987"/>
    </row>
    <row r="79">
      <c r="A79" s="242">
        <v>3.0</v>
      </c>
      <c r="B79" s="237">
        <f>mround('WEEK 6'!B75*0.9,5)</f>
        <v>225</v>
      </c>
      <c r="C79" s="238">
        <v>20.0</v>
      </c>
      <c r="D79" s="238" t="s">
        <v>121</v>
      </c>
      <c r="E79" s="66" t="str">
        <f>IF('WEEK 2'!B91='WEEK 6'!B79,'WEEK 2'!F91,"")</f>
        <v/>
      </c>
      <c r="F79" s="67"/>
      <c r="G79" s="987"/>
      <c r="H79" s="1032"/>
      <c r="I79" s="1032"/>
      <c r="J79" s="1032"/>
      <c r="K79" s="1032"/>
      <c r="L79" s="1032"/>
      <c r="M79" s="1032"/>
      <c r="N79" s="987"/>
      <c r="O79" s="987"/>
      <c r="P79" s="987"/>
      <c r="Q79" s="987"/>
      <c r="R79" s="987"/>
      <c r="S79" s="987"/>
      <c r="T79" s="987"/>
      <c r="U79" s="987"/>
      <c r="V79" s="987"/>
      <c r="W79" s="987"/>
      <c r="X79" s="987"/>
      <c r="Y79" s="987"/>
      <c r="Z79" s="987"/>
    </row>
    <row r="80">
      <c r="A80" s="249">
        <v>4.0</v>
      </c>
      <c r="B80" s="175">
        <f>if('WEEK 6'!F79&lt;20,MROUND('WEEK 6'!B79-('WEEK 6'!B79*3%),5),'WEEK 6'!B75)</f>
        <v>220</v>
      </c>
      <c r="C80" s="238">
        <v>20.0</v>
      </c>
      <c r="D80" s="238" t="s">
        <v>122</v>
      </c>
      <c r="E80" s="66" t="str">
        <f>IF('WEEK 2'!B92='WEEK 6'!B80,'WEEK 2'!F92,"")</f>
        <v/>
      </c>
      <c r="F80" s="67"/>
      <c r="G80" s="987"/>
      <c r="H80" s="1032"/>
      <c r="I80" s="1032"/>
      <c r="J80" s="1032"/>
      <c r="K80" s="1032"/>
      <c r="L80" s="1032"/>
      <c r="M80" s="1032"/>
      <c r="N80" s="987"/>
      <c r="O80" s="987"/>
      <c r="P80" s="987"/>
      <c r="Q80" s="987"/>
      <c r="R80" s="987"/>
      <c r="S80" s="987"/>
      <c r="T80" s="987"/>
      <c r="U80" s="987"/>
      <c r="V80" s="987"/>
      <c r="W80" s="987"/>
      <c r="X80" s="987"/>
      <c r="Y80" s="987"/>
      <c r="Z80" s="987"/>
    </row>
    <row r="81">
      <c r="A81" s="249">
        <v>5.0</v>
      </c>
      <c r="B81" s="175">
        <f>IF((AND('WEEK 6'!B80&lt;='WEEK 6'!B79,'WEEK 6'!F80&gt;=20)),'WEEK 6'!B80,IF('WEEK 6'!F80&lt;20,MROUND('WEEK 6'!B80-('WEEK 6'!B80*3%),5),if( 'WEEK 6'!F80&lt;20,MROUND('WEEK 6'!B80-('WEEK 6'!B80*1.5%),5),MROUND('WEEK 6'!B80+('WEEK 6'!B80*1.5%),5))))</f>
        <v>215</v>
      </c>
      <c r="C81" s="238">
        <v>20.0</v>
      </c>
      <c r="D81" s="238" t="s">
        <v>122</v>
      </c>
      <c r="E81" s="66" t="str">
        <f>IF('WEEK 2'!B93='WEEK 6'!B81,'WEEK 2'!F93,"")</f>
        <v/>
      </c>
      <c r="F81" s="1037"/>
      <c r="G81" s="987"/>
      <c r="H81" s="987"/>
      <c r="I81" s="987"/>
      <c r="J81" s="987"/>
      <c r="K81" s="987"/>
      <c r="L81" s="987"/>
      <c r="M81" s="987"/>
      <c r="N81" s="987"/>
      <c r="O81" s="987"/>
      <c r="P81" s="987"/>
      <c r="Q81" s="987"/>
      <c r="R81" s="987"/>
      <c r="S81" s="987"/>
      <c r="T81" s="987"/>
      <c r="U81" s="987"/>
      <c r="V81" s="987"/>
      <c r="W81" s="987"/>
      <c r="X81" s="987"/>
      <c r="Y81" s="987"/>
      <c r="Z81" s="987"/>
    </row>
    <row r="82">
      <c r="A82" s="249">
        <f>if(F80&lt;20,6,6)</f>
        <v>6</v>
      </c>
      <c r="B82" s="175">
        <f>IF((AND('WEEK 6'!B81&lt;='WEEK 6'!B80,'WEEK 6'!F81&gt;=20)),'WEEK 6'!B81,IF('WEEK 6'!F81&lt;20,MROUND('WEEK 6'!B81-('WEEK 6'!B81*3%),5),if( 'WEEK 6'!F81&lt;20,MROUND('WEEK 6'!B81-('WEEK 6'!B81*1.5%),5),MROUND('WEEK 6'!B81+('WEEK 6'!B81*1.5%),5))))</f>
        <v>210</v>
      </c>
      <c r="C82" s="238">
        <v>20.0</v>
      </c>
      <c r="D82" s="238" t="s">
        <v>122</v>
      </c>
      <c r="E82" s="66" t="str">
        <f>IF('WEEK 2'!B94='WEEK 6'!B82,'WEEK 2'!F94,"")</f>
        <v/>
      </c>
      <c r="F82" s="67"/>
      <c r="G82" s="987"/>
      <c r="H82" s="987"/>
      <c r="I82" s="987"/>
      <c r="J82" s="987"/>
      <c r="K82" s="987"/>
      <c r="L82" s="987"/>
      <c r="M82" s="987"/>
      <c r="N82" s="987"/>
      <c r="O82" s="987"/>
      <c r="P82" s="987"/>
      <c r="Q82" s="987"/>
      <c r="R82" s="987"/>
      <c r="S82" s="987"/>
      <c r="T82" s="987"/>
      <c r="U82" s="987"/>
      <c r="V82" s="987"/>
      <c r="W82" s="987"/>
      <c r="X82" s="987"/>
      <c r="Y82" s="987"/>
      <c r="Z82" s="987"/>
    </row>
    <row r="83">
      <c r="A83" s="1038">
        <f>IF(F82&lt;20,7,"7")</f>
        <v>7</v>
      </c>
      <c r="B83" s="175">
        <f>IF((AND('WEEK 6'!B82&lt;='WEEK 6'!B81,'WEEK 6'!F82&gt;=20)),'WEEK 6'!B82,IF('WEEK 6'!F82&lt;20,MROUND('WEEK 6'!B82-('WEEK 6'!B82*3%),5),if( 'WEEK 6'!F82&lt;20,MROUND('WEEK 6'!B82-('WEEK 6'!B82*1.5%),5),MROUND('WEEK 6'!B82+('WEEK 6'!B82*1.5%),5))))</f>
        <v>205</v>
      </c>
      <c r="C83" s="238">
        <v>20.0</v>
      </c>
      <c r="D83" s="238" t="s">
        <v>122</v>
      </c>
      <c r="E83" s="66" t="str">
        <f>IF('WEEK 2'!B95='WEEK 6'!B83,'WEEK 2'!F95,"")</f>
        <v/>
      </c>
      <c r="F83" s="67"/>
      <c r="G83" s="987"/>
      <c r="H83" s="987"/>
      <c r="I83" s="987"/>
      <c r="J83" s="987"/>
      <c r="K83" s="987"/>
      <c r="L83" s="987"/>
      <c r="M83" s="987"/>
      <c r="N83" s="987"/>
      <c r="O83" s="987"/>
      <c r="P83" s="987"/>
      <c r="Q83" s="987"/>
      <c r="R83" s="987"/>
      <c r="S83" s="987"/>
      <c r="T83" s="987"/>
      <c r="U83" s="987"/>
      <c r="V83" s="987"/>
      <c r="W83" s="987"/>
      <c r="X83" s="987"/>
      <c r="Y83" s="987"/>
      <c r="Z83" s="987"/>
    </row>
    <row r="84">
      <c r="A84" s="249">
        <f>IF(F83&lt;20,8,"8")</f>
        <v>8</v>
      </c>
      <c r="B84" s="175">
        <f>IF((AND('WEEK 6'!B83&lt;='WEEK 6'!B82,'WEEK 6'!F83&gt;=20)),'WEEK 6'!B83,IF('WEEK 6'!F83&lt;20,MROUND('WEEK 6'!B83-('WEEK 6'!B83*3%),5),if( 'WEEK 6'!F83&lt;20,MROUND('WEEK 6'!B83-('WEEK 6'!B83*1.5%),5),MROUND('WEEK 6'!B83+('WEEK 6'!B83*1.5%),5))))</f>
        <v>200</v>
      </c>
      <c r="C84" s="238">
        <v>20.0</v>
      </c>
      <c r="D84" s="238" t="s">
        <v>122</v>
      </c>
      <c r="E84" s="66" t="str">
        <f>IF('WEEK 2'!B96='WEEK 6'!B84,'WEEK 2'!F96,"")</f>
        <v/>
      </c>
      <c r="F84" s="67"/>
      <c r="G84" s="987"/>
      <c r="H84" s="987"/>
      <c r="I84" s="987"/>
      <c r="J84" s="987"/>
      <c r="K84" s="987"/>
      <c r="L84" s="987"/>
      <c r="M84" s="987"/>
      <c r="N84" s="987"/>
      <c r="O84" s="987"/>
      <c r="P84" s="987"/>
      <c r="Q84" s="987"/>
      <c r="R84" s="987"/>
      <c r="S84" s="987"/>
      <c r="T84" s="987"/>
      <c r="U84" s="987"/>
      <c r="V84" s="987"/>
      <c r="W84" s="987"/>
      <c r="X84" s="987"/>
      <c r="Y84" s="987"/>
      <c r="Z84" s="987"/>
    </row>
    <row r="85">
      <c r="A85" s="272" t="s">
        <v>183</v>
      </c>
      <c r="B85" s="1039">
        <f>IF((AND('WEEK 6'!F84&gt;=20,'WEEK 6'!B84&gt;'WEEK 6'!B83)),'WEEK 6'!B84,IF((AND('WEEK 6'!F83&gt;=20,'WEEK 6'!B83&gt;'WEEK 6'!B82)),'WEEK 6'!B83,IF((AND('WEEK 6'!F82&gt;=20,'WEEK 6'!B82&gt;'WEEK 6'!B81)),'WEEK 6'!B82,IF((AND('WEEK 6'!F81&gt;=20,'WEEK 6'!B81&gt;'WEEK 6'!B80)),'WEEK 6'!B81,IF((AND('WEEK 6'!F80&gt;=20,'WEEK 6'!B80&gt;'WEEK 6'!B79)),'WEEK 6'!B80,IF((AND('WEEK 6'!F79&gt;=20,'WEEK 6'!B79&gt;'WEEK 6'!B78)),'WEEK 6'!B79,IF((AND('WEEK 6'!F78&gt;=20,'WEEK 6'!B78&gt;'WEEK 6'!B77)),'WEEK 6'!B78,IF((AND('WEEK 6'!F77&gt;=20,'WEEK 6'!B77&gt;'WEEK 6'!B76)),'WEEK 6'!B77,IF((AND('WEEK 6'!F76&gt;=20,'WEEK 6'!B76&gt;'WEEK 6'!B75)),'WEEK 6'!B75)))))))))</f>
        <v>250</v>
      </c>
      <c r="C85" s="11"/>
      <c r="D85" s="11"/>
      <c r="E85" s="11"/>
      <c r="F85" s="46"/>
      <c r="G85" s="987"/>
      <c r="H85" s="987"/>
      <c r="I85" s="987"/>
      <c r="J85" s="987"/>
      <c r="K85" s="987"/>
      <c r="L85" s="987"/>
      <c r="M85" s="987"/>
      <c r="N85" s="987"/>
      <c r="O85" s="987"/>
      <c r="P85" s="987"/>
      <c r="Q85" s="987"/>
      <c r="R85" s="987"/>
      <c r="S85" s="987"/>
      <c r="T85" s="987"/>
      <c r="U85" s="987"/>
      <c r="V85" s="987"/>
      <c r="W85" s="987"/>
      <c r="X85" s="987"/>
      <c r="Y85" s="987"/>
      <c r="Z85" s="987"/>
    </row>
    <row r="86">
      <c r="A86" s="1040"/>
      <c r="B86" s="1041"/>
      <c r="C86" s="1041"/>
      <c r="D86" s="1041"/>
      <c r="E86" s="1041"/>
      <c r="F86" s="1041"/>
      <c r="G86" s="987"/>
      <c r="H86" s="987"/>
      <c r="I86" s="987"/>
      <c r="J86" s="987"/>
      <c r="K86" s="987"/>
      <c r="L86" s="987"/>
      <c r="M86" s="987"/>
      <c r="N86" s="987"/>
      <c r="O86" s="987"/>
      <c r="P86" s="987"/>
      <c r="Q86" s="987"/>
      <c r="R86" s="987"/>
      <c r="S86" s="987"/>
      <c r="T86" s="987"/>
      <c r="U86" s="987"/>
      <c r="V86" s="987"/>
      <c r="W86" s="987"/>
      <c r="X86" s="987"/>
      <c r="Y86" s="987"/>
      <c r="Z86" s="987"/>
    </row>
    <row r="87">
      <c r="A87" s="1042"/>
      <c r="B87" s="1043"/>
      <c r="C87" s="1043"/>
      <c r="D87" s="1043"/>
      <c r="E87" s="1043"/>
      <c r="F87" s="1043"/>
      <c r="G87" s="987"/>
      <c r="H87" s="987"/>
      <c r="I87" s="987"/>
      <c r="J87" s="987"/>
      <c r="K87" s="987"/>
      <c r="L87" s="987"/>
      <c r="M87" s="987"/>
      <c r="N87" s="987"/>
      <c r="O87" s="987"/>
      <c r="P87" s="987"/>
      <c r="Q87" s="987"/>
      <c r="R87" s="987"/>
      <c r="S87" s="987"/>
      <c r="T87" s="987"/>
      <c r="U87" s="987"/>
      <c r="V87" s="987"/>
      <c r="W87" s="987"/>
      <c r="X87" s="987"/>
      <c r="Y87" s="987"/>
      <c r="Z87" s="987"/>
    </row>
    <row r="88">
      <c r="A88" s="1044" t="str">
        <f>HYPERLINK("https://www.youtube.com/watch?v=NZ9KiFtbiMs","2. LEG EXTENSION")</f>
        <v>2. LEG EXTENSION</v>
      </c>
      <c r="B88" s="13"/>
      <c r="C88" s="13"/>
      <c r="D88" s="13"/>
      <c r="E88" s="13"/>
      <c r="F88" s="57"/>
      <c r="G88" s="623"/>
      <c r="H88" s="623"/>
      <c r="I88" s="623"/>
      <c r="J88" s="623"/>
      <c r="K88" s="623"/>
      <c r="L88" s="623"/>
      <c r="M88" s="623"/>
      <c r="N88" s="987"/>
      <c r="O88" s="987"/>
      <c r="P88" s="987"/>
      <c r="Q88" s="987"/>
      <c r="R88" s="987"/>
      <c r="S88" s="987"/>
      <c r="T88" s="987"/>
      <c r="U88" s="987"/>
      <c r="V88" s="987"/>
      <c r="W88" s="987"/>
      <c r="X88" s="987"/>
      <c r="Y88" s="987"/>
      <c r="Z88" s="987"/>
    </row>
    <row r="89">
      <c r="A89" s="1045" t="s">
        <v>119</v>
      </c>
      <c r="B89" s="1046">
        <f>IF('WEEK 5'!B83='WEEK 5'!B85,'WEEK 5'!B83+5,IF('WEEK 5'!F83&lt;=9,MROUND('WEEK 5'!B81*0.95,5),'WEEK 5'!B83))</f>
        <v>75</v>
      </c>
      <c r="C89" s="13"/>
      <c r="D89" s="13"/>
      <c r="E89" s="13"/>
      <c r="F89" s="57"/>
      <c r="G89" s="623"/>
      <c r="H89" s="623"/>
      <c r="I89" s="623"/>
      <c r="J89" s="623"/>
      <c r="K89" s="623"/>
      <c r="L89" s="623"/>
      <c r="M89" s="623"/>
      <c r="N89" s="987"/>
      <c r="O89" s="987"/>
      <c r="P89" s="987"/>
      <c r="Q89" s="987"/>
      <c r="R89" s="987"/>
      <c r="S89" s="987"/>
      <c r="T89" s="987"/>
      <c r="U89" s="987"/>
      <c r="V89" s="987"/>
      <c r="W89" s="987"/>
      <c r="X89" s="987"/>
      <c r="Y89" s="987"/>
      <c r="Z89" s="987"/>
    </row>
    <row r="90">
      <c r="A90" s="567" t="s">
        <v>50</v>
      </c>
      <c r="B90" s="568" t="s">
        <v>51</v>
      </c>
      <c r="C90" s="568" t="s">
        <v>52</v>
      </c>
      <c r="D90" s="568" t="s">
        <v>53</v>
      </c>
      <c r="E90" s="1047" t="s">
        <v>54</v>
      </c>
      <c r="F90" s="1048" t="s">
        <v>55</v>
      </c>
      <c r="G90" s="623"/>
      <c r="H90" s="623"/>
      <c r="I90" s="623"/>
      <c r="J90" s="623"/>
      <c r="K90" s="623"/>
      <c r="L90" s="623"/>
      <c r="M90" s="623"/>
      <c r="N90" s="987"/>
      <c r="O90" s="987"/>
      <c r="P90" s="987"/>
      <c r="Q90" s="987"/>
      <c r="R90" s="987"/>
      <c r="S90" s="987"/>
      <c r="T90" s="987"/>
      <c r="U90" s="987"/>
      <c r="V90" s="987"/>
      <c r="W90" s="987"/>
      <c r="X90" s="987"/>
      <c r="Y90" s="987"/>
      <c r="Z90" s="987"/>
    </row>
    <row r="91">
      <c r="A91" s="1049">
        <v>1.0</v>
      </c>
      <c r="B91" s="1050">
        <f>'WEEK 6'!B88</f>
        <v>75</v>
      </c>
      <c r="C91" s="1051">
        <v>20.0</v>
      </c>
      <c r="D91" s="1052" t="s">
        <v>57</v>
      </c>
      <c r="E91" s="1010"/>
      <c r="F91" s="1011">
        <v>20.0</v>
      </c>
      <c r="G91" s="623"/>
      <c r="H91" s="623"/>
      <c r="I91" s="623"/>
      <c r="J91" s="623"/>
      <c r="K91" s="623"/>
      <c r="L91" s="623"/>
      <c r="M91" s="623"/>
      <c r="N91" s="987"/>
      <c r="O91" s="987"/>
      <c r="P91" s="987"/>
      <c r="Q91" s="987"/>
      <c r="R91" s="987"/>
      <c r="S91" s="987"/>
      <c r="T91" s="987"/>
      <c r="U91" s="987"/>
      <c r="V91" s="987"/>
      <c r="W91" s="987"/>
      <c r="X91" s="987"/>
      <c r="Y91" s="987"/>
      <c r="Z91" s="987"/>
    </row>
    <row r="92">
      <c r="A92" s="1049">
        <v>2.0</v>
      </c>
      <c r="B92" s="1050">
        <f>if('WEEK 6'!F90&lt;8,mround('WEEK 6'!B90*0.8,5),IF('WEEK 6'!F90&lt;=14,MROUND('WEEK 6'!B90*0.95,5),'WEEK 6'!B90))</f>
        <v>60</v>
      </c>
      <c r="C92" s="1051">
        <v>20.0</v>
      </c>
      <c r="D92" s="1052" t="s">
        <v>57</v>
      </c>
      <c r="E92" s="1010"/>
      <c r="F92" s="1011">
        <v>20.0</v>
      </c>
      <c r="G92" s="623"/>
      <c r="H92" s="623"/>
      <c r="I92" s="623"/>
      <c r="J92" s="623"/>
      <c r="K92" s="623"/>
      <c r="L92" s="623"/>
      <c r="M92" s="623"/>
      <c r="N92" s="987"/>
      <c r="O92" s="987"/>
      <c r="P92" s="987"/>
      <c r="Q92" s="987"/>
      <c r="R92" s="987"/>
      <c r="S92" s="987"/>
      <c r="T92" s="987"/>
      <c r="U92" s="987"/>
      <c r="V92" s="987"/>
      <c r="W92" s="987"/>
      <c r="X92" s="987"/>
      <c r="Y92" s="987"/>
      <c r="Z92" s="987"/>
    </row>
    <row r="93">
      <c r="A93" s="1053">
        <v>3.0</v>
      </c>
      <c r="B93" s="1054">
        <f>if('WEEK 6'!F91&lt;8,mround('WEEK 6'!B91*0.8,5),IF('WEEK 6'!F91&lt;=14,MROUND('WEEK 6'!B91*0.95,5),'WEEK 6'!B91))</f>
        <v>50</v>
      </c>
      <c r="C93" s="1055">
        <v>20.0</v>
      </c>
      <c r="D93" s="1056" t="s">
        <v>57</v>
      </c>
      <c r="E93" s="1021"/>
      <c r="F93" s="1011">
        <v>20.0</v>
      </c>
      <c r="G93" s="623"/>
      <c r="H93" s="623"/>
      <c r="I93" s="623"/>
      <c r="J93" s="623"/>
      <c r="K93" s="623"/>
      <c r="L93" s="623"/>
      <c r="M93" s="623"/>
      <c r="N93" s="987"/>
      <c r="O93" s="987"/>
      <c r="P93" s="987"/>
      <c r="Q93" s="987"/>
      <c r="R93" s="987"/>
      <c r="S93" s="987"/>
      <c r="T93" s="987"/>
      <c r="U93" s="987"/>
      <c r="V93" s="987"/>
      <c r="W93" s="987"/>
      <c r="X93" s="987"/>
      <c r="Y93" s="987"/>
      <c r="Z93" s="987"/>
    </row>
    <row r="94">
      <c r="A94" s="1057"/>
      <c r="B94" s="1057"/>
      <c r="C94" s="1057"/>
      <c r="D94" s="1057"/>
      <c r="E94" s="1057"/>
      <c r="F94" s="1057"/>
      <c r="G94" s="623"/>
      <c r="H94" s="623"/>
      <c r="I94" s="623"/>
      <c r="J94" s="623"/>
      <c r="K94" s="623"/>
      <c r="L94" s="623"/>
      <c r="M94" s="623"/>
      <c r="N94" s="987"/>
      <c r="O94" s="987"/>
      <c r="P94" s="987"/>
      <c r="Q94" s="987"/>
      <c r="R94" s="987"/>
      <c r="S94" s="987"/>
      <c r="T94" s="987"/>
      <c r="U94" s="987"/>
      <c r="V94" s="987"/>
      <c r="W94" s="987"/>
      <c r="X94" s="987"/>
      <c r="Y94" s="987"/>
      <c r="Z94" s="987"/>
    </row>
    <row r="95">
      <c r="A95" s="1058"/>
      <c r="B95" s="1058"/>
      <c r="C95" s="1058"/>
      <c r="D95" s="1058"/>
      <c r="E95" s="1058"/>
      <c r="F95" s="1058"/>
      <c r="G95" s="623"/>
      <c r="H95" s="623"/>
      <c r="I95" s="623"/>
      <c r="J95" s="623"/>
      <c r="K95" s="623"/>
      <c r="L95" s="623"/>
      <c r="M95" s="623"/>
      <c r="N95" s="987"/>
      <c r="O95" s="987"/>
      <c r="P95" s="987"/>
      <c r="Q95" s="987"/>
      <c r="R95" s="987"/>
      <c r="S95" s="987"/>
      <c r="T95" s="987"/>
      <c r="U95" s="987"/>
      <c r="V95" s="987"/>
      <c r="W95" s="987"/>
      <c r="X95" s="987"/>
      <c r="Y95" s="987"/>
      <c r="Z95" s="987"/>
    </row>
    <row r="96">
      <c r="A96" s="1058"/>
      <c r="B96" s="1058"/>
      <c r="C96" s="1058"/>
      <c r="D96" s="1058"/>
      <c r="E96" s="1058"/>
      <c r="F96" s="1058"/>
      <c r="G96" s="623"/>
      <c r="H96" s="623"/>
      <c r="I96" s="623"/>
      <c r="J96" s="623"/>
      <c r="K96" s="623"/>
      <c r="L96" s="623"/>
      <c r="M96" s="623"/>
      <c r="N96" s="987"/>
      <c r="O96" s="987"/>
      <c r="P96" s="987"/>
      <c r="Q96" s="987"/>
      <c r="R96" s="987"/>
      <c r="S96" s="987"/>
      <c r="T96" s="987"/>
      <c r="U96" s="987"/>
      <c r="V96" s="987"/>
      <c r="W96" s="987"/>
      <c r="X96" s="987"/>
      <c r="Y96" s="987"/>
      <c r="Z96" s="987"/>
    </row>
    <row r="97">
      <c r="A97" s="1059" t="str">
        <f>HYPERLINK("https://www.youtube.com/watch?v=XepOfsnGFJg","3.MACHINE LEG CURL")</f>
        <v>3.MACHINE LEG CURL</v>
      </c>
      <c r="B97" s="53"/>
      <c r="C97" s="53"/>
      <c r="D97" s="53"/>
      <c r="E97" s="53"/>
      <c r="F97" s="54"/>
      <c r="G97" s="997"/>
      <c r="H97" s="1060" t="s">
        <v>184</v>
      </c>
      <c r="I97" s="53"/>
      <c r="J97" s="53"/>
      <c r="K97" s="53"/>
      <c r="L97" s="53"/>
      <c r="M97" s="54"/>
      <c r="N97" s="987"/>
      <c r="O97" s="987"/>
      <c r="P97" s="987"/>
      <c r="Q97" s="987"/>
      <c r="R97" s="987"/>
      <c r="S97" s="987"/>
      <c r="T97" s="987"/>
      <c r="U97" s="987"/>
      <c r="V97" s="987"/>
      <c r="W97" s="987"/>
      <c r="X97" s="987"/>
      <c r="Y97" s="987"/>
      <c r="Z97" s="987"/>
    </row>
    <row r="98">
      <c r="A98" s="1045" t="s">
        <v>119</v>
      </c>
      <c r="B98" s="1061">
        <f>IF('WEEK 5'!B91='WEEK 5'!B93,'WEEK 5'!B91+5,IF('WEEK 5'!F91&lt;=9,MROUND('WEEK 5'!B91*0.95,5),'WEEK 5'!B91))</f>
        <v>90</v>
      </c>
      <c r="C98" s="13"/>
      <c r="D98" s="13"/>
      <c r="E98" s="13"/>
      <c r="F98" s="57"/>
      <c r="G98" s="997"/>
      <c r="H98" s="1045" t="s">
        <v>119</v>
      </c>
      <c r="I98" s="1061">
        <f>B98</f>
        <v>90</v>
      </c>
      <c r="J98" s="13"/>
      <c r="K98" s="13"/>
      <c r="L98" s="13"/>
      <c r="M98" s="57"/>
      <c r="N98" s="987"/>
      <c r="O98" s="987"/>
      <c r="P98" s="987"/>
      <c r="Q98" s="987"/>
      <c r="R98" s="987"/>
      <c r="S98" s="987"/>
      <c r="T98" s="987"/>
      <c r="U98" s="987"/>
      <c r="V98" s="987"/>
      <c r="W98" s="987"/>
      <c r="X98" s="987"/>
      <c r="Y98" s="987"/>
      <c r="Z98" s="987"/>
    </row>
    <row r="99">
      <c r="A99" s="567" t="s">
        <v>50</v>
      </c>
      <c r="B99" s="568" t="s">
        <v>51</v>
      </c>
      <c r="C99" s="568" t="s">
        <v>52</v>
      </c>
      <c r="D99" s="568" t="s">
        <v>53</v>
      </c>
      <c r="E99" s="1047" t="s">
        <v>54</v>
      </c>
      <c r="F99" s="1048" t="s">
        <v>55</v>
      </c>
      <c r="G99" s="997"/>
      <c r="H99" s="567" t="s">
        <v>50</v>
      </c>
      <c r="I99" s="568" t="s">
        <v>51</v>
      </c>
      <c r="J99" s="568" t="s">
        <v>52</v>
      </c>
      <c r="K99" s="568" t="s">
        <v>53</v>
      </c>
      <c r="L99" s="1047" t="s">
        <v>54</v>
      </c>
      <c r="M99" s="1048" t="s">
        <v>55</v>
      </c>
      <c r="N99" s="987"/>
      <c r="O99" s="987"/>
      <c r="P99" s="987"/>
      <c r="Q99" s="987"/>
      <c r="R99" s="987"/>
      <c r="S99" s="987"/>
      <c r="T99" s="987"/>
      <c r="U99" s="987"/>
      <c r="V99" s="987"/>
      <c r="W99" s="987"/>
      <c r="X99" s="987"/>
      <c r="Y99" s="987"/>
      <c r="Z99" s="987"/>
    </row>
    <row r="100">
      <c r="A100" s="1049">
        <v>1.0</v>
      </c>
      <c r="B100" s="1050">
        <f>'WEEK 6'!B97</f>
        <v>90</v>
      </c>
      <c r="C100" s="1062">
        <v>20.0</v>
      </c>
      <c r="D100" s="1052" t="s">
        <v>57</v>
      </c>
      <c r="E100" s="1010"/>
      <c r="F100" s="1017"/>
      <c r="G100" s="1063" t="s">
        <v>123</v>
      </c>
      <c r="H100" s="1049">
        <v>1.0</v>
      </c>
      <c r="I100" s="1050">
        <f>'WEEK 6'!I97</f>
        <v>90</v>
      </c>
      <c r="J100" s="1062">
        <v>20.0</v>
      </c>
      <c r="K100" s="1052" t="s">
        <v>57</v>
      </c>
      <c r="L100" s="1010"/>
      <c r="M100" s="1017"/>
      <c r="N100" s="987"/>
      <c r="O100" s="987"/>
      <c r="P100" s="987"/>
      <c r="Q100" s="987"/>
      <c r="R100" s="987"/>
      <c r="S100" s="987"/>
      <c r="T100" s="987"/>
      <c r="U100" s="987"/>
      <c r="V100" s="987"/>
      <c r="W100" s="987"/>
      <c r="X100" s="987"/>
      <c r="Y100" s="987"/>
      <c r="Z100" s="987"/>
    </row>
    <row r="101">
      <c r="A101" s="1049">
        <v>2.0</v>
      </c>
      <c r="B101" s="1050">
        <f>if('WEEK 6'!F99&lt;8,mround('WEEK 6'!B99*0.8,5),IF('WEEK 6'!F99&lt;=14,MROUND('WEEK 6'!B99*0.95,5),'WEEK 6'!B99))</f>
        <v>70</v>
      </c>
      <c r="C101" s="1062">
        <v>20.0</v>
      </c>
      <c r="D101" s="1052" t="s">
        <v>57</v>
      </c>
      <c r="E101" s="1010"/>
      <c r="F101" s="1017"/>
      <c r="G101" s="28"/>
      <c r="H101" s="1049">
        <v>2.0</v>
      </c>
      <c r="I101" s="1050">
        <f>if('WEEK 6'!M99&lt;8,mround('WEEK 6'!I99*0.8,5),IF('WEEK 6'!M99&lt;=14,MROUND('WEEK 6'!I99*0.95,5),'WEEK 6'!I99))</f>
        <v>70</v>
      </c>
      <c r="J101" s="1062">
        <v>20.0</v>
      </c>
      <c r="K101" s="1052" t="s">
        <v>57</v>
      </c>
      <c r="L101" s="1010"/>
      <c r="M101" s="1017"/>
      <c r="N101" s="987"/>
      <c r="O101" s="987"/>
      <c r="P101" s="987"/>
      <c r="Q101" s="987"/>
      <c r="R101" s="987"/>
      <c r="S101" s="987"/>
      <c r="T101" s="987"/>
      <c r="U101" s="987"/>
      <c r="V101" s="987"/>
      <c r="W101" s="987"/>
      <c r="X101" s="987"/>
      <c r="Y101" s="987"/>
      <c r="Z101" s="987"/>
    </row>
    <row r="102">
      <c r="A102" s="1053">
        <v>3.0</v>
      </c>
      <c r="B102" s="1054">
        <f>if('WEEK 6'!F100&lt;8,mround('WEEK 6'!B100*0.8,5),IF('WEEK 6'!F100&lt;=14,MROUND('WEEK 6'!B100*0.95,5),'WEEK 6'!B100))</f>
        <v>55</v>
      </c>
      <c r="C102" s="1064">
        <v>20.0</v>
      </c>
      <c r="D102" s="1056" t="s">
        <v>57</v>
      </c>
      <c r="E102" s="1021"/>
      <c r="F102" s="1017"/>
      <c r="G102" s="1065"/>
      <c r="H102" s="1053">
        <v>3.0</v>
      </c>
      <c r="I102" s="1054">
        <f>if('WEEK 6'!M100&lt;8,mround('WEEK 6'!I100*0.8,5),IF('WEEK 6'!M100&lt;=14,MROUND('WEEK 6'!I100*0.95,5),'WEEK 6'!I100))</f>
        <v>55</v>
      </c>
      <c r="J102" s="1064">
        <v>20.0</v>
      </c>
      <c r="K102" s="1056" t="s">
        <v>57</v>
      </c>
      <c r="L102" s="1021"/>
      <c r="M102" s="1017"/>
      <c r="N102" s="987"/>
      <c r="O102" s="987"/>
      <c r="P102" s="987"/>
      <c r="Q102" s="987"/>
      <c r="R102" s="987"/>
      <c r="S102" s="987"/>
      <c r="T102" s="987"/>
      <c r="U102" s="987"/>
      <c r="V102" s="987"/>
      <c r="W102" s="987"/>
      <c r="X102" s="987"/>
      <c r="Y102" s="987"/>
      <c r="Z102" s="987"/>
    </row>
    <row r="103">
      <c r="A103" s="1057"/>
      <c r="B103" s="1057"/>
      <c r="C103" s="1057"/>
      <c r="D103" s="1057"/>
      <c r="E103" s="1057"/>
      <c r="F103" s="1057"/>
      <c r="G103" s="623"/>
      <c r="H103" s="1057"/>
      <c r="I103" s="1057"/>
      <c r="J103" s="1057"/>
      <c r="K103" s="1057"/>
      <c r="L103" s="1057"/>
      <c r="M103" s="1057"/>
      <c r="N103" s="987"/>
      <c r="O103" s="987"/>
      <c r="P103" s="987"/>
      <c r="Q103" s="987"/>
      <c r="R103" s="987"/>
      <c r="S103" s="987"/>
      <c r="T103" s="987"/>
      <c r="U103" s="987"/>
      <c r="V103" s="987"/>
      <c r="W103" s="987"/>
      <c r="X103" s="987"/>
      <c r="Y103" s="987"/>
      <c r="Z103" s="987"/>
    </row>
    <row r="104">
      <c r="A104" s="987"/>
      <c r="B104" s="987"/>
      <c r="C104" s="987"/>
      <c r="D104" s="987"/>
      <c r="E104" s="987"/>
      <c r="F104" s="987"/>
      <c r="G104" s="987"/>
      <c r="H104" s="987"/>
      <c r="I104" s="987"/>
      <c r="J104" s="987"/>
      <c r="K104" s="987"/>
      <c r="L104" s="987"/>
      <c r="M104" s="987"/>
      <c r="N104" s="987"/>
      <c r="O104" s="987"/>
      <c r="P104" s="987"/>
      <c r="Q104" s="987"/>
      <c r="R104" s="987"/>
      <c r="S104" s="987"/>
      <c r="T104" s="987"/>
      <c r="U104" s="987"/>
      <c r="V104" s="987"/>
      <c r="W104" s="987"/>
      <c r="X104" s="987"/>
      <c r="Y104" s="987"/>
      <c r="Z104" s="987"/>
    </row>
    <row r="105">
      <c r="A105" s="996" t="s">
        <v>62</v>
      </c>
      <c r="B105" s="11"/>
      <c r="C105" s="11"/>
      <c r="D105" s="11"/>
      <c r="E105" s="11"/>
      <c r="F105" s="46"/>
      <c r="G105" s="987"/>
      <c r="H105" s="987"/>
      <c r="I105" s="987"/>
      <c r="J105" s="987"/>
      <c r="K105" s="987"/>
      <c r="L105" s="987"/>
      <c r="M105" s="987"/>
      <c r="N105" s="987"/>
      <c r="O105" s="987"/>
      <c r="P105" s="987"/>
      <c r="Q105" s="987"/>
      <c r="R105" s="987"/>
      <c r="S105" s="987"/>
      <c r="T105" s="987"/>
      <c r="U105" s="987"/>
      <c r="V105" s="987"/>
      <c r="W105" s="987"/>
      <c r="X105" s="987"/>
      <c r="Y105" s="987"/>
      <c r="Z105" s="987"/>
    </row>
    <row r="106">
      <c r="A106" s="987"/>
      <c r="B106" s="987"/>
      <c r="C106" s="987"/>
      <c r="D106" s="987"/>
      <c r="E106" s="987"/>
      <c r="F106" s="987"/>
      <c r="G106" s="987"/>
      <c r="H106" s="987"/>
      <c r="I106" s="987"/>
      <c r="J106" s="987"/>
      <c r="K106" s="987"/>
      <c r="L106" s="987"/>
      <c r="M106" s="987"/>
      <c r="N106" s="987"/>
      <c r="O106" s="987"/>
      <c r="P106" s="987"/>
      <c r="Q106" s="987"/>
      <c r="R106" s="987"/>
      <c r="S106" s="987"/>
      <c r="T106" s="987"/>
      <c r="U106" s="987"/>
      <c r="V106" s="987"/>
      <c r="W106" s="987"/>
      <c r="X106" s="987"/>
      <c r="Y106" s="987"/>
      <c r="Z106" s="987"/>
    </row>
    <row r="107">
      <c r="A107" s="989"/>
      <c r="B107" s="989"/>
      <c r="C107" s="989"/>
      <c r="D107" s="989"/>
      <c r="E107" s="989"/>
      <c r="F107" s="989"/>
      <c r="G107" s="987"/>
      <c r="H107" s="987"/>
      <c r="I107" s="987"/>
      <c r="J107" s="987"/>
      <c r="K107" s="987"/>
      <c r="L107" s="987"/>
      <c r="M107" s="987"/>
      <c r="N107" s="987"/>
      <c r="O107" s="987"/>
      <c r="P107" s="987"/>
      <c r="Q107" s="987"/>
      <c r="R107" s="987"/>
      <c r="S107" s="987"/>
      <c r="T107" s="987"/>
      <c r="U107" s="987"/>
      <c r="V107" s="987"/>
      <c r="W107" s="987"/>
      <c r="X107" s="987"/>
      <c r="Y107" s="987"/>
      <c r="Z107" s="987"/>
    </row>
    <row r="108">
      <c r="A108" s="51" t="s">
        <v>131</v>
      </c>
      <c r="B108" s="36"/>
      <c r="C108" s="36"/>
      <c r="D108" s="36"/>
      <c r="E108" s="36"/>
      <c r="F108" s="37"/>
      <c r="G108" s="419"/>
      <c r="H108" s="51" t="s">
        <v>131</v>
      </c>
      <c r="I108" s="36"/>
      <c r="J108" s="36"/>
      <c r="K108" s="36"/>
      <c r="L108" s="36"/>
      <c r="M108" s="37"/>
      <c r="N108" s="987"/>
      <c r="O108" s="987"/>
      <c r="P108" s="987"/>
      <c r="Q108" s="987"/>
      <c r="R108" s="987"/>
      <c r="S108" s="987"/>
      <c r="T108" s="987"/>
      <c r="U108" s="987"/>
      <c r="V108" s="987"/>
      <c r="W108" s="987"/>
      <c r="X108" s="987"/>
      <c r="Y108" s="987"/>
      <c r="Z108" s="987"/>
    </row>
    <row r="109">
      <c r="A109" s="504" t="str">
        <f>HYPERLINK("https://youtu.be/rmxOkkd2hUk","1. SHOULDER PRESS")</f>
        <v>1. SHOULDER PRESS</v>
      </c>
      <c r="B109" s="53"/>
      <c r="C109" s="53"/>
      <c r="D109" s="53"/>
      <c r="E109" s="53"/>
      <c r="F109" s="54"/>
      <c r="G109" s="419"/>
      <c r="H109" s="778" t="str">
        <f>HYPERLINK("https://www.youtube.com/watch?v=-cSBPE-y38M","1. MACHINE SHOULDER PRESS")</f>
        <v>1. MACHINE SHOULDER PRESS</v>
      </c>
      <c r="I109" s="53"/>
      <c r="J109" s="53"/>
      <c r="K109" s="53"/>
      <c r="L109" s="53"/>
      <c r="M109" s="54"/>
      <c r="N109" s="987"/>
      <c r="O109" s="987"/>
      <c r="P109" s="987"/>
      <c r="Q109" s="987"/>
      <c r="R109" s="987"/>
      <c r="S109" s="987"/>
      <c r="T109" s="987"/>
      <c r="U109" s="987"/>
      <c r="V109" s="987"/>
      <c r="W109" s="987"/>
      <c r="X109" s="987"/>
      <c r="Y109" s="987"/>
      <c r="Z109" s="987"/>
    </row>
    <row r="110">
      <c r="A110" s="589" t="s">
        <v>119</v>
      </c>
      <c r="B110" s="227">
        <f>IF('WEEK 4 '!I118="",'WEEK 3 '!B113,'WEEK 4 '!I118)</f>
        <v>85</v>
      </c>
      <c r="C110" s="20"/>
      <c r="D110" s="20"/>
      <c r="E110" s="20"/>
      <c r="F110" s="95"/>
      <c r="G110" s="419"/>
      <c r="H110" s="589" t="s">
        <v>119</v>
      </c>
      <c r="I110" s="227">
        <f>'WEEK 4 Master Sheet '!B116</f>
        <v>150</v>
      </c>
      <c r="J110" s="20"/>
      <c r="K110" s="20"/>
      <c r="L110" s="20"/>
      <c r="M110" s="95"/>
      <c r="N110" s="987"/>
      <c r="O110" s="987"/>
      <c r="P110" s="987"/>
      <c r="Q110" s="987"/>
      <c r="R110" s="987"/>
      <c r="S110" s="987"/>
      <c r="T110" s="987"/>
      <c r="U110" s="987"/>
      <c r="V110" s="987"/>
      <c r="W110" s="987"/>
      <c r="X110" s="987"/>
      <c r="Y110" s="987"/>
      <c r="Z110" s="987"/>
    </row>
    <row r="111">
      <c r="A111" s="364" t="s">
        <v>50</v>
      </c>
      <c r="B111" s="365" t="s">
        <v>51</v>
      </c>
      <c r="C111" s="365" t="s">
        <v>52</v>
      </c>
      <c r="D111" s="365" t="s">
        <v>53</v>
      </c>
      <c r="E111" s="609" t="s">
        <v>54</v>
      </c>
      <c r="F111" s="61" t="s">
        <v>55</v>
      </c>
      <c r="G111" s="724"/>
      <c r="H111" s="364" t="s">
        <v>50</v>
      </c>
      <c r="I111" s="365" t="s">
        <v>51</v>
      </c>
      <c r="J111" s="365" t="s">
        <v>52</v>
      </c>
      <c r="K111" s="365" t="s">
        <v>53</v>
      </c>
      <c r="L111" s="609" t="s">
        <v>54</v>
      </c>
      <c r="M111" s="61" t="s">
        <v>55</v>
      </c>
      <c r="N111" s="1007"/>
      <c r="O111" s="1007"/>
      <c r="P111" s="1007"/>
      <c r="Q111" s="1007"/>
      <c r="R111" s="1007"/>
      <c r="S111" s="1007"/>
      <c r="T111" s="1007"/>
      <c r="U111" s="1007"/>
      <c r="V111" s="1007"/>
      <c r="W111" s="1007"/>
      <c r="X111" s="1007"/>
      <c r="Y111" s="1007"/>
      <c r="Z111" s="1007"/>
    </row>
    <row r="112">
      <c r="A112" s="236">
        <v>1.0</v>
      </c>
      <c r="B112" s="237">
        <f>mround('WEEK 6'!B109*0.35,5)</f>
        <v>30</v>
      </c>
      <c r="C112" s="237">
        <v>6.0</v>
      </c>
      <c r="D112" s="238" t="s">
        <v>120</v>
      </c>
      <c r="E112" s="66"/>
      <c r="F112" s="67"/>
      <c r="G112" s="728"/>
      <c r="H112" s="236">
        <v>1.0</v>
      </c>
      <c r="I112" s="237">
        <f>mround('WEEK 3 '!I115*0.35,5)</f>
        <v>15</v>
      </c>
      <c r="J112" s="237">
        <v>6.0</v>
      </c>
      <c r="K112" s="238" t="s">
        <v>120</v>
      </c>
      <c r="L112" s="66"/>
      <c r="M112" s="67"/>
      <c r="N112" s="1012"/>
      <c r="O112" s="1012"/>
      <c r="P112" s="1012"/>
      <c r="Q112" s="1012"/>
      <c r="R112" s="1012"/>
      <c r="S112" s="1012"/>
      <c r="T112" s="1012"/>
      <c r="U112" s="1012"/>
      <c r="V112" s="1012"/>
      <c r="W112" s="1012"/>
      <c r="X112" s="1012"/>
      <c r="Y112" s="1012"/>
      <c r="Z112" s="1012"/>
    </row>
    <row r="113">
      <c r="A113" s="236">
        <v>2.0</v>
      </c>
      <c r="B113" s="237">
        <f>mround('WEEK 6'!B109*0.65,5)</f>
        <v>55</v>
      </c>
      <c r="C113" s="237">
        <v>1.0</v>
      </c>
      <c r="D113" s="238" t="s">
        <v>57</v>
      </c>
      <c r="E113" s="66"/>
      <c r="F113" s="67"/>
      <c r="G113" s="728"/>
      <c r="H113" s="236">
        <v>2.0</v>
      </c>
      <c r="I113" s="237">
        <f>mround('WEEK 6'!I109*0.65,5)</f>
        <v>100</v>
      </c>
      <c r="J113" s="237">
        <v>1.0</v>
      </c>
      <c r="K113" s="238" t="s">
        <v>57</v>
      </c>
      <c r="L113" s="66"/>
      <c r="M113" s="67"/>
      <c r="N113" s="1012"/>
      <c r="O113" s="1012"/>
      <c r="P113" s="1012"/>
      <c r="Q113" s="1012"/>
      <c r="R113" s="1012"/>
      <c r="S113" s="1012"/>
      <c r="T113" s="1012"/>
      <c r="U113" s="1012"/>
      <c r="V113" s="1012"/>
      <c r="W113" s="1012"/>
      <c r="X113" s="1012"/>
      <c r="Y113" s="1012"/>
      <c r="Z113" s="1012"/>
    </row>
    <row r="114">
      <c r="A114" s="779">
        <v>3.0</v>
      </c>
      <c r="B114" s="780">
        <f> mround('WEEK 6'!B109*0.9,5)</f>
        <v>75</v>
      </c>
      <c r="C114" s="781" t="s">
        <v>65</v>
      </c>
      <c r="D114" s="782" t="s">
        <v>57</v>
      </c>
      <c r="E114" s="783"/>
      <c r="F114" s="784"/>
      <c r="G114" s="728"/>
      <c r="H114" s="779">
        <v>3.0</v>
      </c>
      <c r="I114" s="780">
        <f> mround('WEEK 6'!I109*0.9,5)</f>
        <v>135</v>
      </c>
      <c r="J114" s="781" t="s">
        <v>65</v>
      </c>
      <c r="K114" s="782" t="s">
        <v>57</v>
      </c>
      <c r="L114" s="783"/>
      <c r="M114" s="784"/>
      <c r="N114" s="1012"/>
      <c r="O114" s="1012"/>
      <c r="P114" s="1012"/>
      <c r="Q114" s="1012"/>
      <c r="R114" s="1012"/>
      <c r="S114" s="1012"/>
      <c r="T114" s="1012"/>
      <c r="U114" s="1012"/>
      <c r="V114" s="1012"/>
      <c r="W114" s="1012"/>
      <c r="X114" s="1012"/>
      <c r="Y114" s="1012"/>
      <c r="Z114" s="1012"/>
    </row>
    <row r="115">
      <c r="A115" s="785">
        <v>4.0</v>
      </c>
      <c r="B115" s="388">
        <f>if('WEEK 6'!F113&lt;20,mround('WEEK 6'!B113*0.85,5),'WEEK 6'!B113)</f>
        <v>65</v>
      </c>
      <c r="C115" s="781" t="s">
        <v>65</v>
      </c>
      <c r="D115" s="390" t="s">
        <v>57</v>
      </c>
      <c r="E115" s="786"/>
      <c r="F115" s="392"/>
      <c r="G115" s="728"/>
      <c r="H115" s="785">
        <v>4.0</v>
      </c>
      <c r="I115" s="388">
        <f>if('WEEK 6'!M113&lt;20,mround('WEEK 6'!I113*0.85,5),'WEEK 6'!I113)</f>
        <v>115</v>
      </c>
      <c r="J115" s="781" t="s">
        <v>65</v>
      </c>
      <c r="K115" s="390" t="s">
        <v>57</v>
      </c>
      <c r="L115" s="786"/>
      <c r="M115" s="392"/>
      <c r="N115" s="1012"/>
      <c r="O115" s="1012"/>
      <c r="P115" s="1012"/>
      <c r="Q115" s="1012"/>
      <c r="R115" s="1012"/>
      <c r="S115" s="1012"/>
      <c r="T115" s="1012"/>
      <c r="U115" s="1012"/>
      <c r="V115" s="1012"/>
      <c r="W115" s="1012"/>
      <c r="X115" s="1012"/>
      <c r="Y115" s="1012"/>
      <c r="Z115" s="1012"/>
    </row>
    <row r="116">
      <c r="A116" s="787">
        <v>5.0</v>
      </c>
      <c r="B116" s="788">
        <f>if('WEEK 6'!F114&lt;20,mround('WEEK 6'!B114*0.85,2.5),'WEEK 6'!B114)</f>
        <v>55</v>
      </c>
      <c r="C116" s="789" t="s">
        <v>65</v>
      </c>
      <c r="D116" s="397" t="s">
        <v>57</v>
      </c>
      <c r="E116" s="790"/>
      <c r="F116" s="392"/>
      <c r="G116" s="724"/>
      <c r="H116" s="787">
        <v>5.0</v>
      </c>
      <c r="I116" s="788">
        <f>if('WEEK 6'!M114&lt;20,mround('WEEK 6'!I114*0.85,10),'WEEK 6'!I114)</f>
        <v>100</v>
      </c>
      <c r="J116" s="789" t="s">
        <v>65</v>
      </c>
      <c r="K116" s="397" t="s">
        <v>57</v>
      </c>
      <c r="L116" s="790"/>
      <c r="M116" s="392"/>
      <c r="N116" s="1007"/>
      <c r="O116" s="1007"/>
      <c r="P116" s="1007"/>
      <c r="Q116" s="1007"/>
      <c r="R116" s="1007"/>
      <c r="S116" s="1007"/>
      <c r="T116" s="1007"/>
      <c r="U116" s="1007"/>
      <c r="V116" s="1007"/>
      <c r="W116" s="1007"/>
      <c r="X116" s="1007"/>
      <c r="Y116" s="1007"/>
      <c r="Z116" s="1007"/>
    </row>
    <row r="117">
      <c r="A117" s="623"/>
      <c r="B117" s="623"/>
      <c r="C117" s="623"/>
      <c r="D117" s="623"/>
      <c r="E117" s="1058"/>
      <c r="F117" s="623"/>
      <c r="G117" s="987"/>
      <c r="H117" s="987"/>
      <c r="I117" s="987"/>
      <c r="J117" s="987"/>
      <c r="K117" s="987"/>
      <c r="L117" s="987"/>
      <c r="M117" s="987"/>
      <c r="N117" s="987"/>
      <c r="O117" s="987"/>
      <c r="P117" s="987"/>
      <c r="Q117" s="987"/>
      <c r="R117" s="987"/>
      <c r="S117" s="987"/>
      <c r="T117" s="987"/>
      <c r="U117" s="987"/>
      <c r="V117" s="987"/>
      <c r="W117" s="987"/>
      <c r="X117" s="987"/>
      <c r="Y117" s="987"/>
      <c r="Z117" s="987"/>
    </row>
    <row r="118">
      <c r="A118" s="995"/>
      <c r="B118" s="995"/>
      <c r="C118" s="995"/>
      <c r="D118" s="995"/>
      <c r="E118" s="1066"/>
      <c r="F118" s="995"/>
      <c r="G118" s="987"/>
      <c r="H118" s="987"/>
      <c r="I118" s="987"/>
      <c r="J118" s="987"/>
      <c r="K118" s="987"/>
      <c r="L118" s="987"/>
      <c r="M118" s="987"/>
      <c r="N118" s="987"/>
      <c r="O118" s="987"/>
      <c r="P118" s="987"/>
      <c r="Q118" s="987"/>
      <c r="R118" s="987"/>
      <c r="S118" s="987"/>
      <c r="T118" s="987"/>
      <c r="U118" s="987"/>
      <c r="V118" s="987"/>
      <c r="W118" s="987"/>
      <c r="X118" s="987"/>
      <c r="Y118" s="987"/>
      <c r="Z118" s="987"/>
    </row>
    <row r="119">
      <c r="A119" s="361" t="str">
        <f>HYPERLINK("https://www.youtube.com/watch?v=gxWVN6F_uxo","2.  CABLE HIGH PULLEY ROW")</f>
        <v>2.  CABLE HIGH PULLEY ROW</v>
      </c>
      <c r="B119" s="53"/>
      <c r="C119" s="53"/>
      <c r="D119" s="53"/>
      <c r="E119" s="53"/>
      <c r="F119" s="54"/>
      <c r="G119" s="987"/>
      <c r="H119" s="987"/>
      <c r="I119" s="987"/>
      <c r="J119" s="987"/>
      <c r="K119" s="987"/>
      <c r="L119" s="987"/>
      <c r="M119" s="987"/>
      <c r="N119" s="987"/>
      <c r="O119" s="987"/>
      <c r="P119" s="987"/>
      <c r="Q119" s="987"/>
      <c r="R119" s="987"/>
      <c r="S119" s="987"/>
      <c r="T119" s="987"/>
      <c r="U119" s="987"/>
      <c r="V119" s="987"/>
      <c r="W119" s="987"/>
      <c r="X119" s="987"/>
      <c r="Y119" s="987"/>
      <c r="Z119" s="987"/>
    </row>
    <row r="120">
      <c r="A120" s="226" t="s">
        <v>119</v>
      </c>
      <c r="B120" s="94">
        <f>IF('WEEK 1 '!B131='WEEK 1 '!B133,'WEEK 1 '!B131+5,IF('WEEK 1 '!F131&lt;=14,MROUND('WEEK 1 '!B129*0.95,5),'WEEK 1 '!B131))</f>
        <v>60</v>
      </c>
      <c r="C120" s="20"/>
      <c r="D120" s="20"/>
      <c r="E120" s="20"/>
      <c r="F120" s="95"/>
      <c r="G120" s="987"/>
      <c r="H120" s="987"/>
      <c r="I120" s="987"/>
      <c r="J120" s="987"/>
      <c r="K120" s="987"/>
      <c r="L120" s="987"/>
      <c r="M120" s="987"/>
      <c r="N120" s="987"/>
      <c r="O120" s="987"/>
      <c r="P120" s="987"/>
      <c r="Q120" s="987"/>
      <c r="R120" s="987"/>
      <c r="S120" s="987"/>
      <c r="T120" s="987"/>
      <c r="U120" s="987"/>
      <c r="V120" s="987"/>
      <c r="W120" s="987"/>
      <c r="X120" s="987"/>
      <c r="Y120" s="987"/>
      <c r="Z120" s="987"/>
    </row>
    <row r="121">
      <c r="A121" s="962" t="s">
        <v>50</v>
      </c>
      <c r="B121" s="963" t="s">
        <v>51</v>
      </c>
      <c r="C121" s="963" t="s">
        <v>52</v>
      </c>
      <c r="D121" s="963" t="s">
        <v>53</v>
      </c>
      <c r="E121" s="1005" t="s">
        <v>54</v>
      </c>
      <c r="F121" s="1006" t="s">
        <v>55</v>
      </c>
      <c r="G121" s="1007"/>
      <c r="H121" s="1007"/>
      <c r="I121" s="1007"/>
      <c r="J121" s="1007"/>
      <c r="K121" s="1007"/>
      <c r="L121" s="1007"/>
      <c r="M121" s="1007"/>
      <c r="N121" s="1007"/>
      <c r="O121" s="1007"/>
      <c r="P121" s="1007"/>
      <c r="Q121" s="1007"/>
      <c r="R121" s="1007"/>
      <c r="S121" s="1007"/>
      <c r="T121" s="1007"/>
      <c r="U121" s="1007"/>
      <c r="V121" s="1007"/>
      <c r="W121" s="1007"/>
      <c r="X121" s="1007"/>
      <c r="Y121" s="1007"/>
      <c r="Z121" s="1007"/>
    </row>
    <row r="122">
      <c r="A122" s="967">
        <v>1.0</v>
      </c>
      <c r="B122" s="1028">
        <f>'WEEK 6'!B119</f>
        <v>60</v>
      </c>
      <c r="C122" s="1067" t="s">
        <v>61</v>
      </c>
      <c r="D122" s="968" t="s">
        <v>121</v>
      </c>
      <c r="E122" s="1010"/>
      <c r="F122" s="1017"/>
      <c r="G122" s="1012"/>
      <c r="H122" s="1012"/>
      <c r="I122" s="1012"/>
      <c r="J122" s="1012"/>
      <c r="K122" s="1012"/>
      <c r="L122" s="1012"/>
      <c r="M122" s="1012"/>
      <c r="N122" s="1012"/>
      <c r="O122" s="1012"/>
      <c r="P122" s="1012"/>
      <c r="Q122" s="1012"/>
      <c r="R122" s="1012"/>
      <c r="S122" s="1012"/>
      <c r="T122" s="1012"/>
      <c r="U122" s="1012"/>
      <c r="V122" s="1012"/>
      <c r="W122" s="1012"/>
      <c r="X122" s="1012"/>
      <c r="Y122" s="1012"/>
      <c r="Z122" s="1012"/>
    </row>
    <row r="123">
      <c r="A123" s="242">
        <v>2.0</v>
      </c>
      <c r="B123" s="99">
        <f>if('WEEK 6'!F121&lt;15,mround('WEEK 6'!B121*0.85,10),'WEEK 6'!B121)</f>
        <v>50</v>
      </c>
      <c r="C123" s="1067" t="s">
        <v>61</v>
      </c>
      <c r="D123" s="968" t="s">
        <v>121</v>
      </c>
      <c r="E123" s="1010"/>
      <c r="F123" s="1017"/>
      <c r="G123" s="1012"/>
      <c r="H123" s="1012"/>
      <c r="I123" s="1012"/>
      <c r="J123" s="1012"/>
      <c r="K123" s="1012"/>
      <c r="L123" s="1012"/>
      <c r="M123" s="1012"/>
      <c r="N123" s="1012"/>
      <c r="O123" s="1012"/>
      <c r="P123" s="1012"/>
      <c r="Q123" s="1012"/>
      <c r="R123" s="1012"/>
      <c r="S123" s="1012"/>
      <c r="T123" s="1012"/>
      <c r="U123" s="1012"/>
      <c r="V123" s="1012"/>
      <c r="W123" s="1012"/>
      <c r="X123" s="1012"/>
      <c r="Y123" s="1012"/>
      <c r="Z123" s="1012"/>
    </row>
    <row r="124">
      <c r="A124" s="289">
        <v>3.0</v>
      </c>
      <c r="B124" s="101">
        <f>if('WEEK 6'!F122&lt;15,mround('WEEK 6'!B122*0.85,10),'WEEK 6'!B122)</f>
        <v>40</v>
      </c>
      <c r="C124" s="1067" t="s">
        <v>61</v>
      </c>
      <c r="D124" s="968" t="s">
        <v>121</v>
      </c>
      <c r="E124" s="1021"/>
      <c r="F124" s="1017"/>
      <c r="G124" s="1012"/>
      <c r="H124" s="1012"/>
      <c r="I124" s="1012"/>
      <c r="J124" s="1012"/>
      <c r="K124" s="1012"/>
      <c r="L124" s="1012"/>
      <c r="M124" s="1012"/>
      <c r="N124" s="1012"/>
      <c r="O124" s="1012"/>
      <c r="P124" s="1012"/>
      <c r="Q124" s="1012"/>
      <c r="R124" s="1012"/>
      <c r="S124" s="1012"/>
      <c r="T124" s="1012"/>
      <c r="U124" s="1012"/>
      <c r="V124" s="1012"/>
      <c r="W124" s="1012"/>
      <c r="X124" s="1012"/>
      <c r="Y124" s="1012"/>
      <c r="Z124" s="1012"/>
    </row>
    <row r="125">
      <c r="A125" s="1068"/>
      <c r="B125" s="1068"/>
      <c r="C125" s="1068"/>
      <c r="D125" s="623"/>
      <c r="E125" s="1058"/>
      <c r="F125" s="623"/>
      <c r="G125" s="987"/>
      <c r="H125" s="987"/>
      <c r="I125" s="987"/>
      <c r="J125" s="987"/>
      <c r="K125" s="987"/>
      <c r="L125" s="987"/>
      <c r="M125" s="987"/>
      <c r="N125" s="987"/>
      <c r="O125" s="987"/>
      <c r="P125" s="987"/>
      <c r="Q125" s="987"/>
      <c r="R125" s="987"/>
      <c r="S125" s="987"/>
      <c r="T125" s="987"/>
      <c r="U125" s="987"/>
      <c r="V125" s="987"/>
      <c r="W125" s="987"/>
      <c r="X125" s="987"/>
      <c r="Y125" s="987"/>
      <c r="Z125" s="987"/>
    </row>
    <row r="126">
      <c r="A126" s="1069"/>
      <c r="B126" s="1069"/>
      <c r="C126" s="1069"/>
      <c r="D126" s="995"/>
      <c r="E126" s="1066"/>
      <c r="F126" s="995"/>
      <c r="G126" s="987"/>
      <c r="H126" s="987"/>
      <c r="I126" s="987"/>
      <c r="J126" s="987"/>
      <c r="K126" s="987"/>
      <c r="L126" s="987"/>
      <c r="M126" s="987"/>
      <c r="N126" s="987"/>
      <c r="O126" s="987"/>
      <c r="P126" s="987"/>
      <c r="Q126" s="987"/>
      <c r="R126" s="987"/>
      <c r="S126" s="987"/>
      <c r="T126" s="987"/>
      <c r="U126" s="987"/>
      <c r="V126" s="987"/>
      <c r="W126" s="987"/>
      <c r="X126" s="987"/>
      <c r="Y126" s="987"/>
      <c r="Z126" s="987"/>
    </row>
    <row r="127">
      <c r="A127" s="1070" t="str">
        <f>HYPERLINK("https://youtu.be/QUNZvtb6mnY","3. DUMBBELL SIDE LATERAL RAISE")</f>
        <v>3. DUMBBELL SIDE LATERAL RAISE</v>
      </c>
      <c r="B127" s="13"/>
      <c r="C127" s="13"/>
      <c r="D127" s="13"/>
      <c r="E127" s="13"/>
      <c r="F127" s="57"/>
      <c r="G127" s="987"/>
      <c r="H127" s="987"/>
      <c r="I127" s="987"/>
      <c r="J127" s="987"/>
      <c r="K127" s="987"/>
      <c r="L127" s="987"/>
      <c r="M127" s="987"/>
      <c r="N127" s="987"/>
      <c r="O127" s="987"/>
      <c r="P127" s="987"/>
      <c r="Q127" s="987"/>
      <c r="R127" s="987"/>
      <c r="S127" s="987"/>
      <c r="T127" s="987"/>
      <c r="U127" s="987"/>
      <c r="V127" s="987"/>
      <c r="W127" s="987"/>
      <c r="X127" s="987"/>
      <c r="Y127" s="987"/>
      <c r="Z127" s="987"/>
    </row>
    <row r="128">
      <c r="A128" s="226" t="s">
        <v>134</v>
      </c>
      <c r="B128" s="76">
        <f>'WEEK 5'!B125</f>
        <v>85</v>
      </c>
      <c r="C128" s="13"/>
      <c r="D128" s="13"/>
      <c r="E128" s="13"/>
      <c r="F128" s="57"/>
      <c r="G128" s="987"/>
      <c r="H128" s="987"/>
      <c r="I128" s="987"/>
      <c r="J128" s="987"/>
      <c r="K128" s="987"/>
      <c r="L128" s="987"/>
      <c r="M128" s="987"/>
      <c r="N128" s="987"/>
      <c r="O128" s="987"/>
      <c r="P128" s="987"/>
      <c r="Q128" s="987"/>
      <c r="R128" s="987"/>
      <c r="S128" s="987"/>
      <c r="T128" s="987"/>
      <c r="U128" s="987"/>
      <c r="V128" s="987"/>
      <c r="W128" s="987"/>
      <c r="X128" s="987"/>
      <c r="Y128" s="987"/>
      <c r="Z128" s="987"/>
    </row>
    <row r="129">
      <c r="A129" s="1071" t="s">
        <v>50</v>
      </c>
      <c r="B129" s="1072" t="s">
        <v>51</v>
      </c>
      <c r="C129" s="1072" t="s">
        <v>52</v>
      </c>
      <c r="D129" s="1072" t="s">
        <v>53</v>
      </c>
      <c r="E129" s="1073" t="s">
        <v>54</v>
      </c>
      <c r="F129" s="1006" t="s">
        <v>55</v>
      </c>
      <c r="G129" s="987"/>
      <c r="H129" s="987"/>
      <c r="I129" s="987"/>
      <c r="J129" s="987"/>
      <c r="K129" s="987"/>
      <c r="L129" s="987"/>
      <c r="M129" s="987"/>
      <c r="N129" s="987"/>
      <c r="O129" s="987"/>
      <c r="P129" s="987"/>
      <c r="Q129" s="987"/>
      <c r="R129" s="987"/>
      <c r="S129" s="987"/>
      <c r="T129" s="987"/>
      <c r="U129" s="987"/>
      <c r="V129" s="987"/>
      <c r="W129" s="987"/>
      <c r="X129" s="987"/>
      <c r="Y129" s="987"/>
      <c r="Z129" s="987"/>
    </row>
    <row r="130">
      <c r="A130" s="1074">
        <v>1.0</v>
      </c>
      <c r="B130" s="968">
        <f> mround('WEEK 6'!B127*0.2,5)</f>
        <v>15</v>
      </c>
      <c r="C130" s="1075" t="s">
        <v>61</v>
      </c>
      <c r="D130" s="1076" t="s">
        <v>57</v>
      </c>
      <c r="E130" s="1077"/>
      <c r="F130" s="1017"/>
      <c r="G130" s="987"/>
      <c r="H130" s="987"/>
      <c r="I130" s="987"/>
      <c r="J130" s="987"/>
      <c r="K130" s="987"/>
      <c r="L130" s="987"/>
      <c r="M130" s="987"/>
      <c r="N130" s="987"/>
      <c r="O130" s="987"/>
      <c r="P130" s="987"/>
      <c r="Q130" s="987"/>
      <c r="R130" s="987"/>
      <c r="S130" s="987"/>
      <c r="T130" s="987"/>
      <c r="U130" s="987"/>
      <c r="V130" s="987"/>
      <c r="W130" s="987"/>
      <c r="X130" s="987"/>
      <c r="Y130" s="987"/>
      <c r="Z130" s="987"/>
    </row>
    <row r="131">
      <c r="A131" s="1074">
        <v>2.0</v>
      </c>
      <c r="B131" s="968">
        <f>if('WEEK 6'!F132&lt;15,mround('WEEK 6'!B127*0.15,2.5),'WEEK 6'!B129)</f>
        <v>12.5</v>
      </c>
      <c r="C131" s="1075" t="s">
        <v>61</v>
      </c>
      <c r="D131" s="1076" t="s">
        <v>57</v>
      </c>
      <c r="E131" s="1077"/>
      <c r="F131" s="1017"/>
      <c r="G131" s="987"/>
      <c r="H131" s="987"/>
      <c r="I131" s="987"/>
      <c r="J131" s="987"/>
      <c r="K131" s="987"/>
      <c r="L131" s="987"/>
      <c r="M131" s="987"/>
      <c r="N131" s="987"/>
      <c r="O131" s="987"/>
      <c r="P131" s="987"/>
      <c r="Q131" s="987"/>
      <c r="R131" s="987"/>
      <c r="S131" s="987"/>
      <c r="T131" s="987"/>
      <c r="U131" s="987"/>
      <c r="V131" s="987"/>
      <c r="W131" s="987"/>
      <c r="X131" s="987"/>
      <c r="Y131" s="987"/>
      <c r="Z131" s="987"/>
    </row>
    <row r="132">
      <c r="A132" s="1078">
        <v>3.0</v>
      </c>
      <c r="B132" s="972">
        <f>if('WEEK 6'!F133&lt;15,mround('WEEK 6'!B127*0.1,2.5),'WEEK 6'!B130)</f>
        <v>7.5</v>
      </c>
      <c r="C132" s="1079" t="s">
        <v>61</v>
      </c>
      <c r="D132" s="1080" t="s">
        <v>57</v>
      </c>
      <c r="E132" s="31"/>
      <c r="F132" s="1017"/>
      <c r="G132" s="987"/>
      <c r="H132" s="987"/>
      <c r="I132" s="987"/>
      <c r="J132" s="987"/>
      <c r="K132" s="987"/>
      <c r="L132" s="987"/>
      <c r="M132" s="987"/>
      <c r="N132" s="987"/>
      <c r="O132" s="987"/>
      <c r="P132" s="987"/>
      <c r="Q132" s="987"/>
      <c r="R132" s="987"/>
      <c r="S132" s="987"/>
      <c r="T132" s="987"/>
      <c r="U132" s="987"/>
      <c r="V132" s="987"/>
      <c r="W132" s="987"/>
      <c r="X132" s="987"/>
      <c r="Y132" s="987"/>
      <c r="Z132" s="987"/>
    </row>
    <row r="133">
      <c r="A133" s="1068"/>
      <c r="B133" s="1068"/>
      <c r="C133" s="1068"/>
      <c r="D133" s="623"/>
      <c r="E133" s="1058"/>
      <c r="F133" s="623"/>
      <c r="G133" s="987"/>
      <c r="H133" s="987"/>
      <c r="I133" s="987"/>
      <c r="J133" s="987"/>
      <c r="K133" s="987"/>
      <c r="L133" s="987"/>
      <c r="M133" s="987"/>
      <c r="N133" s="987"/>
      <c r="O133" s="987"/>
      <c r="P133" s="987"/>
      <c r="Q133" s="987"/>
      <c r="R133" s="987"/>
      <c r="S133" s="987"/>
      <c r="T133" s="987"/>
      <c r="U133" s="987"/>
      <c r="V133" s="987"/>
      <c r="W133" s="987"/>
      <c r="X133" s="987"/>
      <c r="Y133" s="987"/>
      <c r="Z133" s="987"/>
    </row>
    <row r="134">
      <c r="A134" s="1069"/>
      <c r="B134" s="1069"/>
      <c r="C134" s="1069"/>
      <c r="D134" s="995"/>
      <c r="E134" s="1066"/>
      <c r="F134" s="995"/>
      <c r="G134" s="987"/>
      <c r="H134" s="987"/>
      <c r="I134" s="987"/>
      <c r="J134" s="987"/>
      <c r="K134" s="987"/>
      <c r="L134" s="987"/>
      <c r="M134" s="987"/>
      <c r="N134" s="987"/>
      <c r="O134" s="987"/>
      <c r="P134" s="987"/>
      <c r="Q134" s="987"/>
      <c r="R134" s="987"/>
      <c r="S134" s="987"/>
      <c r="T134" s="987"/>
      <c r="U134" s="987"/>
      <c r="V134" s="987"/>
      <c r="W134" s="987"/>
      <c r="X134" s="987"/>
      <c r="Y134" s="987"/>
      <c r="Z134" s="987"/>
    </row>
    <row r="135">
      <c r="A135" s="1081" t="str">
        <f>HYPERLINK("https://www.youtube.com/watch?v=NlchRoKP7s8","4. DB LYING TRICEP EXTENSIONS")</f>
        <v>4. DB LYING TRICEP EXTENSIONS</v>
      </c>
      <c r="B135" s="11"/>
      <c r="C135" s="11"/>
      <c r="D135" s="11"/>
      <c r="E135" s="11"/>
      <c r="F135" s="46"/>
      <c r="G135" s="987"/>
      <c r="H135" s="623"/>
      <c r="I135" s="623"/>
      <c r="J135" s="623"/>
      <c r="K135" s="623"/>
      <c r="L135" s="623"/>
      <c r="M135" s="623"/>
      <c r="N135" s="987"/>
      <c r="O135" s="987"/>
      <c r="P135" s="987"/>
      <c r="Q135" s="987"/>
      <c r="R135" s="987"/>
      <c r="S135" s="987"/>
      <c r="T135" s="987"/>
      <c r="U135" s="987"/>
      <c r="V135" s="987"/>
      <c r="W135" s="987"/>
      <c r="X135" s="987"/>
      <c r="Y135" s="987"/>
      <c r="Z135" s="987"/>
    </row>
    <row r="136">
      <c r="A136" s="1082" t="s">
        <v>147</v>
      </c>
      <c r="F136" s="28"/>
      <c r="G136" s="987"/>
      <c r="H136" s="623"/>
      <c r="I136" s="623"/>
      <c r="J136" s="623"/>
      <c r="K136" s="623"/>
      <c r="L136" s="623"/>
      <c r="M136" s="623"/>
      <c r="N136" s="987"/>
      <c r="O136" s="987"/>
      <c r="P136" s="987"/>
      <c r="Q136" s="987"/>
      <c r="R136" s="987"/>
      <c r="S136" s="987"/>
      <c r="T136" s="987"/>
      <c r="U136" s="987"/>
      <c r="V136" s="987"/>
      <c r="W136" s="987"/>
      <c r="X136" s="987"/>
      <c r="Y136" s="987"/>
      <c r="Z136" s="987"/>
    </row>
    <row r="137">
      <c r="A137" s="336"/>
      <c r="B137" s="11"/>
      <c r="C137" s="11"/>
      <c r="D137" s="11"/>
      <c r="E137" s="11"/>
      <c r="F137" s="46"/>
      <c r="G137" s="1007"/>
      <c r="H137" s="623"/>
      <c r="I137" s="623"/>
      <c r="J137" s="623"/>
      <c r="K137" s="623"/>
      <c r="L137" s="623"/>
      <c r="M137" s="623"/>
      <c r="N137" s="1007"/>
      <c r="O137" s="1007"/>
      <c r="P137" s="1007"/>
      <c r="Q137" s="1007"/>
      <c r="R137" s="1007"/>
      <c r="S137" s="1007"/>
      <c r="T137" s="1007"/>
      <c r="U137" s="1007"/>
      <c r="V137" s="1007"/>
      <c r="W137" s="1007"/>
      <c r="X137" s="1007"/>
      <c r="Y137" s="1007"/>
      <c r="Z137" s="1007"/>
    </row>
    <row r="138">
      <c r="A138" s="962" t="s">
        <v>50</v>
      </c>
      <c r="B138" s="963" t="s">
        <v>51</v>
      </c>
      <c r="C138" s="963" t="s">
        <v>52</v>
      </c>
      <c r="D138" s="963" t="s">
        <v>53</v>
      </c>
      <c r="E138" s="1005" t="s">
        <v>54</v>
      </c>
      <c r="F138" s="1006" t="s">
        <v>55</v>
      </c>
      <c r="G138" s="1012"/>
      <c r="H138" s="623"/>
      <c r="I138" s="623"/>
      <c r="J138" s="623"/>
      <c r="K138" s="623"/>
      <c r="L138" s="623"/>
      <c r="M138" s="623"/>
      <c r="N138" s="1012"/>
      <c r="O138" s="1012"/>
      <c r="P138" s="1012"/>
      <c r="Q138" s="1012"/>
      <c r="R138" s="1012"/>
      <c r="S138" s="1012"/>
      <c r="T138" s="1012"/>
      <c r="U138" s="1012"/>
      <c r="V138" s="1012"/>
      <c r="W138" s="1012"/>
      <c r="X138" s="1012"/>
      <c r="Y138" s="1012"/>
      <c r="Z138" s="1012"/>
    </row>
    <row r="139">
      <c r="A139" s="967">
        <v>1.0</v>
      </c>
      <c r="B139" s="968">
        <v>5.0</v>
      </c>
      <c r="C139" s="1067">
        <v>8.0</v>
      </c>
      <c r="D139" s="968" t="s">
        <v>122</v>
      </c>
      <c r="E139" s="1010"/>
      <c r="F139" s="1017"/>
      <c r="G139" s="1012"/>
      <c r="H139" s="623"/>
      <c r="I139" s="623"/>
      <c r="J139" s="623"/>
      <c r="K139" s="623"/>
      <c r="L139" s="623"/>
      <c r="M139" s="623"/>
      <c r="N139" s="1012"/>
      <c r="O139" s="1012"/>
      <c r="P139" s="1012"/>
      <c r="Q139" s="1012"/>
      <c r="R139" s="1012"/>
      <c r="S139" s="1012"/>
      <c r="T139" s="1012"/>
      <c r="U139" s="1012"/>
      <c r="V139" s="1012"/>
      <c r="W139" s="1012"/>
      <c r="X139" s="1012"/>
      <c r="Y139" s="1012"/>
      <c r="Z139" s="1012"/>
    </row>
    <row r="140">
      <c r="A140" s="967">
        <v>2.0</v>
      </c>
      <c r="B140" s="1015">
        <f>mround('WEEK 6'!B138+10,5)</f>
        <v>15</v>
      </c>
      <c r="C140" s="1067">
        <v>8.0</v>
      </c>
      <c r="D140" s="968" t="s">
        <v>122</v>
      </c>
      <c r="E140" s="1010"/>
      <c r="F140" s="1017"/>
      <c r="G140" s="1012"/>
      <c r="H140" s="623"/>
      <c r="I140" s="623"/>
      <c r="J140" s="623"/>
      <c r="K140" s="623"/>
      <c r="L140" s="623"/>
      <c r="M140" s="623"/>
      <c r="N140" s="1012"/>
      <c r="O140" s="1012"/>
      <c r="P140" s="1012"/>
      <c r="Q140" s="1012"/>
      <c r="R140" s="1012"/>
      <c r="S140" s="1012"/>
      <c r="T140" s="1012"/>
      <c r="U140" s="1012"/>
      <c r="V140" s="1012"/>
      <c r="W140" s="1012"/>
      <c r="X140" s="1012"/>
      <c r="Y140" s="1012"/>
      <c r="Z140" s="1012"/>
    </row>
    <row r="141">
      <c r="A141" s="967">
        <v>3.0</v>
      </c>
      <c r="B141" s="1015">
        <f>mround('WEEK 6'!B139+10,5)</f>
        <v>25</v>
      </c>
      <c r="C141" s="1067">
        <v>8.0</v>
      </c>
      <c r="D141" s="968" t="s">
        <v>122</v>
      </c>
      <c r="E141" s="1010"/>
      <c r="F141" s="1017"/>
      <c r="G141" s="1012"/>
      <c r="H141" s="623"/>
      <c r="I141" s="623"/>
      <c r="J141" s="623"/>
      <c r="K141" s="623"/>
      <c r="L141" s="623"/>
      <c r="M141" s="623"/>
      <c r="N141" s="1012"/>
      <c r="O141" s="1012"/>
      <c r="P141" s="1012"/>
      <c r="Q141" s="1012"/>
      <c r="R141" s="1012"/>
      <c r="S141" s="1012"/>
      <c r="T141" s="1012"/>
      <c r="U141" s="1012"/>
      <c r="V141" s="1012"/>
      <c r="W141" s="1012"/>
      <c r="X141" s="1012"/>
      <c r="Y141" s="1012"/>
      <c r="Z141" s="1012"/>
    </row>
    <row r="142">
      <c r="A142" s="967">
        <v>4.0</v>
      </c>
      <c r="B142" s="1015">
        <f>mround('WEEK 6'!B140+10,5)</f>
        <v>35</v>
      </c>
      <c r="C142" s="1067">
        <v>8.0</v>
      </c>
      <c r="D142" s="968" t="s">
        <v>122</v>
      </c>
      <c r="E142" s="1010"/>
      <c r="F142" s="1017"/>
      <c r="G142" s="1012"/>
      <c r="H142" s="623"/>
      <c r="I142" s="623"/>
      <c r="J142" s="623"/>
      <c r="K142" s="623"/>
      <c r="L142" s="623"/>
      <c r="M142" s="623"/>
      <c r="N142" s="1012"/>
      <c r="O142" s="1012"/>
      <c r="P142" s="1012"/>
      <c r="Q142" s="1012"/>
      <c r="R142" s="1012"/>
      <c r="S142" s="1012"/>
      <c r="T142" s="1012"/>
      <c r="U142" s="1012"/>
      <c r="V142" s="1012"/>
      <c r="W142" s="1012"/>
      <c r="X142" s="1012"/>
      <c r="Y142" s="1012"/>
      <c r="Z142" s="1012"/>
    </row>
    <row r="143">
      <c r="A143" s="967">
        <v>5.0</v>
      </c>
      <c r="B143" s="1015">
        <f>mround('WEEK 6'!B141+10,5)</f>
        <v>45</v>
      </c>
      <c r="C143" s="1067">
        <v>8.0</v>
      </c>
      <c r="D143" s="968" t="s">
        <v>122</v>
      </c>
      <c r="E143" s="1010"/>
      <c r="F143" s="1017"/>
      <c r="G143" s="1012"/>
      <c r="H143" s="623"/>
      <c r="I143" s="623"/>
      <c r="J143" s="623"/>
      <c r="K143" s="623"/>
      <c r="L143" s="623"/>
      <c r="M143" s="623"/>
      <c r="N143" s="1012"/>
      <c r="O143" s="1012"/>
      <c r="P143" s="1012"/>
      <c r="Q143" s="1012"/>
      <c r="R143" s="1012"/>
      <c r="S143" s="1012"/>
      <c r="T143" s="1012"/>
      <c r="U143" s="1012"/>
      <c r="V143" s="1012"/>
      <c r="W143" s="1012"/>
      <c r="X143" s="1012"/>
      <c r="Y143" s="1012"/>
      <c r="Z143" s="1012"/>
    </row>
    <row r="144">
      <c r="A144" s="967">
        <v>6.0</v>
      </c>
      <c r="B144" s="1015">
        <f>'WEEK 6'!B142+10</f>
        <v>55</v>
      </c>
      <c r="C144" s="1067">
        <v>8.0</v>
      </c>
      <c r="D144" s="968" t="s">
        <v>122</v>
      </c>
      <c r="E144" s="1010"/>
      <c r="F144" s="1017"/>
      <c r="G144" s="987"/>
      <c r="H144" s="623"/>
      <c r="I144" s="623"/>
      <c r="J144" s="623"/>
      <c r="K144" s="623"/>
      <c r="L144" s="623"/>
      <c r="M144" s="623"/>
      <c r="N144" s="987"/>
      <c r="O144" s="987"/>
      <c r="P144" s="987"/>
      <c r="Q144" s="987"/>
      <c r="R144" s="987"/>
      <c r="S144" s="987"/>
      <c r="T144" s="987"/>
      <c r="U144" s="987"/>
      <c r="V144" s="987"/>
      <c r="W144" s="987"/>
      <c r="X144" s="987"/>
      <c r="Y144" s="987"/>
      <c r="Z144" s="987"/>
    </row>
    <row r="145">
      <c r="A145" s="971">
        <v>7.0</v>
      </c>
      <c r="B145" s="1083">
        <f>mround('WEEK 6'!B143+10,5)</f>
        <v>65</v>
      </c>
      <c r="C145" s="1067">
        <v>8.0</v>
      </c>
      <c r="D145" s="1084" t="s">
        <v>122</v>
      </c>
      <c r="E145" s="1065"/>
      <c r="F145" s="1085"/>
      <c r="G145" s="987"/>
      <c r="H145" s="623"/>
      <c r="I145" s="623"/>
      <c r="J145" s="623"/>
      <c r="K145" s="623"/>
      <c r="L145" s="623"/>
      <c r="M145" s="623"/>
      <c r="N145" s="987"/>
      <c r="O145" s="987"/>
      <c r="P145" s="987"/>
      <c r="Q145" s="987"/>
      <c r="R145" s="987"/>
      <c r="S145" s="987"/>
      <c r="T145" s="987"/>
      <c r="U145" s="987"/>
      <c r="V145" s="987"/>
      <c r="W145" s="987"/>
      <c r="X145" s="987"/>
      <c r="Y145" s="987"/>
      <c r="Z145" s="987"/>
    </row>
    <row r="146">
      <c r="A146" s="1086" t="s">
        <v>132</v>
      </c>
      <c r="B146" s="1087">
        <v>30.0</v>
      </c>
      <c r="C146" s="36"/>
      <c r="D146" s="36"/>
      <c r="E146" s="36"/>
      <c r="F146" s="37"/>
      <c r="G146" s="1034"/>
      <c r="H146" s="623"/>
      <c r="I146" s="623"/>
      <c r="J146" s="623"/>
      <c r="K146" s="623"/>
      <c r="L146" s="623"/>
      <c r="M146" s="623"/>
      <c r="N146" s="987"/>
      <c r="O146" s="987"/>
      <c r="P146" s="987"/>
      <c r="Q146" s="987"/>
      <c r="R146" s="987"/>
      <c r="S146" s="987"/>
      <c r="T146" s="987"/>
      <c r="U146" s="987"/>
      <c r="V146" s="987"/>
      <c r="W146" s="987"/>
      <c r="X146" s="987"/>
      <c r="Y146" s="987"/>
      <c r="Z146" s="987"/>
    </row>
    <row r="147">
      <c r="A147" s="623"/>
      <c r="B147" s="623"/>
      <c r="C147" s="623"/>
      <c r="D147" s="623"/>
      <c r="E147" s="623"/>
      <c r="F147" s="623"/>
      <c r="G147" s="1034"/>
      <c r="H147" s="987"/>
      <c r="I147" s="987"/>
      <c r="J147" s="987"/>
      <c r="K147" s="987"/>
      <c r="L147" s="987"/>
      <c r="M147" s="987"/>
      <c r="N147" s="987"/>
      <c r="O147" s="987"/>
      <c r="P147" s="987"/>
      <c r="Q147" s="987"/>
      <c r="R147" s="987"/>
      <c r="S147" s="987"/>
      <c r="T147" s="987"/>
      <c r="U147" s="987"/>
      <c r="V147" s="987"/>
      <c r="W147" s="987"/>
      <c r="X147" s="987"/>
      <c r="Y147" s="987"/>
      <c r="Z147" s="987"/>
    </row>
    <row r="148">
      <c r="A148" s="995"/>
      <c r="B148" s="995"/>
      <c r="C148" s="995"/>
      <c r="D148" s="995"/>
      <c r="E148" s="995"/>
      <c r="F148" s="995"/>
      <c r="G148" s="987"/>
      <c r="H148" s="987"/>
      <c r="I148" s="987"/>
      <c r="J148" s="987"/>
      <c r="K148" s="987"/>
      <c r="L148" s="987"/>
      <c r="M148" s="987"/>
      <c r="N148" s="987"/>
      <c r="O148" s="987"/>
      <c r="P148" s="987"/>
      <c r="Q148" s="987"/>
      <c r="R148" s="987"/>
      <c r="S148" s="987"/>
      <c r="T148" s="987"/>
      <c r="U148" s="987"/>
      <c r="V148" s="987"/>
      <c r="W148" s="987"/>
      <c r="X148" s="987"/>
      <c r="Y148" s="987"/>
      <c r="Z148" s="987"/>
    </row>
    <row r="149">
      <c r="A149" s="113" t="str">
        <f>HYPERLINK("https://www.youtube.com/watch?v=TorWpKwLCSg","5. ALTERNATING BICEP CURLS ")</f>
        <v>5. ALTERNATING BICEP CURLS </v>
      </c>
      <c r="B149" s="53"/>
      <c r="C149" s="53"/>
      <c r="D149" s="53"/>
      <c r="E149" s="53"/>
      <c r="F149" s="54"/>
      <c r="G149" s="987"/>
      <c r="H149" s="987"/>
      <c r="I149" s="987"/>
      <c r="J149" s="987"/>
      <c r="K149" s="987"/>
      <c r="L149" s="987"/>
      <c r="M149" s="987"/>
      <c r="N149" s="987"/>
      <c r="O149" s="987"/>
      <c r="P149" s="987"/>
      <c r="Q149" s="987"/>
      <c r="R149" s="987"/>
      <c r="S149" s="987"/>
      <c r="T149" s="987"/>
      <c r="U149" s="987"/>
      <c r="V149" s="987"/>
      <c r="W149" s="987"/>
      <c r="X149" s="987"/>
      <c r="Y149" s="987"/>
      <c r="Z149" s="987"/>
    </row>
    <row r="150">
      <c r="A150" s="226" t="s">
        <v>119</v>
      </c>
      <c r="B150" s="94">
        <f>IF('WEEK 4 '!B147='WEEK 4 '!B149,'WEEK 4 '!B147+5,IF('WEEK 4 '!F147&lt;=14,MROUND('WEEK 4 '!B145*0.95,5),'WEEK 4 '!B147))</f>
        <v>40</v>
      </c>
      <c r="C150" s="20"/>
      <c r="D150" s="20"/>
      <c r="E150" s="20"/>
      <c r="F150" s="95"/>
      <c r="G150" s="1007"/>
      <c r="H150" s="1007"/>
      <c r="I150" s="1007"/>
      <c r="J150" s="1007"/>
      <c r="K150" s="1007"/>
      <c r="L150" s="1007"/>
      <c r="M150" s="1007"/>
      <c r="N150" s="1007"/>
      <c r="O150" s="1007"/>
      <c r="P150" s="1007"/>
      <c r="Q150" s="1007"/>
      <c r="R150" s="1007"/>
      <c r="S150" s="1007"/>
      <c r="T150" s="1007"/>
      <c r="U150" s="1007"/>
      <c r="V150" s="1007"/>
      <c r="W150" s="1007"/>
      <c r="X150" s="1007"/>
      <c r="Y150" s="1007"/>
      <c r="Z150" s="1007"/>
    </row>
    <row r="151">
      <c r="A151" s="77" t="s">
        <v>50</v>
      </c>
      <c r="B151" s="78" t="s">
        <v>51</v>
      </c>
      <c r="C151" s="78" t="s">
        <v>52</v>
      </c>
      <c r="D151" s="78" t="s">
        <v>53</v>
      </c>
      <c r="E151" s="80" t="s">
        <v>54</v>
      </c>
      <c r="F151" s="235" t="s">
        <v>55</v>
      </c>
      <c r="G151" s="1012"/>
      <c r="H151" s="1012"/>
      <c r="I151" s="1012"/>
      <c r="J151" s="1012"/>
      <c r="K151" s="1012"/>
      <c r="L151" s="1012"/>
      <c r="M151" s="1012"/>
      <c r="N151" s="1012"/>
      <c r="O151" s="1012"/>
      <c r="P151" s="1012"/>
      <c r="Q151" s="1012"/>
      <c r="R151" s="1012"/>
      <c r="S151" s="1012"/>
      <c r="T151" s="1012"/>
      <c r="U151" s="1012"/>
      <c r="V151" s="1012"/>
      <c r="W151" s="1012"/>
      <c r="X151" s="1012"/>
      <c r="Y151" s="1012"/>
      <c r="Z151" s="1012"/>
    </row>
    <row r="152">
      <c r="A152" s="81">
        <v>1.0</v>
      </c>
      <c r="B152" s="82">
        <f>MROUND('WEEK 6'!B149*0.9,10)</f>
        <v>40</v>
      </c>
      <c r="C152" s="65" t="s">
        <v>61</v>
      </c>
      <c r="D152" s="83" t="s">
        <v>58</v>
      </c>
      <c r="E152" s="84">
        <f>IF('WEEK 6'!B151='WEEK 4 '!B147,'WEEK 4 '!F147,"")</f>
        <v>14</v>
      </c>
      <c r="F152" s="85"/>
      <c r="G152" s="1012"/>
      <c r="H152" s="1012"/>
      <c r="I152" s="1012"/>
      <c r="J152" s="1012"/>
      <c r="K152" s="1012"/>
      <c r="L152" s="1012"/>
      <c r="M152" s="1012"/>
      <c r="N152" s="1012"/>
      <c r="O152" s="1012"/>
      <c r="P152" s="1012"/>
      <c r="Q152" s="1012"/>
      <c r="R152" s="1012"/>
      <c r="S152" s="1012"/>
      <c r="T152" s="1012"/>
      <c r="U152" s="1012"/>
      <c r="V152" s="1012"/>
      <c r="W152" s="1012"/>
      <c r="X152" s="1012"/>
      <c r="Y152" s="1012"/>
      <c r="Z152" s="1012"/>
    </row>
    <row r="153">
      <c r="A153" s="81">
        <v>2.0</v>
      </c>
      <c r="B153" s="82">
        <f>if('WEEK 6'!F151&lt;15,mround('WEEK 6'!B151*0.8,5),IF('WEEK 6'!F151&lt;=18,MROUND('WEEK 6'!B149*0.95,5),'WEEK 6'!B151))</f>
        <v>30</v>
      </c>
      <c r="C153" s="65" t="s">
        <v>61</v>
      </c>
      <c r="D153" s="83" t="s">
        <v>58</v>
      </c>
      <c r="E153" s="84" t="str">
        <f>IF('WEEK 6'!B152='WEEK 4 '!B148,'WEEK 4 '!F148,"")</f>
        <v/>
      </c>
      <c r="F153" s="85"/>
      <c r="G153" s="1012"/>
      <c r="H153" s="1012"/>
      <c r="I153" s="1012"/>
      <c r="J153" s="1012"/>
      <c r="K153" s="1012"/>
      <c r="L153" s="1012"/>
      <c r="M153" s="1012"/>
      <c r="N153" s="1012"/>
      <c r="O153" s="1012"/>
      <c r="P153" s="1012"/>
      <c r="Q153" s="1012"/>
      <c r="R153" s="1012"/>
      <c r="S153" s="1012"/>
      <c r="T153" s="1012"/>
      <c r="U153" s="1012"/>
      <c r="V153" s="1012"/>
      <c r="W153" s="1012"/>
      <c r="X153" s="1012"/>
      <c r="Y153" s="1012"/>
      <c r="Z153" s="1012"/>
    </row>
    <row r="154">
      <c r="A154" s="629">
        <v>3.0</v>
      </c>
      <c r="B154" s="630">
        <f>if('WEEK 6'!F152&lt;15,mround('WEEK 6'!B152*0.8,5),IF('WEEK 6'!F152&lt;=18,MROUND('WEEK 6'!B150*0.95,5),'WEEK 6'!B152))</f>
        <v>25</v>
      </c>
      <c r="C154" s="631" t="s">
        <v>61</v>
      </c>
      <c r="D154" s="328" t="s">
        <v>58</v>
      </c>
      <c r="E154" s="84" t="str">
        <f>IF('WEEK 6'!B153='WEEK 4 '!B149,'WEEK 4 '!F149,"")</f>
        <v/>
      </c>
      <c r="F154" s="330"/>
      <c r="G154" s="1012"/>
      <c r="H154" s="1012"/>
      <c r="I154" s="1012"/>
      <c r="J154" s="1012"/>
      <c r="K154" s="1012"/>
      <c r="L154" s="1012"/>
      <c r="M154" s="1012"/>
      <c r="N154" s="1012"/>
      <c r="O154" s="1012"/>
      <c r="P154" s="1012"/>
      <c r="Q154" s="1012"/>
      <c r="R154" s="1012"/>
      <c r="S154" s="1012"/>
      <c r="T154" s="1012"/>
      <c r="U154" s="1012"/>
      <c r="V154" s="1012"/>
      <c r="W154" s="1012"/>
      <c r="X154" s="1012"/>
      <c r="Y154" s="1012"/>
      <c r="Z154" s="1012"/>
    </row>
    <row r="155">
      <c r="A155" s="1088"/>
      <c r="B155" s="1089"/>
      <c r="C155" s="1089"/>
      <c r="D155" s="1089"/>
      <c r="E155" s="1089"/>
      <c r="F155" s="1089"/>
      <c r="G155" s="987"/>
      <c r="H155" s="987"/>
      <c r="I155" s="987"/>
      <c r="J155" s="987"/>
      <c r="K155" s="987"/>
      <c r="L155" s="987"/>
      <c r="M155" s="987"/>
      <c r="N155" s="987"/>
      <c r="O155" s="987"/>
      <c r="P155" s="987"/>
      <c r="Q155" s="987"/>
      <c r="R155" s="987"/>
      <c r="S155" s="987"/>
      <c r="T155" s="987"/>
      <c r="U155" s="987"/>
      <c r="V155" s="987"/>
      <c r="W155" s="987"/>
      <c r="X155" s="987"/>
      <c r="Y155" s="987"/>
      <c r="Z155" s="987"/>
    </row>
    <row r="156">
      <c r="A156" s="1090"/>
      <c r="B156" s="1091"/>
      <c r="C156" s="1091"/>
      <c r="D156" s="1091"/>
      <c r="E156" s="1091"/>
      <c r="F156" s="1091"/>
      <c r="G156" s="987"/>
      <c r="H156" s="987"/>
      <c r="I156" s="987"/>
      <c r="J156" s="987"/>
      <c r="K156" s="987"/>
      <c r="L156" s="987"/>
      <c r="M156" s="987"/>
      <c r="N156" s="987"/>
      <c r="O156" s="987"/>
      <c r="P156" s="987"/>
      <c r="Q156" s="987"/>
      <c r="R156" s="987"/>
      <c r="S156" s="987"/>
      <c r="T156" s="987"/>
      <c r="U156" s="987"/>
      <c r="V156" s="987"/>
      <c r="W156" s="987"/>
      <c r="X156" s="987"/>
      <c r="Y156" s="987"/>
      <c r="Z156" s="987"/>
    </row>
    <row r="157">
      <c r="A157" s="1092" t="s">
        <v>135</v>
      </c>
      <c r="B157" s="11"/>
      <c r="C157" s="11"/>
      <c r="D157" s="11"/>
      <c r="E157" s="11"/>
      <c r="F157" s="46"/>
      <c r="G157" s="987"/>
      <c r="H157" s="987"/>
      <c r="I157" s="987"/>
      <c r="J157" s="987"/>
      <c r="K157" s="987"/>
      <c r="L157" s="987"/>
      <c r="M157" s="987"/>
      <c r="N157" s="987"/>
      <c r="O157" s="987"/>
      <c r="P157" s="987"/>
      <c r="Q157" s="987"/>
      <c r="R157" s="987"/>
      <c r="S157" s="987"/>
      <c r="T157" s="987"/>
      <c r="U157" s="987"/>
      <c r="V157" s="987"/>
      <c r="W157" s="987"/>
      <c r="X157" s="987"/>
      <c r="Y157" s="987"/>
      <c r="Z157" s="987"/>
    </row>
    <row r="158">
      <c r="A158" s="1093"/>
      <c r="B158" s="1093"/>
      <c r="C158" s="1093"/>
      <c r="D158" s="1093"/>
      <c r="E158" s="1093"/>
      <c r="F158" s="1093"/>
      <c r="G158" s="987"/>
      <c r="H158" s="987"/>
      <c r="I158" s="987"/>
      <c r="J158" s="987"/>
      <c r="K158" s="987"/>
      <c r="L158" s="987"/>
      <c r="M158" s="987"/>
      <c r="N158" s="987"/>
      <c r="O158" s="987"/>
      <c r="P158" s="987"/>
      <c r="Q158" s="987"/>
      <c r="R158" s="987"/>
      <c r="S158" s="987"/>
      <c r="T158" s="987"/>
      <c r="U158" s="987"/>
      <c r="V158" s="987"/>
      <c r="W158" s="987"/>
      <c r="X158" s="987"/>
      <c r="Y158" s="987"/>
      <c r="Z158" s="987"/>
    </row>
    <row r="159">
      <c r="A159" s="1094" t="str">
        <f>HYPERLINK("https://www.amazon.com/30-Minute-Body-Investment-Champion/dp/0692791892/ref=sr_1_1?ie=UTF8&amp;qid=1490447969&amp;sr=8-1&amp;keywords=30+minute+body","WANT TO LEARN MORE?")</f>
        <v>WANT TO LEARN MORE?</v>
      </c>
      <c r="F159" s="39"/>
      <c r="G159" s="987"/>
      <c r="H159" s="987"/>
      <c r="I159" s="987"/>
      <c r="J159" s="987"/>
      <c r="K159" s="987"/>
      <c r="L159" s="987"/>
      <c r="M159" s="987"/>
      <c r="N159" s="987"/>
      <c r="O159" s="987"/>
      <c r="P159" s="987"/>
      <c r="Q159" s="987"/>
      <c r="R159" s="987"/>
      <c r="S159" s="987"/>
      <c r="T159" s="987"/>
      <c r="U159" s="987"/>
      <c r="V159" s="987"/>
      <c r="W159" s="987"/>
      <c r="X159" s="987"/>
      <c r="Y159" s="987"/>
      <c r="Z159" s="987"/>
    </row>
    <row r="160">
      <c r="A160" s="18"/>
      <c r="B160" s="13"/>
      <c r="C160" s="13"/>
      <c r="D160" s="13"/>
      <c r="E160" s="13"/>
      <c r="F160" s="14"/>
      <c r="G160" s="987"/>
      <c r="H160" s="987"/>
      <c r="I160" s="987"/>
      <c r="J160" s="987"/>
      <c r="K160" s="987"/>
      <c r="L160" s="987"/>
      <c r="M160" s="987"/>
      <c r="N160" s="987"/>
      <c r="O160" s="987"/>
      <c r="P160" s="987"/>
      <c r="Q160" s="987"/>
      <c r="R160" s="987"/>
      <c r="S160" s="987"/>
      <c r="T160" s="987"/>
      <c r="U160" s="987"/>
      <c r="V160" s="987"/>
      <c r="W160" s="987"/>
      <c r="X160" s="987"/>
      <c r="Y160" s="987"/>
      <c r="Z160" s="987"/>
    </row>
    <row r="161">
      <c r="A161" s="987"/>
      <c r="B161" s="999"/>
      <c r="C161" s="1095" t="s">
        <v>67</v>
      </c>
      <c r="F161" s="28"/>
      <c r="G161" s="987"/>
      <c r="H161" s="987"/>
      <c r="I161" s="987"/>
      <c r="J161" s="987"/>
      <c r="K161" s="987"/>
      <c r="L161" s="987"/>
      <c r="M161" s="987"/>
      <c r="N161" s="987"/>
      <c r="O161" s="987"/>
      <c r="P161" s="987"/>
      <c r="Q161" s="987"/>
      <c r="R161" s="987"/>
      <c r="S161" s="987"/>
      <c r="T161" s="987"/>
      <c r="U161" s="987"/>
      <c r="V161" s="987"/>
      <c r="W161" s="987"/>
      <c r="X161" s="987"/>
      <c r="Y161" s="987"/>
      <c r="Z161" s="987"/>
    </row>
    <row r="162">
      <c r="A162" s="987"/>
      <c r="B162" s="999"/>
      <c r="F162" s="28"/>
      <c r="G162" s="987"/>
      <c r="H162" s="987"/>
      <c r="I162" s="987"/>
      <c r="J162" s="987"/>
      <c r="K162" s="987"/>
      <c r="L162" s="987"/>
      <c r="M162" s="987"/>
      <c r="N162" s="987"/>
      <c r="O162" s="987"/>
      <c r="P162" s="987"/>
      <c r="Q162" s="987"/>
      <c r="R162" s="987"/>
      <c r="S162" s="987"/>
      <c r="T162" s="987"/>
      <c r="U162" s="987"/>
      <c r="V162" s="987"/>
      <c r="W162" s="987"/>
      <c r="X162" s="987"/>
      <c r="Y162" s="987"/>
      <c r="Z162" s="987"/>
    </row>
    <row r="163">
      <c r="A163" s="987"/>
      <c r="B163" s="999"/>
      <c r="F163" s="28"/>
      <c r="G163" s="987"/>
      <c r="H163" s="987"/>
      <c r="I163" s="987"/>
      <c r="J163" s="987"/>
      <c r="K163" s="987"/>
      <c r="L163" s="987"/>
      <c r="M163" s="987"/>
      <c r="N163" s="987"/>
      <c r="O163" s="987"/>
      <c r="P163" s="987"/>
      <c r="Q163" s="987"/>
      <c r="R163" s="987"/>
      <c r="S163" s="987"/>
      <c r="T163" s="987"/>
      <c r="U163" s="987"/>
      <c r="V163" s="987"/>
      <c r="W163" s="987"/>
      <c r="X163" s="987"/>
      <c r="Y163" s="987"/>
      <c r="Z163" s="987"/>
    </row>
    <row r="164">
      <c r="A164" s="987"/>
      <c r="B164" s="999"/>
      <c r="F164" s="28"/>
      <c r="G164" s="987"/>
      <c r="H164" s="987"/>
      <c r="I164" s="987"/>
      <c r="J164" s="987"/>
      <c r="K164" s="987"/>
      <c r="L164" s="987"/>
      <c r="M164" s="987"/>
      <c r="N164" s="987"/>
      <c r="O164" s="987"/>
      <c r="P164" s="987"/>
      <c r="Q164" s="987"/>
      <c r="R164" s="987"/>
      <c r="S164" s="987"/>
      <c r="T164" s="987"/>
      <c r="U164" s="987"/>
      <c r="V164" s="987"/>
      <c r="W164" s="987"/>
      <c r="X164" s="987"/>
      <c r="Y164" s="987"/>
      <c r="Z164" s="987"/>
    </row>
    <row r="165">
      <c r="A165" s="987"/>
      <c r="B165" s="999"/>
      <c r="F165" s="28"/>
      <c r="G165" s="987"/>
      <c r="H165" s="987"/>
      <c r="I165" s="987"/>
      <c r="J165" s="987"/>
      <c r="K165" s="987"/>
      <c r="L165" s="987"/>
      <c r="M165" s="987"/>
      <c r="N165" s="987"/>
      <c r="O165" s="987"/>
      <c r="P165" s="987"/>
      <c r="Q165" s="987"/>
      <c r="R165" s="987"/>
      <c r="S165" s="987"/>
      <c r="T165" s="987"/>
      <c r="U165" s="987"/>
      <c r="V165" s="987"/>
      <c r="W165" s="987"/>
      <c r="X165" s="987"/>
      <c r="Y165" s="987"/>
      <c r="Z165" s="987"/>
    </row>
    <row r="166">
      <c r="A166" s="987"/>
      <c r="B166" s="999"/>
      <c r="F166" s="28"/>
      <c r="G166" s="987"/>
      <c r="H166" s="987"/>
      <c r="I166" s="987"/>
      <c r="J166" s="987"/>
      <c r="K166" s="987"/>
      <c r="L166" s="987"/>
      <c r="M166" s="987"/>
      <c r="N166" s="987"/>
      <c r="O166" s="987"/>
      <c r="P166" s="987"/>
      <c r="Q166" s="987"/>
      <c r="R166" s="987"/>
      <c r="S166" s="987"/>
      <c r="T166" s="987"/>
      <c r="U166" s="987"/>
      <c r="V166" s="987"/>
      <c r="W166" s="987"/>
      <c r="X166" s="987"/>
      <c r="Y166" s="987"/>
      <c r="Z166" s="987"/>
    </row>
    <row r="167">
      <c r="A167" s="623"/>
      <c r="B167" s="999"/>
      <c r="F167" s="28"/>
      <c r="G167" s="987"/>
      <c r="H167" s="987"/>
      <c r="I167" s="987"/>
      <c r="J167" s="987"/>
      <c r="K167" s="987"/>
      <c r="L167" s="987"/>
      <c r="M167" s="987"/>
      <c r="N167" s="987"/>
      <c r="O167" s="987"/>
      <c r="P167" s="987"/>
      <c r="Q167" s="987"/>
      <c r="R167" s="987"/>
      <c r="S167" s="987"/>
      <c r="T167" s="987"/>
      <c r="U167" s="987"/>
      <c r="V167" s="987"/>
      <c r="W167" s="987"/>
      <c r="X167" s="987"/>
      <c r="Y167" s="987"/>
      <c r="Z167" s="987"/>
    </row>
    <row r="168">
      <c r="A168" s="987"/>
      <c r="B168" s="999"/>
      <c r="F168" s="28"/>
      <c r="G168" s="987"/>
      <c r="H168" s="987"/>
      <c r="I168" s="987"/>
      <c r="J168" s="987"/>
      <c r="K168" s="987"/>
      <c r="L168" s="987"/>
      <c r="M168" s="987"/>
      <c r="N168" s="987"/>
      <c r="O168" s="987"/>
      <c r="P168" s="987"/>
      <c r="Q168" s="987"/>
      <c r="R168" s="987"/>
      <c r="S168" s="987"/>
      <c r="T168" s="987"/>
      <c r="U168" s="987"/>
      <c r="V168" s="987"/>
      <c r="W168" s="987"/>
      <c r="X168" s="987"/>
      <c r="Y168" s="987"/>
      <c r="Z168" s="987"/>
    </row>
    <row r="169">
      <c r="A169" s="987"/>
      <c r="B169" s="999"/>
      <c r="F169" s="28"/>
      <c r="G169" s="987"/>
      <c r="H169" s="987"/>
      <c r="I169" s="987"/>
      <c r="J169" s="987"/>
      <c r="K169" s="987"/>
      <c r="L169" s="987"/>
      <c r="M169" s="987"/>
      <c r="N169" s="987"/>
      <c r="O169" s="987"/>
      <c r="P169" s="987"/>
      <c r="Q169" s="987"/>
      <c r="R169" s="987"/>
      <c r="S169" s="987"/>
      <c r="T169" s="987"/>
      <c r="U169" s="987"/>
      <c r="V169" s="987"/>
      <c r="W169" s="987"/>
      <c r="X169" s="987"/>
      <c r="Y169" s="987"/>
      <c r="Z169" s="987"/>
    </row>
    <row r="170">
      <c r="A170" s="1034"/>
      <c r="B170" s="999"/>
      <c r="F170" s="28"/>
      <c r="G170" s="987"/>
      <c r="H170" s="987"/>
      <c r="I170" s="987"/>
      <c r="J170" s="987"/>
      <c r="K170" s="987"/>
      <c r="L170" s="987"/>
      <c r="M170" s="987"/>
      <c r="N170" s="987"/>
      <c r="O170" s="987"/>
      <c r="P170" s="987"/>
      <c r="Q170" s="987"/>
      <c r="R170" s="987"/>
      <c r="S170" s="987"/>
      <c r="T170" s="987"/>
      <c r="U170" s="987"/>
      <c r="V170" s="987"/>
      <c r="W170" s="987"/>
      <c r="X170" s="987"/>
      <c r="Y170" s="987"/>
      <c r="Z170" s="987"/>
    </row>
    <row r="171">
      <c r="A171" s="987"/>
      <c r="B171" s="999"/>
      <c r="F171" s="28"/>
      <c r="G171" s="987"/>
      <c r="H171" s="987"/>
      <c r="I171" s="987"/>
      <c r="J171" s="987"/>
      <c r="K171" s="987"/>
      <c r="L171" s="987"/>
      <c r="M171" s="987"/>
      <c r="N171" s="987"/>
      <c r="O171" s="987"/>
      <c r="P171" s="987"/>
      <c r="Q171" s="987"/>
      <c r="R171" s="987"/>
      <c r="S171" s="987"/>
      <c r="T171" s="987"/>
      <c r="U171" s="987"/>
      <c r="V171" s="987"/>
      <c r="W171" s="987"/>
      <c r="X171" s="987"/>
      <c r="Y171" s="987"/>
      <c r="Z171" s="987"/>
    </row>
    <row r="172">
      <c r="A172" s="987"/>
      <c r="B172" s="999"/>
      <c r="F172" s="28"/>
      <c r="G172" s="987"/>
      <c r="H172" s="987"/>
      <c r="I172" s="987"/>
      <c r="J172" s="987"/>
      <c r="K172" s="987"/>
      <c r="L172" s="987"/>
      <c r="M172" s="987"/>
      <c r="N172" s="987"/>
      <c r="O172" s="987"/>
      <c r="P172" s="987"/>
      <c r="Q172" s="987"/>
      <c r="R172" s="987"/>
      <c r="S172" s="987"/>
      <c r="T172" s="987"/>
      <c r="U172" s="987"/>
      <c r="V172" s="987"/>
      <c r="W172" s="987"/>
      <c r="X172" s="987"/>
      <c r="Y172" s="987"/>
      <c r="Z172" s="987"/>
    </row>
    <row r="173">
      <c r="A173" s="987"/>
      <c r="B173" s="999"/>
      <c r="F173" s="28"/>
      <c r="G173" s="987"/>
      <c r="H173" s="987"/>
      <c r="I173" s="987"/>
      <c r="J173" s="987"/>
      <c r="K173" s="987"/>
      <c r="L173" s="987"/>
      <c r="M173" s="987"/>
      <c r="N173" s="987"/>
      <c r="O173" s="987"/>
      <c r="P173" s="987"/>
      <c r="Q173" s="987"/>
      <c r="R173" s="987"/>
      <c r="S173" s="987"/>
      <c r="T173" s="987"/>
      <c r="U173" s="987"/>
      <c r="V173" s="987"/>
      <c r="W173" s="987"/>
      <c r="X173" s="987"/>
      <c r="Y173" s="987"/>
      <c r="Z173" s="987"/>
    </row>
    <row r="174">
      <c r="A174" s="987"/>
      <c r="B174" s="999"/>
      <c r="F174" s="28"/>
      <c r="G174" s="987"/>
      <c r="H174" s="987"/>
      <c r="I174" s="987"/>
      <c r="J174" s="987"/>
      <c r="K174" s="987"/>
      <c r="L174" s="987"/>
      <c r="M174" s="987"/>
      <c r="N174" s="987"/>
      <c r="O174" s="987"/>
      <c r="P174" s="987"/>
      <c r="Q174" s="987"/>
      <c r="R174" s="987"/>
      <c r="S174" s="987"/>
      <c r="T174" s="987"/>
      <c r="U174" s="987"/>
      <c r="V174" s="987"/>
      <c r="W174" s="987"/>
      <c r="X174" s="987"/>
      <c r="Y174" s="987"/>
      <c r="Z174" s="987"/>
    </row>
    <row r="175">
      <c r="A175" s="987"/>
      <c r="B175" s="999"/>
      <c r="C175" s="11"/>
      <c r="D175" s="11"/>
      <c r="E175" s="11"/>
      <c r="F175" s="46"/>
      <c r="G175" s="987"/>
      <c r="H175" s="987"/>
      <c r="I175" s="987"/>
      <c r="J175" s="987"/>
      <c r="K175" s="987"/>
      <c r="L175" s="987"/>
      <c r="M175" s="987"/>
      <c r="N175" s="987"/>
      <c r="O175" s="987"/>
      <c r="P175" s="987"/>
      <c r="Q175" s="987"/>
      <c r="R175" s="987"/>
      <c r="S175" s="987"/>
      <c r="T175" s="987"/>
      <c r="U175" s="987"/>
      <c r="V175" s="987"/>
      <c r="W175" s="987"/>
      <c r="X175" s="987"/>
      <c r="Y175" s="987"/>
      <c r="Z175" s="987"/>
    </row>
    <row r="176">
      <c r="A176" s="987"/>
      <c r="B176" s="987"/>
      <c r="C176" s="987"/>
      <c r="D176" s="987"/>
      <c r="E176" s="987"/>
      <c r="F176" s="987"/>
      <c r="G176" s="987"/>
      <c r="H176" s="987"/>
      <c r="I176" s="987"/>
      <c r="J176" s="987"/>
      <c r="K176" s="987"/>
      <c r="L176" s="987"/>
      <c r="M176" s="987"/>
      <c r="N176" s="987"/>
      <c r="O176" s="987"/>
      <c r="P176" s="987"/>
      <c r="Q176" s="987"/>
      <c r="R176" s="987"/>
      <c r="S176" s="987"/>
      <c r="T176" s="987"/>
      <c r="U176" s="987"/>
      <c r="V176" s="987"/>
      <c r="W176" s="987"/>
      <c r="X176" s="987"/>
      <c r="Y176" s="987"/>
      <c r="Z176" s="987"/>
    </row>
    <row r="177">
      <c r="A177" s="987"/>
      <c r="B177" s="987"/>
      <c r="C177" s="987"/>
      <c r="D177" s="987"/>
      <c r="E177" s="987"/>
      <c r="F177" s="987"/>
      <c r="G177" s="987"/>
      <c r="H177" s="987"/>
      <c r="I177" s="987"/>
      <c r="J177" s="987"/>
      <c r="K177" s="987"/>
      <c r="L177" s="987"/>
      <c r="M177" s="987"/>
      <c r="N177" s="987"/>
      <c r="O177" s="987"/>
      <c r="P177" s="987"/>
      <c r="Q177" s="987"/>
      <c r="R177" s="987"/>
      <c r="S177" s="987"/>
      <c r="T177" s="987"/>
      <c r="U177" s="987"/>
      <c r="V177" s="987"/>
      <c r="W177" s="987"/>
      <c r="X177" s="987"/>
      <c r="Y177" s="987"/>
      <c r="Z177" s="987"/>
    </row>
    <row r="178">
      <c r="A178" s="987"/>
      <c r="B178" s="987"/>
      <c r="C178" s="987"/>
      <c r="D178" s="987"/>
      <c r="E178" s="987"/>
      <c r="F178" s="987"/>
      <c r="G178" s="987"/>
      <c r="H178" s="987"/>
      <c r="I178" s="987"/>
      <c r="J178" s="987"/>
      <c r="K178" s="987"/>
      <c r="L178" s="987"/>
      <c r="M178" s="987"/>
      <c r="N178" s="987"/>
      <c r="O178" s="987"/>
      <c r="P178" s="987"/>
      <c r="Q178" s="987"/>
      <c r="R178" s="987"/>
      <c r="S178" s="987"/>
      <c r="T178" s="987"/>
      <c r="U178" s="987"/>
      <c r="V178" s="987"/>
      <c r="W178" s="987"/>
      <c r="X178" s="987"/>
      <c r="Y178" s="987"/>
      <c r="Z178" s="987"/>
    </row>
    <row r="179">
      <c r="A179" s="1034"/>
      <c r="B179" s="987"/>
      <c r="C179" s="987"/>
      <c r="D179" s="987"/>
      <c r="E179" s="987"/>
      <c r="F179" s="987"/>
      <c r="G179" s="987"/>
      <c r="H179" s="987"/>
      <c r="I179" s="987"/>
      <c r="J179" s="987"/>
      <c r="K179" s="987"/>
      <c r="L179" s="987"/>
      <c r="M179" s="987"/>
      <c r="N179" s="987"/>
      <c r="O179" s="987"/>
      <c r="P179" s="987"/>
      <c r="Q179" s="987"/>
      <c r="R179" s="987"/>
      <c r="S179" s="987"/>
      <c r="T179" s="987"/>
      <c r="U179" s="987"/>
      <c r="V179" s="987"/>
      <c r="W179" s="987"/>
      <c r="X179" s="987"/>
      <c r="Y179" s="987"/>
      <c r="Z179" s="987"/>
    </row>
    <row r="180">
      <c r="A180" s="987"/>
      <c r="B180" s="987"/>
      <c r="C180" s="987"/>
      <c r="D180" s="987"/>
      <c r="E180" s="987"/>
      <c r="F180" s="987"/>
      <c r="G180" s="987"/>
      <c r="H180" s="987"/>
      <c r="I180" s="987"/>
      <c r="J180" s="987"/>
      <c r="K180" s="987"/>
      <c r="L180" s="987"/>
      <c r="M180" s="987"/>
      <c r="N180" s="987"/>
      <c r="O180" s="987"/>
      <c r="P180" s="987"/>
      <c r="Q180" s="987"/>
      <c r="R180" s="987"/>
      <c r="S180" s="987"/>
      <c r="T180" s="987"/>
      <c r="U180" s="987"/>
      <c r="V180" s="987"/>
      <c r="W180" s="987"/>
      <c r="X180" s="987"/>
      <c r="Y180" s="987"/>
      <c r="Z180" s="987"/>
    </row>
    <row r="181">
      <c r="A181" s="987"/>
      <c r="B181" s="987"/>
      <c r="C181" s="987"/>
      <c r="D181" s="987"/>
      <c r="E181" s="987"/>
      <c r="F181" s="987"/>
      <c r="G181" s="987"/>
      <c r="H181" s="987"/>
      <c r="I181" s="987"/>
      <c r="J181" s="987"/>
      <c r="K181" s="987"/>
      <c r="L181" s="987"/>
      <c r="M181" s="987"/>
      <c r="N181" s="987"/>
      <c r="O181" s="987"/>
      <c r="P181" s="987"/>
      <c r="Q181" s="987"/>
      <c r="R181" s="987"/>
      <c r="S181" s="987"/>
      <c r="T181" s="987"/>
      <c r="U181" s="987"/>
      <c r="V181" s="987"/>
      <c r="W181" s="987"/>
      <c r="X181" s="987"/>
      <c r="Y181" s="987"/>
      <c r="Z181" s="987"/>
    </row>
    <row r="182">
      <c r="A182" s="987"/>
      <c r="B182" s="987"/>
      <c r="C182" s="987"/>
      <c r="D182" s="987"/>
      <c r="E182" s="987"/>
      <c r="F182" s="987"/>
      <c r="G182" s="987"/>
      <c r="H182" s="987"/>
      <c r="I182" s="987"/>
      <c r="J182" s="987"/>
      <c r="K182" s="987"/>
      <c r="L182" s="987"/>
      <c r="M182" s="987"/>
      <c r="N182" s="987"/>
      <c r="O182" s="987"/>
      <c r="P182" s="987"/>
      <c r="Q182" s="987"/>
      <c r="R182" s="987"/>
      <c r="S182" s="987"/>
      <c r="T182" s="987"/>
      <c r="U182" s="987"/>
      <c r="V182" s="987"/>
      <c r="W182" s="987"/>
      <c r="X182" s="987"/>
      <c r="Y182" s="987"/>
      <c r="Z182" s="987"/>
    </row>
    <row r="183">
      <c r="A183" s="987"/>
      <c r="B183" s="987"/>
      <c r="C183" s="987"/>
      <c r="D183" s="987"/>
      <c r="E183" s="987"/>
      <c r="F183" s="987"/>
      <c r="G183" s="987"/>
      <c r="H183" s="987"/>
      <c r="I183" s="987"/>
      <c r="J183" s="987"/>
      <c r="K183" s="987"/>
      <c r="L183" s="987"/>
      <c r="M183" s="987"/>
      <c r="N183" s="987"/>
      <c r="O183" s="987"/>
      <c r="P183" s="987"/>
      <c r="Q183" s="987"/>
      <c r="R183" s="987"/>
      <c r="S183" s="987"/>
      <c r="T183" s="987"/>
      <c r="U183" s="987"/>
      <c r="V183" s="987"/>
      <c r="W183" s="987"/>
      <c r="X183" s="987"/>
      <c r="Y183" s="987"/>
      <c r="Z183" s="987"/>
    </row>
    <row r="184">
      <c r="A184" s="987"/>
      <c r="B184" s="987"/>
      <c r="C184" s="987"/>
      <c r="D184" s="987"/>
      <c r="E184" s="987"/>
      <c r="F184" s="987"/>
      <c r="G184" s="987"/>
      <c r="H184" s="987"/>
      <c r="I184" s="987"/>
      <c r="J184" s="987"/>
      <c r="K184" s="987"/>
      <c r="L184" s="987"/>
      <c r="M184" s="987"/>
      <c r="N184" s="987"/>
      <c r="O184" s="987"/>
      <c r="P184" s="987"/>
      <c r="Q184" s="987"/>
      <c r="R184" s="987"/>
      <c r="S184" s="987"/>
      <c r="T184" s="987"/>
      <c r="U184" s="987"/>
      <c r="V184" s="987"/>
      <c r="W184" s="987"/>
      <c r="X184" s="987"/>
      <c r="Y184" s="987"/>
      <c r="Z184" s="987"/>
    </row>
    <row r="185">
      <c r="A185" s="987"/>
      <c r="B185" s="987"/>
      <c r="C185" s="987"/>
      <c r="D185" s="987"/>
      <c r="E185" s="987"/>
      <c r="F185" s="987"/>
      <c r="G185" s="987"/>
      <c r="H185" s="987"/>
      <c r="I185" s="987"/>
      <c r="J185" s="987"/>
      <c r="K185" s="987"/>
      <c r="L185" s="987"/>
      <c r="M185" s="987"/>
      <c r="N185" s="987"/>
      <c r="O185" s="987"/>
      <c r="P185" s="987"/>
      <c r="Q185" s="987"/>
      <c r="R185" s="987"/>
      <c r="S185" s="987"/>
      <c r="T185" s="987"/>
      <c r="U185" s="987"/>
      <c r="V185" s="987"/>
      <c r="W185" s="987"/>
      <c r="X185" s="987"/>
      <c r="Y185" s="987"/>
      <c r="Z185" s="987"/>
    </row>
    <row r="186">
      <c r="A186" s="987"/>
      <c r="B186" s="987"/>
      <c r="C186" s="987"/>
      <c r="D186" s="987"/>
      <c r="E186" s="987"/>
      <c r="F186" s="987"/>
      <c r="G186" s="987"/>
      <c r="H186" s="987"/>
      <c r="I186" s="987"/>
      <c r="J186" s="987"/>
      <c r="K186" s="987"/>
      <c r="L186" s="987"/>
      <c r="M186" s="987"/>
      <c r="N186" s="987"/>
      <c r="O186" s="987"/>
      <c r="P186" s="987"/>
      <c r="Q186" s="987"/>
      <c r="R186" s="987"/>
      <c r="S186" s="987"/>
      <c r="T186" s="987"/>
      <c r="U186" s="987"/>
      <c r="V186" s="987"/>
      <c r="W186" s="987"/>
      <c r="X186" s="987"/>
      <c r="Y186" s="987"/>
      <c r="Z186" s="987"/>
    </row>
    <row r="187">
      <c r="A187" s="987"/>
      <c r="B187" s="987"/>
      <c r="C187" s="987"/>
      <c r="D187" s="987"/>
      <c r="E187" s="987"/>
      <c r="F187" s="987"/>
      <c r="G187" s="987"/>
      <c r="H187" s="987"/>
      <c r="I187" s="987"/>
      <c r="J187" s="987"/>
      <c r="K187" s="987"/>
      <c r="L187" s="987"/>
      <c r="M187" s="987"/>
      <c r="N187" s="987"/>
      <c r="O187" s="987"/>
      <c r="P187" s="987"/>
      <c r="Q187" s="987"/>
      <c r="R187" s="987"/>
      <c r="S187" s="987"/>
      <c r="T187" s="987"/>
      <c r="U187" s="987"/>
      <c r="V187" s="987"/>
      <c r="W187" s="987"/>
      <c r="X187" s="987"/>
      <c r="Y187" s="987"/>
      <c r="Z187" s="987"/>
    </row>
    <row r="188">
      <c r="A188" s="987"/>
      <c r="B188" s="987"/>
      <c r="C188" s="987"/>
      <c r="D188" s="987"/>
      <c r="E188" s="987"/>
      <c r="F188" s="987"/>
      <c r="G188" s="987"/>
      <c r="H188" s="987"/>
      <c r="I188" s="987"/>
      <c r="J188" s="987"/>
      <c r="K188" s="987"/>
      <c r="L188" s="987"/>
      <c r="M188" s="987"/>
      <c r="N188" s="987"/>
      <c r="O188" s="987"/>
      <c r="P188" s="987"/>
      <c r="Q188" s="987"/>
      <c r="R188" s="987"/>
      <c r="S188" s="987"/>
      <c r="T188" s="987"/>
      <c r="U188" s="987"/>
      <c r="V188" s="987"/>
      <c r="W188" s="987"/>
      <c r="X188" s="987"/>
      <c r="Y188" s="987"/>
      <c r="Z188" s="987"/>
    </row>
    <row r="189">
      <c r="A189" s="987"/>
      <c r="B189" s="987"/>
      <c r="C189" s="987"/>
      <c r="D189" s="987"/>
      <c r="E189" s="987"/>
      <c r="F189" s="987"/>
      <c r="G189" s="987"/>
      <c r="H189" s="987"/>
      <c r="I189" s="987"/>
      <c r="J189" s="987"/>
      <c r="K189" s="987"/>
      <c r="L189" s="987"/>
      <c r="M189" s="987"/>
      <c r="N189" s="987"/>
      <c r="O189" s="987"/>
      <c r="P189" s="987"/>
      <c r="Q189" s="987"/>
      <c r="R189" s="987"/>
      <c r="S189" s="987"/>
      <c r="T189" s="987"/>
      <c r="U189" s="987"/>
      <c r="V189" s="987"/>
      <c r="W189" s="987"/>
      <c r="X189" s="987"/>
      <c r="Y189" s="987"/>
      <c r="Z189" s="987"/>
    </row>
    <row r="190">
      <c r="A190" s="987"/>
      <c r="B190" s="987"/>
      <c r="C190" s="987"/>
      <c r="D190" s="987"/>
      <c r="E190" s="987"/>
      <c r="F190" s="987"/>
      <c r="G190" s="987"/>
      <c r="H190" s="987"/>
      <c r="I190" s="987"/>
      <c r="J190" s="987"/>
      <c r="K190" s="987"/>
      <c r="L190" s="987"/>
      <c r="M190" s="987"/>
      <c r="N190" s="987"/>
      <c r="O190" s="987"/>
      <c r="P190" s="987"/>
      <c r="Q190" s="987"/>
      <c r="R190" s="987"/>
      <c r="S190" s="987"/>
      <c r="T190" s="987"/>
      <c r="U190" s="987"/>
      <c r="V190" s="987"/>
      <c r="W190" s="987"/>
      <c r="X190" s="987"/>
      <c r="Y190" s="987"/>
      <c r="Z190" s="987"/>
    </row>
    <row r="191">
      <c r="A191" s="987"/>
      <c r="B191" s="987"/>
      <c r="C191" s="987"/>
      <c r="D191" s="987"/>
      <c r="E191" s="987"/>
      <c r="F191" s="987"/>
      <c r="G191" s="987"/>
      <c r="H191" s="987"/>
      <c r="I191" s="987"/>
      <c r="J191" s="987"/>
      <c r="K191" s="987"/>
      <c r="L191" s="987"/>
      <c r="M191" s="987"/>
      <c r="N191" s="987"/>
      <c r="O191" s="987"/>
      <c r="P191" s="987"/>
      <c r="Q191" s="987"/>
      <c r="R191" s="987"/>
      <c r="S191" s="987"/>
      <c r="T191" s="987"/>
      <c r="U191" s="987"/>
      <c r="V191" s="987"/>
      <c r="W191" s="987"/>
      <c r="X191" s="987"/>
      <c r="Y191" s="987"/>
      <c r="Z191" s="987"/>
    </row>
    <row r="192">
      <c r="A192" s="987"/>
      <c r="B192" s="987"/>
      <c r="C192" s="987"/>
      <c r="D192" s="987"/>
      <c r="E192" s="987"/>
      <c r="F192" s="987"/>
      <c r="G192" s="987"/>
      <c r="H192" s="987"/>
      <c r="I192" s="987"/>
      <c r="J192" s="987"/>
      <c r="K192" s="987"/>
      <c r="L192" s="987"/>
      <c r="M192" s="987"/>
      <c r="N192" s="987"/>
      <c r="O192" s="987"/>
      <c r="P192" s="987"/>
      <c r="Q192" s="987"/>
      <c r="R192" s="987"/>
      <c r="S192" s="987"/>
      <c r="T192" s="987"/>
      <c r="U192" s="987"/>
      <c r="V192" s="987"/>
      <c r="W192" s="987"/>
      <c r="X192" s="987"/>
      <c r="Y192" s="987"/>
      <c r="Z192" s="987"/>
    </row>
    <row r="193">
      <c r="A193" s="987"/>
      <c r="B193" s="987"/>
      <c r="C193" s="987"/>
      <c r="D193" s="987"/>
      <c r="E193" s="987"/>
      <c r="F193" s="987"/>
      <c r="G193" s="987"/>
      <c r="H193" s="987"/>
      <c r="I193" s="987"/>
      <c r="J193" s="987"/>
      <c r="K193" s="987"/>
      <c r="L193" s="987"/>
      <c r="M193" s="987"/>
      <c r="N193" s="987"/>
      <c r="O193" s="987"/>
      <c r="P193" s="987"/>
      <c r="Q193" s="987"/>
      <c r="R193" s="987"/>
      <c r="S193" s="987"/>
      <c r="T193" s="987"/>
      <c r="U193" s="987"/>
      <c r="V193" s="987"/>
      <c r="W193" s="987"/>
      <c r="X193" s="987"/>
      <c r="Y193" s="987"/>
      <c r="Z193" s="987"/>
    </row>
    <row r="194">
      <c r="A194" s="987"/>
      <c r="B194" s="987"/>
      <c r="C194" s="987"/>
      <c r="D194" s="987"/>
      <c r="E194" s="987"/>
      <c r="F194" s="987"/>
      <c r="G194" s="987"/>
      <c r="H194" s="987"/>
      <c r="I194" s="987"/>
      <c r="J194" s="987"/>
      <c r="K194" s="987"/>
      <c r="L194" s="987"/>
      <c r="M194" s="987"/>
      <c r="N194" s="987"/>
      <c r="O194" s="987"/>
      <c r="P194" s="987"/>
      <c r="Q194" s="987"/>
      <c r="R194" s="987"/>
      <c r="S194" s="987"/>
      <c r="T194" s="987"/>
      <c r="U194" s="987"/>
      <c r="V194" s="987"/>
      <c r="W194" s="987"/>
      <c r="X194" s="987"/>
      <c r="Y194" s="987"/>
      <c r="Z194" s="987"/>
    </row>
    <row r="195">
      <c r="A195" s="987"/>
      <c r="B195" s="987"/>
      <c r="C195" s="987"/>
      <c r="D195" s="987"/>
      <c r="E195" s="987"/>
      <c r="F195" s="987"/>
      <c r="G195" s="987"/>
      <c r="H195" s="987"/>
      <c r="I195" s="987"/>
      <c r="J195" s="987"/>
      <c r="K195" s="987"/>
      <c r="L195" s="987"/>
      <c r="M195" s="987"/>
      <c r="N195" s="987"/>
      <c r="O195" s="987"/>
      <c r="P195" s="987"/>
      <c r="Q195" s="987"/>
      <c r="R195" s="987"/>
      <c r="S195" s="987"/>
      <c r="T195" s="987"/>
      <c r="U195" s="987"/>
      <c r="V195" s="987"/>
      <c r="W195" s="987"/>
      <c r="X195" s="987"/>
      <c r="Y195" s="987"/>
      <c r="Z195" s="987"/>
    </row>
    <row r="196">
      <c r="A196" s="987"/>
      <c r="B196" s="987"/>
      <c r="C196" s="987"/>
      <c r="D196" s="987"/>
      <c r="E196" s="987"/>
      <c r="F196" s="987"/>
      <c r="G196" s="987"/>
      <c r="H196" s="987"/>
      <c r="I196" s="987"/>
      <c r="J196" s="987"/>
      <c r="K196" s="987"/>
      <c r="L196" s="987"/>
      <c r="M196" s="987"/>
      <c r="N196" s="987"/>
      <c r="O196" s="987"/>
      <c r="P196" s="987"/>
      <c r="Q196" s="987"/>
      <c r="R196" s="987"/>
      <c r="S196" s="987"/>
      <c r="T196" s="987"/>
      <c r="U196" s="987"/>
      <c r="V196" s="987"/>
      <c r="W196" s="987"/>
      <c r="X196" s="987"/>
      <c r="Y196" s="987"/>
      <c r="Z196" s="987"/>
    </row>
    <row r="197">
      <c r="A197" s="987"/>
      <c r="B197" s="987"/>
      <c r="C197" s="987"/>
      <c r="D197" s="987"/>
      <c r="E197" s="987"/>
      <c r="F197" s="987"/>
      <c r="G197" s="987"/>
      <c r="H197" s="987"/>
      <c r="I197" s="987"/>
      <c r="J197" s="987"/>
      <c r="K197" s="987"/>
      <c r="L197" s="987"/>
      <c r="M197" s="987"/>
      <c r="N197" s="987"/>
      <c r="O197" s="987"/>
      <c r="P197" s="987"/>
      <c r="Q197" s="987"/>
      <c r="R197" s="987"/>
      <c r="S197" s="987"/>
      <c r="T197" s="987"/>
      <c r="U197" s="987"/>
      <c r="V197" s="987"/>
      <c r="W197" s="987"/>
      <c r="X197" s="987"/>
      <c r="Y197" s="987"/>
      <c r="Z197" s="987"/>
    </row>
    <row r="198">
      <c r="A198" s="987"/>
      <c r="B198" s="987"/>
      <c r="C198" s="987"/>
      <c r="D198" s="987"/>
      <c r="E198" s="987"/>
      <c r="F198" s="987"/>
      <c r="G198" s="987"/>
      <c r="H198" s="987"/>
      <c r="I198" s="987"/>
      <c r="J198" s="987"/>
      <c r="K198" s="987"/>
      <c r="L198" s="987"/>
      <c r="M198" s="987"/>
      <c r="N198" s="987"/>
      <c r="O198" s="987"/>
      <c r="P198" s="987"/>
      <c r="Q198" s="987"/>
      <c r="R198" s="987"/>
      <c r="S198" s="987"/>
      <c r="T198" s="987"/>
      <c r="U198" s="987"/>
      <c r="V198" s="987"/>
      <c r="W198" s="987"/>
      <c r="X198" s="987"/>
      <c r="Y198" s="987"/>
      <c r="Z198" s="987"/>
    </row>
    <row r="199">
      <c r="A199" s="987"/>
      <c r="B199" s="987"/>
      <c r="C199" s="987"/>
      <c r="D199" s="987"/>
      <c r="E199" s="987"/>
      <c r="F199" s="987"/>
      <c r="G199" s="987"/>
      <c r="H199" s="987"/>
      <c r="I199" s="987"/>
      <c r="J199" s="987"/>
      <c r="K199" s="987"/>
      <c r="L199" s="987"/>
      <c r="M199" s="987"/>
      <c r="N199" s="987"/>
      <c r="O199" s="987"/>
      <c r="P199" s="987"/>
      <c r="Q199" s="987"/>
      <c r="R199" s="987"/>
      <c r="S199" s="987"/>
      <c r="T199" s="987"/>
      <c r="U199" s="987"/>
      <c r="V199" s="987"/>
      <c r="W199" s="987"/>
      <c r="X199" s="987"/>
      <c r="Y199" s="987"/>
      <c r="Z199" s="987"/>
    </row>
    <row r="200">
      <c r="A200" s="987"/>
      <c r="B200" s="987"/>
      <c r="C200" s="987"/>
      <c r="D200" s="987"/>
      <c r="E200" s="987"/>
      <c r="F200" s="987"/>
      <c r="G200" s="987"/>
      <c r="H200" s="987"/>
      <c r="I200" s="987"/>
      <c r="J200" s="987"/>
      <c r="K200" s="987"/>
      <c r="L200" s="987"/>
      <c r="M200" s="987"/>
      <c r="N200" s="987"/>
      <c r="O200" s="987"/>
      <c r="P200" s="987"/>
      <c r="Q200" s="987"/>
      <c r="R200" s="987"/>
      <c r="S200" s="987"/>
      <c r="T200" s="987"/>
      <c r="U200" s="987"/>
      <c r="V200" s="987"/>
      <c r="W200" s="987"/>
      <c r="X200" s="987"/>
      <c r="Y200" s="987"/>
      <c r="Z200" s="987"/>
    </row>
    <row r="201">
      <c r="A201" s="987"/>
      <c r="B201" s="987"/>
      <c r="C201" s="987"/>
      <c r="D201" s="987"/>
      <c r="E201" s="987"/>
      <c r="F201" s="987"/>
      <c r="G201" s="987"/>
      <c r="H201" s="987"/>
      <c r="I201" s="987"/>
      <c r="J201" s="987"/>
      <c r="K201" s="987"/>
      <c r="L201" s="987"/>
      <c r="M201" s="987"/>
      <c r="N201" s="987"/>
      <c r="O201" s="987"/>
      <c r="P201" s="987"/>
      <c r="Q201" s="987"/>
      <c r="R201" s="987"/>
      <c r="S201" s="987"/>
      <c r="T201" s="987"/>
      <c r="U201" s="987"/>
      <c r="V201" s="987"/>
      <c r="W201" s="987"/>
      <c r="X201" s="987"/>
      <c r="Y201" s="987"/>
      <c r="Z201" s="987"/>
    </row>
    <row r="202">
      <c r="A202" s="987"/>
      <c r="B202" s="987"/>
      <c r="C202" s="987"/>
      <c r="D202" s="987"/>
      <c r="E202" s="987"/>
      <c r="F202" s="987"/>
      <c r="G202" s="987"/>
      <c r="H202" s="987"/>
      <c r="I202" s="987"/>
      <c r="J202" s="987"/>
      <c r="K202" s="987"/>
      <c r="L202" s="987"/>
      <c r="M202" s="987"/>
      <c r="N202" s="987"/>
      <c r="O202" s="987"/>
      <c r="P202" s="987"/>
      <c r="Q202" s="987"/>
      <c r="R202" s="987"/>
      <c r="S202" s="987"/>
      <c r="T202" s="987"/>
      <c r="U202" s="987"/>
      <c r="V202" s="987"/>
      <c r="W202" s="987"/>
      <c r="X202" s="987"/>
      <c r="Y202" s="987"/>
      <c r="Z202" s="987"/>
    </row>
    <row r="203">
      <c r="A203" s="987"/>
      <c r="B203" s="987"/>
      <c r="C203" s="987"/>
      <c r="D203" s="987"/>
      <c r="E203" s="987"/>
      <c r="F203" s="987"/>
      <c r="G203" s="987"/>
      <c r="H203" s="987"/>
      <c r="I203" s="987"/>
      <c r="J203" s="987"/>
      <c r="K203" s="987"/>
      <c r="L203" s="987"/>
      <c r="M203" s="987"/>
      <c r="N203" s="987"/>
      <c r="O203" s="987"/>
      <c r="P203" s="987"/>
      <c r="Q203" s="987"/>
      <c r="R203" s="987"/>
      <c r="S203" s="987"/>
      <c r="T203" s="987"/>
      <c r="U203" s="987"/>
      <c r="V203" s="987"/>
      <c r="W203" s="987"/>
      <c r="X203" s="987"/>
      <c r="Y203" s="987"/>
      <c r="Z203" s="987"/>
    </row>
    <row r="204">
      <c r="A204" s="987"/>
      <c r="B204" s="987"/>
      <c r="C204" s="987"/>
      <c r="D204" s="987"/>
      <c r="E204" s="987"/>
      <c r="F204" s="987"/>
      <c r="G204" s="987"/>
      <c r="H204" s="987"/>
      <c r="I204" s="987"/>
      <c r="J204" s="987"/>
      <c r="K204" s="987"/>
      <c r="L204" s="987"/>
      <c r="M204" s="987"/>
      <c r="N204" s="987"/>
      <c r="O204" s="987"/>
      <c r="P204" s="987"/>
      <c r="Q204" s="987"/>
      <c r="R204" s="987"/>
      <c r="S204" s="987"/>
      <c r="T204" s="987"/>
      <c r="U204" s="987"/>
      <c r="V204" s="987"/>
      <c r="W204" s="987"/>
      <c r="X204" s="987"/>
      <c r="Y204" s="987"/>
      <c r="Z204" s="987"/>
    </row>
    <row r="205">
      <c r="A205" s="987"/>
      <c r="B205" s="987"/>
      <c r="C205" s="987"/>
      <c r="D205" s="987"/>
      <c r="E205" s="987"/>
      <c r="F205" s="987"/>
      <c r="G205" s="987"/>
      <c r="H205" s="987"/>
      <c r="I205" s="987"/>
      <c r="J205" s="987"/>
      <c r="K205" s="987"/>
      <c r="L205" s="987"/>
      <c r="M205" s="987"/>
      <c r="N205" s="987"/>
      <c r="O205" s="987"/>
      <c r="P205" s="987"/>
      <c r="Q205" s="987"/>
      <c r="R205" s="987"/>
      <c r="S205" s="987"/>
      <c r="T205" s="987"/>
      <c r="U205" s="987"/>
      <c r="V205" s="987"/>
      <c r="W205" s="987"/>
      <c r="X205" s="987"/>
      <c r="Y205" s="987"/>
      <c r="Z205" s="987"/>
    </row>
    <row r="206">
      <c r="A206" s="987"/>
      <c r="B206" s="987"/>
      <c r="C206" s="987"/>
      <c r="D206" s="987"/>
      <c r="E206" s="987"/>
      <c r="F206" s="987"/>
      <c r="G206" s="987"/>
      <c r="H206" s="987"/>
      <c r="I206" s="987"/>
      <c r="J206" s="987"/>
      <c r="K206" s="987"/>
      <c r="L206" s="987"/>
      <c r="M206" s="987"/>
      <c r="N206" s="987"/>
      <c r="O206" s="987"/>
      <c r="P206" s="987"/>
      <c r="Q206" s="987"/>
      <c r="R206" s="987"/>
      <c r="S206" s="987"/>
      <c r="T206" s="987"/>
      <c r="U206" s="987"/>
      <c r="V206" s="987"/>
      <c r="W206" s="987"/>
      <c r="X206" s="987"/>
      <c r="Y206" s="987"/>
      <c r="Z206" s="987"/>
    </row>
    <row r="207">
      <c r="A207" s="987"/>
      <c r="B207" s="987"/>
      <c r="C207" s="987"/>
      <c r="D207" s="987"/>
      <c r="E207" s="987"/>
      <c r="F207" s="987"/>
      <c r="G207" s="987"/>
      <c r="H207" s="987"/>
      <c r="I207" s="987"/>
      <c r="J207" s="987"/>
      <c r="K207" s="987"/>
      <c r="L207" s="987"/>
      <c r="M207" s="987"/>
      <c r="N207" s="987"/>
      <c r="O207" s="987"/>
      <c r="P207" s="987"/>
      <c r="Q207" s="987"/>
      <c r="R207" s="987"/>
      <c r="S207" s="987"/>
      <c r="T207" s="987"/>
      <c r="U207" s="987"/>
      <c r="V207" s="987"/>
      <c r="W207" s="987"/>
      <c r="X207" s="987"/>
      <c r="Y207" s="987"/>
      <c r="Z207" s="987"/>
    </row>
    <row r="208">
      <c r="A208" s="987"/>
      <c r="B208" s="987"/>
      <c r="C208" s="987"/>
      <c r="D208" s="987"/>
      <c r="E208" s="987"/>
      <c r="F208" s="987"/>
      <c r="G208" s="987"/>
      <c r="H208" s="987"/>
      <c r="I208" s="987"/>
      <c r="J208" s="987"/>
      <c r="K208" s="987"/>
      <c r="L208" s="987"/>
      <c r="M208" s="987"/>
      <c r="N208" s="987"/>
      <c r="O208" s="987"/>
      <c r="P208" s="987"/>
      <c r="Q208" s="987"/>
      <c r="R208" s="987"/>
      <c r="S208" s="987"/>
      <c r="T208" s="987"/>
      <c r="U208" s="987"/>
      <c r="V208" s="987"/>
      <c r="W208" s="987"/>
      <c r="X208" s="987"/>
      <c r="Y208" s="987"/>
      <c r="Z208" s="987"/>
    </row>
    <row r="209">
      <c r="A209" s="987"/>
      <c r="B209" s="987"/>
      <c r="C209" s="987"/>
      <c r="D209" s="987"/>
      <c r="E209" s="987"/>
      <c r="F209" s="987"/>
      <c r="G209" s="987"/>
      <c r="H209" s="987"/>
      <c r="I209" s="987"/>
      <c r="J209" s="987"/>
      <c r="K209" s="987"/>
      <c r="L209" s="987"/>
      <c r="M209" s="987"/>
      <c r="N209" s="987"/>
      <c r="O209" s="987"/>
      <c r="P209" s="987"/>
      <c r="Q209" s="987"/>
      <c r="R209" s="987"/>
      <c r="S209" s="987"/>
      <c r="T209" s="987"/>
      <c r="U209" s="987"/>
      <c r="V209" s="987"/>
      <c r="W209" s="987"/>
      <c r="X209" s="987"/>
      <c r="Y209" s="987"/>
      <c r="Z209" s="987"/>
    </row>
    <row r="210">
      <c r="A210" s="987"/>
      <c r="B210" s="987"/>
      <c r="C210" s="987"/>
      <c r="D210" s="987"/>
      <c r="E210" s="987"/>
      <c r="F210" s="987"/>
      <c r="G210" s="987"/>
      <c r="H210" s="987"/>
      <c r="I210" s="987"/>
      <c r="J210" s="987"/>
      <c r="K210" s="987"/>
      <c r="L210" s="987"/>
      <c r="M210" s="987"/>
      <c r="N210" s="987"/>
      <c r="O210" s="987"/>
      <c r="P210" s="987"/>
      <c r="Q210" s="987"/>
      <c r="R210" s="987"/>
      <c r="S210" s="987"/>
      <c r="T210" s="987"/>
      <c r="U210" s="987"/>
      <c r="V210" s="987"/>
      <c r="W210" s="987"/>
      <c r="X210" s="987"/>
      <c r="Y210" s="987"/>
      <c r="Z210" s="987"/>
    </row>
    <row r="211">
      <c r="A211" s="987"/>
      <c r="B211" s="987"/>
      <c r="C211" s="987"/>
      <c r="D211" s="987"/>
      <c r="E211" s="987"/>
      <c r="F211" s="987"/>
      <c r="G211" s="987"/>
      <c r="H211" s="987"/>
      <c r="I211" s="987"/>
      <c r="J211" s="987"/>
      <c r="K211" s="987"/>
      <c r="L211" s="987"/>
      <c r="M211" s="987"/>
      <c r="N211" s="987"/>
      <c r="O211" s="987"/>
      <c r="P211" s="987"/>
      <c r="Q211" s="987"/>
      <c r="R211" s="987"/>
      <c r="S211" s="987"/>
      <c r="T211" s="987"/>
      <c r="U211" s="987"/>
      <c r="V211" s="987"/>
      <c r="W211" s="987"/>
      <c r="X211" s="987"/>
      <c r="Y211" s="987"/>
      <c r="Z211" s="987"/>
    </row>
    <row r="212">
      <c r="A212" s="987"/>
      <c r="B212" s="987"/>
      <c r="C212" s="987"/>
      <c r="D212" s="987"/>
      <c r="E212" s="987"/>
      <c r="F212" s="987"/>
      <c r="G212" s="987"/>
      <c r="H212" s="987"/>
      <c r="I212" s="987"/>
      <c r="J212" s="987"/>
      <c r="K212" s="987"/>
      <c r="L212" s="987"/>
      <c r="M212" s="987"/>
      <c r="N212" s="987"/>
      <c r="O212" s="987"/>
      <c r="P212" s="987"/>
      <c r="Q212" s="987"/>
      <c r="R212" s="987"/>
      <c r="S212" s="987"/>
      <c r="T212" s="987"/>
      <c r="U212" s="987"/>
      <c r="V212" s="987"/>
      <c r="W212" s="987"/>
      <c r="X212" s="987"/>
      <c r="Y212" s="987"/>
      <c r="Z212" s="987"/>
    </row>
    <row r="213">
      <c r="A213" s="987"/>
      <c r="B213" s="987"/>
      <c r="C213" s="987"/>
      <c r="D213" s="987"/>
      <c r="E213" s="987"/>
      <c r="F213" s="987"/>
      <c r="G213" s="987"/>
      <c r="H213" s="987"/>
      <c r="I213" s="987"/>
      <c r="J213" s="987"/>
      <c r="K213" s="987"/>
      <c r="L213" s="987"/>
      <c r="M213" s="987"/>
      <c r="N213" s="987"/>
      <c r="O213" s="987"/>
      <c r="P213" s="987"/>
      <c r="Q213" s="987"/>
      <c r="R213" s="987"/>
      <c r="S213" s="987"/>
      <c r="T213" s="987"/>
      <c r="U213" s="987"/>
      <c r="V213" s="987"/>
      <c r="W213" s="987"/>
      <c r="X213" s="987"/>
      <c r="Y213" s="987"/>
      <c r="Z213" s="987"/>
    </row>
    <row r="214">
      <c r="A214" s="987"/>
      <c r="B214" s="987"/>
      <c r="C214" s="987"/>
      <c r="D214" s="987"/>
      <c r="E214" s="987"/>
      <c r="F214" s="987"/>
      <c r="G214" s="987"/>
      <c r="H214" s="987"/>
      <c r="I214" s="987"/>
      <c r="J214" s="987"/>
      <c r="K214" s="987"/>
      <c r="L214" s="987"/>
      <c r="M214" s="987"/>
      <c r="N214" s="987"/>
      <c r="O214" s="987"/>
      <c r="P214" s="987"/>
      <c r="Q214" s="987"/>
      <c r="R214" s="987"/>
      <c r="S214" s="987"/>
      <c r="T214" s="987"/>
      <c r="U214" s="987"/>
      <c r="V214" s="987"/>
      <c r="W214" s="987"/>
      <c r="X214" s="987"/>
      <c r="Y214" s="987"/>
      <c r="Z214" s="987"/>
    </row>
    <row r="215">
      <c r="A215" s="987"/>
      <c r="B215" s="987"/>
      <c r="C215" s="987"/>
      <c r="D215" s="987"/>
      <c r="E215" s="987"/>
      <c r="F215" s="987"/>
      <c r="G215" s="987"/>
      <c r="H215" s="987"/>
      <c r="I215" s="987"/>
      <c r="J215" s="987"/>
      <c r="K215" s="987"/>
      <c r="L215" s="987"/>
      <c r="M215" s="987"/>
      <c r="N215" s="987"/>
      <c r="O215" s="987"/>
      <c r="P215" s="987"/>
      <c r="Q215" s="987"/>
      <c r="R215" s="987"/>
      <c r="S215" s="987"/>
      <c r="T215" s="987"/>
      <c r="U215" s="987"/>
      <c r="V215" s="987"/>
      <c r="W215" s="987"/>
      <c r="X215" s="987"/>
      <c r="Y215" s="987"/>
      <c r="Z215" s="987"/>
    </row>
    <row r="216">
      <c r="A216" s="987"/>
      <c r="B216" s="987"/>
      <c r="C216" s="987"/>
      <c r="D216" s="987"/>
      <c r="E216" s="987"/>
      <c r="F216" s="987"/>
      <c r="G216" s="987"/>
      <c r="H216" s="987"/>
      <c r="I216" s="987"/>
      <c r="J216" s="987"/>
      <c r="K216" s="987"/>
      <c r="L216" s="987"/>
      <c r="M216" s="987"/>
      <c r="N216" s="987"/>
      <c r="O216" s="987"/>
      <c r="P216" s="987"/>
      <c r="Q216" s="987"/>
      <c r="R216" s="987"/>
      <c r="S216" s="987"/>
      <c r="T216" s="987"/>
      <c r="U216" s="987"/>
      <c r="V216" s="987"/>
      <c r="W216" s="987"/>
      <c r="X216" s="987"/>
      <c r="Y216" s="987"/>
      <c r="Z216" s="987"/>
    </row>
    <row r="217">
      <c r="A217" s="987"/>
      <c r="B217" s="987"/>
      <c r="C217" s="987"/>
      <c r="D217" s="987"/>
      <c r="E217" s="987"/>
      <c r="F217" s="987"/>
      <c r="G217" s="987"/>
      <c r="H217" s="987"/>
      <c r="I217" s="987"/>
      <c r="J217" s="987"/>
      <c r="K217" s="987"/>
      <c r="L217" s="987"/>
      <c r="M217" s="987"/>
      <c r="N217" s="987"/>
      <c r="O217" s="987"/>
      <c r="P217" s="987"/>
      <c r="Q217" s="987"/>
      <c r="R217" s="987"/>
      <c r="S217" s="987"/>
      <c r="T217" s="987"/>
      <c r="U217" s="987"/>
      <c r="V217" s="987"/>
      <c r="W217" s="987"/>
      <c r="X217" s="987"/>
      <c r="Y217" s="987"/>
      <c r="Z217" s="987"/>
    </row>
    <row r="218">
      <c r="A218" s="987"/>
      <c r="B218" s="987"/>
      <c r="C218" s="987"/>
      <c r="D218" s="987"/>
      <c r="E218" s="987"/>
      <c r="F218" s="987"/>
      <c r="G218" s="987"/>
      <c r="H218" s="987"/>
      <c r="I218" s="987"/>
      <c r="J218" s="987"/>
      <c r="K218" s="987"/>
      <c r="L218" s="987"/>
      <c r="M218" s="987"/>
      <c r="N218" s="987"/>
      <c r="O218" s="987"/>
      <c r="P218" s="987"/>
      <c r="Q218" s="987"/>
      <c r="R218" s="987"/>
      <c r="S218" s="987"/>
      <c r="T218" s="987"/>
      <c r="U218" s="987"/>
      <c r="V218" s="987"/>
      <c r="W218" s="987"/>
      <c r="X218" s="987"/>
      <c r="Y218" s="987"/>
      <c r="Z218" s="987"/>
    </row>
    <row r="219">
      <c r="A219" s="987"/>
      <c r="B219" s="987"/>
      <c r="C219" s="987"/>
      <c r="D219" s="987"/>
      <c r="E219" s="987"/>
      <c r="F219" s="987"/>
      <c r="G219" s="987"/>
      <c r="H219" s="987"/>
      <c r="I219" s="987"/>
      <c r="J219" s="987"/>
      <c r="K219" s="987"/>
      <c r="L219" s="987"/>
      <c r="M219" s="987"/>
      <c r="N219" s="987"/>
      <c r="O219" s="987"/>
      <c r="P219" s="987"/>
      <c r="Q219" s="987"/>
      <c r="R219" s="987"/>
      <c r="S219" s="987"/>
      <c r="T219" s="987"/>
      <c r="U219" s="987"/>
      <c r="V219" s="987"/>
      <c r="W219" s="987"/>
      <c r="X219" s="987"/>
      <c r="Y219" s="987"/>
      <c r="Z219" s="987"/>
    </row>
    <row r="220">
      <c r="A220" s="987"/>
      <c r="B220" s="987"/>
      <c r="C220" s="987"/>
      <c r="D220" s="987"/>
      <c r="E220" s="987"/>
      <c r="F220" s="987"/>
      <c r="G220" s="987"/>
      <c r="H220" s="987"/>
      <c r="I220" s="987"/>
      <c r="J220" s="987"/>
      <c r="K220" s="987"/>
      <c r="L220" s="987"/>
      <c r="M220" s="987"/>
      <c r="N220" s="987"/>
      <c r="O220" s="987"/>
      <c r="P220" s="987"/>
      <c r="Q220" s="987"/>
      <c r="R220" s="987"/>
      <c r="S220" s="987"/>
      <c r="T220" s="987"/>
      <c r="U220" s="987"/>
      <c r="V220" s="987"/>
      <c r="W220" s="987"/>
      <c r="X220" s="987"/>
      <c r="Y220" s="987"/>
      <c r="Z220" s="987"/>
    </row>
    <row r="221">
      <c r="A221" s="987"/>
      <c r="B221" s="987"/>
      <c r="C221" s="987"/>
      <c r="D221" s="987"/>
      <c r="E221" s="987"/>
      <c r="F221" s="987"/>
      <c r="G221" s="987"/>
      <c r="H221" s="987"/>
      <c r="I221" s="987"/>
      <c r="J221" s="987"/>
      <c r="K221" s="987"/>
      <c r="L221" s="987"/>
      <c r="M221" s="987"/>
      <c r="N221" s="987"/>
      <c r="O221" s="987"/>
      <c r="P221" s="987"/>
      <c r="Q221" s="987"/>
      <c r="R221" s="987"/>
      <c r="S221" s="987"/>
      <c r="T221" s="987"/>
      <c r="U221" s="987"/>
      <c r="V221" s="987"/>
      <c r="W221" s="987"/>
      <c r="X221" s="987"/>
      <c r="Y221" s="987"/>
      <c r="Z221" s="987"/>
    </row>
    <row r="222">
      <c r="A222" s="987"/>
      <c r="B222" s="987"/>
      <c r="C222" s="987"/>
      <c r="D222" s="987"/>
      <c r="E222" s="987"/>
      <c r="F222" s="987"/>
      <c r="G222" s="987"/>
      <c r="H222" s="987"/>
      <c r="I222" s="987"/>
      <c r="J222" s="987"/>
      <c r="K222" s="987"/>
      <c r="L222" s="987"/>
      <c r="M222" s="987"/>
      <c r="N222" s="987"/>
      <c r="O222" s="987"/>
      <c r="P222" s="987"/>
      <c r="Q222" s="987"/>
      <c r="R222" s="987"/>
      <c r="S222" s="987"/>
      <c r="T222" s="987"/>
      <c r="U222" s="987"/>
      <c r="V222" s="987"/>
      <c r="W222" s="987"/>
      <c r="X222" s="987"/>
      <c r="Y222" s="987"/>
      <c r="Z222" s="987"/>
    </row>
    <row r="223">
      <c r="A223" s="987"/>
      <c r="B223" s="987"/>
      <c r="C223" s="987"/>
      <c r="D223" s="987"/>
      <c r="E223" s="987"/>
      <c r="F223" s="987"/>
      <c r="G223" s="987"/>
      <c r="H223" s="987"/>
      <c r="I223" s="987"/>
      <c r="J223" s="987"/>
      <c r="K223" s="987"/>
      <c r="L223" s="987"/>
      <c r="M223" s="987"/>
      <c r="N223" s="987"/>
      <c r="O223" s="987"/>
      <c r="P223" s="987"/>
      <c r="Q223" s="987"/>
      <c r="R223" s="987"/>
      <c r="S223" s="987"/>
      <c r="T223" s="987"/>
      <c r="U223" s="987"/>
      <c r="V223" s="987"/>
      <c r="W223" s="987"/>
      <c r="X223" s="987"/>
      <c r="Y223" s="987"/>
      <c r="Z223" s="987"/>
    </row>
    <row r="224">
      <c r="A224" s="987"/>
      <c r="B224" s="987"/>
      <c r="C224" s="987"/>
      <c r="D224" s="987"/>
      <c r="E224" s="987"/>
      <c r="F224" s="987"/>
      <c r="G224" s="987"/>
      <c r="H224" s="987"/>
      <c r="I224" s="987"/>
      <c r="J224" s="987"/>
      <c r="K224" s="987"/>
      <c r="L224" s="987"/>
      <c r="M224" s="987"/>
      <c r="N224" s="987"/>
      <c r="O224" s="987"/>
      <c r="P224" s="987"/>
      <c r="Q224" s="987"/>
      <c r="R224" s="987"/>
      <c r="S224" s="987"/>
      <c r="T224" s="987"/>
      <c r="U224" s="987"/>
      <c r="V224" s="987"/>
      <c r="W224" s="987"/>
      <c r="X224" s="987"/>
      <c r="Y224" s="987"/>
      <c r="Z224" s="987"/>
    </row>
    <row r="225">
      <c r="A225" s="987"/>
      <c r="B225" s="987"/>
      <c r="C225" s="987"/>
      <c r="D225" s="987"/>
      <c r="E225" s="987"/>
      <c r="F225" s="987"/>
      <c r="G225" s="987"/>
      <c r="H225" s="987"/>
      <c r="I225" s="987"/>
      <c r="J225" s="987"/>
      <c r="K225" s="987"/>
      <c r="L225" s="987"/>
      <c r="M225" s="987"/>
      <c r="N225" s="987"/>
      <c r="O225" s="987"/>
      <c r="P225" s="987"/>
      <c r="Q225" s="987"/>
      <c r="R225" s="987"/>
      <c r="S225" s="987"/>
      <c r="T225" s="987"/>
      <c r="U225" s="987"/>
      <c r="V225" s="987"/>
      <c r="W225" s="987"/>
      <c r="X225" s="987"/>
      <c r="Y225" s="987"/>
      <c r="Z225" s="987"/>
    </row>
    <row r="226">
      <c r="A226" s="987"/>
      <c r="B226" s="987"/>
      <c r="C226" s="987"/>
      <c r="D226" s="987"/>
      <c r="E226" s="987"/>
      <c r="F226" s="987"/>
      <c r="G226" s="987"/>
      <c r="H226" s="987"/>
      <c r="I226" s="987"/>
      <c r="J226" s="987"/>
      <c r="K226" s="987"/>
      <c r="L226" s="987"/>
      <c r="M226" s="987"/>
      <c r="N226" s="987"/>
      <c r="O226" s="987"/>
      <c r="P226" s="987"/>
      <c r="Q226" s="987"/>
      <c r="R226" s="987"/>
      <c r="S226" s="987"/>
      <c r="T226" s="987"/>
      <c r="U226" s="987"/>
      <c r="V226" s="987"/>
      <c r="W226" s="987"/>
      <c r="X226" s="987"/>
      <c r="Y226" s="987"/>
      <c r="Z226" s="987"/>
    </row>
    <row r="227">
      <c r="A227" s="987"/>
      <c r="B227" s="987"/>
      <c r="C227" s="987"/>
      <c r="D227" s="987"/>
      <c r="E227" s="987"/>
      <c r="F227" s="987"/>
      <c r="G227" s="987"/>
      <c r="H227" s="987"/>
      <c r="I227" s="987"/>
      <c r="J227" s="987"/>
      <c r="K227" s="987"/>
      <c r="L227" s="987"/>
      <c r="M227" s="987"/>
      <c r="N227" s="987"/>
      <c r="O227" s="987"/>
      <c r="P227" s="987"/>
      <c r="Q227" s="987"/>
      <c r="R227" s="987"/>
      <c r="S227" s="987"/>
      <c r="T227" s="987"/>
      <c r="U227" s="987"/>
      <c r="V227" s="987"/>
      <c r="W227" s="987"/>
      <c r="X227" s="987"/>
      <c r="Y227" s="987"/>
      <c r="Z227" s="987"/>
    </row>
    <row r="228">
      <c r="A228" s="987"/>
      <c r="B228" s="987"/>
      <c r="C228" s="987"/>
      <c r="D228" s="987"/>
      <c r="E228" s="987"/>
      <c r="F228" s="987"/>
      <c r="G228" s="987"/>
      <c r="H228" s="987"/>
      <c r="I228" s="987"/>
      <c r="J228" s="987"/>
      <c r="K228" s="987"/>
      <c r="L228" s="987"/>
      <c r="M228" s="987"/>
      <c r="N228" s="987"/>
      <c r="O228" s="987"/>
      <c r="P228" s="987"/>
      <c r="Q228" s="987"/>
      <c r="R228" s="987"/>
      <c r="S228" s="987"/>
      <c r="T228" s="987"/>
      <c r="U228" s="987"/>
      <c r="V228" s="987"/>
      <c r="W228" s="987"/>
      <c r="X228" s="987"/>
      <c r="Y228" s="987"/>
      <c r="Z228" s="987"/>
    </row>
    <row r="229">
      <c r="A229" s="987"/>
      <c r="B229" s="987"/>
      <c r="C229" s="987"/>
      <c r="D229" s="987"/>
      <c r="E229" s="987"/>
      <c r="F229" s="987"/>
      <c r="G229" s="987"/>
      <c r="H229" s="987"/>
      <c r="I229" s="987"/>
      <c r="J229" s="987"/>
      <c r="K229" s="987"/>
      <c r="L229" s="987"/>
      <c r="M229" s="987"/>
      <c r="N229" s="987"/>
      <c r="O229" s="987"/>
      <c r="P229" s="987"/>
      <c r="Q229" s="987"/>
      <c r="R229" s="987"/>
      <c r="S229" s="987"/>
      <c r="T229" s="987"/>
      <c r="U229" s="987"/>
      <c r="V229" s="987"/>
      <c r="W229" s="987"/>
      <c r="X229" s="987"/>
      <c r="Y229" s="987"/>
      <c r="Z229" s="987"/>
    </row>
    <row r="230">
      <c r="A230" s="987"/>
      <c r="B230" s="987"/>
      <c r="C230" s="987"/>
      <c r="D230" s="987"/>
      <c r="E230" s="987"/>
      <c r="F230" s="987"/>
      <c r="G230" s="987"/>
      <c r="H230" s="987"/>
      <c r="I230" s="987"/>
      <c r="J230" s="987"/>
      <c r="K230" s="987"/>
      <c r="L230" s="987"/>
      <c r="M230" s="987"/>
      <c r="N230" s="987"/>
      <c r="O230" s="987"/>
      <c r="P230" s="987"/>
      <c r="Q230" s="987"/>
      <c r="R230" s="987"/>
      <c r="S230" s="987"/>
      <c r="T230" s="987"/>
      <c r="U230" s="987"/>
      <c r="V230" s="987"/>
      <c r="W230" s="987"/>
      <c r="X230" s="987"/>
      <c r="Y230" s="987"/>
      <c r="Z230" s="987"/>
    </row>
    <row r="231">
      <c r="A231" s="987"/>
      <c r="B231" s="987"/>
      <c r="C231" s="987"/>
      <c r="D231" s="987"/>
      <c r="E231" s="987"/>
      <c r="F231" s="987"/>
      <c r="G231" s="987"/>
      <c r="H231" s="987"/>
      <c r="I231" s="987"/>
      <c r="J231" s="987"/>
      <c r="K231" s="987"/>
      <c r="L231" s="987"/>
      <c r="M231" s="987"/>
      <c r="N231" s="987"/>
      <c r="O231" s="987"/>
      <c r="P231" s="987"/>
      <c r="Q231" s="987"/>
      <c r="R231" s="987"/>
      <c r="S231" s="987"/>
      <c r="T231" s="987"/>
      <c r="U231" s="987"/>
      <c r="V231" s="987"/>
      <c r="W231" s="987"/>
      <c r="X231" s="987"/>
      <c r="Y231" s="987"/>
      <c r="Z231" s="987"/>
    </row>
    <row r="232">
      <c r="A232" s="987"/>
      <c r="B232" s="987"/>
      <c r="C232" s="987"/>
      <c r="D232" s="987"/>
      <c r="E232" s="987"/>
      <c r="F232" s="987"/>
      <c r="G232" s="987"/>
      <c r="H232" s="987"/>
      <c r="I232" s="987"/>
      <c r="J232" s="987"/>
      <c r="K232" s="987"/>
      <c r="L232" s="987"/>
      <c r="M232" s="987"/>
      <c r="N232" s="987"/>
      <c r="O232" s="987"/>
      <c r="P232" s="987"/>
      <c r="Q232" s="987"/>
      <c r="R232" s="987"/>
      <c r="S232" s="987"/>
      <c r="T232" s="987"/>
      <c r="U232" s="987"/>
      <c r="V232" s="987"/>
      <c r="W232" s="987"/>
      <c r="X232" s="987"/>
      <c r="Y232" s="987"/>
      <c r="Z232" s="987"/>
    </row>
    <row r="233">
      <c r="A233" s="987"/>
      <c r="B233" s="987"/>
      <c r="C233" s="987"/>
      <c r="D233" s="987"/>
      <c r="E233" s="987"/>
      <c r="F233" s="987"/>
      <c r="G233" s="987"/>
      <c r="H233" s="987"/>
      <c r="I233" s="987"/>
      <c r="J233" s="987"/>
      <c r="K233" s="987"/>
      <c r="L233" s="987"/>
      <c r="M233" s="987"/>
      <c r="N233" s="987"/>
      <c r="O233" s="987"/>
      <c r="P233" s="987"/>
      <c r="Q233" s="987"/>
      <c r="R233" s="987"/>
      <c r="S233" s="987"/>
      <c r="T233" s="987"/>
      <c r="U233" s="987"/>
      <c r="V233" s="987"/>
      <c r="W233" s="987"/>
      <c r="X233" s="987"/>
      <c r="Y233" s="987"/>
      <c r="Z233" s="987"/>
    </row>
    <row r="234">
      <c r="A234" s="987"/>
      <c r="B234" s="987"/>
      <c r="C234" s="987"/>
      <c r="D234" s="987"/>
      <c r="E234" s="987"/>
      <c r="F234" s="987"/>
      <c r="G234" s="987"/>
      <c r="H234" s="987"/>
      <c r="I234" s="987"/>
      <c r="J234" s="987"/>
      <c r="K234" s="987"/>
      <c r="L234" s="987"/>
      <c r="M234" s="987"/>
      <c r="N234" s="987"/>
      <c r="O234" s="987"/>
      <c r="P234" s="987"/>
      <c r="Q234" s="987"/>
      <c r="R234" s="987"/>
      <c r="S234" s="987"/>
      <c r="T234" s="987"/>
      <c r="U234" s="987"/>
      <c r="V234" s="987"/>
      <c r="W234" s="987"/>
      <c r="X234" s="987"/>
      <c r="Y234" s="987"/>
      <c r="Z234" s="987"/>
    </row>
    <row r="235">
      <c r="A235" s="987"/>
      <c r="B235" s="987"/>
      <c r="C235" s="987"/>
      <c r="D235" s="987"/>
      <c r="E235" s="987"/>
      <c r="F235" s="987"/>
      <c r="G235" s="987"/>
      <c r="H235" s="987"/>
      <c r="I235" s="987"/>
      <c r="J235" s="987"/>
      <c r="K235" s="987"/>
      <c r="L235" s="987"/>
      <c r="M235" s="987"/>
      <c r="N235" s="987"/>
      <c r="O235" s="987"/>
      <c r="P235" s="987"/>
      <c r="Q235" s="987"/>
      <c r="R235" s="987"/>
      <c r="S235" s="987"/>
      <c r="T235" s="987"/>
      <c r="U235" s="987"/>
      <c r="V235" s="987"/>
      <c r="W235" s="987"/>
      <c r="X235" s="987"/>
      <c r="Y235" s="987"/>
      <c r="Z235" s="987"/>
    </row>
    <row r="236">
      <c r="A236" s="987"/>
      <c r="B236" s="987"/>
      <c r="C236" s="987"/>
      <c r="D236" s="987"/>
      <c r="E236" s="987"/>
      <c r="F236" s="987"/>
      <c r="G236" s="987"/>
      <c r="H236" s="987"/>
      <c r="I236" s="987"/>
      <c r="J236" s="987"/>
      <c r="K236" s="987"/>
      <c r="L236" s="987"/>
      <c r="M236" s="987"/>
      <c r="N236" s="987"/>
      <c r="O236" s="987"/>
      <c r="P236" s="987"/>
      <c r="Q236" s="987"/>
      <c r="R236" s="987"/>
      <c r="S236" s="987"/>
      <c r="T236" s="987"/>
      <c r="U236" s="987"/>
      <c r="V236" s="987"/>
      <c r="W236" s="987"/>
      <c r="X236" s="987"/>
      <c r="Y236" s="987"/>
      <c r="Z236" s="987"/>
    </row>
    <row r="237">
      <c r="A237" s="987"/>
      <c r="B237" s="987"/>
      <c r="C237" s="987"/>
      <c r="D237" s="987"/>
      <c r="E237" s="987"/>
      <c r="F237" s="987"/>
      <c r="G237" s="987"/>
      <c r="H237" s="987"/>
      <c r="I237" s="987"/>
      <c r="J237" s="987"/>
      <c r="K237" s="987"/>
      <c r="L237" s="987"/>
      <c r="M237" s="987"/>
      <c r="N237" s="987"/>
      <c r="O237" s="987"/>
      <c r="P237" s="987"/>
      <c r="Q237" s="987"/>
      <c r="R237" s="987"/>
      <c r="S237" s="987"/>
      <c r="T237" s="987"/>
      <c r="U237" s="987"/>
      <c r="V237" s="987"/>
      <c r="W237" s="987"/>
      <c r="X237" s="987"/>
      <c r="Y237" s="987"/>
      <c r="Z237" s="987"/>
    </row>
    <row r="238">
      <c r="A238" s="987"/>
      <c r="B238" s="987"/>
      <c r="C238" s="987"/>
      <c r="D238" s="987"/>
      <c r="E238" s="987"/>
      <c r="F238" s="987"/>
      <c r="G238" s="987"/>
      <c r="H238" s="987"/>
      <c r="I238" s="987"/>
      <c r="J238" s="987"/>
      <c r="K238" s="987"/>
      <c r="L238" s="987"/>
      <c r="M238" s="987"/>
      <c r="N238" s="987"/>
      <c r="O238" s="987"/>
      <c r="P238" s="987"/>
      <c r="Q238" s="987"/>
      <c r="R238" s="987"/>
      <c r="S238" s="987"/>
      <c r="T238" s="987"/>
      <c r="U238" s="987"/>
      <c r="V238" s="987"/>
      <c r="W238" s="987"/>
      <c r="X238" s="987"/>
      <c r="Y238" s="987"/>
      <c r="Z238" s="987"/>
    </row>
    <row r="239">
      <c r="A239" s="987"/>
      <c r="B239" s="987"/>
      <c r="C239" s="987"/>
      <c r="D239" s="987"/>
      <c r="E239" s="987"/>
      <c r="F239" s="987"/>
      <c r="G239" s="987"/>
      <c r="H239" s="987"/>
      <c r="I239" s="987"/>
      <c r="J239" s="987"/>
      <c r="K239" s="987"/>
      <c r="L239" s="987"/>
      <c r="M239" s="987"/>
      <c r="N239" s="987"/>
      <c r="O239" s="987"/>
      <c r="P239" s="987"/>
      <c r="Q239" s="987"/>
      <c r="R239" s="987"/>
      <c r="S239" s="987"/>
      <c r="T239" s="987"/>
      <c r="U239" s="987"/>
      <c r="V239" s="987"/>
      <c r="W239" s="987"/>
      <c r="X239" s="987"/>
      <c r="Y239" s="987"/>
      <c r="Z239" s="987"/>
    </row>
    <row r="240">
      <c r="A240" s="987"/>
      <c r="B240" s="987"/>
      <c r="C240" s="987"/>
      <c r="D240" s="987"/>
      <c r="E240" s="987"/>
      <c r="F240" s="987"/>
      <c r="G240" s="987"/>
      <c r="H240" s="987"/>
      <c r="I240" s="987"/>
      <c r="J240" s="987"/>
      <c r="K240" s="987"/>
      <c r="L240" s="987"/>
      <c r="M240" s="987"/>
      <c r="N240" s="987"/>
      <c r="O240" s="987"/>
      <c r="P240" s="987"/>
      <c r="Q240" s="987"/>
      <c r="R240" s="987"/>
      <c r="S240" s="987"/>
      <c r="T240" s="987"/>
      <c r="U240" s="987"/>
      <c r="V240" s="987"/>
      <c r="W240" s="987"/>
      <c r="X240" s="987"/>
      <c r="Y240" s="987"/>
      <c r="Z240" s="987"/>
    </row>
    <row r="241">
      <c r="A241" s="987"/>
      <c r="B241" s="987"/>
      <c r="C241" s="987"/>
      <c r="D241" s="987"/>
      <c r="E241" s="987"/>
      <c r="F241" s="987"/>
      <c r="G241" s="987"/>
      <c r="H241" s="987"/>
      <c r="I241" s="987"/>
      <c r="J241" s="987"/>
      <c r="K241" s="987"/>
      <c r="L241" s="987"/>
      <c r="M241" s="987"/>
      <c r="N241" s="987"/>
      <c r="O241" s="987"/>
      <c r="P241" s="987"/>
      <c r="Q241" s="987"/>
      <c r="R241" s="987"/>
      <c r="S241" s="987"/>
      <c r="T241" s="987"/>
      <c r="U241" s="987"/>
      <c r="V241" s="987"/>
      <c r="W241" s="987"/>
      <c r="X241" s="987"/>
      <c r="Y241" s="987"/>
      <c r="Z241" s="987"/>
    </row>
    <row r="242">
      <c r="A242" s="987"/>
      <c r="B242" s="987"/>
      <c r="C242" s="987"/>
      <c r="D242" s="987"/>
      <c r="E242" s="987"/>
      <c r="F242" s="987"/>
      <c r="G242" s="987"/>
      <c r="H242" s="987"/>
      <c r="I242" s="987"/>
      <c r="J242" s="987"/>
      <c r="K242" s="987"/>
      <c r="L242" s="987"/>
      <c r="M242" s="987"/>
      <c r="N242" s="987"/>
      <c r="O242" s="987"/>
      <c r="P242" s="987"/>
      <c r="Q242" s="987"/>
      <c r="R242" s="987"/>
      <c r="S242" s="987"/>
      <c r="T242" s="987"/>
      <c r="U242" s="987"/>
      <c r="V242" s="987"/>
      <c r="W242" s="987"/>
      <c r="X242" s="987"/>
      <c r="Y242" s="987"/>
      <c r="Z242" s="987"/>
    </row>
    <row r="243">
      <c r="A243" s="987"/>
      <c r="B243" s="987"/>
      <c r="C243" s="987"/>
      <c r="D243" s="987"/>
      <c r="E243" s="987"/>
      <c r="F243" s="987"/>
      <c r="G243" s="987"/>
      <c r="H243" s="987"/>
      <c r="I243" s="987"/>
      <c r="J243" s="987"/>
      <c r="K243" s="987"/>
      <c r="L243" s="987"/>
      <c r="M243" s="987"/>
      <c r="N243" s="987"/>
      <c r="O243" s="987"/>
      <c r="P243" s="987"/>
      <c r="Q243" s="987"/>
      <c r="R243" s="987"/>
      <c r="S243" s="987"/>
      <c r="T243" s="987"/>
      <c r="U243" s="987"/>
      <c r="V243" s="987"/>
      <c r="W243" s="987"/>
      <c r="X243" s="987"/>
      <c r="Y243" s="987"/>
      <c r="Z243" s="987"/>
    </row>
    <row r="244">
      <c r="A244" s="987"/>
      <c r="B244" s="987"/>
      <c r="C244" s="987"/>
      <c r="D244" s="987"/>
      <c r="E244" s="987"/>
      <c r="F244" s="987"/>
      <c r="G244" s="987"/>
      <c r="H244" s="987"/>
      <c r="I244" s="987"/>
      <c r="J244" s="987"/>
      <c r="K244" s="987"/>
      <c r="L244" s="987"/>
      <c r="M244" s="987"/>
      <c r="N244" s="987"/>
      <c r="O244" s="987"/>
      <c r="P244" s="987"/>
      <c r="Q244" s="987"/>
      <c r="R244" s="987"/>
      <c r="S244" s="987"/>
      <c r="T244" s="987"/>
      <c r="U244" s="987"/>
      <c r="V244" s="987"/>
      <c r="W244" s="987"/>
      <c r="X244" s="987"/>
      <c r="Y244" s="987"/>
      <c r="Z244" s="987"/>
    </row>
    <row r="245">
      <c r="A245" s="987"/>
      <c r="B245" s="987"/>
      <c r="C245" s="987"/>
      <c r="D245" s="987"/>
      <c r="E245" s="987"/>
      <c r="F245" s="987"/>
      <c r="G245" s="987"/>
      <c r="H245" s="987"/>
      <c r="I245" s="987"/>
      <c r="J245" s="987"/>
      <c r="K245" s="987"/>
      <c r="L245" s="987"/>
      <c r="M245" s="987"/>
      <c r="N245" s="987"/>
      <c r="O245" s="987"/>
      <c r="P245" s="987"/>
      <c r="Q245" s="987"/>
      <c r="R245" s="987"/>
      <c r="S245" s="987"/>
      <c r="T245" s="987"/>
      <c r="U245" s="987"/>
      <c r="V245" s="987"/>
      <c r="W245" s="987"/>
      <c r="X245" s="987"/>
      <c r="Y245" s="987"/>
      <c r="Z245" s="987"/>
    </row>
    <row r="246">
      <c r="A246" s="987"/>
      <c r="B246" s="987"/>
      <c r="C246" s="987"/>
      <c r="D246" s="987"/>
      <c r="E246" s="987"/>
      <c r="F246" s="987"/>
      <c r="G246" s="987"/>
      <c r="H246" s="987"/>
      <c r="I246" s="987"/>
      <c r="J246" s="987"/>
      <c r="K246" s="987"/>
      <c r="L246" s="987"/>
      <c r="M246" s="987"/>
      <c r="N246" s="987"/>
      <c r="O246" s="987"/>
      <c r="P246" s="987"/>
      <c r="Q246" s="987"/>
      <c r="R246" s="987"/>
      <c r="S246" s="987"/>
      <c r="T246" s="987"/>
      <c r="U246" s="987"/>
      <c r="V246" s="987"/>
      <c r="W246" s="987"/>
      <c r="X246" s="987"/>
      <c r="Y246" s="987"/>
      <c r="Z246" s="987"/>
    </row>
    <row r="247">
      <c r="A247" s="987"/>
      <c r="B247" s="987"/>
      <c r="C247" s="987"/>
      <c r="D247" s="987"/>
      <c r="E247" s="987"/>
      <c r="F247" s="987"/>
      <c r="G247" s="987"/>
      <c r="H247" s="987"/>
      <c r="I247" s="987"/>
      <c r="J247" s="987"/>
      <c r="K247" s="987"/>
      <c r="L247" s="987"/>
      <c r="M247" s="987"/>
      <c r="N247" s="987"/>
      <c r="O247" s="987"/>
      <c r="P247" s="987"/>
      <c r="Q247" s="987"/>
      <c r="R247" s="987"/>
      <c r="S247" s="987"/>
      <c r="T247" s="987"/>
      <c r="U247" s="987"/>
      <c r="V247" s="987"/>
      <c r="W247" s="987"/>
      <c r="X247" s="987"/>
      <c r="Y247" s="987"/>
      <c r="Z247" s="987"/>
    </row>
    <row r="248">
      <c r="A248" s="987"/>
      <c r="B248" s="987"/>
      <c r="C248" s="987"/>
      <c r="D248" s="987"/>
      <c r="E248" s="987"/>
      <c r="F248" s="987"/>
      <c r="G248" s="987"/>
      <c r="H248" s="987"/>
      <c r="I248" s="987"/>
      <c r="J248" s="987"/>
      <c r="K248" s="987"/>
      <c r="L248" s="987"/>
      <c r="M248" s="987"/>
      <c r="N248" s="987"/>
      <c r="O248" s="987"/>
      <c r="P248" s="987"/>
      <c r="Q248" s="987"/>
      <c r="R248" s="987"/>
      <c r="S248" s="987"/>
      <c r="T248" s="987"/>
      <c r="U248" s="987"/>
      <c r="V248" s="987"/>
      <c r="W248" s="987"/>
      <c r="X248" s="987"/>
      <c r="Y248" s="987"/>
      <c r="Z248" s="987"/>
    </row>
    <row r="249">
      <c r="A249" s="987"/>
      <c r="B249" s="987"/>
      <c r="C249" s="987"/>
      <c r="D249" s="987"/>
      <c r="E249" s="987"/>
      <c r="F249" s="987"/>
      <c r="G249" s="987"/>
      <c r="H249" s="987"/>
      <c r="I249" s="987"/>
      <c r="J249" s="987"/>
      <c r="K249" s="987"/>
      <c r="L249" s="987"/>
      <c r="M249" s="987"/>
      <c r="N249" s="987"/>
      <c r="O249" s="987"/>
      <c r="P249" s="987"/>
      <c r="Q249" s="987"/>
      <c r="R249" s="987"/>
      <c r="S249" s="987"/>
      <c r="T249" s="987"/>
      <c r="U249" s="987"/>
      <c r="V249" s="987"/>
      <c r="W249" s="987"/>
      <c r="X249" s="987"/>
      <c r="Y249" s="987"/>
      <c r="Z249" s="987"/>
    </row>
    <row r="250">
      <c r="A250" s="987"/>
      <c r="B250" s="987"/>
      <c r="C250" s="987"/>
      <c r="D250" s="987"/>
      <c r="E250" s="987"/>
      <c r="F250" s="987"/>
      <c r="G250" s="987"/>
      <c r="H250" s="987"/>
      <c r="I250" s="987"/>
      <c r="J250" s="987"/>
      <c r="K250" s="987"/>
      <c r="L250" s="987"/>
      <c r="M250" s="987"/>
      <c r="N250" s="987"/>
      <c r="O250" s="987"/>
      <c r="P250" s="987"/>
      <c r="Q250" s="987"/>
      <c r="R250" s="987"/>
      <c r="S250" s="987"/>
      <c r="T250" s="987"/>
      <c r="U250" s="987"/>
      <c r="V250" s="987"/>
      <c r="W250" s="987"/>
      <c r="X250" s="987"/>
      <c r="Y250" s="987"/>
      <c r="Z250" s="987"/>
    </row>
    <row r="251">
      <c r="A251" s="987"/>
      <c r="B251" s="987"/>
      <c r="C251" s="987"/>
      <c r="D251" s="987"/>
      <c r="E251" s="987"/>
      <c r="F251" s="987"/>
      <c r="G251" s="987"/>
      <c r="H251" s="987"/>
      <c r="I251" s="987"/>
      <c r="J251" s="987"/>
      <c r="K251" s="987"/>
      <c r="L251" s="987"/>
      <c r="M251" s="987"/>
      <c r="N251" s="987"/>
      <c r="O251" s="987"/>
      <c r="P251" s="987"/>
      <c r="Q251" s="987"/>
      <c r="R251" s="987"/>
      <c r="S251" s="987"/>
      <c r="T251" s="987"/>
      <c r="U251" s="987"/>
      <c r="V251" s="987"/>
      <c r="W251" s="987"/>
      <c r="X251" s="987"/>
      <c r="Y251" s="987"/>
      <c r="Z251" s="987"/>
    </row>
    <row r="252">
      <c r="A252" s="987"/>
      <c r="B252" s="987"/>
      <c r="C252" s="987"/>
      <c r="D252" s="987"/>
      <c r="E252" s="987"/>
      <c r="F252" s="987"/>
      <c r="G252" s="987"/>
      <c r="H252" s="987"/>
      <c r="I252" s="987"/>
      <c r="J252" s="987"/>
      <c r="K252" s="987"/>
      <c r="L252" s="987"/>
      <c r="M252" s="987"/>
      <c r="N252" s="987"/>
      <c r="O252" s="987"/>
      <c r="P252" s="987"/>
      <c r="Q252" s="987"/>
      <c r="R252" s="987"/>
      <c r="S252" s="987"/>
      <c r="T252" s="987"/>
      <c r="U252" s="987"/>
      <c r="V252" s="987"/>
      <c r="W252" s="987"/>
      <c r="X252" s="987"/>
      <c r="Y252" s="987"/>
      <c r="Z252" s="987"/>
    </row>
    <row r="253">
      <c r="A253" s="987"/>
      <c r="B253" s="987"/>
      <c r="C253" s="987"/>
      <c r="D253" s="987"/>
      <c r="E253" s="987"/>
      <c r="F253" s="987"/>
      <c r="G253" s="987"/>
      <c r="H253" s="987"/>
      <c r="I253" s="987"/>
      <c r="J253" s="987"/>
      <c r="K253" s="987"/>
      <c r="L253" s="987"/>
      <c r="M253" s="987"/>
      <c r="N253" s="987"/>
      <c r="O253" s="987"/>
      <c r="P253" s="987"/>
      <c r="Q253" s="987"/>
      <c r="R253" s="987"/>
      <c r="S253" s="987"/>
      <c r="T253" s="987"/>
      <c r="U253" s="987"/>
      <c r="V253" s="987"/>
      <c r="W253" s="987"/>
      <c r="X253" s="987"/>
      <c r="Y253" s="987"/>
      <c r="Z253" s="987"/>
    </row>
    <row r="254">
      <c r="A254" s="987"/>
      <c r="B254" s="987"/>
      <c r="C254" s="987"/>
      <c r="D254" s="987"/>
      <c r="E254" s="987"/>
      <c r="F254" s="987"/>
      <c r="G254" s="987"/>
      <c r="H254" s="987"/>
      <c r="I254" s="987"/>
      <c r="J254" s="987"/>
      <c r="K254" s="987"/>
      <c r="L254" s="987"/>
      <c r="M254" s="987"/>
      <c r="N254" s="987"/>
      <c r="O254" s="987"/>
      <c r="P254" s="987"/>
      <c r="Q254" s="987"/>
      <c r="R254" s="987"/>
      <c r="S254" s="987"/>
      <c r="T254" s="987"/>
      <c r="U254" s="987"/>
      <c r="V254" s="987"/>
      <c r="W254" s="987"/>
      <c r="X254" s="987"/>
      <c r="Y254" s="987"/>
      <c r="Z254" s="987"/>
    </row>
    <row r="255">
      <c r="A255" s="987"/>
      <c r="B255" s="987"/>
      <c r="C255" s="987"/>
      <c r="D255" s="987"/>
      <c r="E255" s="987"/>
      <c r="F255" s="987"/>
      <c r="G255" s="987"/>
      <c r="H255" s="987"/>
      <c r="I255" s="987"/>
      <c r="J255" s="987"/>
      <c r="K255" s="987"/>
      <c r="L255" s="987"/>
      <c r="M255" s="987"/>
      <c r="N255" s="987"/>
      <c r="O255" s="987"/>
      <c r="P255" s="987"/>
      <c r="Q255" s="987"/>
      <c r="R255" s="987"/>
      <c r="S255" s="987"/>
      <c r="T255" s="987"/>
      <c r="U255" s="987"/>
      <c r="V255" s="987"/>
      <c r="W255" s="987"/>
      <c r="X255" s="987"/>
      <c r="Y255" s="987"/>
      <c r="Z255" s="987"/>
    </row>
    <row r="256">
      <c r="A256" s="987"/>
      <c r="B256" s="987"/>
      <c r="C256" s="987"/>
      <c r="D256" s="987"/>
      <c r="E256" s="987"/>
      <c r="F256" s="987"/>
      <c r="G256" s="987"/>
      <c r="H256" s="987"/>
      <c r="I256" s="987"/>
      <c r="J256" s="987"/>
      <c r="K256" s="987"/>
      <c r="L256" s="987"/>
      <c r="M256" s="987"/>
      <c r="N256" s="987"/>
      <c r="O256" s="987"/>
      <c r="P256" s="987"/>
      <c r="Q256" s="987"/>
      <c r="R256" s="987"/>
      <c r="S256" s="987"/>
      <c r="T256" s="987"/>
      <c r="U256" s="987"/>
      <c r="V256" s="987"/>
      <c r="W256" s="987"/>
      <c r="X256" s="987"/>
      <c r="Y256" s="987"/>
      <c r="Z256" s="987"/>
    </row>
    <row r="257">
      <c r="A257" s="987"/>
      <c r="B257" s="987"/>
      <c r="C257" s="987"/>
      <c r="D257" s="987"/>
      <c r="E257" s="987"/>
      <c r="F257" s="987"/>
      <c r="G257" s="987"/>
      <c r="H257" s="987"/>
      <c r="I257" s="987"/>
      <c r="J257" s="987"/>
      <c r="K257" s="987"/>
      <c r="L257" s="987"/>
      <c r="M257" s="987"/>
      <c r="N257" s="987"/>
      <c r="O257" s="987"/>
      <c r="P257" s="987"/>
      <c r="Q257" s="987"/>
      <c r="R257" s="987"/>
      <c r="S257" s="987"/>
      <c r="T257" s="987"/>
      <c r="U257" s="987"/>
      <c r="V257" s="987"/>
      <c r="W257" s="987"/>
      <c r="X257" s="987"/>
      <c r="Y257" s="987"/>
      <c r="Z257" s="987"/>
    </row>
    <row r="258">
      <c r="A258" s="987"/>
      <c r="B258" s="987"/>
      <c r="C258" s="987"/>
      <c r="D258" s="987"/>
      <c r="E258" s="987"/>
      <c r="F258" s="987"/>
      <c r="G258" s="987"/>
      <c r="H258" s="987"/>
      <c r="I258" s="987"/>
      <c r="J258" s="987"/>
      <c r="K258" s="987"/>
      <c r="L258" s="987"/>
      <c r="M258" s="987"/>
      <c r="N258" s="987"/>
      <c r="O258" s="987"/>
      <c r="P258" s="987"/>
      <c r="Q258" s="987"/>
      <c r="R258" s="987"/>
      <c r="S258" s="987"/>
      <c r="T258" s="987"/>
      <c r="U258" s="987"/>
      <c r="V258" s="987"/>
      <c r="W258" s="987"/>
      <c r="X258" s="987"/>
      <c r="Y258" s="987"/>
      <c r="Z258" s="987"/>
    </row>
    <row r="259">
      <c r="A259" s="987"/>
      <c r="B259" s="987"/>
      <c r="C259" s="987"/>
      <c r="D259" s="987"/>
      <c r="E259" s="987"/>
      <c r="F259" s="987"/>
      <c r="G259" s="987"/>
      <c r="H259" s="987"/>
      <c r="I259" s="987"/>
      <c r="J259" s="987"/>
      <c r="K259" s="987"/>
      <c r="L259" s="987"/>
      <c r="M259" s="987"/>
      <c r="N259" s="987"/>
      <c r="O259" s="987"/>
      <c r="P259" s="987"/>
      <c r="Q259" s="987"/>
      <c r="R259" s="987"/>
      <c r="S259" s="987"/>
      <c r="T259" s="987"/>
      <c r="U259" s="987"/>
      <c r="V259" s="987"/>
      <c r="W259" s="987"/>
      <c r="X259" s="987"/>
      <c r="Y259" s="987"/>
      <c r="Z259" s="987"/>
    </row>
    <row r="260">
      <c r="A260" s="987"/>
      <c r="B260" s="987"/>
      <c r="C260" s="987"/>
      <c r="D260" s="987"/>
      <c r="E260" s="987"/>
      <c r="F260" s="987"/>
      <c r="G260" s="987"/>
      <c r="H260" s="987"/>
      <c r="I260" s="987"/>
      <c r="J260" s="987"/>
      <c r="K260" s="987"/>
      <c r="L260" s="987"/>
      <c r="M260" s="987"/>
      <c r="N260" s="987"/>
      <c r="O260" s="987"/>
      <c r="P260" s="987"/>
      <c r="Q260" s="987"/>
      <c r="R260" s="987"/>
      <c r="S260" s="987"/>
      <c r="T260" s="987"/>
      <c r="U260" s="987"/>
      <c r="V260" s="987"/>
      <c r="W260" s="987"/>
      <c r="X260" s="987"/>
      <c r="Y260" s="987"/>
      <c r="Z260" s="987"/>
    </row>
    <row r="261">
      <c r="A261" s="987"/>
      <c r="B261" s="987"/>
      <c r="C261" s="987"/>
      <c r="D261" s="987"/>
      <c r="E261" s="987"/>
      <c r="F261" s="987"/>
      <c r="G261" s="987"/>
      <c r="H261" s="987"/>
      <c r="I261" s="987"/>
      <c r="J261" s="987"/>
      <c r="K261" s="987"/>
      <c r="L261" s="987"/>
      <c r="M261" s="987"/>
      <c r="N261" s="987"/>
      <c r="O261" s="987"/>
      <c r="P261" s="987"/>
      <c r="Q261" s="987"/>
      <c r="R261" s="987"/>
      <c r="S261" s="987"/>
      <c r="T261" s="987"/>
      <c r="U261" s="987"/>
      <c r="V261" s="987"/>
      <c r="W261" s="987"/>
      <c r="X261" s="987"/>
      <c r="Y261" s="987"/>
      <c r="Z261" s="987"/>
    </row>
    <row r="262">
      <c r="A262" s="987"/>
      <c r="B262" s="987"/>
      <c r="C262" s="987"/>
      <c r="D262" s="987"/>
      <c r="E262" s="987"/>
      <c r="F262" s="987"/>
      <c r="G262" s="987"/>
      <c r="H262" s="987"/>
      <c r="I262" s="987"/>
      <c r="J262" s="987"/>
      <c r="K262" s="987"/>
      <c r="L262" s="987"/>
      <c r="M262" s="987"/>
      <c r="N262" s="987"/>
      <c r="O262" s="987"/>
      <c r="P262" s="987"/>
      <c r="Q262" s="987"/>
      <c r="R262" s="987"/>
      <c r="S262" s="987"/>
      <c r="T262" s="987"/>
      <c r="U262" s="987"/>
      <c r="V262" s="987"/>
      <c r="W262" s="987"/>
      <c r="X262" s="987"/>
      <c r="Y262" s="987"/>
      <c r="Z262" s="987"/>
    </row>
    <row r="263">
      <c r="A263" s="987"/>
      <c r="B263" s="987"/>
      <c r="C263" s="987"/>
      <c r="D263" s="987"/>
      <c r="E263" s="987"/>
      <c r="F263" s="987"/>
      <c r="G263" s="987"/>
      <c r="H263" s="987"/>
      <c r="I263" s="987"/>
      <c r="J263" s="987"/>
      <c r="K263" s="987"/>
      <c r="L263" s="987"/>
      <c r="M263" s="987"/>
      <c r="N263" s="987"/>
      <c r="O263" s="987"/>
      <c r="P263" s="987"/>
      <c r="Q263" s="987"/>
      <c r="R263" s="987"/>
      <c r="S263" s="987"/>
      <c r="T263" s="987"/>
      <c r="U263" s="987"/>
      <c r="V263" s="987"/>
      <c r="W263" s="987"/>
      <c r="X263" s="987"/>
      <c r="Y263" s="987"/>
      <c r="Z263" s="987"/>
    </row>
    <row r="264">
      <c r="A264" s="987"/>
      <c r="B264" s="987"/>
      <c r="C264" s="987"/>
      <c r="D264" s="987"/>
      <c r="E264" s="987"/>
      <c r="F264" s="987"/>
      <c r="G264" s="987"/>
      <c r="H264" s="987"/>
      <c r="I264" s="987"/>
      <c r="J264" s="987"/>
      <c r="K264" s="987"/>
      <c r="L264" s="987"/>
      <c r="M264" s="987"/>
      <c r="N264" s="987"/>
      <c r="O264" s="987"/>
      <c r="P264" s="987"/>
      <c r="Q264" s="987"/>
      <c r="R264" s="987"/>
      <c r="S264" s="987"/>
      <c r="T264" s="987"/>
      <c r="U264" s="987"/>
      <c r="V264" s="987"/>
      <c r="W264" s="987"/>
      <c r="X264" s="987"/>
      <c r="Y264" s="987"/>
      <c r="Z264" s="987"/>
    </row>
    <row r="265">
      <c r="A265" s="987"/>
      <c r="B265" s="987"/>
      <c r="C265" s="987"/>
      <c r="D265" s="987"/>
      <c r="E265" s="987"/>
      <c r="F265" s="987"/>
      <c r="G265" s="987"/>
      <c r="H265" s="987"/>
      <c r="I265" s="987"/>
      <c r="J265" s="987"/>
      <c r="K265" s="987"/>
      <c r="L265" s="987"/>
      <c r="M265" s="987"/>
      <c r="N265" s="987"/>
      <c r="O265" s="987"/>
      <c r="P265" s="987"/>
      <c r="Q265" s="987"/>
      <c r="R265" s="987"/>
      <c r="S265" s="987"/>
      <c r="T265" s="987"/>
      <c r="U265" s="987"/>
      <c r="V265" s="987"/>
      <c r="W265" s="987"/>
      <c r="X265" s="987"/>
      <c r="Y265" s="987"/>
      <c r="Z265" s="987"/>
    </row>
    <row r="266">
      <c r="A266" s="987"/>
      <c r="B266" s="987"/>
      <c r="C266" s="987"/>
      <c r="D266" s="987"/>
      <c r="E266" s="987"/>
      <c r="F266" s="987"/>
      <c r="G266" s="987"/>
      <c r="H266" s="987"/>
      <c r="I266" s="987"/>
      <c r="J266" s="987"/>
      <c r="K266" s="987"/>
      <c r="L266" s="987"/>
      <c r="M266" s="987"/>
      <c r="N266" s="987"/>
      <c r="O266" s="987"/>
      <c r="P266" s="987"/>
      <c r="Q266" s="987"/>
      <c r="R266" s="987"/>
      <c r="S266" s="987"/>
      <c r="T266" s="987"/>
      <c r="U266" s="987"/>
      <c r="V266" s="987"/>
      <c r="W266" s="987"/>
      <c r="X266" s="987"/>
      <c r="Y266" s="987"/>
      <c r="Z266" s="987"/>
    </row>
    <row r="267">
      <c r="A267" s="987"/>
      <c r="B267" s="987"/>
      <c r="C267" s="987"/>
      <c r="D267" s="987"/>
      <c r="E267" s="987"/>
      <c r="F267" s="987"/>
      <c r="G267" s="987"/>
      <c r="H267" s="987"/>
      <c r="I267" s="987"/>
      <c r="J267" s="987"/>
      <c r="K267" s="987"/>
      <c r="L267" s="987"/>
      <c r="M267" s="987"/>
      <c r="N267" s="987"/>
      <c r="O267" s="987"/>
      <c r="P267" s="987"/>
      <c r="Q267" s="987"/>
      <c r="R267" s="987"/>
      <c r="S267" s="987"/>
      <c r="T267" s="987"/>
      <c r="U267" s="987"/>
      <c r="V267" s="987"/>
      <c r="W267" s="987"/>
      <c r="X267" s="987"/>
      <c r="Y267" s="987"/>
      <c r="Z267" s="987"/>
    </row>
    <row r="268">
      <c r="A268" s="987"/>
      <c r="B268" s="987"/>
      <c r="C268" s="987"/>
      <c r="D268" s="987"/>
      <c r="E268" s="987"/>
      <c r="F268" s="987"/>
      <c r="G268" s="987"/>
      <c r="H268" s="987"/>
      <c r="I268" s="987"/>
      <c r="J268" s="987"/>
      <c r="K268" s="987"/>
      <c r="L268" s="987"/>
      <c r="M268" s="987"/>
      <c r="N268" s="987"/>
      <c r="O268" s="987"/>
      <c r="P268" s="987"/>
      <c r="Q268" s="987"/>
      <c r="R268" s="987"/>
      <c r="S268" s="987"/>
      <c r="T268" s="987"/>
      <c r="U268" s="987"/>
      <c r="V268" s="987"/>
      <c r="W268" s="987"/>
      <c r="X268" s="987"/>
      <c r="Y268" s="987"/>
      <c r="Z268" s="987"/>
    </row>
    <row r="269">
      <c r="A269" s="987"/>
      <c r="B269" s="987"/>
      <c r="C269" s="987"/>
      <c r="D269" s="987"/>
      <c r="E269" s="987"/>
      <c r="F269" s="987"/>
      <c r="G269" s="987"/>
      <c r="H269" s="987"/>
      <c r="I269" s="987"/>
      <c r="J269" s="987"/>
      <c r="K269" s="987"/>
      <c r="L269" s="987"/>
      <c r="M269" s="987"/>
      <c r="N269" s="987"/>
      <c r="O269" s="987"/>
      <c r="P269" s="987"/>
      <c r="Q269" s="987"/>
      <c r="R269" s="987"/>
      <c r="S269" s="987"/>
      <c r="T269" s="987"/>
      <c r="U269" s="987"/>
      <c r="V269" s="987"/>
      <c r="W269" s="987"/>
      <c r="X269" s="987"/>
      <c r="Y269" s="987"/>
      <c r="Z269" s="987"/>
    </row>
    <row r="270">
      <c r="A270" s="987"/>
      <c r="B270" s="987"/>
      <c r="C270" s="987"/>
      <c r="D270" s="987"/>
      <c r="E270" s="987"/>
      <c r="F270" s="987"/>
      <c r="G270" s="987"/>
      <c r="H270" s="987"/>
      <c r="I270" s="987"/>
      <c r="J270" s="987"/>
      <c r="K270" s="987"/>
      <c r="L270" s="987"/>
      <c r="M270" s="987"/>
      <c r="N270" s="987"/>
      <c r="O270" s="987"/>
      <c r="P270" s="987"/>
      <c r="Q270" s="987"/>
      <c r="R270" s="987"/>
      <c r="S270" s="987"/>
      <c r="T270" s="987"/>
      <c r="U270" s="987"/>
      <c r="V270" s="987"/>
      <c r="W270" s="987"/>
      <c r="X270" s="987"/>
      <c r="Y270" s="987"/>
      <c r="Z270" s="987"/>
    </row>
    <row r="271">
      <c r="A271" s="987"/>
      <c r="B271" s="987"/>
      <c r="C271" s="987"/>
      <c r="D271" s="987"/>
      <c r="E271" s="987"/>
      <c r="F271" s="987"/>
      <c r="G271" s="987"/>
      <c r="H271" s="987"/>
      <c r="I271" s="987"/>
      <c r="J271" s="987"/>
      <c r="K271" s="987"/>
      <c r="L271" s="987"/>
      <c r="M271" s="987"/>
      <c r="N271" s="987"/>
      <c r="O271" s="987"/>
      <c r="P271" s="987"/>
      <c r="Q271" s="987"/>
      <c r="R271" s="987"/>
      <c r="S271" s="987"/>
      <c r="T271" s="987"/>
      <c r="U271" s="987"/>
      <c r="V271" s="987"/>
      <c r="W271" s="987"/>
      <c r="X271" s="987"/>
      <c r="Y271" s="987"/>
      <c r="Z271" s="987"/>
    </row>
    <row r="272">
      <c r="A272" s="987"/>
      <c r="B272" s="987"/>
      <c r="C272" s="987"/>
      <c r="D272" s="987"/>
      <c r="E272" s="987"/>
      <c r="F272" s="987"/>
      <c r="G272" s="987"/>
      <c r="H272" s="987"/>
      <c r="I272" s="987"/>
      <c r="J272" s="987"/>
      <c r="K272" s="987"/>
      <c r="L272" s="987"/>
      <c r="M272" s="987"/>
      <c r="N272" s="987"/>
      <c r="O272" s="987"/>
      <c r="P272" s="987"/>
      <c r="Q272" s="987"/>
      <c r="R272" s="987"/>
      <c r="S272" s="987"/>
      <c r="T272" s="987"/>
      <c r="U272" s="987"/>
      <c r="V272" s="987"/>
      <c r="W272" s="987"/>
      <c r="X272" s="987"/>
      <c r="Y272" s="987"/>
      <c r="Z272" s="987"/>
    </row>
    <row r="273">
      <c r="A273" s="987"/>
      <c r="B273" s="987"/>
      <c r="C273" s="987"/>
      <c r="D273" s="987"/>
      <c r="E273" s="987"/>
      <c r="F273" s="987"/>
      <c r="G273" s="987"/>
      <c r="H273" s="987"/>
      <c r="I273" s="987"/>
      <c r="J273" s="987"/>
      <c r="K273" s="987"/>
      <c r="L273" s="987"/>
      <c r="M273" s="987"/>
      <c r="N273" s="987"/>
      <c r="O273" s="987"/>
      <c r="P273" s="987"/>
      <c r="Q273" s="987"/>
      <c r="R273" s="987"/>
      <c r="S273" s="987"/>
      <c r="T273" s="987"/>
      <c r="U273" s="987"/>
      <c r="V273" s="987"/>
      <c r="W273" s="987"/>
      <c r="X273" s="987"/>
      <c r="Y273" s="987"/>
      <c r="Z273" s="987"/>
    </row>
    <row r="274">
      <c r="A274" s="987"/>
      <c r="B274" s="987"/>
      <c r="C274" s="987"/>
      <c r="D274" s="987"/>
      <c r="E274" s="987"/>
      <c r="F274" s="987"/>
      <c r="G274" s="987"/>
      <c r="H274" s="987"/>
      <c r="I274" s="987"/>
      <c r="J274" s="987"/>
      <c r="K274" s="987"/>
      <c r="L274" s="987"/>
      <c r="M274" s="987"/>
      <c r="N274" s="987"/>
      <c r="O274" s="987"/>
      <c r="P274" s="987"/>
      <c r="Q274" s="987"/>
      <c r="R274" s="987"/>
      <c r="S274" s="987"/>
      <c r="T274" s="987"/>
      <c r="U274" s="987"/>
      <c r="V274" s="987"/>
      <c r="W274" s="987"/>
      <c r="X274" s="987"/>
      <c r="Y274" s="987"/>
      <c r="Z274" s="987"/>
    </row>
    <row r="275">
      <c r="A275" s="987"/>
      <c r="B275" s="987"/>
      <c r="C275" s="987"/>
      <c r="D275" s="987"/>
      <c r="E275" s="987"/>
      <c r="F275" s="987"/>
      <c r="G275" s="987"/>
      <c r="H275" s="987"/>
      <c r="I275" s="987"/>
      <c r="J275" s="987"/>
      <c r="K275" s="987"/>
      <c r="L275" s="987"/>
      <c r="M275" s="987"/>
      <c r="N275" s="987"/>
      <c r="O275" s="987"/>
      <c r="P275" s="987"/>
      <c r="Q275" s="987"/>
      <c r="R275" s="987"/>
      <c r="S275" s="987"/>
      <c r="T275" s="987"/>
      <c r="U275" s="987"/>
      <c r="V275" s="987"/>
      <c r="W275" s="987"/>
      <c r="X275" s="987"/>
      <c r="Y275" s="987"/>
      <c r="Z275" s="987"/>
    </row>
    <row r="276">
      <c r="A276" s="987"/>
      <c r="B276" s="987"/>
      <c r="C276" s="987"/>
      <c r="D276" s="987"/>
      <c r="E276" s="987"/>
      <c r="F276" s="987"/>
      <c r="G276" s="987"/>
      <c r="H276" s="987"/>
      <c r="I276" s="987"/>
      <c r="J276" s="987"/>
      <c r="K276" s="987"/>
      <c r="L276" s="987"/>
      <c r="M276" s="987"/>
      <c r="N276" s="987"/>
      <c r="O276" s="987"/>
      <c r="P276" s="987"/>
      <c r="Q276" s="987"/>
      <c r="R276" s="987"/>
      <c r="S276" s="987"/>
      <c r="T276" s="987"/>
      <c r="U276" s="987"/>
      <c r="V276" s="987"/>
      <c r="W276" s="987"/>
      <c r="X276" s="987"/>
      <c r="Y276" s="987"/>
      <c r="Z276" s="987"/>
    </row>
    <row r="277">
      <c r="A277" s="987"/>
      <c r="B277" s="987"/>
      <c r="C277" s="987"/>
      <c r="D277" s="987"/>
      <c r="E277" s="987"/>
      <c r="F277" s="987"/>
      <c r="G277" s="987"/>
      <c r="H277" s="987"/>
      <c r="I277" s="987"/>
      <c r="J277" s="987"/>
      <c r="K277" s="987"/>
      <c r="L277" s="987"/>
      <c r="M277" s="987"/>
      <c r="N277" s="987"/>
      <c r="O277" s="987"/>
      <c r="P277" s="987"/>
      <c r="Q277" s="987"/>
      <c r="R277" s="987"/>
      <c r="S277" s="987"/>
      <c r="T277" s="987"/>
      <c r="U277" s="987"/>
      <c r="V277" s="987"/>
      <c r="W277" s="987"/>
      <c r="X277" s="987"/>
      <c r="Y277" s="987"/>
      <c r="Z277" s="987"/>
    </row>
    <row r="278">
      <c r="A278" s="987"/>
      <c r="B278" s="987"/>
      <c r="C278" s="987"/>
      <c r="D278" s="987"/>
      <c r="E278" s="987"/>
      <c r="F278" s="987"/>
      <c r="G278" s="987"/>
      <c r="H278" s="987"/>
      <c r="I278" s="987"/>
      <c r="J278" s="987"/>
      <c r="K278" s="987"/>
      <c r="L278" s="987"/>
      <c r="M278" s="987"/>
      <c r="N278" s="987"/>
      <c r="O278" s="987"/>
      <c r="P278" s="987"/>
      <c r="Q278" s="987"/>
      <c r="R278" s="987"/>
      <c r="S278" s="987"/>
      <c r="T278" s="987"/>
      <c r="U278" s="987"/>
      <c r="V278" s="987"/>
      <c r="W278" s="987"/>
      <c r="X278" s="987"/>
      <c r="Y278" s="987"/>
      <c r="Z278" s="987"/>
    </row>
    <row r="279">
      <c r="A279" s="987"/>
      <c r="B279" s="987"/>
      <c r="C279" s="987"/>
      <c r="D279" s="987"/>
      <c r="E279" s="987"/>
      <c r="F279" s="987"/>
      <c r="G279" s="987"/>
      <c r="H279" s="987"/>
      <c r="I279" s="987"/>
      <c r="J279" s="987"/>
      <c r="K279" s="987"/>
      <c r="L279" s="987"/>
      <c r="M279" s="987"/>
      <c r="N279" s="987"/>
      <c r="O279" s="987"/>
      <c r="P279" s="987"/>
      <c r="Q279" s="987"/>
      <c r="R279" s="987"/>
      <c r="S279" s="987"/>
      <c r="T279" s="987"/>
      <c r="U279" s="987"/>
      <c r="V279" s="987"/>
      <c r="W279" s="987"/>
      <c r="X279" s="987"/>
      <c r="Y279" s="987"/>
      <c r="Z279" s="987"/>
    </row>
    <row r="280">
      <c r="A280" s="987"/>
      <c r="B280" s="987"/>
      <c r="C280" s="987"/>
      <c r="D280" s="987"/>
      <c r="E280" s="987"/>
      <c r="F280" s="987"/>
      <c r="G280" s="987"/>
      <c r="H280" s="987"/>
      <c r="I280" s="987"/>
      <c r="J280" s="987"/>
      <c r="K280" s="987"/>
      <c r="L280" s="987"/>
      <c r="M280" s="987"/>
      <c r="N280" s="987"/>
      <c r="O280" s="987"/>
      <c r="P280" s="987"/>
      <c r="Q280" s="987"/>
      <c r="R280" s="987"/>
      <c r="S280" s="987"/>
      <c r="T280" s="987"/>
      <c r="U280" s="987"/>
      <c r="V280" s="987"/>
      <c r="W280" s="987"/>
      <c r="X280" s="987"/>
      <c r="Y280" s="987"/>
      <c r="Z280" s="987"/>
    </row>
    <row r="281">
      <c r="A281" s="987"/>
      <c r="B281" s="987"/>
      <c r="C281" s="987"/>
      <c r="D281" s="987"/>
      <c r="E281" s="987"/>
      <c r="F281" s="987"/>
      <c r="G281" s="987"/>
      <c r="H281" s="987"/>
      <c r="I281" s="987"/>
      <c r="J281" s="987"/>
      <c r="K281" s="987"/>
      <c r="L281" s="987"/>
      <c r="M281" s="987"/>
      <c r="N281" s="987"/>
      <c r="O281" s="987"/>
      <c r="P281" s="987"/>
      <c r="Q281" s="987"/>
      <c r="R281" s="987"/>
      <c r="S281" s="987"/>
      <c r="T281" s="987"/>
      <c r="U281" s="987"/>
      <c r="V281" s="987"/>
      <c r="W281" s="987"/>
      <c r="X281" s="987"/>
      <c r="Y281" s="987"/>
      <c r="Z281" s="987"/>
    </row>
    <row r="282">
      <c r="A282" s="987"/>
      <c r="B282" s="987"/>
      <c r="C282" s="987"/>
      <c r="D282" s="987"/>
      <c r="E282" s="987"/>
      <c r="F282" s="987"/>
      <c r="G282" s="987"/>
      <c r="H282" s="987"/>
      <c r="I282" s="987"/>
      <c r="J282" s="987"/>
      <c r="K282" s="987"/>
      <c r="L282" s="987"/>
      <c r="M282" s="987"/>
      <c r="N282" s="987"/>
      <c r="O282" s="987"/>
      <c r="P282" s="987"/>
      <c r="Q282" s="987"/>
      <c r="R282" s="987"/>
      <c r="S282" s="987"/>
      <c r="T282" s="987"/>
      <c r="U282" s="987"/>
      <c r="V282" s="987"/>
      <c r="W282" s="987"/>
      <c r="X282" s="987"/>
      <c r="Y282" s="987"/>
      <c r="Z282" s="987"/>
    </row>
    <row r="283">
      <c r="A283" s="987"/>
      <c r="B283" s="987"/>
      <c r="C283" s="987"/>
      <c r="D283" s="987"/>
      <c r="E283" s="987"/>
      <c r="F283" s="987"/>
      <c r="G283" s="987"/>
      <c r="H283" s="987"/>
      <c r="I283" s="987"/>
      <c r="J283" s="987"/>
      <c r="K283" s="987"/>
      <c r="L283" s="987"/>
      <c r="M283" s="987"/>
      <c r="N283" s="987"/>
      <c r="O283" s="987"/>
      <c r="P283" s="987"/>
      <c r="Q283" s="987"/>
      <c r="R283" s="987"/>
      <c r="S283" s="987"/>
      <c r="T283" s="987"/>
      <c r="U283" s="987"/>
      <c r="V283" s="987"/>
      <c r="W283" s="987"/>
      <c r="X283" s="987"/>
      <c r="Y283" s="987"/>
      <c r="Z283" s="987"/>
    </row>
    <row r="284">
      <c r="A284" s="987"/>
      <c r="B284" s="987"/>
      <c r="C284" s="987"/>
      <c r="D284" s="987"/>
      <c r="E284" s="987"/>
      <c r="F284" s="987"/>
      <c r="G284" s="987"/>
      <c r="H284" s="987"/>
      <c r="I284" s="987"/>
      <c r="J284" s="987"/>
      <c r="K284" s="987"/>
      <c r="L284" s="987"/>
      <c r="M284" s="987"/>
      <c r="N284" s="987"/>
      <c r="O284" s="987"/>
      <c r="P284" s="987"/>
      <c r="Q284" s="987"/>
      <c r="R284" s="987"/>
      <c r="S284" s="987"/>
      <c r="T284" s="987"/>
      <c r="U284" s="987"/>
      <c r="V284" s="987"/>
      <c r="W284" s="987"/>
      <c r="X284" s="987"/>
      <c r="Y284" s="987"/>
      <c r="Z284" s="987"/>
    </row>
    <row r="285">
      <c r="A285" s="987"/>
      <c r="B285" s="987"/>
      <c r="C285" s="987"/>
      <c r="D285" s="987"/>
      <c r="E285" s="987"/>
      <c r="F285" s="987"/>
      <c r="G285" s="987"/>
      <c r="H285" s="987"/>
      <c r="I285" s="987"/>
      <c r="J285" s="987"/>
      <c r="K285" s="987"/>
      <c r="L285" s="987"/>
      <c r="M285" s="987"/>
      <c r="N285" s="987"/>
      <c r="O285" s="987"/>
      <c r="P285" s="987"/>
      <c r="Q285" s="987"/>
      <c r="R285" s="987"/>
      <c r="S285" s="987"/>
      <c r="T285" s="987"/>
      <c r="U285" s="987"/>
      <c r="V285" s="987"/>
      <c r="W285" s="987"/>
      <c r="X285" s="987"/>
      <c r="Y285" s="987"/>
      <c r="Z285" s="987"/>
    </row>
    <row r="286">
      <c r="A286" s="987"/>
      <c r="B286" s="987"/>
      <c r="C286" s="987"/>
      <c r="D286" s="987"/>
      <c r="E286" s="987"/>
      <c r="F286" s="987"/>
      <c r="G286" s="987"/>
      <c r="H286" s="987"/>
      <c r="I286" s="987"/>
      <c r="J286" s="987"/>
      <c r="K286" s="987"/>
      <c r="L286" s="987"/>
      <c r="M286" s="987"/>
      <c r="N286" s="987"/>
      <c r="O286" s="987"/>
      <c r="P286" s="987"/>
      <c r="Q286" s="987"/>
      <c r="R286" s="987"/>
      <c r="S286" s="987"/>
      <c r="T286" s="987"/>
      <c r="U286" s="987"/>
      <c r="V286" s="987"/>
      <c r="W286" s="987"/>
      <c r="X286" s="987"/>
      <c r="Y286" s="987"/>
      <c r="Z286" s="987"/>
    </row>
    <row r="287">
      <c r="A287" s="987"/>
      <c r="B287" s="987"/>
      <c r="C287" s="987"/>
      <c r="D287" s="987"/>
      <c r="E287" s="987"/>
      <c r="F287" s="987"/>
      <c r="G287" s="987"/>
      <c r="H287" s="987"/>
      <c r="I287" s="987"/>
      <c r="J287" s="987"/>
      <c r="K287" s="987"/>
      <c r="L287" s="987"/>
      <c r="M287" s="987"/>
      <c r="N287" s="987"/>
      <c r="O287" s="987"/>
      <c r="P287" s="987"/>
      <c r="Q287" s="987"/>
      <c r="R287" s="987"/>
      <c r="S287" s="987"/>
      <c r="T287" s="987"/>
      <c r="U287" s="987"/>
      <c r="V287" s="987"/>
      <c r="W287" s="987"/>
      <c r="X287" s="987"/>
      <c r="Y287" s="987"/>
      <c r="Z287" s="987"/>
    </row>
    <row r="288">
      <c r="A288" s="987"/>
      <c r="B288" s="987"/>
      <c r="C288" s="987"/>
      <c r="D288" s="987"/>
      <c r="E288" s="987"/>
      <c r="F288" s="987"/>
      <c r="G288" s="987"/>
      <c r="H288" s="987"/>
      <c r="I288" s="987"/>
      <c r="J288" s="987"/>
      <c r="K288" s="987"/>
      <c r="L288" s="987"/>
      <c r="M288" s="987"/>
      <c r="N288" s="987"/>
      <c r="O288" s="987"/>
      <c r="P288" s="987"/>
      <c r="Q288" s="987"/>
      <c r="R288" s="987"/>
      <c r="S288" s="987"/>
      <c r="T288" s="987"/>
      <c r="U288" s="987"/>
      <c r="V288" s="987"/>
      <c r="W288" s="987"/>
      <c r="X288" s="987"/>
      <c r="Y288" s="987"/>
      <c r="Z288" s="987"/>
    </row>
    <row r="289">
      <c r="A289" s="987"/>
      <c r="B289" s="987"/>
      <c r="C289" s="987"/>
      <c r="D289" s="987"/>
      <c r="E289" s="987"/>
      <c r="F289" s="987"/>
      <c r="G289" s="987"/>
      <c r="H289" s="987"/>
      <c r="I289" s="987"/>
      <c r="J289" s="987"/>
      <c r="K289" s="987"/>
      <c r="L289" s="987"/>
      <c r="M289" s="987"/>
      <c r="N289" s="987"/>
      <c r="O289" s="987"/>
      <c r="P289" s="987"/>
      <c r="Q289" s="987"/>
      <c r="R289" s="987"/>
      <c r="S289" s="987"/>
      <c r="T289" s="987"/>
      <c r="U289" s="987"/>
      <c r="V289" s="987"/>
      <c r="W289" s="987"/>
      <c r="X289" s="987"/>
      <c r="Y289" s="987"/>
      <c r="Z289" s="987"/>
    </row>
    <row r="290">
      <c r="A290" s="987"/>
      <c r="B290" s="987"/>
      <c r="C290" s="987"/>
      <c r="D290" s="987"/>
      <c r="E290" s="987"/>
      <c r="F290" s="987"/>
      <c r="G290" s="987"/>
      <c r="H290" s="987"/>
      <c r="I290" s="987"/>
      <c r="J290" s="987"/>
      <c r="K290" s="987"/>
      <c r="L290" s="987"/>
      <c r="M290" s="987"/>
      <c r="N290" s="987"/>
      <c r="O290" s="987"/>
      <c r="P290" s="987"/>
      <c r="Q290" s="987"/>
      <c r="R290" s="987"/>
      <c r="S290" s="987"/>
      <c r="T290" s="987"/>
      <c r="U290" s="987"/>
      <c r="V290" s="987"/>
      <c r="W290" s="987"/>
      <c r="X290" s="987"/>
      <c r="Y290" s="987"/>
      <c r="Z290" s="987"/>
    </row>
    <row r="291">
      <c r="A291" s="987"/>
      <c r="B291" s="987"/>
      <c r="C291" s="987"/>
      <c r="D291" s="987"/>
      <c r="E291" s="987"/>
      <c r="F291" s="987"/>
      <c r="G291" s="987"/>
      <c r="H291" s="987"/>
      <c r="I291" s="987"/>
      <c r="J291" s="987"/>
      <c r="K291" s="987"/>
      <c r="L291" s="987"/>
      <c r="M291" s="987"/>
      <c r="N291" s="987"/>
      <c r="O291" s="987"/>
      <c r="P291" s="987"/>
      <c r="Q291" s="987"/>
      <c r="R291" s="987"/>
      <c r="S291" s="987"/>
      <c r="T291" s="987"/>
      <c r="U291" s="987"/>
      <c r="V291" s="987"/>
      <c r="W291" s="987"/>
      <c r="X291" s="987"/>
      <c r="Y291" s="987"/>
      <c r="Z291" s="987"/>
    </row>
    <row r="292">
      <c r="A292" s="987"/>
      <c r="B292" s="987"/>
      <c r="C292" s="987"/>
      <c r="D292" s="987"/>
      <c r="E292" s="987"/>
      <c r="F292" s="987"/>
      <c r="G292" s="987"/>
      <c r="H292" s="987"/>
      <c r="I292" s="987"/>
      <c r="J292" s="987"/>
      <c r="K292" s="987"/>
      <c r="L292" s="987"/>
      <c r="M292" s="987"/>
      <c r="N292" s="987"/>
      <c r="O292" s="987"/>
      <c r="P292" s="987"/>
      <c r="Q292" s="987"/>
      <c r="R292" s="987"/>
      <c r="S292" s="987"/>
      <c r="T292" s="987"/>
      <c r="U292" s="987"/>
      <c r="V292" s="987"/>
      <c r="W292" s="987"/>
      <c r="X292" s="987"/>
      <c r="Y292" s="987"/>
      <c r="Z292" s="987"/>
    </row>
    <row r="293">
      <c r="A293" s="987"/>
      <c r="B293" s="987"/>
      <c r="C293" s="987"/>
      <c r="D293" s="987"/>
      <c r="E293" s="987"/>
      <c r="F293" s="987"/>
      <c r="G293" s="987"/>
      <c r="H293" s="987"/>
      <c r="I293" s="987"/>
      <c r="J293" s="987"/>
      <c r="K293" s="987"/>
      <c r="L293" s="987"/>
      <c r="M293" s="987"/>
      <c r="N293" s="987"/>
      <c r="O293" s="987"/>
      <c r="P293" s="987"/>
      <c r="Q293" s="987"/>
      <c r="R293" s="987"/>
      <c r="S293" s="987"/>
      <c r="T293" s="987"/>
      <c r="U293" s="987"/>
      <c r="V293" s="987"/>
      <c r="W293" s="987"/>
      <c r="X293" s="987"/>
      <c r="Y293" s="987"/>
      <c r="Z293" s="987"/>
    </row>
    <row r="294">
      <c r="A294" s="987"/>
      <c r="B294" s="987"/>
      <c r="C294" s="987"/>
      <c r="D294" s="987"/>
      <c r="E294" s="987"/>
      <c r="F294" s="987"/>
      <c r="G294" s="987"/>
      <c r="H294" s="987"/>
      <c r="I294" s="987"/>
      <c r="J294" s="987"/>
      <c r="K294" s="987"/>
      <c r="L294" s="987"/>
      <c r="M294" s="987"/>
      <c r="N294" s="987"/>
      <c r="O294" s="987"/>
      <c r="P294" s="987"/>
      <c r="Q294" s="987"/>
      <c r="R294" s="987"/>
      <c r="S294" s="987"/>
      <c r="T294" s="987"/>
      <c r="U294" s="987"/>
      <c r="V294" s="987"/>
      <c r="W294" s="987"/>
      <c r="X294" s="987"/>
      <c r="Y294" s="987"/>
      <c r="Z294" s="987"/>
    </row>
    <row r="295">
      <c r="A295" s="987"/>
      <c r="B295" s="987"/>
      <c r="C295" s="987"/>
      <c r="D295" s="987"/>
      <c r="E295" s="987"/>
      <c r="F295" s="987"/>
      <c r="G295" s="987"/>
      <c r="H295" s="987"/>
      <c r="I295" s="987"/>
      <c r="J295" s="987"/>
      <c r="K295" s="987"/>
      <c r="L295" s="987"/>
      <c r="M295" s="987"/>
      <c r="N295" s="987"/>
      <c r="O295" s="987"/>
      <c r="P295" s="987"/>
      <c r="Q295" s="987"/>
      <c r="R295" s="987"/>
      <c r="S295" s="987"/>
      <c r="T295" s="987"/>
      <c r="U295" s="987"/>
      <c r="V295" s="987"/>
      <c r="W295" s="987"/>
      <c r="X295" s="987"/>
      <c r="Y295" s="987"/>
      <c r="Z295" s="987"/>
    </row>
    <row r="296">
      <c r="A296" s="987"/>
      <c r="B296" s="987"/>
      <c r="C296" s="987"/>
      <c r="D296" s="987"/>
      <c r="E296" s="987"/>
      <c r="F296" s="987"/>
      <c r="G296" s="987"/>
      <c r="H296" s="987"/>
      <c r="I296" s="987"/>
      <c r="J296" s="987"/>
      <c r="K296" s="987"/>
      <c r="L296" s="987"/>
      <c r="M296" s="987"/>
      <c r="N296" s="987"/>
      <c r="O296" s="987"/>
      <c r="P296" s="987"/>
      <c r="Q296" s="987"/>
      <c r="R296" s="987"/>
      <c r="S296" s="987"/>
      <c r="T296" s="987"/>
      <c r="U296" s="987"/>
      <c r="V296" s="987"/>
      <c r="W296" s="987"/>
      <c r="X296" s="987"/>
      <c r="Y296" s="987"/>
      <c r="Z296" s="987"/>
    </row>
    <row r="297">
      <c r="A297" s="987"/>
      <c r="B297" s="987"/>
      <c r="C297" s="987"/>
      <c r="D297" s="987"/>
      <c r="E297" s="987"/>
      <c r="F297" s="987"/>
      <c r="G297" s="987"/>
      <c r="H297" s="987"/>
      <c r="I297" s="987"/>
      <c r="J297" s="987"/>
      <c r="K297" s="987"/>
      <c r="L297" s="987"/>
      <c r="M297" s="987"/>
      <c r="N297" s="987"/>
      <c r="O297" s="987"/>
      <c r="P297" s="987"/>
      <c r="Q297" s="987"/>
      <c r="R297" s="987"/>
      <c r="S297" s="987"/>
      <c r="T297" s="987"/>
      <c r="U297" s="987"/>
      <c r="V297" s="987"/>
      <c r="W297" s="987"/>
      <c r="X297" s="987"/>
      <c r="Y297" s="987"/>
      <c r="Z297" s="987"/>
    </row>
    <row r="298">
      <c r="A298" s="987"/>
      <c r="B298" s="987"/>
      <c r="C298" s="987"/>
      <c r="D298" s="987"/>
      <c r="E298" s="987"/>
      <c r="F298" s="987"/>
      <c r="G298" s="987"/>
      <c r="H298" s="987"/>
      <c r="I298" s="987"/>
      <c r="J298" s="987"/>
      <c r="K298" s="987"/>
      <c r="L298" s="987"/>
      <c r="M298" s="987"/>
      <c r="N298" s="987"/>
      <c r="O298" s="987"/>
      <c r="P298" s="987"/>
      <c r="Q298" s="987"/>
      <c r="R298" s="987"/>
      <c r="S298" s="987"/>
      <c r="T298" s="987"/>
      <c r="U298" s="987"/>
      <c r="V298" s="987"/>
      <c r="W298" s="987"/>
      <c r="X298" s="987"/>
      <c r="Y298" s="987"/>
      <c r="Z298" s="987"/>
    </row>
    <row r="299">
      <c r="A299" s="987"/>
      <c r="B299" s="987"/>
      <c r="C299" s="987"/>
      <c r="D299" s="987"/>
      <c r="E299" s="987"/>
      <c r="F299" s="987"/>
      <c r="G299" s="987"/>
      <c r="H299" s="987"/>
      <c r="I299" s="987"/>
      <c r="J299" s="987"/>
      <c r="K299" s="987"/>
      <c r="L299" s="987"/>
      <c r="M299" s="987"/>
      <c r="N299" s="987"/>
      <c r="O299" s="987"/>
      <c r="P299" s="987"/>
      <c r="Q299" s="987"/>
      <c r="R299" s="987"/>
      <c r="S299" s="987"/>
      <c r="T299" s="987"/>
      <c r="U299" s="987"/>
      <c r="V299" s="987"/>
      <c r="W299" s="987"/>
      <c r="X299" s="987"/>
      <c r="Y299" s="987"/>
      <c r="Z299" s="987"/>
    </row>
    <row r="300">
      <c r="A300" s="987"/>
      <c r="B300" s="987"/>
      <c r="C300" s="987"/>
      <c r="D300" s="987"/>
      <c r="E300" s="987"/>
      <c r="F300" s="987"/>
      <c r="G300" s="987"/>
      <c r="H300" s="987"/>
      <c r="I300" s="987"/>
      <c r="J300" s="987"/>
      <c r="K300" s="987"/>
      <c r="L300" s="987"/>
      <c r="M300" s="987"/>
      <c r="N300" s="987"/>
      <c r="O300" s="987"/>
      <c r="P300" s="987"/>
      <c r="Q300" s="987"/>
      <c r="R300" s="987"/>
      <c r="S300" s="987"/>
      <c r="T300" s="987"/>
      <c r="U300" s="987"/>
      <c r="V300" s="987"/>
      <c r="W300" s="987"/>
      <c r="X300" s="987"/>
      <c r="Y300" s="987"/>
      <c r="Z300" s="987"/>
    </row>
    <row r="301">
      <c r="A301" s="987"/>
      <c r="B301" s="987"/>
      <c r="C301" s="987"/>
      <c r="D301" s="987"/>
      <c r="E301" s="987"/>
      <c r="F301" s="987"/>
      <c r="G301" s="987"/>
      <c r="H301" s="987"/>
      <c r="I301" s="987"/>
      <c r="J301" s="987"/>
      <c r="K301" s="987"/>
      <c r="L301" s="987"/>
      <c r="M301" s="987"/>
      <c r="N301" s="987"/>
      <c r="O301" s="987"/>
      <c r="P301" s="987"/>
      <c r="Q301" s="987"/>
      <c r="R301" s="987"/>
      <c r="S301" s="987"/>
      <c r="T301" s="987"/>
      <c r="U301" s="987"/>
      <c r="V301" s="987"/>
      <c r="W301" s="987"/>
      <c r="X301" s="987"/>
      <c r="Y301" s="987"/>
      <c r="Z301" s="987"/>
    </row>
    <row r="302">
      <c r="A302" s="987"/>
      <c r="B302" s="987"/>
      <c r="C302" s="987"/>
      <c r="D302" s="987"/>
      <c r="E302" s="987"/>
      <c r="F302" s="987"/>
      <c r="G302" s="987"/>
      <c r="H302" s="987"/>
      <c r="I302" s="987"/>
      <c r="J302" s="987"/>
      <c r="K302" s="987"/>
      <c r="L302" s="987"/>
      <c r="M302" s="987"/>
      <c r="N302" s="987"/>
      <c r="O302" s="987"/>
      <c r="P302" s="987"/>
      <c r="Q302" s="987"/>
      <c r="R302" s="987"/>
      <c r="S302" s="987"/>
      <c r="T302" s="987"/>
      <c r="U302" s="987"/>
      <c r="V302" s="987"/>
      <c r="W302" s="987"/>
      <c r="X302" s="987"/>
      <c r="Y302" s="987"/>
      <c r="Z302" s="987"/>
    </row>
    <row r="303">
      <c r="A303" s="987"/>
      <c r="B303" s="987"/>
      <c r="C303" s="987"/>
      <c r="D303" s="987"/>
      <c r="E303" s="987"/>
      <c r="F303" s="987"/>
      <c r="G303" s="987"/>
      <c r="H303" s="987"/>
      <c r="I303" s="987"/>
      <c r="J303" s="987"/>
      <c r="K303" s="987"/>
      <c r="L303" s="987"/>
      <c r="M303" s="987"/>
      <c r="N303" s="987"/>
      <c r="O303" s="987"/>
      <c r="P303" s="987"/>
      <c r="Q303" s="987"/>
      <c r="R303" s="987"/>
      <c r="S303" s="987"/>
      <c r="T303" s="987"/>
      <c r="U303" s="987"/>
      <c r="V303" s="987"/>
      <c r="W303" s="987"/>
      <c r="X303" s="987"/>
      <c r="Y303" s="987"/>
      <c r="Z303" s="987"/>
    </row>
    <row r="304">
      <c r="A304" s="987"/>
      <c r="B304" s="987"/>
      <c r="C304" s="987"/>
      <c r="D304" s="987"/>
      <c r="E304" s="987"/>
      <c r="F304" s="987"/>
      <c r="G304" s="987"/>
      <c r="H304" s="987"/>
      <c r="I304" s="987"/>
      <c r="J304" s="987"/>
      <c r="K304" s="987"/>
      <c r="L304" s="987"/>
      <c r="M304" s="987"/>
      <c r="N304" s="987"/>
      <c r="O304" s="987"/>
      <c r="P304" s="987"/>
      <c r="Q304" s="987"/>
      <c r="R304" s="987"/>
      <c r="S304" s="987"/>
      <c r="T304" s="987"/>
      <c r="U304" s="987"/>
      <c r="V304" s="987"/>
      <c r="W304" s="987"/>
      <c r="X304" s="987"/>
      <c r="Y304" s="987"/>
      <c r="Z304" s="987"/>
    </row>
    <row r="305">
      <c r="A305" s="987"/>
      <c r="B305" s="987"/>
      <c r="C305" s="987"/>
      <c r="D305" s="987"/>
      <c r="E305" s="987"/>
      <c r="F305" s="987"/>
      <c r="G305" s="987"/>
      <c r="H305" s="987"/>
      <c r="I305" s="987"/>
      <c r="J305" s="987"/>
      <c r="K305" s="987"/>
      <c r="L305" s="987"/>
      <c r="M305" s="987"/>
      <c r="N305" s="987"/>
      <c r="O305" s="987"/>
      <c r="P305" s="987"/>
      <c r="Q305" s="987"/>
      <c r="R305" s="987"/>
      <c r="S305" s="987"/>
      <c r="T305" s="987"/>
      <c r="U305" s="987"/>
      <c r="V305" s="987"/>
      <c r="W305" s="987"/>
      <c r="X305" s="987"/>
      <c r="Y305" s="987"/>
      <c r="Z305" s="987"/>
    </row>
    <row r="306">
      <c r="A306" s="987"/>
      <c r="B306" s="987"/>
      <c r="C306" s="987"/>
      <c r="D306" s="987"/>
      <c r="E306" s="987"/>
      <c r="F306" s="987"/>
      <c r="G306" s="987"/>
      <c r="H306" s="987"/>
      <c r="I306" s="987"/>
      <c r="J306" s="987"/>
      <c r="K306" s="987"/>
      <c r="L306" s="987"/>
      <c r="M306" s="987"/>
      <c r="N306" s="987"/>
      <c r="O306" s="987"/>
      <c r="P306" s="987"/>
      <c r="Q306" s="987"/>
      <c r="R306" s="987"/>
      <c r="S306" s="987"/>
      <c r="T306" s="987"/>
      <c r="U306" s="987"/>
      <c r="V306" s="987"/>
      <c r="W306" s="987"/>
      <c r="X306" s="987"/>
      <c r="Y306" s="987"/>
      <c r="Z306" s="987"/>
    </row>
    <row r="307">
      <c r="A307" s="987"/>
      <c r="B307" s="987"/>
      <c r="C307" s="987"/>
      <c r="D307" s="987"/>
      <c r="E307" s="987"/>
      <c r="F307" s="987"/>
      <c r="G307" s="987"/>
      <c r="H307" s="987"/>
      <c r="I307" s="987"/>
      <c r="J307" s="987"/>
      <c r="K307" s="987"/>
      <c r="L307" s="987"/>
      <c r="M307" s="987"/>
      <c r="N307" s="987"/>
      <c r="O307" s="987"/>
      <c r="P307" s="987"/>
      <c r="Q307" s="987"/>
      <c r="R307" s="987"/>
      <c r="S307" s="987"/>
      <c r="T307" s="987"/>
      <c r="U307" s="987"/>
      <c r="V307" s="987"/>
      <c r="W307" s="987"/>
      <c r="X307" s="987"/>
      <c r="Y307" s="987"/>
      <c r="Z307" s="987"/>
    </row>
    <row r="308">
      <c r="A308" s="987"/>
      <c r="B308" s="987"/>
      <c r="C308" s="987"/>
      <c r="D308" s="987"/>
      <c r="E308" s="987"/>
      <c r="F308" s="987"/>
      <c r="G308" s="987"/>
      <c r="H308" s="987"/>
      <c r="I308" s="987"/>
      <c r="J308" s="987"/>
      <c r="K308" s="987"/>
      <c r="L308" s="987"/>
      <c r="M308" s="987"/>
      <c r="N308" s="987"/>
      <c r="O308" s="987"/>
      <c r="P308" s="987"/>
      <c r="Q308" s="987"/>
      <c r="R308" s="987"/>
      <c r="S308" s="987"/>
      <c r="T308" s="987"/>
      <c r="U308" s="987"/>
      <c r="V308" s="987"/>
      <c r="W308" s="987"/>
      <c r="X308" s="987"/>
      <c r="Y308" s="987"/>
      <c r="Z308" s="987"/>
    </row>
    <row r="309">
      <c r="A309" s="987"/>
      <c r="B309" s="987"/>
      <c r="C309" s="987"/>
      <c r="D309" s="987"/>
      <c r="E309" s="987"/>
      <c r="F309" s="987"/>
      <c r="G309" s="987"/>
      <c r="H309" s="987"/>
      <c r="I309" s="987"/>
      <c r="J309" s="987"/>
      <c r="K309" s="987"/>
      <c r="L309" s="987"/>
      <c r="M309" s="987"/>
      <c r="N309" s="987"/>
      <c r="O309" s="987"/>
      <c r="P309" s="987"/>
      <c r="Q309" s="987"/>
      <c r="R309" s="987"/>
      <c r="S309" s="987"/>
      <c r="T309" s="987"/>
      <c r="U309" s="987"/>
      <c r="V309" s="987"/>
      <c r="W309" s="987"/>
      <c r="X309" s="987"/>
      <c r="Y309" s="987"/>
      <c r="Z309" s="987"/>
    </row>
    <row r="310">
      <c r="A310" s="987"/>
      <c r="B310" s="987"/>
      <c r="C310" s="987"/>
      <c r="D310" s="987"/>
      <c r="E310" s="987"/>
      <c r="F310" s="987"/>
      <c r="G310" s="987"/>
      <c r="H310" s="987"/>
      <c r="I310" s="987"/>
      <c r="J310" s="987"/>
      <c r="K310" s="987"/>
      <c r="L310" s="987"/>
      <c r="M310" s="987"/>
      <c r="N310" s="987"/>
      <c r="O310" s="987"/>
      <c r="P310" s="987"/>
      <c r="Q310" s="987"/>
      <c r="R310" s="987"/>
      <c r="S310" s="987"/>
      <c r="T310" s="987"/>
      <c r="U310" s="987"/>
      <c r="V310" s="987"/>
      <c r="W310" s="987"/>
      <c r="X310" s="987"/>
      <c r="Y310" s="987"/>
      <c r="Z310" s="987"/>
    </row>
    <row r="311">
      <c r="A311" s="987"/>
      <c r="B311" s="987"/>
      <c r="C311" s="987"/>
      <c r="D311" s="987"/>
      <c r="E311" s="987"/>
      <c r="F311" s="987"/>
      <c r="G311" s="987"/>
      <c r="H311" s="987"/>
      <c r="I311" s="987"/>
      <c r="J311" s="987"/>
      <c r="K311" s="987"/>
      <c r="L311" s="987"/>
      <c r="M311" s="987"/>
      <c r="N311" s="987"/>
      <c r="O311" s="987"/>
      <c r="P311" s="987"/>
      <c r="Q311" s="987"/>
      <c r="R311" s="987"/>
      <c r="S311" s="987"/>
      <c r="T311" s="987"/>
      <c r="U311" s="987"/>
      <c r="V311" s="987"/>
      <c r="W311" s="987"/>
      <c r="X311" s="987"/>
      <c r="Y311" s="987"/>
      <c r="Z311" s="987"/>
    </row>
    <row r="312">
      <c r="A312" s="987"/>
      <c r="B312" s="987"/>
      <c r="C312" s="987"/>
      <c r="D312" s="987"/>
      <c r="E312" s="987"/>
      <c r="F312" s="987"/>
      <c r="G312" s="987"/>
      <c r="H312" s="987"/>
      <c r="I312" s="987"/>
      <c r="J312" s="987"/>
      <c r="K312" s="987"/>
      <c r="L312" s="987"/>
      <c r="M312" s="987"/>
      <c r="N312" s="987"/>
      <c r="O312" s="987"/>
      <c r="P312" s="987"/>
      <c r="Q312" s="987"/>
      <c r="R312" s="987"/>
      <c r="S312" s="987"/>
      <c r="T312" s="987"/>
      <c r="U312" s="987"/>
      <c r="V312" s="987"/>
      <c r="W312" s="987"/>
      <c r="X312" s="987"/>
      <c r="Y312" s="987"/>
      <c r="Z312" s="987"/>
    </row>
    <row r="313">
      <c r="A313" s="987"/>
      <c r="B313" s="987"/>
      <c r="C313" s="987"/>
      <c r="D313" s="987"/>
      <c r="E313" s="987"/>
      <c r="F313" s="987"/>
      <c r="G313" s="987"/>
      <c r="H313" s="987"/>
      <c r="I313" s="987"/>
      <c r="J313" s="987"/>
      <c r="K313" s="987"/>
      <c r="L313" s="987"/>
      <c r="M313" s="987"/>
      <c r="N313" s="987"/>
      <c r="O313" s="987"/>
      <c r="P313" s="987"/>
      <c r="Q313" s="987"/>
      <c r="R313" s="987"/>
      <c r="S313" s="987"/>
      <c r="T313" s="987"/>
      <c r="U313" s="987"/>
      <c r="V313" s="987"/>
      <c r="W313" s="987"/>
      <c r="X313" s="987"/>
      <c r="Y313" s="987"/>
      <c r="Z313" s="987"/>
    </row>
    <row r="314">
      <c r="A314" s="987"/>
      <c r="B314" s="987"/>
      <c r="C314" s="987"/>
      <c r="D314" s="987"/>
      <c r="E314" s="987"/>
      <c r="F314" s="987"/>
      <c r="G314" s="987"/>
      <c r="H314" s="987"/>
      <c r="I314" s="987"/>
      <c r="J314" s="987"/>
      <c r="K314" s="987"/>
      <c r="L314" s="987"/>
      <c r="M314" s="987"/>
      <c r="N314" s="987"/>
      <c r="O314" s="987"/>
      <c r="P314" s="987"/>
      <c r="Q314" s="987"/>
      <c r="R314" s="987"/>
      <c r="S314" s="987"/>
      <c r="T314" s="987"/>
      <c r="U314" s="987"/>
      <c r="V314" s="987"/>
      <c r="W314" s="987"/>
      <c r="X314" s="987"/>
      <c r="Y314" s="987"/>
      <c r="Z314" s="987"/>
    </row>
    <row r="315">
      <c r="A315" s="987"/>
      <c r="B315" s="987"/>
      <c r="C315" s="987"/>
      <c r="D315" s="987"/>
      <c r="E315" s="987"/>
      <c r="F315" s="987"/>
      <c r="G315" s="987"/>
      <c r="H315" s="987"/>
      <c r="I315" s="987"/>
      <c r="J315" s="987"/>
      <c r="K315" s="987"/>
      <c r="L315" s="987"/>
      <c r="M315" s="987"/>
      <c r="N315" s="987"/>
      <c r="O315" s="987"/>
      <c r="P315" s="987"/>
      <c r="Q315" s="987"/>
      <c r="R315" s="987"/>
      <c r="S315" s="987"/>
      <c r="T315" s="987"/>
      <c r="U315" s="987"/>
      <c r="V315" s="987"/>
      <c r="W315" s="987"/>
      <c r="X315" s="987"/>
      <c r="Y315" s="987"/>
      <c r="Z315" s="987"/>
    </row>
    <row r="316">
      <c r="A316" s="987"/>
      <c r="B316" s="987"/>
      <c r="C316" s="987"/>
      <c r="D316" s="987"/>
      <c r="E316" s="987"/>
      <c r="F316" s="987"/>
      <c r="G316" s="987"/>
      <c r="H316" s="987"/>
      <c r="I316" s="987"/>
      <c r="J316" s="987"/>
      <c r="K316" s="987"/>
      <c r="L316" s="987"/>
      <c r="M316" s="987"/>
      <c r="N316" s="987"/>
      <c r="O316" s="987"/>
      <c r="P316" s="987"/>
      <c r="Q316" s="987"/>
      <c r="R316" s="987"/>
      <c r="S316" s="987"/>
      <c r="T316" s="987"/>
      <c r="U316" s="987"/>
      <c r="V316" s="987"/>
      <c r="W316" s="987"/>
      <c r="X316" s="987"/>
      <c r="Y316" s="987"/>
      <c r="Z316" s="987"/>
    </row>
    <row r="317">
      <c r="A317" s="987"/>
      <c r="B317" s="987"/>
      <c r="C317" s="987"/>
      <c r="D317" s="987"/>
      <c r="E317" s="987"/>
      <c r="F317" s="987"/>
      <c r="G317" s="987"/>
      <c r="H317" s="987"/>
      <c r="I317" s="987"/>
      <c r="J317" s="987"/>
      <c r="K317" s="987"/>
      <c r="L317" s="987"/>
      <c r="M317" s="987"/>
      <c r="N317" s="987"/>
      <c r="O317" s="987"/>
      <c r="P317" s="987"/>
      <c r="Q317" s="987"/>
      <c r="R317" s="987"/>
      <c r="S317" s="987"/>
      <c r="T317" s="987"/>
      <c r="U317" s="987"/>
      <c r="V317" s="987"/>
      <c r="W317" s="987"/>
      <c r="X317" s="987"/>
      <c r="Y317" s="987"/>
      <c r="Z317" s="987"/>
    </row>
    <row r="318">
      <c r="A318" s="987"/>
      <c r="B318" s="987"/>
      <c r="C318" s="987"/>
      <c r="D318" s="987"/>
      <c r="E318" s="987"/>
      <c r="F318" s="987"/>
      <c r="G318" s="987"/>
      <c r="H318" s="987"/>
      <c r="I318" s="987"/>
      <c r="J318" s="987"/>
      <c r="K318" s="987"/>
      <c r="L318" s="987"/>
      <c r="M318" s="987"/>
      <c r="N318" s="987"/>
      <c r="O318" s="987"/>
      <c r="P318" s="987"/>
      <c r="Q318" s="987"/>
      <c r="R318" s="987"/>
      <c r="S318" s="987"/>
      <c r="T318" s="987"/>
      <c r="U318" s="987"/>
      <c r="V318" s="987"/>
      <c r="W318" s="987"/>
      <c r="X318" s="987"/>
      <c r="Y318" s="987"/>
      <c r="Z318" s="987"/>
    </row>
    <row r="319">
      <c r="A319" s="987"/>
      <c r="B319" s="987"/>
      <c r="C319" s="987"/>
      <c r="D319" s="987"/>
      <c r="E319" s="987"/>
      <c r="F319" s="987"/>
      <c r="G319" s="987"/>
      <c r="H319" s="987"/>
      <c r="I319" s="987"/>
      <c r="J319" s="987"/>
      <c r="K319" s="987"/>
      <c r="L319" s="987"/>
      <c r="M319" s="987"/>
      <c r="N319" s="987"/>
      <c r="O319" s="987"/>
      <c r="P319" s="987"/>
      <c r="Q319" s="987"/>
      <c r="R319" s="987"/>
      <c r="S319" s="987"/>
      <c r="T319" s="987"/>
      <c r="U319" s="987"/>
      <c r="V319" s="987"/>
      <c r="W319" s="987"/>
      <c r="X319" s="987"/>
      <c r="Y319" s="987"/>
      <c r="Z319" s="987"/>
    </row>
    <row r="320">
      <c r="A320" s="987"/>
      <c r="B320" s="987"/>
      <c r="C320" s="987"/>
      <c r="D320" s="987"/>
      <c r="E320" s="987"/>
      <c r="F320" s="987"/>
      <c r="G320" s="987"/>
      <c r="H320" s="987"/>
      <c r="I320" s="987"/>
      <c r="J320" s="987"/>
      <c r="K320" s="987"/>
      <c r="L320" s="987"/>
      <c r="M320" s="987"/>
      <c r="N320" s="987"/>
      <c r="O320" s="987"/>
      <c r="P320" s="987"/>
      <c r="Q320" s="987"/>
      <c r="R320" s="987"/>
      <c r="S320" s="987"/>
      <c r="T320" s="987"/>
      <c r="U320" s="987"/>
      <c r="V320" s="987"/>
      <c r="W320" s="987"/>
      <c r="X320" s="987"/>
      <c r="Y320" s="987"/>
      <c r="Z320" s="987"/>
    </row>
    <row r="321">
      <c r="A321" s="987"/>
      <c r="B321" s="987"/>
      <c r="C321" s="987"/>
      <c r="D321" s="987"/>
      <c r="E321" s="987"/>
      <c r="F321" s="987"/>
      <c r="G321" s="987"/>
      <c r="H321" s="987"/>
      <c r="I321" s="987"/>
      <c r="J321" s="987"/>
      <c r="K321" s="987"/>
      <c r="L321" s="987"/>
      <c r="M321" s="987"/>
      <c r="N321" s="987"/>
      <c r="O321" s="987"/>
      <c r="P321" s="987"/>
      <c r="Q321" s="987"/>
      <c r="R321" s="987"/>
      <c r="S321" s="987"/>
      <c r="T321" s="987"/>
      <c r="U321" s="987"/>
      <c r="V321" s="987"/>
      <c r="W321" s="987"/>
      <c r="X321" s="987"/>
      <c r="Y321" s="987"/>
      <c r="Z321" s="987"/>
    </row>
    <row r="322">
      <c r="A322" s="987"/>
      <c r="B322" s="987"/>
      <c r="C322" s="987"/>
      <c r="D322" s="987"/>
      <c r="E322" s="987"/>
      <c r="F322" s="987"/>
      <c r="G322" s="987"/>
      <c r="H322" s="987"/>
      <c r="I322" s="987"/>
      <c r="J322" s="987"/>
      <c r="K322" s="987"/>
      <c r="L322" s="987"/>
      <c r="M322" s="987"/>
      <c r="N322" s="987"/>
      <c r="O322" s="987"/>
      <c r="P322" s="987"/>
      <c r="Q322" s="987"/>
      <c r="R322" s="987"/>
      <c r="S322" s="987"/>
      <c r="T322" s="987"/>
      <c r="U322" s="987"/>
      <c r="V322" s="987"/>
      <c r="W322" s="987"/>
      <c r="X322" s="987"/>
      <c r="Y322" s="987"/>
      <c r="Z322" s="987"/>
    </row>
    <row r="323">
      <c r="A323" s="987"/>
      <c r="B323" s="987"/>
      <c r="C323" s="987"/>
      <c r="D323" s="987"/>
      <c r="E323" s="987"/>
      <c r="F323" s="987"/>
      <c r="G323" s="987"/>
      <c r="H323" s="987"/>
      <c r="I323" s="987"/>
      <c r="J323" s="987"/>
      <c r="K323" s="987"/>
      <c r="L323" s="987"/>
      <c r="M323" s="987"/>
      <c r="N323" s="987"/>
      <c r="O323" s="987"/>
      <c r="P323" s="987"/>
      <c r="Q323" s="987"/>
      <c r="R323" s="987"/>
      <c r="S323" s="987"/>
      <c r="T323" s="987"/>
      <c r="U323" s="987"/>
      <c r="V323" s="987"/>
      <c r="W323" s="987"/>
      <c r="X323" s="987"/>
      <c r="Y323" s="987"/>
      <c r="Z323" s="987"/>
    </row>
    <row r="324">
      <c r="A324" s="987"/>
      <c r="B324" s="987"/>
      <c r="C324" s="987"/>
      <c r="D324" s="987"/>
      <c r="E324" s="987"/>
      <c r="F324" s="987"/>
      <c r="G324" s="987"/>
      <c r="H324" s="987"/>
      <c r="I324" s="987"/>
      <c r="J324" s="987"/>
      <c r="K324" s="987"/>
      <c r="L324" s="987"/>
      <c r="M324" s="987"/>
      <c r="N324" s="987"/>
      <c r="O324" s="987"/>
      <c r="P324" s="987"/>
      <c r="Q324" s="987"/>
      <c r="R324" s="987"/>
      <c r="S324" s="987"/>
      <c r="T324" s="987"/>
      <c r="U324" s="987"/>
      <c r="V324" s="987"/>
      <c r="W324" s="987"/>
      <c r="X324" s="987"/>
      <c r="Y324" s="987"/>
      <c r="Z324" s="987"/>
    </row>
    <row r="325">
      <c r="A325" s="987"/>
      <c r="B325" s="987"/>
      <c r="C325" s="987"/>
      <c r="D325" s="987"/>
      <c r="E325" s="987"/>
      <c r="F325" s="987"/>
      <c r="G325" s="987"/>
      <c r="H325" s="987"/>
      <c r="I325" s="987"/>
      <c r="J325" s="987"/>
      <c r="K325" s="987"/>
      <c r="L325" s="987"/>
      <c r="M325" s="987"/>
      <c r="N325" s="987"/>
      <c r="O325" s="987"/>
      <c r="P325" s="987"/>
      <c r="Q325" s="987"/>
      <c r="R325" s="987"/>
      <c r="S325" s="987"/>
      <c r="T325" s="987"/>
      <c r="U325" s="987"/>
      <c r="V325" s="987"/>
      <c r="W325" s="987"/>
      <c r="X325" s="987"/>
      <c r="Y325" s="987"/>
      <c r="Z325" s="987"/>
    </row>
    <row r="326">
      <c r="A326" s="987"/>
      <c r="B326" s="987"/>
      <c r="C326" s="987"/>
      <c r="D326" s="987"/>
      <c r="E326" s="987"/>
      <c r="F326" s="987"/>
      <c r="G326" s="987"/>
      <c r="H326" s="987"/>
      <c r="I326" s="987"/>
      <c r="J326" s="987"/>
      <c r="K326" s="987"/>
      <c r="L326" s="987"/>
      <c r="M326" s="987"/>
      <c r="N326" s="987"/>
      <c r="O326" s="987"/>
      <c r="P326" s="987"/>
      <c r="Q326" s="987"/>
      <c r="R326" s="987"/>
      <c r="S326" s="987"/>
      <c r="T326" s="987"/>
      <c r="U326" s="987"/>
      <c r="V326" s="987"/>
      <c r="W326" s="987"/>
      <c r="X326" s="987"/>
      <c r="Y326" s="987"/>
      <c r="Z326" s="987"/>
    </row>
    <row r="327">
      <c r="A327" s="987"/>
      <c r="B327" s="987"/>
      <c r="C327" s="987"/>
      <c r="D327" s="987"/>
      <c r="E327" s="987"/>
      <c r="F327" s="987"/>
      <c r="G327" s="987"/>
      <c r="H327" s="987"/>
      <c r="I327" s="987"/>
      <c r="J327" s="987"/>
      <c r="K327" s="987"/>
      <c r="L327" s="987"/>
      <c r="M327" s="987"/>
      <c r="N327" s="987"/>
      <c r="O327" s="987"/>
      <c r="P327" s="987"/>
      <c r="Q327" s="987"/>
      <c r="R327" s="987"/>
      <c r="S327" s="987"/>
      <c r="T327" s="987"/>
      <c r="U327" s="987"/>
      <c r="V327" s="987"/>
      <c r="W327" s="987"/>
      <c r="X327" s="987"/>
      <c r="Y327" s="987"/>
      <c r="Z327" s="987"/>
    </row>
    <row r="328">
      <c r="A328" s="987"/>
      <c r="B328" s="987"/>
      <c r="C328" s="987"/>
      <c r="D328" s="987"/>
      <c r="E328" s="987"/>
      <c r="F328" s="987"/>
      <c r="G328" s="987"/>
      <c r="H328" s="987"/>
      <c r="I328" s="987"/>
      <c r="J328" s="987"/>
      <c r="K328" s="987"/>
      <c r="L328" s="987"/>
      <c r="M328" s="987"/>
      <c r="N328" s="987"/>
      <c r="O328" s="987"/>
      <c r="P328" s="987"/>
      <c r="Q328" s="987"/>
      <c r="R328" s="987"/>
      <c r="S328" s="987"/>
      <c r="T328" s="987"/>
      <c r="U328" s="987"/>
      <c r="V328" s="987"/>
      <c r="W328" s="987"/>
      <c r="X328" s="987"/>
      <c r="Y328" s="987"/>
      <c r="Z328" s="987"/>
    </row>
    <row r="329">
      <c r="A329" s="987"/>
      <c r="B329" s="987"/>
      <c r="C329" s="987"/>
      <c r="D329" s="987"/>
      <c r="E329" s="987"/>
      <c r="F329" s="987"/>
      <c r="G329" s="987"/>
      <c r="H329" s="987"/>
      <c r="I329" s="987"/>
      <c r="J329" s="987"/>
      <c r="K329" s="987"/>
      <c r="L329" s="987"/>
      <c r="M329" s="987"/>
      <c r="N329" s="987"/>
      <c r="O329" s="987"/>
      <c r="P329" s="987"/>
      <c r="Q329" s="987"/>
      <c r="R329" s="987"/>
      <c r="S329" s="987"/>
      <c r="T329" s="987"/>
      <c r="U329" s="987"/>
      <c r="V329" s="987"/>
      <c r="W329" s="987"/>
      <c r="X329" s="987"/>
      <c r="Y329" s="987"/>
      <c r="Z329" s="987"/>
    </row>
    <row r="330">
      <c r="A330" s="987"/>
      <c r="B330" s="987"/>
      <c r="C330" s="987"/>
      <c r="D330" s="987"/>
      <c r="E330" s="987"/>
      <c r="F330" s="987"/>
      <c r="G330" s="987"/>
      <c r="H330" s="987"/>
      <c r="I330" s="987"/>
      <c r="J330" s="987"/>
      <c r="K330" s="987"/>
      <c r="L330" s="987"/>
      <c r="M330" s="987"/>
      <c r="N330" s="987"/>
      <c r="O330" s="987"/>
      <c r="P330" s="987"/>
      <c r="Q330" s="987"/>
      <c r="R330" s="987"/>
      <c r="S330" s="987"/>
      <c r="T330" s="987"/>
      <c r="U330" s="987"/>
      <c r="V330" s="987"/>
      <c r="W330" s="987"/>
      <c r="X330" s="987"/>
      <c r="Y330" s="987"/>
      <c r="Z330" s="987"/>
    </row>
    <row r="331">
      <c r="A331" s="987"/>
      <c r="B331" s="987"/>
      <c r="C331" s="987"/>
      <c r="D331" s="987"/>
      <c r="E331" s="987"/>
      <c r="F331" s="987"/>
      <c r="G331" s="987"/>
      <c r="H331" s="987"/>
      <c r="I331" s="987"/>
      <c r="J331" s="987"/>
      <c r="K331" s="987"/>
      <c r="L331" s="987"/>
      <c r="M331" s="987"/>
      <c r="N331" s="987"/>
      <c r="O331" s="987"/>
      <c r="P331" s="987"/>
      <c r="Q331" s="987"/>
      <c r="R331" s="987"/>
      <c r="S331" s="987"/>
      <c r="T331" s="987"/>
      <c r="U331" s="987"/>
      <c r="V331" s="987"/>
      <c r="W331" s="987"/>
      <c r="X331" s="987"/>
      <c r="Y331" s="987"/>
      <c r="Z331" s="987"/>
    </row>
    <row r="332">
      <c r="A332" s="987"/>
      <c r="B332" s="987"/>
      <c r="C332" s="987"/>
      <c r="D332" s="987"/>
      <c r="E332" s="987"/>
      <c r="F332" s="987"/>
      <c r="G332" s="987"/>
      <c r="H332" s="987"/>
      <c r="I332" s="987"/>
      <c r="J332" s="987"/>
      <c r="K332" s="987"/>
      <c r="L332" s="987"/>
      <c r="M332" s="987"/>
      <c r="N332" s="987"/>
      <c r="O332" s="987"/>
      <c r="P332" s="987"/>
      <c r="Q332" s="987"/>
      <c r="R332" s="987"/>
      <c r="S332" s="987"/>
      <c r="T332" s="987"/>
      <c r="U332" s="987"/>
      <c r="V332" s="987"/>
      <c r="W332" s="987"/>
      <c r="X332" s="987"/>
      <c r="Y332" s="987"/>
      <c r="Z332" s="987"/>
    </row>
    <row r="333">
      <c r="A333" s="987"/>
      <c r="B333" s="987"/>
      <c r="C333" s="987"/>
      <c r="D333" s="987"/>
      <c r="E333" s="987"/>
      <c r="F333" s="987"/>
      <c r="G333" s="987"/>
      <c r="H333" s="987"/>
      <c r="I333" s="987"/>
      <c r="J333" s="987"/>
      <c r="K333" s="987"/>
      <c r="L333" s="987"/>
      <c r="M333" s="987"/>
      <c r="N333" s="987"/>
      <c r="O333" s="987"/>
      <c r="P333" s="987"/>
      <c r="Q333" s="987"/>
      <c r="R333" s="987"/>
      <c r="S333" s="987"/>
      <c r="T333" s="987"/>
      <c r="U333" s="987"/>
      <c r="V333" s="987"/>
      <c r="W333" s="987"/>
      <c r="X333" s="987"/>
      <c r="Y333" s="987"/>
      <c r="Z333" s="987"/>
    </row>
    <row r="334">
      <c r="A334" s="987"/>
      <c r="B334" s="987"/>
      <c r="C334" s="987"/>
      <c r="D334" s="987"/>
      <c r="E334" s="987"/>
      <c r="F334" s="987"/>
      <c r="G334" s="987"/>
      <c r="H334" s="987"/>
      <c r="I334" s="987"/>
      <c r="J334" s="987"/>
      <c r="K334" s="987"/>
      <c r="L334" s="987"/>
      <c r="M334" s="987"/>
      <c r="N334" s="987"/>
      <c r="O334" s="987"/>
      <c r="P334" s="987"/>
      <c r="Q334" s="987"/>
      <c r="R334" s="987"/>
      <c r="S334" s="987"/>
      <c r="T334" s="987"/>
      <c r="U334" s="987"/>
      <c r="V334" s="987"/>
      <c r="W334" s="987"/>
      <c r="X334" s="987"/>
      <c r="Y334" s="987"/>
      <c r="Z334" s="987"/>
    </row>
    <row r="335">
      <c r="A335" s="987"/>
      <c r="B335" s="987"/>
      <c r="C335" s="987"/>
      <c r="D335" s="987"/>
      <c r="E335" s="987"/>
      <c r="F335" s="987"/>
      <c r="G335" s="987"/>
      <c r="H335" s="987"/>
      <c r="I335" s="987"/>
      <c r="J335" s="987"/>
      <c r="K335" s="987"/>
      <c r="L335" s="987"/>
      <c r="M335" s="987"/>
      <c r="N335" s="987"/>
      <c r="O335" s="987"/>
      <c r="P335" s="987"/>
      <c r="Q335" s="987"/>
      <c r="R335" s="987"/>
      <c r="S335" s="987"/>
      <c r="T335" s="987"/>
      <c r="U335" s="987"/>
      <c r="V335" s="987"/>
      <c r="W335" s="987"/>
      <c r="X335" s="987"/>
      <c r="Y335" s="987"/>
      <c r="Z335" s="987"/>
    </row>
    <row r="336">
      <c r="A336" s="987"/>
      <c r="B336" s="987"/>
      <c r="C336" s="987"/>
      <c r="D336" s="987"/>
      <c r="E336" s="987"/>
      <c r="F336" s="987"/>
      <c r="G336" s="987"/>
      <c r="H336" s="987"/>
      <c r="I336" s="987"/>
      <c r="J336" s="987"/>
      <c r="K336" s="987"/>
      <c r="L336" s="987"/>
      <c r="M336" s="987"/>
      <c r="N336" s="987"/>
      <c r="O336" s="987"/>
      <c r="P336" s="987"/>
      <c r="Q336" s="987"/>
      <c r="R336" s="987"/>
      <c r="S336" s="987"/>
      <c r="T336" s="987"/>
      <c r="U336" s="987"/>
      <c r="V336" s="987"/>
      <c r="W336" s="987"/>
      <c r="X336" s="987"/>
      <c r="Y336" s="987"/>
      <c r="Z336" s="987"/>
    </row>
    <row r="337">
      <c r="A337" s="987"/>
      <c r="B337" s="987"/>
      <c r="C337" s="987"/>
      <c r="D337" s="987"/>
      <c r="E337" s="987"/>
      <c r="F337" s="987"/>
      <c r="G337" s="987"/>
      <c r="H337" s="987"/>
      <c r="I337" s="987"/>
      <c r="J337" s="987"/>
      <c r="K337" s="987"/>
      <c r="L337" s="987"/>
      <c r="M337" s="987"/>
      <c r="N337" s="987"/>
      <c r="O337" s="987"/>
      <c r="P337" s="987"/>
      <c r="Q337" s="987"/>
      <c r="R337" s="987"/>
      <c r="S337" s="987"/>
      <c r="T337" s="987"/>
      <c r="U337" s="987"/>
      <c r="V337" s="987"/>
      <c r="W337" s="987"/>
      <c r="X337" s="987"/>
      <c r="Y337" s="987"/>
      <c r="Z337" s="987"/>
    </row>
    <row r="338">
      <c r="A338" s="987"/>
      <c r="B338" s="987"/>
      <c r="C338" s="987"/>
      <c r="D338" s="987"/>
      <c r="E338" s="987"/>
      <c r="F338" s="987"/>
      <c r="G338" s="987"/>
      <c r="H338" s="987"/>
      <c r="I338" s="987"/>
      <c r="J338" s="987"/>
      <c r="K338" s="987"/>
      <c r="L338" s="987"/>
      <c r="M338" s="987"/>
      <c r="N338" s="987"/>
      <c r="O338" s="987"/>
      <c r="P338" s="987"/>
      <c r="Q338" s="987"/>
      <c r="R338" s="987"/>
      <c r="S338" s="987"/>
      <c r="T338" s="987"/>
      <c r="U338" s="987"/>
      <c r="V338" s="987"/>
      <c r="W338" s="987"/>
      <c r="X338" s="987"/>
      <c r="Y338" s="987"/>
      <c r="Z338" s="987"/>
    </row>
    <row r="339">
      <c r="A339" s="987"/>
      <c r="B339" s="987"/>
      <c r="C339" s="987"/>
      <c r="D339" s="987"/>
      <c r="E339" s="987"/>
      <c r="F339" s="987"/>
      <c r="G339" s="987"/>
      <c r="H339" s="987"/>
      <c r="I339" s="987"/>
      <c r="J339" s="987"/>
      <c r="K339" s="987"/>
      <c r="L339" s="987"/>
      <c r="M339" s="987"/>
      <c r="N339" s="987"/>
      <c r="O339" s="987"/>
      <c r="P339" s="987"/>
      <c r="Q339" s="987"/>
      <c r="R339" s="987"/>
      <c r="S339" s="987"/>
      <c r="T339" s="987"/>
      <c r="U339" s="987"/>
      <c r="V339" s="987"/>
      <c r="W339" s="987"/>
      <c r="X339" s="987"/>
      <c r="Y339" s="987"/>
      <c r="Z339" s="987"/>
    </row>
    <row r="340">
      <c r="A340" s="987"/>
      <c r="B340" s="987"/>
      <c r="C340" s="987"/>
      <c r="D340" s="987"/>
      <c r="E340" s="987"/>
      <c r="F340" s="987"/>
      <c r="G340" s="987"/>
      <c r="H340" s="987"/>
      <c r="I340" s="987"/>
      <c r="J340" s="987"/>
      <c r="K340" s="987"/>
      <c r="L340" s="987"/>
      <c r="M340" s="987"/>
      <c r="N340" s="987"/>
      <c r="O340" s="987"/>
      <c r="P340" s="987"/>
      <c r="Q340" s="987"/>
      <c r="R340" s="987"/>
      <c r="S340" s="987"/>
      <c r="T340" s="987"/>
      <c r="U340" s="987"/>
      <c r="V340" s="987"/>
      <c r="W340" s="987"/>
      <c r="X340" s="987"/>
      <c r="Y340" s="987"/>
      <c r="Z340" s="987"/>
    </row>
    <row r="341">
      <c r="A341" s="987"/>
      <c r="B341" s="987"/>
      <c r="C341" s="987"/>
      <c r="D341" s="987"/>
      <c r="E341" s="987"/>
      <c r="F341" s="987"/>
      <c r="G341" s="987"/>
      <c r="H341" s="987"/>
      <c r="I341" s="987"/>
      <c r="J341" s="987"/>
      <c r="K341" s="987"/>
      <c r="L341" s="987"/>
      <c r="M341" s="987"/>
      <c r="N341" s="987"/>
      <c r="O341" s="987"/>
      <c r="P341" s="987"/>
      <c r="Q341" s="987"/>
      <c r="R341" s="987"/>
      <c r="S341" s="987"/>
      <c r="T341" s="987"/>
      <c r="U341" s="987"/>
      <c r="V341" s="987"/>
      <c r="W341" s="987"/>
      <c r="X341" s="987"/>
      <c r="Y341" s="987"/>
      <c r="Z341" s="987"/>
    </row>
    <row r="342">
      <c r="A342" s="987"/>
      <c r="B342" s="987"/>
      <c r="C342" s="987"/>
      <c r="D342" s="987"/>
      <c r="E342" s="987"/>
      <c r="F342" s="987"/>
      <c r="G342" s="987"/>
      <c r="H342" s="987"/>
      <c r="I342" s="987"/>
      <c r="J342" s="987"/>
      <c r="K342" s="987"/>
      <c r="L342" s="987"/>
      <c r="M342" s="987"/>
      <c r="N342" s="987"/>
      <c r="O342" s="987"/>
      <c r="P342" s="987"/>
      <c r="Q342" s="987"/>
      <c r="R342" s="987"/>
      <c r="S342" s="987"/>
      <c r="T342" s="987"/>
      <c r="U342" s="987"/>
      <c r="V342" s="987"/>
      <c r="W342" s="987"/>
      <c r="X342" s="987"/>
      <c r="Y342" s="987"/>
      <c r="Z342" s="987"/>
    </row>
    <row r="343">
      <c r="A343" s="987"/>
      <c r="B343" s="987"/>
      <c r="C343" s="987"/>
      <c r="D343" s="987"/>
      <c r="E343" s="987"/>
      <c r="F343" s="987"/>
      <c r="G343" s="987"/>
      <c r="H343" s="987"/>
      <c r="I343" s="987"/>
      <c r="J343" s="987"/>
      <c r="K343" s="987"/>
      <c r="L343" s="987"/>
      <c r="M343" s="987"/>
      <c r="N343" s="987"/>
      <c r="O343" s="987"/>
      <c r="P343" s="987"/>
      <c r="Q343" s="987"/>
      <c r="R343" s="987"/>
      <c r="S343" s="987"/>
      <c r="T343" s="987"/>
      <c r="U343" s="987"/>
      <c r="V343" s="987"/>
      <c r="W343" s="987"/>
      <c r="X343" s="987"/>
      <c r="Y343" s="987"/>
      <c r="Z343" s="987"/>
    </row>
    <row r="344">
      <c r="A344" s="987"/>
      <c r="B344" s="987"/>
      <c r="C344" s="987"/>
      <c r="D344" s="987"/>
      <c r="E344" s="987"/>
      <c r="F344" s="987"/>
      <c r="G344" s="987"/>
      <c r="H344" s="987"/>
      <c r="I344" s="987"/>
      <c r="J344" s="987"/>
      <c r="K344" s="987"/>
      <c r="L344" s="987"/>
      <c r="M344" s="987"/>
      <c r="N344" s="987"/>
      <c r="O344" s="987"/>
      <c r="P344" s="987"/>
      <c r="Q344" s="987"/>
      <c r="R344" s="987"/>
      <c r="S344" s="987"/>
      <c r="T344" s="987"/>
      <c r="U344" s="987"/>
      <c r="V344" s="987"/>
      <c r="W344" s="987"/>
      <c r="X344" s="987"/>
      <c r="Y344" s="987"/>
      <c r="Z344" s="987"/>
    </row>
    <row r="345">
      <c r="A345" s="987"/>
      <c r="B345" s="987"/>
      <c r="C345" s="987"/>
      <c r="D345" s="987"/>
      <c r="E345" s="987"/>
      <c r="F345" s="987"/>
      <c r="G345" s="987"/>
      <c r="H345" s="987"/>
      <c r="I345" s="987"/>
      <c r="J345" s="987"/>
      <c r="K345" s="987"/>
      <c r="L345" s="987"/>
      <c r="M345" s="987"/>
      <c r="N345" s="987"/>
      <c r="O345" s="987"/>
      <c r="P345" s="987"/>
      <c r="Q345" s="987"/>
      <c r="R345" s="987"/>
      <c r="S345" s="987"/>
      <c r="T345" s="987"/>
      <c r="U345" s="987"/>
      <c r="V345" s="987"/>
      <c r="W345" s="987"/>
      <c r="X345" s="987"/>
      <c r="Y345" s="987"/>
      <c r="Z345" s="987"/>
    </row>
    <row r="346">
      <c r="A346" s="987"/>
      <c r="B346" s="987"/>
      <c r="C346" s="987"/>
      <c r="D346" s="987"/>
      <c r="E346" s="987"/>
      <c r="F346" s="987"/>
      <c r="G346" s="987"/>
      <c r="H346" s="987"/>
      <c r="I346" s="987"/>
      <c r="J346" s="987"/>
      <c r="K346" s="987"/>
      <c r="L346" s="987"/>
      <c r="M346" s="987"/>
      <c r="N346" s="987"/>
      <c r="O346" s="987"/>
      <c r="P346" s="987"/>
      <c r="Q346" s="987"/>
      <c r="R346" s="987"/>
      <c r="S346" s="987"/>
      <c r="T346" s="987"/>
      <c r="U346" s="987"/>
      <c r="V346" s="987"/>
      <c r="W346" s="987"/>
      <c r="X346" s="987"/>
      <c r="Y346" s="987"/>
      <c r="Z346" s="987"/>
    </row>
    <row r="347">
      <c r="A347" s="987"/>
      <c r="B347" s="987"/>
      <c r="C347" s="987"/>
      <c r="D347" s="987"/>
      <c r="E347" s="987"/>
      <c r="F347" s="987"/>
      <c r="G347" s="987"/>
      <c r="H347" s="987"/>
      <c r="I347" s="987"/>
      <c r="J347" s="987"/>
      <c r="K347" s="987"/>
      <c r="L347" s="987"/>
      <c r="M347" s="987"/>
      <c r="N347" s="987"/>
      <c r="O347" s="987"/>
      <c r="P347" s="987"/>
      <c r="Q347" s="987"/>
      <c r="R347" s="987"/>
      <c r="S347" s="987"/>
      <c r="T347" s="987"/>
      <c r="U347" s="987"/>
      <c r="V347" s="987"/>
      <c r="W347" s="987"/>
      <c r="X347" s="987"/>
      <c r="Y347" s="987"/>
      <c r="Z347" s="987"/>
    </row>
    <row r="348">
      <c r="A348" s="987"/>
      <c r="B348" s="987"/>
      <c r="C348" s="987"/>
      <c r="D348" s="987"/>
      <c r="E348" s="987"/>
      <c r="F348" s="987"/>
      <c r="G348" s="987"/>
      <c r="H348" s="987"/>
      <c r="I348" s="987"/>
      <c r="J348" s="987"/>
      <c r="K348" s="987"/>
      <c r="L348" s="987"/>
      <c r="M348" s="987"/>
      <c r="N348" s="987"/>
      <c r="O348" s="987"/>
      <c r="P348" s="987"/>
      <c r="Q348" s="987"/>
      <c r="R348" s="987"/>
      <c r="S348" s="987"/>
      <c r="T348" s="987"/>
      <c r="U348" s="987"/>
      <c r="V348" s="987"/>
      <c r="W348" s="987"/>
      <c r="X348" s="987"/>
      <c r="Y348" s="987"/>
      <c r="Z348" s="987"/>
    </row>
    <row r="349">
      <c r="A349" s="987"/>
      <c r="B349" s="987"/>
      <c r="C349" s="987"/>
      <c r="D349" s="987"/>
      <c r="E349" s="987"/>
      <c r="F349" s="987"/>
      <c r="G349" s="987"/>
      <c r="H349" s="987"/>
      <c r="I349" s="987"/>
      <c r="J349" s="987"/>
      <c r="K349" s="987"/>
      <c r="L349" s="987"/>
      <c r="M349" s="987"/>
      <c r="N349" s="987"/>
      <c r="O349" s="987"/>
      <c r="P349" s="987"/>
      <c r="Q349" s="987"/>
      <c r="R349" s="987"/>
      <c r="S349" s="987"/>
      <c r="T349" s="987"/>
      <c r="U349" s="987"/>
      <c r="V349" s="987"/>
      <c r="W349" s="987"/>
      <c r="X349" s="987"/>
      <c r="Y349" s="987"/>
      <c r="Z349" s="987"/>
    </row>
    <row r="350">
      <c r="A350" s="987"/>
      <c r="B350" s="987"/>
      <c r="C350" s="987"/>
      <c r="D350" s="987"/>
      <c r="E350" s="987"/>
      <c r="F350" s="987"/>
      <c r="G350" s="987"/>
      <c r="H350" s="987"/>
      <c r="I350" s="987"/>
      <c r="J350" s="987"/>
      <c r="K350" s="987"/>
      <c r="L350" s="987"/>
      <c r="M350" s="987"/>
      <c r="N350" s="987"/>
      <c r="O350" s="987"/>
      <c r="P350" s="987"/>
      <c r="Q350" s="987"/>
      <c r="R350" s="987"/>
      <c r="S350" s="987"/>
      <c r="T350" s="987"/>
      <c r="U350" s="987"/>
      <c r="V350" s="987"/>
      <c r="W350" s="987"/>
      <c r="X350" s="987"/>
      <c r="Y350" s="987"/>
      <c r="Z350" s="987"/>
    </row>
    <row r="351">
      <c r="A351" s="987"/>
      <c r="B351" s="987"/>
      <c r="C351" s="987"/>
      <c r="D351" s="987"/>
      <c r="E351" s="987"/>
      <c r="F351" s="987"/>
      <c r="G351" s="987"/>
      <c r="H351" s="987"/>
      <c r="I351" s="987"/>
      <c r="J351" s="987"/>
      <c r="K351" s="987"/>
      <c r="L351" s="987"/>
      <c r="M351" s="987"/>
      <c r="N351" s="987"/>
      <c r="O351" s="987"/>
      <c r="P351" s="987"/>
      <c r="Q351" s="987"/>
      <c r="R351" s="987"/>
      <c r="S351" s="987"/>
      <c r="T351" s="987"/>
      <c r="U351" s="987"/>
      <c r="V351" s="987"/>
      <c r="W351" s="987"/>
      <c r="X351" s="987"/>
      <c r="Y351" s="987"/>
      <c r="Z351" s="987"/>
    </row>
    <row r="352">
      <c r="A352" s="987"/>
      <c r="B352" s="987"/>
      <c r="C352" s="987"/>
      <c r="D352" s="987"/>
      <c r="E352" s="987"/>
      <c r="F352" s="987"/>
      <c r="G352" s="987"/>
      <c r="H352" s="987"/>
      <c r="I352" s="987"/>
      <c r="J352" s="987"/>
      <c r="K352" s="987"/>
      <c r="L352" s="987"/>
      <c r="M352" s="987"/>
      <c r="N352" s="987"/>
      <c r="O352" s="987"/>
      <c r="P352" s="987"/>
      <c r="Q352" s="987"/>
      <c r="R352" s="987"/>
      <c r="S352" s="987"/>
      <c r="T352" s="987"/>
      <c r="U352" s="987"/>
      <c r="V352" s="987"/>
      <c r="W352" s="987"/>
      <c r="X352" s="987"/>
      <c r="Y352" s="987"/>
      <c r="Z352" s="987"/>
    </row>
    <row r="353">
      <c r="A353" s="987"/>
      <c r="B353" s="987"/>
      <c r="C353" s="987"/>
      <c r="D353" s="987"/>
      <c r="E353" s="987"/>
      <c r="F353" s="987"/>
      <c r="G353" s="987"/>
      <c r="H353" s="987"/>
      <c r="I353" s="987"/>
      <c r="J353" s="987"/>
      <c r="K353" s="987"/>
      <c r="L353" s="987"/>
      <c r="M353" s="987"/>
      <c r="N353" s="987"/>
      <c r="O353" s="987"/>
      <c r="P353" s="987"/>
      <c r="Q353" s="987"/>
      <c r="R353" s="987"/>
      <c r="S353" s="987"/>
      <c r="T353" s="987"/>
      <c r="U353" s="987"/>
      <c r="V353" s="987"/>
      <c r="W353" s="987"/>
      <c r="X353" s="987"/>
      <c r="Y353" s="987"/>
      <c r="Z353" s="987"/>
    </row>
    <row r="354">
      <c r="A354" s="987"/>
      <c r="B354" s="987"/>
      <c r="C354" s="987"/>
      <c r="D354" s="987"/>
      <c r="E354" s="987"/>
      <c r="F354" s="987"/>
      <c r="G354" s="987"/>
      <c r="H354" s="987"/>
      <c r="I354" s="987"/>
      <c r="J354" s="987"/>
      <c r="K354" s="987"/>
      <c r="L354" s="987"/>
      <c r="M354" s="987"/>
      <c r="N354" s="987"/>
      <c r="O354" s="987"/>
      <c r="P354" s="987"/>
      <c r="Q354" s="987"/>
      <c r="R354" s="987"/>
      <c r="S354" s="987"/>
      <c r="T354" s="987"/>
      <c r="U354" s="987"/>
      <c r="V354" s="987"/>
      <c r="W354" s="987"/>
      <c r="X354" s="987"/>
      <c r="Y354" s="987"/>
      <c r="Z354" s="987"/>
    </row>
    <row r="355">
      <c r="A355" s="987"/>
      <c r="B355" s="987"/>
      <c r="C355" s="987"/>
      <c r="D355" s="987"/>
      <c r="E355" s="987"/>
      <c r="F355" s="987"/>
      <c r="G355" s="987"/>
      <c r="H355" s="987"/>
      <c r="I355" s="987"/>
      <c r="J355" s="987"/>
      <c r="K355" s="987"/>
      <c r="L355" s="987"/>
      <c r="M355" s="987"/>
      <c r="N355" s="987"/>
      <c r="O355" s="987"/>
      <c r="P355" s="987"/>
      <c r="Q355" s="987"/>
      <c r="R355" s="987"/>
      <c r="S355" s="987"/>
      <c r="T355" s="987"/>
      <c r="U355" s="987"/>
      <c r="V355" s="987"/>
      <c r="W355" s="987"/>
      <c r="X355" s="987"/>
      <c r="Y355" s="987"/>
      <c r="Z355" s="987"/>
    </row>
    <row r="356">
      <c r="A356" s="987"/>
      <c r="B356" s="987"/>
      <c r="C356" s="987"/>
      <c r="D356" s="987"/>
      <c r="E356" s="987"/>
      <c r="F356" s="987"/>
      <c r="G356" s="987"/>
      <c r="H356" s="987"/>
      <c r="I356" s="987"/>
      <c r="J356" s="987"/>
      <c r="K356" s="987"/>
      <c r="L356" s="987"/>
      <c r="M356" s="987"/>
      <c r="N356" s="987"/>
      <c r="O356" s="987"/>
      <c r="P356" s="987"/>
      <c r="Q356" s="987"/>
      <c r="R356" s="987"/>
      <c r="S356" s="987"/>
      <c r="T356" s="987"/>
      <c r="U356" s="987"/>
      <c r="V356" s="987"/>
      <c r="W356" s="987"/>
      <c r="X356" s="987"/>
      <c r="Y356" s="987"/>
      <c r="Z356" s="987"/>
    </row>
    <row r="357">
      <c r="A357" s="987"/>
      <c r="B357" s="987"/>
      <c r="C357" s="987"/>
      <c r="D357" s="987"/>
      <c r="E357" s="987"/>
      <c r="F357" s="987"/>
      <c r="G357" s="987"/>
      <c r="H357" s="987"/>
      <c r="I357" s="987"/>
      <c r="J357" s="987"/>
      <c r="K357" s="987"/>
      <c r="L357" s="987"/>
      <c r="M357" s="987"/>
      <c r="N357" s="987"/>
      <c r="O357" s="987"/>
      <c r="P357" s="987"/>
      <c r="Q357" s="987"/>
      <c r="R357" s="987"/>
      <c r="S357" s="987"/>
      <c r="T357" s="987"/>
      <c r="U357" s="987"/>
      <c r="V357" s="987"/>
      <c r="W357" s="987"/>
      <c r="X357" s="987"/>
      <c r="Y357" s="987"/>
      <c r="Z357" s="987"/>
    </row>
    <row r="358">
      <c r="A358" s="987"/>
      <c r="B358" s="987"/>
      <c r="C358" s="987"/>
      <c r="D358" s="987"/>
      <c r="E358" s="987"/>
      <c r="F358" s="987"/>
      <c r="G358" s="987"/>
      <c r="H358" s="987"/>
      <c r="I358" s="987"/>
      <c r="J358" s="987"/>
      <c r="K358" s="987"/>
      <c r="L358" s="987"/>
      <c r="M358" s="987"/>
      <c r="N358" s="987"/>
      <c r="O358" s="987"/>
      <c r="P358" s="987"/>
      <c r="Q358" s="987"/>
      <c r="R358" s="987"/>
      <c r="S358" s="987"/>
      <c r="T358" s="987"/>
      <c r="U358" s="987"/>
      <c r="V358" s="987"/>
      <c r="W358" s="987"/>
      <c r="X358" s="987"/>
      <c r="Y358" s="987"/>
      <c r="Z358" s="987"/>
    </row>
    <row r="359">
      <c r="A359" s="987"/>
      <c r="B359" s="987"/>
      <c r="C359" s="987"/>
      <c r="D359" s="987"/>
      <c r="E359" s="987"/>
      <c r="F359" s="987"/>
      <c r="G359" s="987"/>
      <c r="H359" s="987"/>
      <c r="I359" s="987"/>
      <c r="J359" s="987"/>
      <c r="K359" s="987"/>
      <c r="L359" s="987"/>
      <c r="M359" s="987"/>
      <c r="N359" s="987"/>
      <c r="O359" s="987"/>
      <c r="P359" s="987"/>
      <c r="Q359" s="987"/>
      <c r="R359" s="987"/>
      <c r="S359" s="987"/>
      <c r="T359" s="987"/>
      <c r="U359" s="987"/>
      <c r="V359" s="987"/>
      <c r="W359" s="987"/>
      <c r="X359" s="987"/>
      <c r="Y359" s="987"/>
      <c r="Z359" s="987"/>
    </row>
    <row r="360">
      <c r="A360" s="987"/>
      <c r="B360" s="987"/>
      <c r="C360" s="987"/>
      <c r="D360" s="987"/>
      <c r="E360" s="987"/>
      <c r="F360" s="987"/>
      <c r="G360" s="987"/>
      <c r="H360" s="987"/>
      <c r="I360" s="987"/>
      <c r="J360" s="987"/>
      <c r="K360" s="987"/>
      <c r="L360" s="987"/>
      <c r="M360" s="987"/>
      <c r="N360" s="987"/>
      <c r="O360" s="987"/>
      <c r="P360" s="987"/>
      <c r="Q360" s="987"/>
      <c r="R360" s="987"/>
      <c r="S360" s="987"/>
      <c r="T360" s="987"/>
      <c r="U360" s="987"/>
      <c r="V360" s="987"/>
      <c r="W360" s="987"/>
      <c r="X360" s="987"/>
      <c r="Y360" s="987"/>
      <c r="Z360" s="987"/>
    </row>
    <row r="361">
      <c r="A361" s="987"/>
      <c r="B361" s="987"/>
      <c r="C361" s="987"/>
      <c r="D361" s="987"/>
      <c r="E361" s="987"/>
      <c r="F361" s="987"/>
      <c r="G361" s="987"/>
      <c r="H361" s="987"/>
      <c r="I361" s="987"/>
      <c r="J361" s="987"/>
      <c r="K361" s="987"/>
      <c r="L361" s="987"/>
      <c r="M361" s="987"/>
      <c r="N361" s="987"/>
      <c r="O361" s="987"/>
      <c r="P361" s="987"/>
      <c r="Q361" s="987"/>
      <c r="R361" s="987"/>
      <c r="S361" s="987"/>
      <c r="T361" s="987"/>
      <c r="U361" s="987"/>
      <c r="V361" s="987"/>
      <c r="W361" s="987"/>
      <c r="X361" s="987"/>
      <c r="Y361" s="987"/>
      <c r="Z361" s="987"/>
    </row>
    <row r="362">
      <c r="A362" s="987"/>
      <c r="B362" s="987"/>
      <c r="C362" s="987"/>
      <c r="D362" s="987"/>
      <c r="E362" s="987"/>
      <c r="F362" s="987"/>
      <c r="G362" s="987"/>
      <c r="H362" s="987"/>
      <c r="I362" s="987"/>
      <c r="J362" s="987"/>
      <c r="K362" s="987"/>
      <c r="L362" s="987"/>
      <c r="M362" s="987"/>
      <c r="N362" s="987"/>
      <c r="O362" s="987"/>
      <c r="P362" s="987"/>
      <c r="Q362" s="987"/>
      <c r="R362" s="987"/>
      <c r="S362" s="987"/>
      <c r="T362" s="987"/>
      <c r="U362" s="987"/>
      <c r="V362" s="987"/>
      <c r="W362" s="987"/>
      <c r="X362" s="987"/>
      <c r="Y362" s="987"/>
      <c r="Z362" s="987"/>
    </row>
    <row r="363">
      <c r="A363" s="987"/>
      <c r="B363" s="987"/>
      <c r="C363" s="987"/>
      <c r="D363" s="987"/>
      <c r="E363" s="987"/>
      <c r="F363" s="987"/>
      <c r="G363" s="987"/>
      <c r="H363" s="987"/>
      <c r="I363" s="987"/>
      <c r="J363" s="987"/>
      <c r="K363" s="987"/>
      <c r="L363" s="987"/>
      <c r="M363" s="987"/>
      <c r="N363" s="987"/>
      <c r="O363" s="987"/>
      <c r="P363" s="987"/>
      <c r="Q363" s="987"/>
      <c r="R363" s="987"/>
      <c r="S363" s="987"/>
      <c r="T363" s="987"/>
      <c r="U363" s="987"/>
      <c r="V363" s="987"/>
      <c r="W363" s="987"/>
      <c r="X363" s="987"/>
      <c r="Y363" s="987"/>
      <c r="Z363" s="987"/>
    </row>
    <row r="364">
      <c r="A364" s="987"/>
      <c r="B364" s="987"/>
      <c r="C364" s="987"/>
      <c r="D364" s="987"/>
      <c r="E364" s="987"/>
      <c r="F364" s="987"/>
      <c r="G364" s="987"/>
      <c r="H364" s="987"/>
      <c r="I364" s="987"/>
      <c r="J364" s="987"/>
      <c r="K364" s="987"/>
      <c r="L364" s="987"/>
      <c r="M364" s="987"/>
      <c r="N364" s="987"/>
      <c r="O364" s="987"/>
      <c r="P364" s="987"/>
      <c r="Q364" s="987"/>
      <c r="R364" s="987"/>
      <c r="S364" s="987"/>
      <c r="T364" s="987"/>
      <c r="U364" s="987"/>
      <c r="V364" s="987"/>
      <c r="W364" s="987"/>
      <c r="X364" s="987"/>
      <c r="Y364" s="987"/>
      <c r="Z364" s="987"/>
    </row>
    <row r="365">
      <c r="A365" s="987"/>
      <c r="B365" s="987"/>
      <c r="C365" s="987"/>
      <c r="D365" s="987"/>
      <c r="E365" s="987"/>
      <c r="F365" s="987"/>
      <c r="G365" s="987"/>
      <c r="H365" s="987"/>
      <c r="I365" s="987"/>
      <c r="J365" s="987"/>
      <c r="K365" s="987"/>
      <c r="L365" s="987"/>
      <c r="M365" s="987"/>
      <c r="N365" s="987"/>
      <c r="O365" s="987"/>
      <c r="P365" s="987"/>
      <c r="Q365" s="987"/>
      <c r="R365" s="987"/>
      <c r="S365" s="987"/>
      <c r="T365" s="987"/>
      <c r="U365" s="987"/>
      <c r="V365" s="987"/>
      <c r="W365" s="987"/>
      <c r="X365" s="987"/>
      <c r="Y365" s="987"/>
      <c r="Z365" s="987"/>
    </row>
    <row r="366">
      <c r="A366" s="987"/>
      <c r="B366" s="987"/>
      <c r="C366" s="987"/>
      <c r="D366" s="987"/>
      <c r="E366" s="987"/>
      <c r="F366" s="987"/>
      <c r="G366" s="987"/>
      <c r="H366" s="987"/>
      <c r="I366" s="987"/>
      <c r="J366" s="987"/>
      <c r="K366" s="987"/>
      <c r="L366" s="987"/>
      <c r="M366" s="987"/>
      <c r="N366" s="987"/>
      <c r="O366" s="987"/>
      <c r="P366" s="987"/>
      <c r="Q366" s="987"/>
      <c r="R366" s="987"/>
      <c r="S366" s="987"/>
      <c r="T366" s="987"/>
      <c r="U366" s="987"/>
      <c r="V366" s="987"/>
      <c r="W366" s="987"/>
      <c r="X366" s="987"/>
      <c r="Y366" s="987"/>
      <c r="Z366" s="987"/>
    </row>
    <row r="367">
      <c r="A367" s="987"/>
      <c r="B367" s="987"/>
      <c r="C367" s="987"/>
      <c r="D367" s="987"/>
      <c r="E367" s="987"/>
      <c r="F367" s="987"/>
      <c r="G367" s="987"/>
      <c r="H367" s="987"/>
      <c r="I367" s="987"/>
      <c r="J367" s="987"/>
      <c r="K367" s="987"/>
      <c r="L367" s="987"/>
      <c r="M367" s="987"/>
      <c r="N367" s="987"/>
      <c r="O367" s="987"/>
      <c r="P367" s="987"/>
      <c r="Q367" s="987"/>
      <c r="R367" s="987"/>
      <c r="S367" s="987"/>
      <c r="T367" s="987"/>
      <c r="U367" s="987"/>
      <c r="V367" s="987"/>
      <c r="W367" s="987"/>
      <c r="X367" s="987"/>
      <c r="Y367" s="987"/>
      <c r="Z367" s="987"/>
    </row>
    <row r="368">
      <c r="A368" s="987"/>
      <c r="B368" s="987"/>
      <c r="C368" s="987"/>
      <c r="D368" s="987"/>
      <c r="E368" s="987"/>
      <c r="F368" s="987"/>
      <c r="G368" s="987"/>
      <c r="H368" s="987"/>
      <c r="I368" s="987"/>
      <c r="J368" s="987"/>
      <c r="K368" s="987"/>
      <c r="L368" s="987"/>
      <c r="M368" s="987"/>
      <c r="N368" s="987"/>
      <c r="O368" s="987"/>
      <c r="P368" s="987"/>
      <c r="Q368" s="987"/>
      <c r="R368" s="987"/>
      <c r="S368" s="987"/>
      <c r="T368" s="987"/>
      <c r="U368" s="987"/>
      <c r="V368" s="987"/>
      <c r="W368" s="987"/>
      <c r="X368" s="987"/>
      <c r="Y368" s="987"/>
      <c r="Z368" s="987"/>
    </row>
    <row r="369">
      <c r="A369" s="987"/>
      <c r="B369" s="987"/>
      <c r="C369" s="987"/>
      <c r="D369" s="987"/>
      <c r="E369" s="987"/>
      <c r="F369" s="987"/>
      <c r="G369" s="987"/>
      <c r="H369" s="987"/>
      <c r="I369" s="987"/>
      <c r="J369" s="987"/>
      <c r="K369" s="987"/>
      <c r="L369" s="987"/>
      <c r="M369" s="987"/>
      <c r="N369" s="987"/>
      <c r="O369" s="987"/>
      <c r="P369" s="987"/>
      <c r="Q369" s="987"/>
      <c r="R369" s="987"/>
      <c r="S369" s="987"/>
      <c r="T369" s="987"/>
      <c r="U369" s="987"/>
      <c r="V369" s="987"/>
      <c r="W369" s="987"/>
      <c r="X369" s="987"/>
      <c r="Y369" s="987"/>
      <c r="Z369" s="987"/>
    </row>
    <row r="370">
      <c r="A370" s="987"/>
      <c r="B370" s="987"/>
      <c r="C370" s="987"/>
      <c r="D370" s="987"/>
      <c r="E370" s="987"/>
      <c r="F370" s="987"/>
      <c r="G370" s="987"/>
      <c r="H370" s="987"/>
      <c r="I370" s="987"/>
      <c r="J370" s="987"/>
      <c r="K370" s="987"/>
      <c r="L370" s="987"/>
      <c r="M370" s="987"/>
      <c r="N370" s="987"/>
      <c r="O370" s="987"/>
      <c r="P370" s="987"/>
      <c r="Q370" s="987"/>
      <c r="R370" s="987"/>
      <c r="S370" s="987"/>
      <c r="T370" s="987"/>
      <c r="U370" s="987"/>
      <c r="V370" s="987"/>
      <c r="W370" s="987"/>
      <c r="X370" s="987"/>
      <c r="Y370" s="987"/>
      <c r="Z370" s="987"/>
    </row>
    <row r="371">
      <c r="A371" s="987"/>
      <c r="B371" s="987"/>
      <c r="C371" s="987"/>
      <c r="D371" s="987"/>
      <c r="E371" s="987"/>
      <c r="F371" s="987"/>
      <c r="G371" s="987"/>
      <c r="H371" s="987"/>
      <c r="I371" s="987"/>
      <c r="J371" s="987"/>
      <c r="K371" s="987"/>
      <c r="L371" s="987"/>
      <c r="M371" s="987"/>
      <c r="N371" s="987"/>
      <c r="O371" s="987"/>
      <c r="P371" s="987"/>
      <c r="Q371" s="987"/>
      <c r="R371" s="987"/>
      <c r="S371" s="987"/>
      <c r="T371" s="987"/>
      <c r="U371" s="987"/>
      <c r="V371" s="987"/>
      <c r="W371" s="987"/>
      <c r="X371" s="987"/>
      <c r="Y371" s="987"/>
      <c r="Z371" s="987"/>
    </row>
    <row r="372">
      <c r="A372" s="987"/>
      <c r="B372" s="987"/>
      <c r="C372" s="987"/>
      <c r="D372" s="987"/>
      <c r="E372" s="987"/>
      <c r="F372" s="987"/>
      <c r="G372" s="987"/>
      <c r="H372" s="987"/>
      <c r="I372" s="987"/>
      <c r="J372" s="987"/>
      <c r="K372" s="987"/>
      <c r="L372" s="987"/>
      <c r="M372" s="987"/>
      <c r="N372" s="987"/>
      <c r="O372" s="987"/>
      <c r="P372" s="987"/>
      <c r="Q372" s="987"/>
      <c r="R372" s="987"/>
      <c r="S372" s="987"/>
      <c r="T372" s="987"/>
      <c r="U372" s="987"/>
      <c r="V372" s="987"/>
      <c r="W372" s="987"/>
      <c r="X372" s="987"/>
      <c r="Y372" s="987"/>
      <c r="Z372" s="987"/>
    </row>
    <row r="373">
      <c r="A373" s="987"/>
      <c r="B373" s="987"/>
      <c r="C373" s="987"/>
      <c r="D373" s="987"/>
      <c r="E373" s="987"/>
      <c r="F373" s="987"/>
      <c r="G373" s="987"/>
      <c r="H373" s="987"/>
      <c r="I373" s="987"/>
      <c r="J373" s="987"/>
      <c r="K373" s="987"/>
      <c r="L373" s="987"/>
      <c r="M373" s="987"/>
      <c r="N373" s="987"/>
      <c r="O373" s="987"/>
      <c r="P373" s="987"/>
      <c r="Q373" s="987"/>
      <c r="R373" s="987"/>
      <c r="S373" s="987"/>
      <c r="T373" s="987"/>
      <c r="U373" s="987"/>
      <c r="V373" s="987"/>
      <c r="W373" s="987"/>
      <c r="X373" s="987"/>
      <c r="Y373" s="987"/>
      <c r="Z373" s="987"/>
    </row>
    <row r="374">
      <c r="A374" s="987"/>
      <c r="B374" s="987"/>
      <c r="C374" s="987"/>
      <c r="D374" s="987"/>
      <c r="E374" s="987"/>
      <c r="F374" s="987"/>
      <c r="G374" s="987"/>
      <c r="H374" s="987"/>
      <c r="I374" s="987"/>
      <c r="J374" s="987"/>
      <c r="K374" s="987"/>
      <c r="L374" s="987"/>
      <c r="M374" s="987"/>
      <c r="N374" s="987"/>
      <c r="O374" s="987"/>
      <c r="P374" s="987"/>
      <c r="Q374" s="987"/>
      <c r="R374" s="987"/>
      <c r="S374" s="987"/>
      <c r="T374" s="987"/>
      <c r="U374" s="987"/>
      <c r="V374" s="987"/>
      <c r="W374" s="987"/>
      <c r="X374" s="987"/>
      <c r="Y374" s="987"/>
      <c r="Z374" s="987"/>
    </row>
    <row r="375">
      <c r="A375" s="987"/>
      <c r="B375" s="987"/>
      <c r="C375" s="987"/>
      <c r="D375" s="987"/>
      <c r="E375" s="987"/>
      <c r="F375" s="987"/>
      <c r="G375" s="987"/>
      <c r="H375" s="987"/>
      <c r="I375" s="987"/>
      <c r="J375" s="987"/>
      <c r="K375" s="987"/>
      <c r="L375" s="987"/>
      <c r="M375" s="987"/>
      <c r="N375" s="987"/>
      <c r="O375" s="987"/>
      <c r="P375" s="987"/>
      <c r="Q375" s="987"/>
      <c r="R375" s="987"/>
      <c r="S375" s="987"/>
      <c r="T375" s="987"/>
      <c r="U375" s="987"/>
      <c r="V375" s="987"/>
      <c r="W375" s="987"/>
      <c r="X375" s="987"/>
      <c r="Y375" s="987"/>
      <c r="Z375" s="987"/>
    </row>
    <row r="376">
      <c r="A376" s="987"/>
      <c r="B376" s="987"/>
      <c r="C376" s="987"/>
      <c r="D376" s="987"/>
      <c r="E376" s="987"/>
      <c r="F376" s="987"/>
      <c r="G376" s="987"/>
      <c r="H376" s="987"/>
      <c r="I376" s="987"/>
      <c r="J376" s="987"/>
      <c r="K376" s="987"/>
      <c r="L376" s="987"/>
      <c r="M376" s="987"/>
      <c r="N376" s="987"/>
      <c r="O376" s="987"/>
      <c r="P376" s="987"/>
      <c r="Q376" s="987"/>
      <c r="R376" s="987"/>
      <c r="S376" s="987"/>
      <c r="T376" s="987"/>
      <c r="U376" s="987"/>
      <c r="V376" s="987"/>
      <c r="W376" s="987"/>
      <c r="X376" s="987"/>
      <c r="Y376" s="987"/>
      <c r="Z376" s="987"/>
    </row>
    <row r="377">
      <c r="A377" s="987"/>
      <c r="B377" s="987"/>
      <c r="C377" s="987"/>
      <c r="D377" s="987"/>
      <c r="E377" s="987"/>
      <c r="F377" s="987"/>
      <c r="G377" s="987"/>
      <c r="H377" s="987"/>
      <c r="I377" s="987"/>
      <c r="J377" s="987"/>
      <c r="K377" s="987"/>
      <c r="L377" s="987"/>
      <c r="M377" s="987"/>
      <c r="N377" s="987"/>
      <c r="O377" s="987"/>
      <c r="P377" s="987"/>
      <c r="Q377" s="987"/>
      <c r="R377" s="987"/>
      <c r="S377" s="987"/>
      <c r="T377" s="987"/>
      <c r="U377" s="987"/>
      <c r="V377" s="987"/>
      <c r="W377" s="987"/>
      <c r="X377" s="987"/>
      <c r="Y377" s="987"/>
      <c r="Z377" s="987"/>
    </row>
    <row r="378">
      <c r="A378" s="987"/>
      <c r="B378" s="987"/>
      <c r="C378" s="987"/>
      <c r="D378" s="987"/>
      <c r="E378" s="987"/>
      <c r="F378" s="987"/>
      <c r="G378" s="987"/>
      <c r="H378" s="987"/>
      <c r="I378" s="987"/>
      <c r="J378" s="987"/>
      <c r="K378" s="987"/>
      <c r="L378" s="987"/>
      <c r="M378" s="987"/>
      <c r="N378" s="987"/>
      <c r="O378" s="987"/>
      <c r="P378" s="987"/>
      <c r="Q378" s="987"/>
      <c r="R378" s="987"/>
      <c r="S378" s="987"/>
      <c r="T378" s="987"/>
      <c r="U378" s="987"/>
      <c r="V378" s="987"/>
      <c r="W378" s="987"/>
      <c r="X378" s="987"/>
      <c r="Y378" s="987"/>
      <c r="Z378" s="987"/>
    </row>
    <row r="379">
      <c r="A379" s="987"/>
      <c r="B379" s="987"/>
      <c r="C379" s="987"/>
      <c r="D379" s="987"/>
      <c r="E379" s="987"/>
      <c r="F379" s="987"/>
      <c r="G379" s="987"/>
      <c r="H379" s="987"/>
      <c r="I379" s="987"/>
      <c r="J379" s="987"/>
      <c r="K379" s="987"/>
      <c r="L379" s="987"/>
      <c r="M379" s="987"/>
      <c r="N379" s="987"/>
      <c r="O379" s="987"/>
      <c r="P379" s="987"/>
      <c r="Q379" s="987"/>
      <c r="R379" s="987"/>
      <c r="S379" s="987"/>
      <c r="T379" s="987"/>
      <c r="U379" s="987"/>
      <c r="V379" s="987"/>
      <c r="W379" s="987"/>
      <c r="X379" s="987"/>
      <c r="Y379" s="987"/>
      <c r="Z379" s="987"/>
    </row>
    <row r="380">
      <c r="A380" s="987"/>
      <c r="B380" s="987"/>
      <c r="C380" s="987"/>
      <c r="D380" s="987"/>
      <c r="E380" s="987"/>
      <c r="F380" s="987"/>
      <c r="G380" s="987"/>
      <c r="H380" s="987"/>
      <c r="I380" s="987"/>
      <c r="J380" s="987"/>
      <c r="K380" s="987"/>
      <c r="L380" s="987"/>
      <c r="M380" s="987"/>
      <c r="N380" s="987"/>
      <c r="O380" s="987"/>
      <c r="P380" s="987"/>
      <c r="Q380" s="987"/>
      <c r="R380" s="987"/>
      <c r="S380" s="987"/>
      <c r="T380" s="987"/>
      <c r="U380" s="987"/>
      <c r="V380" s="987"/>
      <c r="W380" s="987"/>
      <c r="X380" s="987"/>
      <c r="Y380" s="987"/>
      <c r="Z380" s="987"/>
    </row>
    <row r="381">
      <c r="A381" s="987"/>
      <c r="B381" s="987"/>
      <c r="C381" s="987"/>
      <c r="D381" s="987"/>
      <c r="E381" s="987"/>
      <c r="F381" s="987"/>
      <c r="G381" s="987"/>
      <c r="H381" s="987"/>
      <c r="I381" s="987"/>
      <c r="J381" s="987"/>
      <c r="K381" s="987"/>
      <c r="L381" s="987"/>
      <c r="M381" s="987"/>
      <c r="N381" s="987"/>
      <c r="O381" s="987"/>
      <c r="P381" s="987"/>
      <c r="Q381" s="987"/>
      <c r="R381" s="987"/>
      <c r="S381" s="987"/>
      <c r="T381" s="987"/>
      <c r="U381" s="987"/>
      <c r="V381" s="987"/>
      <c r="W381" s="987"/>
      <c r="X381" s="987"/>
      <c r="Y381" s="987"/>
      <c r="Z381" s="987"/>
    </row>
    <row r="382">
      <c r="A382" s="987"/>
      <c r="B382" s="987"/>
      <c r="C382" s="987"/>
      <c r="D382" s="987"/>
      <c r="E382" s="987"/>
      <c r="F382" s="987"/>
      <c r="G382" s="987"/>
      <c r="H382" s="987"/>
      <c r="I382" s="987"/>
      <c r="J382" s="987"/>
      <c r="K382" s="987"/>
      <c r="L382" s="987"/>
      <c r="M382" s="987"/>
      <c r="N382" s="987"/>
      <c r="O382" s="987"/>
      <c r="P382" s="987"/>
      <c r="Q382" s="987"/>
      <c r="R382" s="987"/>
      <c r="S382" s="987"/>
      <c r="T382" s="987"/>
      <c r="U382" s="987"/>
      <c r="V382" s="987"/>
      <c r="W382" s="987"/>
      <c r="X382" s="987"/>
      <c r="Y382" s="987"/>
      <c r="Z382" s="987"/>
    </row>
    <row r="383">
      <c r="A383" s="987"/>
      <c r="B383" s="987"/>
      <c r="C383" s="987"/>
      <c r="D383" s="987"/>
      <c r="E383" s="987"/>
      <c r="F383" s="987"/>
      <c r="G383" s="987"/>
      <c r="H383" s="987"/>
      <c r="I383" s="987"/>
      <c r="J383" s="987"/>
      <c r="K383" s="987"/>
      <c r="L383" s="987"/>
      <c r="M383" s="987"/>
      <c r="N383" s="987"/>
      <c r="O383" s="987"/>
      <c r="P383" s="987"/>
      <c r="Q383" s="987"/>
      <c r="R383" s="987"/>
      <c r="S383" s="987"/>
      <c r="T383" s="987"/>
      <c r="U383" s="987"/>
      <c r="V383" s="987"/>
      <c r="W383" s="987"/>
      <c r="X383" s="987"/>
      <c r="Y383" s="987"/>
      <c r="Z383" s="987"/>
    </row>
    <row r="384">
      <c r="A384" s="987"/>
      <c r="B384" s="987"/>
      <c r="C384" s="987"/>
      <c r="D384" s="987"/>
      <c r="E384" s="987"/>
      <c r="F384" s="987"/>
      <c r="G384" s="987"/>
      <c r="H384" s="987"/>
      <c r="I384" s="987"/>
      <c r="J384" s="987"/>
      <c r="K384" s="987"/>
      <c r="L384" s="987"/>
      <c r="M384" s="987"/>
      <c r="N384" s="987"/>
      <c r="O384" s="987"/>
      <c r="P384" s="987"/>
      <c r="Q384" s="987"/>
      <c r="R384" s="987"/>
      <c r="S384" s="987"/>
      <c r="T384" s="987"/>
      <c r="U384" s="987"/>
      <c r="V384" s="987"/>
      <c r="W384" s="987"/>
      <c r="X384" s="987"/>
      <c r="Y384" s="987"/>
      <c r="Z384" s="987"/>
    </row>
    <row r="385">
      <c r="A385" s="987"/>
      <c r="B385" s="987"/>
      <c r="C385" s="987"/>
      <c r="D385" s="987"/>
      <c r="E385" s="987"/>
      <c r="F385" s="987"/>
      <c r="G385" s="987"/>
      <c r="H385" s="987"/>
      <c r="I385" s="987"/>
      <c r="J385" s="987"/>
      <c r="K385" s="987"/>
      <c r="L385" s="987"/>
      <c r="M385" s="987"/>
      <c r="N385" s="987"/>
      <c r="O385" s="987"/>
      <c r="P385" s="987"/>
      <c r="Q385" s="987"/>
      <c r="R385" s="987"/>
      <c r="S385" s="987"/>
      <c r="T385" s="987"/>
      <c r="U385" s="987"/>
      <c r="V385" s="987"/>
      <c r="W385" s="987"/>
      <c r="X385" s="987"/>
      <c r="Y385" s="987"/>
      <c r="Z385" s="987"/>
    </row>
    <row r="386">
      <c r="A386" s="987"/>
      <c r="B386" s="987"/>
      <c r="C386" s="987"/>
      <c r="D386" s="987"/>
      <c r="E386" s="987"/>
      <c r="F386" s="987"/>
      <c r="G386" s="987"/>
      <c r="H386" s="987"/>
      <c r="I386" s="987"/>
      <c r="J386" s="987"/>
      <c r="K386" s="987"/>
      <c r="L386" s="987"/>
      <c r="M386" s="987"/>
      <c r="N386" s="987"/>
      <c r="O386" s="987"/>
      <c r="P386" s="987"/>
      <c r="Q386" s="987"/>
      <c r="R386" s="987"/>
      <c r="S386" s="987"/>
      <c r="T386" s="987"/>
      <c r="U386" s="987"/>
      <c r="V386" s="987"/>
      <c r="W386" s="987"/>
      <c r="X386" s="987"/>
      <c r="Y386" s="987"/>
      <c r="Z386" s="987"/>
    </row>
    <row r="387">
      <c r="A387" s="987"/>
      <c r="B387" s="987"/>
      <c r="C387" s="987"/>
      <c r="D387" s="987"/>
      <c r="E387" s="987"/>
      <c r="F387" s="987"/>
      <c r="G387" s="987"/>
      <c r="H387" s="987"/>
      <c r="I387" s="987"/>
      <c r="J387" s="987"/>
      <c r="K387" s="987"/>
      <c r="L387" s="987"/>
      <c r="M387" s="987"/>
      <c r="N387" s="987"/>
      <c r="O387" s="987"/>
      <c r="P387" s="987"/>
      <c r="Q387" s="987"/>
      <c r="R387" s="987"/>
      <c r="S387" s="987"/>
      <c r="T387" s="987"/>
      <c r="U387" s="987"/>
      <c r="V387" s="987"/>
      <c r="W387" s="987"/>
      <c r="X387" s="987"/>
      <c r="Y387" s="987"/>
      <c r="Z387" s="987"/>
    </row>
    <row r="388">
      <c r="A388" s="987"/>
      <c r="B388" s="987"/>
      <c r="C388" s="987"/>
      <c r="D388" s="987"/>
      <c r="E388" s="987"/>
      <c r="F388" s="987"/>
      <c r="G388" s="987"/>
      <c r="H388" s="987"/>
      <c r="I388" s="987"/>
      <c r="J388" s="987"/>
      <c r="K388" s="987"/>
      <c r="L388" s="987"/>
      <c r="M388" s="987"/>
      <c r="N388" s="987"/>
      <c r="O388" s="987"/>
      <c r="P388" s="987"/>
      <c r="Q388" s="987"/>
      <c r="R388" s="987"/>
      <c r="S388" s="987"/>
      <c r="T388" s="987"/>
      <c r="U388" s="987"/>
      <c r="V388" s="987"/>
      <c r="W388" s="987"/>
      <c r="X388" s="987"/>
      <c r="Y388" s="987"/>
      <c r="Z388" s="987"/>
    </row>
    <row r="389">
      <c r="A389" s="987"/>
      <c r="B389" s="987"/>
      <c r="C389" s="987"/>
      <c r="D389" s="987"/>
      <c r="E389" s="987"/>
      <c r="F389" s="987"/>
      <c r="G389" s="987"/>
      <c r="H389" s="987"/>
      <c r="I389" s="987"/>
      <c r="J389" s="987"/>
      <c r="K389" s="987"/>
      <c r="L389" s="987"/>
      <c r="M389" s="987"/>
      <c r="N389" s="987"/>
      <c r="O389" s="987"/>
      <c r="P389" s="987"/>
      <c r="Q389" s="987"/>
      <c r="R389" s="987"/>
      <c r="S389" s="987"/>
      <c r="T389" s="987"/>
      <c r="U389" s="987"/>
      <c r="V389" s="987"/>
      <c r="W389" s="987"/>
      <c r="X389" s="987"/>
      <c r="Y389" s="987"/>
      <c r="Z389" s="987"/>
    </row>
    <row r="390">
      <c r="A390" s="987"/>
      <c r="B390" s="987"/>
      <c r="C390" s="987"/>
      <c r="D390" s="987"/>
      <c r="E390" s="987"/>
      <c r="F390" s="987"/>
      <c r="G390" s="987"/>
      <c r="H390" s="987"/>
      <c r="I390" s="987"/>
      <c r="J390" s="987"/>
      <c r="K390" s="987"/>
      <c r="L390" s="987"/>
      <c r="M390" s="987"/>
      <c r="N390" s="987"/>
      <c r="O390" s="987"/>
      <c r="P390" s="987"/>
      <c r="Q390" s="987"/>
      <c r="R390" s="987"/>
      <c r="S390" s="987"/>
      <c r="T390" s="987"/>
      <c r="U390" s="987"/>
      <c r="V390" s="987"/>
      <c r="W390" s="987"/>
      <c r="X390" s="987"/>
      <c r="Y390" s="987"/>
      <c r="Z390" s="987"/>
    </row>
    <row r="391">
      <c r="A391" s="987"/>
      <c r="B391" s="987"/>
      <c r="C391" s="987"/>
      <c r="D391" s="987"/>
      <c r="E391" s="987"/>
      <c r="F391" s="987"/>
      <c r="G391" s="987"/>
      <c r="H391" s="987"/>
      <c r="I391" s="987"/>
      <c r="J391" s="987"/>
      <c r="K391" s="987"/>
      <c r="L391" s="987"/>
      <c r="M391" s="987"/>
      <c r="N391" s="987"/>
      <c r="O391" s="987"/>
      <c r="P391" s="987"/>
      <c r="Q391" s="987"/>
      <c r="R391" s="987"/>
      <c r="S391" s="987"/>
      <c r="T391" s="987"/>
      <c r="U391" s="987"/>
      <c r="V391" s="987"/>
      <c r="W391" s="987"/>
      <c r="X391" s="987"/>
      <c r="Y391" s="987"/>
      <c r="Z391" s="987"/>
    </row>
    <row r="392">
      <c r="A392" s="987"/>
      <c r="B392" s="987"/>
      <c r="C392" s="987"/>
      <c r="D392" s="987"/>
      <c r="E392" s="987"/>
      <c r="F392" s="987"/>
      <c r="G392" s="987"/>
      <c r="H392" s="987"/>
      <c r="I392" s="987"/>
      <c r="J392" s="987"/>
      <c r="K392" s="987"/>
      <c r="L392" s="987"/>
      <c r="M392" s="987"/>
      <c r="N392" s="987"/>
      <c r="O392" s="987"/>
      <c r="P392" s="987"/>
      <c r="Q392" s="987"/>
      <c r="R392" s="987"/>
      <c r="S392" s="987"/>
      <c r="T392" s="987"/>
      <c r="U392" s="987"/>
      <c r="V392" s="987"/>
      <c r="W392" s="987"/>
      <c r="X392" s="987"/>
      <c r="Y392" s="987"/>
      <c r="Z392" s="987"/>
    </row>
    <row r="393">
      <c r="A393" s="987"/>
      <c r="B393" s="987"/>
      <c r="C393" s="987"/>
      <c r="D393" s="987"/>
      <c r="E393" s="987"/>
      <c r="F393" s="987"/>
      <c r="G393" s="987"/>
      <c r="H393" s="987"/>
      <c r="I393" s="987"/>
      <c r="J393" s="987"/>
      <c r="K393" s="987"/>
      <c r="L393" s="987"/>
      <c r="M393" s="987"/>
      <c r="N393" s="987"/>
      <c r="O393" s="987"/>
      <c r="P393" s="987"/>
      <c r="Q393" s="987"/>
      <c r="R393" s="987"/>
      <c r="S393" s="987"/>
      <c r="T393" s="987"/>
      <c r="U393" s="987"/>
      <c r="V393" s="987"/>
      <c r="W393" s="987"/>
      <c r="X393" s="987"/>
      <c r="Y393" s="987"/>
      <c r="Z393" s="987"/>
    </row>
    <row r="394">
      <c r="A394" s="987"/>
      <c r="B394" s="987"/>
      <c r="C394" s="987"/>
      <c r="D394" s="987"/>
      <c r="E394" s="987"/>
      <c r="F394" s="987"/>
      <c r="G394" s="987"/>
      <c r="H394" s="987"/>
      <c r="I394" s="987"/>
      <c r="J394" s="987"/>
      <c r="K394" s="987"/>
      <c r="L394" s="987"/>
      <c r="M394" s="987"/>
      <c r="N394" s="987"/>
      <c r="O394" s="987"/>
      <c r="P394" s="987"/>
      <c r="Q394" s="987"/>
      <c r="R394" s="987"/>
      <c r="S394" s="987"/>
      <c r="T394" s="987"/>
      <c r="U394" s="987"/>
      <c r="V394" s="987"/>
      <c r="W394" s="987"/>
      <c r="X394" s="987"/>
      <c r="Y394" s="987"/>
      <c r="Z394" s="987"/>
    </row>
    <row r="395">
      <c r="A395" s="987"/>
      <c r="B395" s="987"/>
      <c r="C395" s="987"/>
      <c r="D395" s="987"/>
      <c r="E395" s="987"/>
      <c r="F395" s="987"/>
      <c r="G395" s="987"/>
      <c r="H395" s="987"/>
      <c r="I395" s="987"/>
      <c r="J395" s="987"/>
      <c r="K395" s="987"/>
      <c r="L395" s="987"/>
      <c r="M395" s="987"/>
      <c r="N395" s="987"/>
      <c r="O395" s="987"/>
      <c r="P395" s="987"/>
      <c r="Q395" s="987"/>
      <c r="R395" s="987"/>
      <c r="S395" s="987"/>
      <c r="T395" s="987"/>
      <c r="U395" s="987"/>
      <c r="V395" s="987"/>
      <c r="W395" s="987"/>
      <c r="X395" s="987"/>
      <c r="Y395" s="987"/>
      <c r="Z395" s="987"/>
    </row>
    <row r="396">
      <c r="A396" s="987"/>
      <c r="B396" s="987"/>
      <c r="C396" s="987"/>
      <c r="D396" s="987"/>
      <c r="E396" s="987"/>
      <c r="F396" s="987"/>
      <c r="G396" s="987"/>
      <c r="H396" s="987"/>
      <c r="I396" s="987"/>
      <c r="J396" s="987"/>
      <c r="K396" s="987"/>
      <c r="L396" s="987"/>
      <c r="M396" s="987"/>
      <c r="N396" s="987"/>
      <c r="O396" s="987"/>
      <c r="P396" s="987"/>
      <c r="Q396" s="987"/>
      <c r="R396" s="987"/>
      <c r="S396" s="987"/>
      <c r="T396" s="987"/>
      <c r="U396" s="987"/>
      <c r="V396" s="987"/>
      <c r="W396" s="987"/>
      <c r="X396" s="987"/>
      <c r="Y396" s="987"/>
      <c r="Z396" s="987"/>
    </row>
    <row r="397">
      <c r="A397" s="987"/>
      <c r="B397" s="987"/>
      <c r="C397" s="987"/>
      <c r="D397" s="987"/>
      <c r="E397" s="987"/>
      <c r="F397" s="987"/>
      <c r="G397" s="987"/>
      <c r="H397" s="987"/>
      <c r="I397" s="987"/>
      <c r="J397" s="987"/>
      <c r="K397" s="987"/>
      <c r="L397" s="987"/>
      <c r="M397" s="987"/>
      <c r="N397" s="987"/>
      <c r="O397" s="987"/>
      <c r="P397" s="987"/>
      <c r="Q397" s="987"/>
      <c r="R397" s="987"/>
      <c r="S397" s="987"/>
      <c r="T397" s="987"/>
      <c r="U397" s="987"/>
      <c r="V397" s="987"/>
      <c r="W397" s="987"/>
      <c r="X397" s="987"/>
      <c r="Y397" s="987"/>
      <c r="Z397" s="987"/>
    </row>
    <row r="398">
      <c r="A398" s="987"/>
      <c r="B398" s="987"/>
      <c r="C398" s="987"/>
      <c r="D398" s="987"/>
      <c r="E398" s="987"/>
      <c r="F398" s="987"/>
      <c r="G398" s="987"/>
      <c r="H398" s="987"/>
      <c r="I398" s="987"/>
      <c r="J398" s="987"/>
      <c r="K398" s="987"/>
      <c r="L398" s="987"/>
      <c r="M398" s="987"/>
      <c r="N398" s="987"/>
      <c r="O398" s="987"/>
      <c r="P398" s="987"/>
      <c r="Q398" s="987"/>
      <c r="R398" s="987"/>
      <c r="S398" s="987"/>
      <c r="T398" s="987"/>
      <c r="U398" s="987"/>
      <c r="V398" s="987"/>
      <c r="W398" s="987"/>
      <c r="X398" s="987"/>
      <c r="Y398" s="987"/>
      <c r="Z398" s="987"/>
    </row>
    <row r="399">
      <c r="A399" s="987"/>
      <c r="B399" s="987"/>
      <c r="C399" s="987"/>
      <c r="D399" s="987"/>
      <c r="E399" s="987"/>
      <c r="F399" s="987"/>
      <c r="G399" s="987"/>
      <c r="H399" s="987"/>
      <c r="I399" s="987"/>
      <c r="J399" s="987"/>
      <c r="K399" s="987"/>
      <c r="L399" s="987"/>
      <c r="M399" s="987"/>
      <c r="N399" s="987"/>
      <c r="O399" s="987"/>
      <c r="P399" s="987"/>
      <c r="Q399" s="987"/>
      <c r="R399" s="987"/>
      <c r="S399" s="987"/>
      <c r="T399" s="987"/>
      <c r="U399" s="987"/>
      <c r="V399" s="987"/>
      <c r="W399" s="987"/>
      <c r="X399" s="987"/>
      <c r="Y399" s="987"/>
      <c r="Z399" s="987"/>
    </row>
    <row r="400">
      <c r="A400" s="987"/>
      <c r="B400" s="987"/>
      <c r="C400" s="987"/>
      <c r="D400" s="987"/>
      <c r="E400" s="987"/>
      <c r="F400" s="987"/>
      <c r="G400" s="987"/>
      <c r="H400" s="987"/>
      <c r="I400" s="987"/>
      <c r="J400" s="987"/>
      <c r="K400" s="987"/>
      <c r="L400" s="987"/>
      <c r="M400" s="987"/>
      <c r="N400" s="987"/>
      <c r="O400" s="987"/>
      <c r="P400" s="987"/>
      <c r="Q400" s="987"/>
      <c r="R400" s="987"/>
      <c r="S400" s="987"/>
      <c r="T400" s="987"/>
      <c r="U400" s="987"/>
      <c r="V400" s="987"/>
      <c r="W400" s="987"/>
      <c r="X400" s="987"/>
      <c r="Y400" s="987"/>
      <c r="Z400" s="987"/>
    </row>
    <row r="401">
      <c r="A401" s="987"/>
      <c r="B401" s="987"/>
      <c r="C401" s="987"/>
      <c r="D401" s="987"/>
      <c r="E401" s="987"/>
      <c r="F401" s="987"/>
      <c r="G401" s="987"/>
      <c r="H401" s="987"/>
      <c r="I401" s="987"/>
      <c r="J401" s="987"/>
      <c r="K401" s="987"/>
      <c r="L401" s="987"/>
      <c r="M401" s="987"/>
      <c r="N401" s="987"/>
      <c r="O401" s="987"/>
      <c r="P401" s="987"/>
      <c r="Q401" s="987"/>
      <c r="R401" s="987"/>
      <c r="S401" s="987"/>
      <c r="T401" s="987"/>
      <c r="U401" s="987"/>
      <c r="V401" s="987"/>
      <c r="W401" s="987"/>
      <c r="X401" s="987"/>
      <c r="Y401" s="987"/>
      <c r="Z401" s="987"/>
    </row>
    <row r="402">
      <c r="A402" s="987"/>
      <c r="B402" s="987"/>
      <c r="C402" s="987"/>
      <c r="D402" s="987"/>
      <c r="E402" s="987"/>
      <c r="F402" s="987"/>
      <c r="G402" s="987"/>
      <c r="H402" s="987"/>
      <c r="I402" s="987"/>
      <c r="J402" s="987"/>
      <c r="K402" s="987"/>
      <c r="L402" s="987"/>
      <c r="M402" s="987"/>
      <c r="N402" s="987"/>
      <c r="O402" s="987"/>
      <c r="P402" s="987"/>
      <c r="Q402" s="987"/>
      <c r="R402" s="987"/>
      <c r="S402" s="987"/>
      <c r="T402" s="987"/>
      <c r="U402" s="987"/>
      <c r="V402" s="987"/>
      <c r="W402" s="987"/>
      <c r="X402" s="987"/>
      <c r="Y402" s="987"/>
      <c r="Z402" s="987"/>
    </row>
    <row r="403">
      <c r="A403" s="987"/>
      <c r="B403" s="987"/>
      <c r="C403" s="987"/>
      <c r="D403" s="987"/>
      <c r="E403" s="987"/>
      <c r="F403" s="987"/>
      <c r="G403" s="987"/>
      <c r="H403" s="987"/>
      <c r="I403" s="987"/>
      <c r="J403" s="987"/>
      <c r="K403" s="987"/>
      <c r="L403" s="987"/>
      <c r="M403" s="987"/>
      <c r="N403" s="987"/>
      <c r="O403" s="987"/>
      <c r="P403" s="987"/>
      <c r="Q403" s="987"/>
      <c r="R403" s="987"/>
      <c r="S403" s="987"/>
      <c r="T403" s="987"/>
      <c r="U403" s="987"/>
      <c r="V403" s="987"/>
      <c r="W403" s="987"/>
      <c r="X403" s="987"/>
      <c r="Y403" s="987"/>
      <c r="Z403" s="987"/>
    </row>
    <row r="404">
      <c r="A404" s="987"/>
      <c r="B404" s="987"/>
      <c r="C404" s="987"/>
      <c r="D404" s="987"/>
      <c r="E404" s="987"/>
      <c r="F404" s="987"/>
      <c r="G404" s="987"/>
      <c r="H404" s="987"/>
      <c r="I404" s="987"/>
      <c r="J404" s="987"/>
      <c r="K404" s="987"/>
      <c r="L404" s="987"/>
      <c r="M404" s="987"/>
      <c r="N404" s="987"/>
      <c r="O404" s="987"/>
      <c r="P404" s="987"/>
      <c r="Q404" s="987"/>
      <c r="R404" s="987"/>
      <c r="S404" s="987"/>
      <c r="T404" s="987"/>
      <c r="U404" s="987"/>
      <c r="V404" s="987"/>
      <c r="W404" s="987"/>
      <c r="X404" s="987"/>
      <c r="Y404" s="987"/>
      <c r="Z404" s="987"/>
    </row>
    <row r="405">
      <c r="A405" s="987"/>
      <c r="B405" s="987"/>
      <c r="C405" s="987"/>
      <c r="D405" s="987"/>
      <c r="E405" s="987"/>
      <c r="F405" s="987"/>
      <c r="G405" s="987"/>
      <c r="H405" s="987"/>
      <c r="I405" s="987"/>
      <c r="J405" s="987"/>
      <c r="K405" s="987"/>
      <c r="L405" s="987"/>
      <c r="M405" s="987"/>
      <c r="N405" s="987"/>
      <c r="O405" s="987"/>
      <c r="P405" s="987"/>
      <c r="Q405" s="987"/>
      <c r="R405" s="987"/>
      <c r="S405" s="987"/>
      <c r="T405" s="987"/>
      <c r="U405" s="987"/>
      <c r="V405" s="987"/>
      <c r="W405" s="987"/>
      <c r="X405" s="987"/>
      <c r="Y405" s="987"/>
      <c r="Z405" s="987"/>
    </row>
    <row r="406">
      <c r="A406" s="987"/>
      <c r="B406" s="987"/>
      <c r="C406" s="987"/>
      <c r="D406" s="987"/>
      <c r="E406" s="987"/>
      <c r="F406" s="987"/>
      <c r="G406" s="987"/>
      <c r="H406" s="987"/>
      <c r="I406" s="987"/>
      <c r="J406" s="987"/>
      <c r="K406" s="987"/>
      <c r="L406" s="987"/>
      <c r="M406" s="987"/>
      <c r="N406" s="987"/>
      <c r="O406" s="987"/>
      <c r="P406" s="987"/>
      <c r="Q406" s="987"/>
      <c r="R406" s="987"/>
      <c r="S406" s="987"/>
      <c r="T406" s="987"/>
      <c r="U406" s="987"/>
      <c r="V406" s="987"/>
      <c r="W406" s="987"/>
      <c r="X406" s="987"/>
      <c r="Y406" s="987"/>
      <c r="Z406" s="987"/>
    </row>
    <row r="407">
      <c r="A407" s="987"/>
      <c r="B407" s="987"/>
      <c r="C407" s="987"/>
      <c r="D407" s="987"/>
      <c r="E407" s="987"/>
      <c r="F407" s="987"/>
      <c r="G407" s="987"/>
      <c r="H407" s="987"/>
      <c r="I407" s="987"/>
      <c r="J407" s="987"/>
      <c r="K407" s="987"/>
      <c r="L407" s="987"/>
      <c r="M407" s="987"/>
      <c r="N407" s="987"/>
      <c r="O407" s="987"/>
      <c r="P407" s="987"/>
      <c r="Q407" s="987"/>
      <c r="R407" s="987"/>
      <c r="S407" s="987"/>
      <c r="T407" s="987"/>
      <c r="U407" s="987"/>
      <c r="V407" s="987"/>
      <c r="W407" s="987"/>
      <c r="X407" s="987"/>
      <c r="Y407" s="987"/>
      <c r="Z407" s="987"/>
    </row>
    <row r="408">
      <c r="A408" s="987"/>
      <c r="B408" s="987"/>
      <c r="C408" s="987"/>
      <c r="D408" s="987"/>
      <c r="E408" s="987"/>
      <c r="F408" s="987"/>
      <c r="G408" s="987"/>
      <c r="H408" s="987"/>
      <c r="I408" s="987"/>
      <c r="J408" s="987"/>
      <c r="K408" s="987"/>
      <c r="L408" s="987"/>
      <c r="M408" s="987"/>
      <c r="N408" s="987"/>
      <c r="O408" s="987"/>
      <c r="P408" s="987"/>
      <c r="Q408" s="987"/>
      <c r="R408" s="987"/>
      <c r="S408" s="987"/>
      <c r="T408" s="987"/>
      <c r="U408" s="987"/>
      <c r="V408" s="987"/>
      <c r="W408" s="987"/>
      <c r="X408" s="987"/>
      <c r="Y408" s="987"/>
      <c r="Z408" s="987"/>
    </row>
    <row r="409">
      <c r="A409" s="987"/>
      <c r="B409" s="987"/>
      <c r="C409" s="987"/>
      <c r="D409" s="987"/>
      <c r="E409" s="987"/>
      <c r="F409" s="987"/>
      <c r="G409" s="987"/>
      <c r="H409" s="987"/>
      <c r="I409" s="987"/>
      <c r="J409" s="987"/>
      <c r="K409" s="987"/>
      <c r="L409" s="987"/>
      <c r="M409" s="987"/>
      <c r="N409" s="987"/>
      <c r="O409" s="987"/>
      <c r="P409" s="987"/>
      <c r="Q409" s="987"/>
      <c r="R409" s="987"/>
      <c r="S409" s="987"/>
      <c r="T409" s="987"/>
      <c r="U409" s="987"/>
      <c r="V409" s="987"/>
      <c r="W409" s="987"/>
      <c r="X409" s="987"/>
      <c r="Y409" s="987"/>
      <c r="Z409" s="987"/>
    </row>
    <row r="410">
      <c r="A410" s="987"/>
      <c r="B410" s="987"/>
      <c r="C410" s="987"/>
      <c r="D410" s="987"/>
      <c r="E410" s="987"/>
      <c r="F410" s="987"/>
      <c r="G410" s="987"/>
      <c r="H410" s="987"/>
      <c r="I410" s="987"/>
      <c r="J410" s="987"/>
      <c r="K410" s="987"/>
      <c r="L410" s="987"/>
      <c r="M410" s="987"/>
      <c r="N410" s="987"/>
      <c r="O410" s="987"/>
      <c r="P410" s="987"/>
      <c r="Q410" s="987"/>
      <c r="R410" s="987"/>
      <c r="S410" s="987"/>
      <c r="T410" s="987"/>
      <c r="U410" s="987"/>
      <c r="V410" s="987"/>
      <c r="W410" s="987"/>
      <c r="X410" s="987"/>
      <c r="Y410" s="987"/>
      <c r="Z410" s="987"/>
    </row>
    <row r="411">
      <c r="A411" s="987"/>
      <c r="B411" s="987"/>
      <c r="C411" s="987"/>
      <c r="D411" s="987"/>
      <c r="E411" s="987"/>
      <c r="F411" s="987"/>
      <c r="G411" s="987"/>
      <c r="H411" s="987"/>
      <c r="I411" s="987"/>
      <c r="J411" s="987"/>
      <c r="K411" s="987"/>
      <c r="L411" s="987"/>
      <c r="M411" s="987"/>
      <c r="N411" s="987"/>
      <c r="O411" s="987"/>
      <c r="P411" s="987"/>
      <c r="Q411" s="987"/>
      <c r="R411" s="987"/>
      <c r="S411" s="987"/>
      <c r="T411" s="987"/>
      <c r="U411" s="987"/>
      <c r="V411" s="987"/>
      <c r="W411" s="987"/>
      <c r="X411" s="987"/>
      <c r="Y411" s="987"/>
      <c r="Z411" s="987"/>
    </row>
    <row r="412">
      <c r="A412" s="987"/>
      <c r="B412" s="987"/>
      <c r="C412" s="987"/>
      <c r="D412" s="987"/>
      <c r="E412" s="987"/>
      <c r="F412" s="987"/>
      <c r="G412" s="987"/>
      <c r="H412" s="987"/>
      <c r="I412" s="987"/>
      <c r="J412" s="987"/>
      <c r="K412" s="987"/>
      <c r="L412" s="987"/>
      <c r="M412" s="987"/>
      <c r="N412" s="987"/>
      <c r="O412" s="987"/>
      <c r="P412" s="987"/>
      <c r="Q412" s="987"/>
      <c r="R412" s="987"/>
      <c r="S412" s="987"/>
      <c r="T412" s="987"/>
      <c r="U412" s="987"/>
      <c r="V412" s="987"/>
      <c r="W412" s="987"/>
      <c r="X412" s="987"/>
      <c r="Y412" s="987"/>
      <c r="Z412" s="987"/>
    </row>
    <row r="413">
      <c r="A413" s="987"/>
      <c r="B413" s="987"/>
      <c r="C413" s="987"/>
      <c r="D413" s="987"/>
      <c r="E413" s="987"/>
      <c r="F413" s="987"/>
      <c r="G413" s="987"/>
      <c r="H413" s="987"/>
      <c r="I413" s="987"/>
      <c r="J413" s="987"/>
      <c r="K413" s="987"/>
      <c r="L413" s="987"/>
      <c r="M413" s="987"/>
      <c r="N413" s="987"/>
      <c r="O413" s="987"/>
      <c r="P413" s="987"/>
      <c r="Q413" s="987"/>
      <c r="R413" s="987"/>
      <c r="S413" s="987"/>
      <c r="T413" s="987"/>
      <c r="U413" s="987"/>
      <c r="V413" s="987"/>
      <c r="W413" s="987"/>
      <c r="X413" s="987"/>
      <c r="Y413" s="987"/>
      <c r="Z413" s="987"/>
    </row>
    <row r="414">
      <c r="A414" s="987"/>
      <c r="B414" s="987"/>
      <c r="C414" s="987"/>
      <c r="D414" s="987"/>
      <c r="E414" s="987"/>
      <c r="F414" s="987"/>
      <c r="G414" s="987"/>
      <c r="H414" s="987"/>
      <c r="I414" s="987"/>
      <c r="J414" s="987"/>
      <c r="K414" s="987"/>
      <c r="L414" s="987"/>
      <c r="M414" s="987"/>
      <c r="N414" s="987"/>
      <c r="O414" s="987"/>
      <c r="P414" s="987"/>
      <c r="Q414" s="987"/>
      <c r="R414" s="987"/>
      <c r="S414" s="987"/>
      <c r="T414" s="987"/>
      <c r="U414" s="987"/>
      <c r="V414" s="987"/>
      <c r="W414" s="987"/>
      <c r="X414" s="987"/>
      <c r="Y414" s="987"/>
      <c r="Z414" s="987"/>
    </row>
    <row r="415">
      <c r="A415" s="987"/>
      <c r="B415" s="987"/>
      <c r="C415" s="987"/>
      <c r="D415" s="987"/>
      <c r="E415" s="987"/>
      <c r="F415" s="987"/>
      <c r="G415" s="987"/>
      <c r="H415" s="987"/>
      <c r="I415" s="987"/>
      <c r="J415" s="987"/>
      <c r="K415" s="987"/>
      <c r="L415" s="987"/>
      <c r="M415" s="987"/>
      <c r="N415" s="987"/>
      <c r="O415" s="987"/>
      <c r="P415" s="987"/>
      <c r="Q415" s="987"/>
      <c r="R415" s="987"/>
      <c r="S415" s="987"/>
      <c r="T415" s="987"/>
      <c r="U415" s="987"/>
      <c r="V415" s="987"/>
      <c r="W415" s="987"/>
      <c r="X415" s="987"/>
      <c r="Y415" s="987"/>
      <c r="Z415" s="987"/>
    </row>
    <row r="416">
      <c r="A416" s="987"/>
      <c r="B416" s="987"/>
      <c r="C416" s="987"/>
      <c r="D416" s="987"/>
      <c r="E416" s="987"/>
      <c r="F416" s="987"/>
      <c r="G416" s="987"/>
      <c r="H416" s="987"/>
      <c r="I416" s="987"/>
      <c r="J416" s="987"/>
      <c r="K416" s="987"/>
      <c r="L416" s="987"/>
      <c r="M416" s="987"/>
      <c r="N416" s="987"/>
      <c r="O416" s="987"/>
      <c r="P416" s="987"/>
      <c r="Q416" s="987"/>
      <c r="R416" s="987"/>
      <c r="S416" s="987"/>
      <c r="T416" s="987"/>
      <c r="U416" s="987"/>
      <c r="V416" s="987"/>
      <c r="W416" s="987"/>
      <c r="X416" s="987"/>
      <c r="Y416" s="987"/>
      <c r="Z416" s="987"/>
    </row>
    <row r="417">
      <c r="A417" s="987"/>
      <c r="B417" s="987"/>
      <c r="C417" s="987"/>
      <c r="D417" s="987"/>
      <c r="E417" s="987"/>
      <c r="F417" s="987"/>
      <c r="G417" s="987"/>
      <c r="H417" s="987"/>
      <c r="I417" s="987"/>
      <c r="J417" s="987"/>
      <c r="K417" s="987"/>
      <c r="L417" s="987"/>
      <c r="M417" s="987"/>
      <c r="N417" s="987"/>
      <c r="O417" s="987"/>
      <c r="P417" s="987"/>
      <c r="Q417" s="987"/>
      <c r="R417" s="987"/>
      <c r="S417" s="987"/>
      <c r="T417" s="987"/>
      <c r="U417" s="987"/>
      <c r="V417" s="987"/>
      <c r="W417" s="987"/>
      <c r="X417" s="987"/>
      <c r="Y417" s="987"/>
      <c r="Z417" s="987"/>
    </row>
    <row r="418">
      <c r="A418" s="987"/>
      <c r="B418" s="987"/>
      <c r="C418" s="987"/>
      <c r="D418" s="987"/>
      <c r="E418" s="987"/>
      <c r="F418" s="987"/>
      <c r="G418" s="987"/>
      <c r="H418" s="987"/>
      <c r="I418" s="987"/>
      <c r="J418" s="987"/>
      <c r="K418" s="987"/>
      <c r="L418" s="987"/>
      <c r="M418" s="987"/>
      <c r="N418" s="987"/>
      <c r="O418" s="987"/>
      <c r="P418" s="987"/>
      <c r="Q418" s="987"/>
      <c r="R418" s="987"/>
      <c r="S418" s="987"/>
      <c r="T418" s="987"/>
      <c r="U418" s="987"/>
      <c r="V418" s="987"/>
      <c r="W418" s="987"/>
      <c r="X418" s="987"/>
      <c r="Y418" s="987"/>
      <c r="Z418" s="987"/>
    </row>
    <row r="419">
      <c r="A419" s="987"/>
      <c r="B419" s="987"/>
      <c r="C419" s="987"/>
      <c r="D419" s="987"/>
      <c r="E419" s="987"/>
      <c r="F419" s="987"/>
      <c r="G419" s="987"/>
      <c r="H419" s="987"/>
      <c r="I419" s="987"/>
      <c r="J419" s="987"/>
      <c r="K419" s="987"/>
      <c r="L419" s="987"/>
      <c r="M419" s="987"/>
      <c r="N419" s="987"/>
      <c r="O419" s="987"/>
      <c r="P419" s="987"/>
      <c r="Q419" s="987"/>
      <c r="R419" s="987"/>
      <c r="S419" s="987"/>
      <c r="T419" s="987"/>
      <c r="U419" s="987"/>
      <c r="V419" s="987"/>
      <c r="W419" s="987"/>
      <c r="X419" s="987"/>
      <c r="Y419" s="987"/>
      <c r="Z419" s="987"/>
    </row>
    <row r="420">
      <c r="A420" s="987"/>
      <c r="B420" s="987"/>
      <c r="C420" s="987"/>
      <c r="D420" s="987"/>
      <c r="E420" s="987"/>
      <c r="F420" s="987"/>
      <c r="G420" s="987"/>
      <c r="H420" s="987"/>
      <c r="I420" s="987"/>
      <c r="J420" s="987"/>
      <c r="K420" s="987"/>
      <c r="L420" s="987"/>
      <c r="M420" s="987"/>
      <c r="N420" s="987"/>
      <c r="O420" s="987"/>
      <c r="P420" s="987"/>
      <c r="Q420" s="987"/>
      <c r="R420" s="987"/>
      <c r="S420" s="987"/>
      <c r="T420" s="987"/>
      <c r="U420" s="987"/>
      <c r="V420" s="987"/>
      <c r="W420" s="987"/>
      <c r="X420" s="987"/>
      <c r="Y420" s="987"/>
      <c r="Z420" s="987"/>
    </row>
    <row r="421">
      <c r="A421" s="987"/>
      <c r="B421" s="987"/>
      <c r="C421" s="987"/>
      <c r="D421" s="987"/>
      <c r="E421" s="987"/>
      <c r="F421" s="987"/>
      <c r="G421" s="987"/>
      <c r="H421" s="987"/>
      <c r="I421" s="987"/>
      <c r="J421" s="987"/>
      <c r="K421" s="987"/>
      <c r="L421" s="987"/>
      <c r="M421" s="987"/>
      <c r="N421" s="987"/>
      <c r="O421" s="987"/>
      <c r="P421" s="987"/>
      <c r="Q421" s="987"/>
      <c r="R421" s="987"/>
      <c r="S421" s="987"/>
      <c r="T421" s="987"/>
      <c r="U421" s="987"/>
      <c r="V421" s="987"/>
      <c r="W421" s="987"/>
      <c r="X421" s="987"/>
      <c r="Y421" s="987"/>
      <c r="Z421" s="987"/>
    </row>
    <row r="422">
      <c r="A422" s="987"/>
      <c r="B422" s="987"/>
      <c r="C422" s="987"/>
      <c r="D422" s="987"/>
      <c r="E422" s="987"/>
      <c r="F422" s="987"/>
      <c r="G422" s="987"/>
      <c r="H422" s="987"/>
      <c r="I422" s="987"/>
      <c r="J422" s="987"/>
      <c r="K422" s="987"/>
      <c r="L422" s="987"/>
      <c r="M422" s="987"/>
      <c r="N422" s="987"/>
      <c r="O422" s="987"/>
      <c r="P422" s="987"/>
      <c r="Q422" s="987"/>
      <c r="R422" s="987"/>
      <c r="S422" s="987"/>
      <c r="T422" s="987"/>
      <c r="U422" s="987"/>
      <c r="V422" s="987"/>
      <c r="W422" s="987"/>
      <c r="X422" s="987"/>
      <c r="Y422" s="987"/>
      <c r="Z422" s="987"/>
    </row>
    <row r="423">
      <c r="A423" s="987"/>
      <c r="B423" s="987"/>
      <c r="C423" s="987"/>
      <c r="D423" s="987"/>
      <c r="E423" s="987"/>
      <c r="F423" s="987"/>
      <c r="G423" s="987"/>
      <c r="H423" s="987"/>
      <c r="I423" s="987"/>
      <c r="J423" s="987"/>
      <c r="K423" s="987"/>
      <c r="L423" s="987"/>
      <c r="M423" s="987"/>
      <c r="N423" s="987"/>
      <c r="O423" s="987"/>
      <c r="P423" s="987"/>
      <c r="Q423" s="987"/>
      <c r="R423" s="987"/>
      <c r="S423" s="987"/>
      <c r="T423" s="987"/>
      <c r="U423" s="987"/>
      <c r="V423" s="987"/>
      <c r="W423" s="987"/>
      <c r="X423" s="987"/>
      <c r="Y423" s="987"/>
      <c r="Z423" s="987"/>
    </row>
    <row r="424">
      <c r="A424" s="987"/>
      <c r="B424" s="987"/>
      <c r="C424" s="987"/>
      <c r="D424" s="987"/>
      <c r="E424" s="987"/>
      <c r="F424" s="987"/>
      <c r="G424" s="987"/>
      <c r="H424" s="987"/>
      <c r="I424" s="987"/>
      <c r="J424" s="987"/>
      <c r="K424" s="987"/>
      <c r="L424" s="987"/>
      <c r="M424" s="987"/>
      <c r="N424" s="987"/>
      <c r="O424" s="987"/>
      <c r="P424" s="987"/>
      <c r="Q424" s="987"/>
      <c r="R424" s="987"/>
      <c r="S424" s="987"/>
      <c r="T424" s="987"/>
      <c r="U424" s="987"/>
      <c r="V424" s="987"/>
      <c r="W424" s="987"/>
      <c r="X424" s="987"/>
      <c r="Y424" s="987"/>
      <c r="Z424" s="987"/>
    </row>
    <row r="425">
      <c r="A425" s="987"/>
      <c r="B425" s="987"/>
      <c r="C425" s="987"/>
      <c r="D425" s="987"/>
      <c r="E425" s="987"/>
      <c r="F425" s="987"/>
      <c r="G425" s="987"/>
      <c r="H425" s="987"/>
      <c r="I425" s="987"/>
      <c r="J425" s="987"/>
      <c r="K425" s="987"/>
      <c r="L425" s="987"/>
      <c r="M425" s="987"/>
      <c r="N425" s="987"/>
      <c r="O425" s="987"/>
      <c r="P425" s="987"/>
      <c r="Q425" s="987"/>
      <c r="R425" s="987"/>
      <c r="S425" s="987"/>
      <c r="T425" s="987"/>
      <c r="U425" s="987"/>
      <c r="V425" s="987"/>
      <c r="W425" s="987"/>
      <c r="X425" s="987"/>
      <c r="Y425" s="987"/>
      <c r="Z425" s="987"/>
    </row>
    <row r="426">
      <c r="A426" s="987"/>
      <c r="B426" s="987"/>
      <c r="C426" s="987"/>
      <c r="D426" s="987"/>
      <c r="E426" s="987"/>
      <c r="F426" s="987"/>
      <c r="G426" s="987"/>
      <c r="H426" s="987"/>
      <c r="I426" s="987"/>
      <c r="J426" s="987"/>
      <c r="K426" s="987"/>
      <c r="L426" s="987"/>
      <c r="M426" s="987"/>
      <c r="N426" s="987"/>
      <c r="O426" s="987"/>
      <c r="P426" s="987"/>
      <c r="Q426" s="987"/>
      <c r="R426" s="987"/>
      <c r="S426" s="987"/>
      <c r="T426" s="987"/>
      <c r="U426" s="987"/>
      <c r="V426" s="987"/>
      <c r="W426" s="987"/>
      <c r="X426" s="987"/>
      <c r="Y426" s="987"/>
      <c r="Z426" s="987"/>
    </row>
    <row r="427">
      <c r="A427" s="987"/>
      <c r="B427" s="987"/>
      <c r="C427" s="987"/>
      <c r="D427" s="987"/>
      <c r="E427" s="987"/>
      <c r="F427" s="987"/>
      <c r="G427" s="987"/>
      <c r="H427" s="987"/>
      <c r="I427" s="987"/>
      <c r="J427" s="987"/>
      <c r="K427" s="987"/>
      <c r="L427" s="987"/>
      <c r="M427" s="987"/>
      <c r="N427" s="987"/>
      <c r="O427" s="987"/>
      <c r="P427" s="987"/>
      <c r="Q427" s="987"/>
      <c r="R427" s="987"/>
      <c r="S427" s="987"/>
      <c r="T427" s="987"/>
      <c r="U427" s="987"/>
      <c r="V427" s="987"/>
      <c r="W427" s="987"/>
      <c r="X427" s="987"/>
      <c r="Y427" s="987"/>
      <c r="Z427" s="987"/>
    </row>
    <row r="428">
      <c r="A428" s="987"/>
      <c r="B428" s="987"/>
      <c r="C428" s="987"/>
      <c r="D428" s="987"/>
      <c r="E428" s="987"/>
      <c r="F428" s="987"/>
      <c r="G428" s="987"/>
      <c r="H428" s="987"/>
      <c r="I428" s="987"/>
      <c r="J428" s="987"/>
      <c r="K428" s="987"/>
      <c r="L428" s="987"/>
      <c r="M428" s="987"/>
      <c r="N428" s="987"/>
      <c r="O428" s="987"/>
      <c r="P428" s="987"/>
      <c r="Q428" s="987"/>
      <c r="R428" s="987"/>
      <c r="S428" s="987"/>
      <c r="T428" s="987"/>
      <c r="U428" s="987"/>
      <c r="V428" s="987"/>
      <c r="W428" s="987"/>
      <c r="X428" s="987"/>
      <c r="Y428" s="987"/>
      <c r="Z428" s="987"/>
    </row>
    <row r="429">
      <c r="A429" s="987"/>
      <c r="B429" s="987"/>
      <c r="C429" s="987"/>
      <c r="D429" s="987"/>
      <c r="E429" s="987"/>
      <c r="F429" s="987"/>
      <c r="G429" s="987"/>
      <c r="H429" s="987"/>
      <c r="I429" s="987"/>
      <c r="J429" s="987"/>
      <c r="K429" s="987"/>
      <c r="L429" s="987"/>
      <c r="M429" s="987"/>
      <c r="N429" s="987"/>
      <c r="O429" s="987"/>
      <c r="P429" s="987"/>
      <c r="Q429" s="987"/>
      <c r="R429" s="987"/>
      <c r="S429" s="987"/>
      <c r="T429" s="987"/>
      <c r="U429" s="987"/>
      <c r="V429" s="987"/>
      <c r="W429" s="987"/>
      <c r="X429" s="987"/>
      <c r="Y429" s="987"/>
      <c r="Z429" s="987"/>
    </row>
    <row r="430">
      <c r="A430" s="987"/>
      <c r="B430" s="987"/>
      <c r="C430" s="987"/>
      <c r="D430" s="987"/>
      <c r="E430" s="987"/>
      <c r="F430" s="987"/>
      <c r="G430" s="987"/>
      <c r="H430" s="987"/>
      <c r="I430" s="987"/>
      <c r="J430" s="987"/>
      <c r="K430" s="987"/>
      <c r="L430" s="987"/>
      <c r="M430" s="987"/>
      <c r="N430" s="987"/>
      <c r="O430" s="987"/>
      <c r="P430" s="987"/>
      <c r="Q430" s="987"/>
      <c r="R430" s="987"/>
      <c r="S430" s="987"/>
      <c r="T430" s="987"/>
      <c r="U430" s="987"/>
      <c r="V430" s="987"/>
      <c r="W430" s="987"/>
      <c r="X430" s="987"/>
      <c r="Y430" s="987"/>
      <c r="Z430" s="987"/>
    </row>
    <row r="431">
      <c r="A431" s="987"/>
      <c r="B431" s="987"/>
      <c r="C431" s="987"/>
      <c r="D431" s="987"/>
      <c r="E431" s="987"/>
      <c r="F431" s="987"/>
      <c r="G431" s="987"/>
      <c r="H431" s="987"/>
      <c r="I431" s="987"/>
      <c r="J431" s="987"/>
      <c r="K431" s="987"/>
      <c r="L431" s="987"/>
      <c r="M431" s="987"/>
      <c r="N431" s="987"/>
      <c r="O431" s="987"/>
      <c r="P431" s="987"/>
      <c r="Q431" s="987"/>
      <c r="R431" s="987"/>
      <c r="S431" s="987"/>
      <c r="T431" s="987"/>
      <c r="U431" s="987"/>
      <c r="V431" s="987"/>
      <c r="W431" s="987"/>
      <c r="X431" s="987"/>
      <c r="Y431" s="987"/>
      <c r="Z431" s="987"/>
    </row>
    <row r="432">
      <c r="A432" s="987"/>
      <c r="B432" s="987"/>
      <c r="C432" s="987"/>
      <c r="D432" s="987"/>
      <c r="E432" s="987"/>
      <c r="F432" s="987"/>
      <c r="G432" s="987"/>
      <c r="H432" s="987"/>
      <c r="I432" s="987"/>
      <c r="J432" s="987"/>
      <c r="K432" s="987"/>
      <c r="L432" s="987"/>
      <c r="M432" s="987"/>
      <c r="N432" s="987"/>
      <c r="O432" s="987"/>
      <c r="P432" s="987"/>
      <c r="Q432" s="987"/>
      <c r="R432" s="987"/>
      <c r="S432" s="987"/>
      <c r="T432" s="987"/>
      <c r="U432" s="987"/>
      <c r="V432" s="987"/>
      <c r="W432" s="987"/>
      <c r="X432" s="987"/>
      <c r="Y432" s="987"/>
      <c r="Z432" s="987"/>
    </row>
    <row r="433">
      <c r="A433" s="987"/>
      <c r="B433" s="987"/>
      <c r="C433" s="987"/>
      <c r="D433" s="987"/>
      <c r="E433" s="987"/>
      <c r="F433" s="987"/>
      <c r="G433" s="987"/>
      <c r="H433" s="987"/>
      <c r="I433" s="987"/>
      <c r="J433" s="987"/>
      <c r="K433" s="987"/>
      <c r="L433" s="987"/>
      <c r="M433" s="987"/>
      <c r="N433" s="987"/>
      <c r="O433" s="987"/>
      <c r="P433" s="987"/>
      <c r="Q433" s="987"/>
      <c r="R433" s="987"/>
      <c r="S433" s="987"/>
      <c r="T433" s="987"/>
      <c r="U433" s="987"/>
      <c r="V433" s="987"/>
      <c r="W433" s="987"/>
      <c r="X433" s="987"/>
      <c r="Y433" s="987"/>
      <c r="Z433" s="987"/>
    </row>
    <row r="434">
      <c r="A434" s="987"/>
      <c r="B434" s="987"/>
      <c r="C434" s="987"/>
      <c r="D434" s="987"/>
      <c r="E434" s="987"/>
      <c r="F434" s="987"/>
      <c r="G434" s="987"/>
      <c r="H434" s="987"/>
      <c r="I434" s="987"/>
      <c r="J434" s="987"/>
      <c r="K434" s="987"/>
      <c r="L434" s="987"/>
      <c r="M434" s="987"/>
      <c r="N434" s="987"/>
      <c r="O434" s="987"/>
      <c r="P434" s="987"/>
      <c r="Q434" s="987"/>
      <c r="R434" s="987"/>
      <c r="S434" s="987"/>
      <c r="T434" s="987"/>
      <c r="U434" s="987"/>
      <c r="V434" s="987"/>
      <c r="W434" s="987"/>
      <c r="X434" s="987"/>
      <c r="Y434" s="987"/>
      <c r="Z434" s="987"/>
    </row>
    <row r="435">
      <c r="A435" s="987"/>
      <c r="B435" s="987"/>
      <c r="C435" s="987"/>
      <c r="D435" s="987"/>
      <c r="E435" s="987"/>
      <c r="F435" s="987"/>
      <c r="G435" s="987"/>
      <c r="H435" s="987"/>
      <c r="I435" s="987"/>
      <c r="J435" s="987"/>
      <c r="K435" s="987"/>
      <c r="L435" s="987"/>
      <c r="M435" s="987"/>
      <c r="N435" s="987"/>
      <c r="O435" s="987"/>
      <c r="P435" s="987"/>
      <c r="Q435" s="987"/>
      <c r="R435" s="987"/>
      <c r="S435" s="987"/>
      <c r="T435" s="987"/>
      <c r="U435" s="987"/>
      <c r="V435" s="987"/>
      <c r="W435" s="987"/>
      <c r="X435" s="987"/>
      <c r="Y435" s="987"/>
      <c r="Z435" s="987"/>
    </row>
    <row r="436">
      <c r="A436" s="987"/>
      <c r="B436" s="987"/>
      <c r="C436" s="987"/>
      <c r="D436" s="987"/>
      <c r="E436" s="987"/>
      <c r="F436" s="987"/>
      <c r="G436" s="987"/>
      <c r="H436" s="987"/>
      <c r="I436" s="987"/>
      <c r="J436" s="987"/>
      <c r="K436" s="987"/>
      <c r="L436" s="987"/>
      <c r="M436" s="987"/>
      <c r="N436" s="987"/>
      <c r="O436" s="987"/>
      <c r="P436" s="987"/>
      <c r="Q436" s="987"/>
      <c r="R436" s="987"/>
      <c r="S436" s="987"/>
      <c r="T436" s="987"/>
      <c r="U436" s="987"/>
      <c r="V436" s="987"/>
      <c r="W436" s="987"/>
      <c r="X436" s="987"/>
      <c r="Y436" s="987"/>
      <c r="Z436" s="987"/>
    </row>
    <row r="437">
      <c r="A437" s="987"/>
      <c r="B437" s="987"/>
      <c r="C437" s="987"/>
      <c r="D437" s="987"/>
      <c r="E437" s="987"/>
      <c r="F437" s="987"/>
      <c r="G437" s="987"/>
      <c r="H437" s="987"/>
      <c r="I437" s="987"/>
      <c r="J437" s="987"/>
      <c r="K437" s="987"/>
      <c r="L437" s="987"/>
      <c r="M437" s="987"/>
      <c r="N437" s="987"/>
      <c r="O437" s="987"/>
      <c r="P437" s="987"/>
      <c r="Q437" s="987"/>
      <c r="R437" s="987"/>
      <c r="S437" s="987"/>
      <c r="T437" s="987"/>
      <c r="U437" s="987"/>
      <c r="V437" s="987"/>
      <c r="W437" s="987"/>
      <c r="X437" s="987"/>
      <c r="Y437" s="987"/>
      <c r="Z437" s="987"/>
    </row>
    <row r="438">
      <c r="A438" s="987"/>
      <c r="B438" s="987"/>
      <c r="C438" s="987"/>
      <c r="D438" s="987"/>
      <c r="E438" s="987"/>
      <c r="F438" s="987"/>
      <c r="G438" s="987"/>
      <c r="H438" s="987"/>
      <c r="I438" s="987"/>
      <c r="J438" s="987"/>
      <c r="K438" s="987"/>
      <c r="L438" s="987"/>
      <c r="M438" s="987"/>
      <c r="N438" s="987"/>
      <c r="O438" s="987"/>
      <c r="P438" s="987"/>
      <c r="Q438" s="987"/>
      <c r="R438" s="987"/>
      <c r="S438" s="987"/>
      <c r="T438" s="987"/>
      <c r="U438" s="987"/>
      <c r="V438" s="987"/>
      <c r="W438" s="987"/>
      <c r="X438" s="987"/>
      <c r="Y438" s="987"/>
      <c r="Z438" s="987"/>
    </row>
    <row r="439">
      <c r="A439" s="987"/>
      <c r="B439" s="987"/>
      <c r="C439" s="987"/>
      <c r="D439" s="987"/>
      <c r="E439" s="987"/>
      <c r="F439" s="987"/>
      <c r="G439" s="987"/>
      <c r="H439" s="987"/>
      <c r="I439" s="987"/>
      <c r="J439" s="987"/>
      <c r="K439" s="987"/>
      <c r="L439" s="987"/>
      <c r="M439" s="987"/>
      <c r="N439" s="987"/>
      <c r="O439" s="987"/>
      <c r="P439" s="987"/>
      <c r="Q439" s="987"/>
      <c r="R439" s="987"/>
      <c r="S439" s="987"/>
      <c r="T439" s="987"/>
      <c r="U439" s="987"/>
      <c r="V439" s="987"/>
      <c r="W439" s="987"/>
      <c r="X439" s="987"/>
      <c r="Y439" s="987"/>
      <c r="Z439" s="987"/>
    </row>
    <row r="440">
      <c r="A440" s="987"/>
      <c r="B440" s="987"/>
      <c r="C440" s="987"/>
      <c r="D440" s="987"/>
      <c r="E440" s="987"/>
      <c r="F440" s="987"/>
      <c r="G440" s="987"/>
      <c r="H440" s="987"/>
      <c r="I440" s="987"/>
      <c r="J440" s="987"/>
      <c r="K440" s="987"/>
      <c r="L440" s="987"/>
      <c r="M440" s="987"/>
      <c r="N440" s="987"/>
      <c r="O440" s="987"/>
      <c r="P440" s="987"/>
      <c r="Q440" s="987"/>
      <c r="R440" s="987"/>
      <c r="S440" s="987"/>
      <c r="T440" s="987"/>
      <c r="U440" s="987"/>
      <c r="V440" s="987"/>
      <c r="W440" s="987"/>
      <c r="X440" s="987"/>
      <c r="Y440" s="987"/>
      <c r="Z440" s="987"/>
    </row>
    <row r="441">
      <c r="A441" s="987"/>
      <c r="B441" s="987"/>
      <c r="C441" s="987"/>
      <c r="D441" s="987"/>
      <c r="E441" s="987"/>
      <c r="F441" s="987"/>
      <c r="G441" s="987"/>
      <c r="H441" s="987"/>
      <c r="I441" s="987"/>
      <c r="J441" s="987"/>
      <c r="K441" s="987"/>
      <c r="L441" s="987"/>
      <c r="M441" s="987"/>
      <c r="N441" s="987"/>
      <c r="O441" s="987"/>
      <c r="P441" s="987"/>
      <c r="Q441" s="987"/>
      <c r="R441" s="987"/>
      <c r="S441" s="987"/>
      <c r="T441" s="987"/>
      <c r="U441" s="987"/>
      <c r="V441" s="987"/>
      <c r="W441" s="987"/>
      <c r="X441" s="987"/>
      <c r="Y441" s="987"/>
      <c r="Z441" s="987"/>
    </row>
    <row r="442">
      <c r="A442" s="987"/>
      <c r="B442" s="987"/>
      <c r="C442" s="987"/>
      <c r="D442" s="987"/>
      <c r="E442" s="987"/>
      <c r="F442" s="987"/>
      <c r="G442" s="987"/>
      <c r="H442" s="987"/>
      <c r="I442" s="987"/>
      <c r="J442" s="987"/>
      <c r="K442" s="987"/>
      <c r="L442" s="987"/>
      <c r="M442" s="987"/>
      <c r="N442" s="987"/>
      <c r="O442" s="987"/>
      <c r="P442" s="987"/>
      <c r="Q442" s="987"/>
      <c r="R442" s="987"/>
      <c r="S442" s="987"/>
      <c r="T442" s="987"/>
      <c r="U442" s="987"/>
      <c r="V442" s="987"/>
      <c r="W442" s="987"/>
      <c r="X442" s="987"/>
      <c r="Y442" s="987"/>
      <c r="Z442" s="987"/>
    </row>
    <row r="443">
      <c r="A443" s="987"/>
      <c r="B443" s="987"/>
      <c r="C443" s="987"/>
      <c r="D443" s="987"/>
      <c r="E443" s="987"/>
      <c r="F443" s="987"/>
      <c r="G443" s="987"/>
      <c r="H443" s="987"/>
      <c r="I443" s="987"/>
      <c r="J443" s="987"/>
      <c r="K443" s="987"/>
      <c r="L443" s="987"/>
      <c r="M443" s="987"/>
      <c r="N443" s="987"/>
      <c r="O443" s="987"/>
      <c r="P443" s="987"/>
      <c r="Q443" s="987"/>
      <c r="R443" s="987"/>
      <c r="S443" s="987"/>
      <c r="T443" s="987"/>
      <c r="U443" s="987"/>
      <c r="V443" s="987"/>
      <c r="W443" s="987"/>
      <c r="X443" s="987"/>
      <c r="Y443" s="987"/>
      <c r="Z443" s="987"/>
    </row>
    <row r="444">
      <c r="A444" s="987"/>
      <c r="B444" s="987"/>
      <c r="C444" s="987"/>
      <c r="D444" s="987"/>
      <c r="E444" s="987"/>
      <c r="F444" s="987"/>
      <c r="G444" s="987"/>
      <c r="H444" s="987"/>
      <c r="I444" s="987"/>
      <c r="J444" s="987"/>
      <c r="K444" s="987"/>
      <c r="L444" s="987"/>
      <c r="M444" s="987"/>
      <c r="N444" s="987"/>
      <c r="O444" s="987"/>
      <c r="P444" s="987"/>
      <c r="Q444" s="987"/>
      <c r="R444" s="987"/>
      <c r="S444" s="987"/>
      <c r="T444" s="987"/>
      <c r="U444" s="987"/>
      <c r="V444" s="987"/>
      <c r="W444" s="987"/>
      <c r="X444" s="987"/>
      <c r="Y444" s="987"/>
      <c r="Z444" s="987"/>
    </row>
    <row r="445">
      <c r="A445" s="987"/>
      <c r="B445" s="987"/>
      <c r="C445" s="987"/>
      <c r="D445" s="987"/>
      <c r="E445" s="987"/>
      <c r="F445" s="987"/>
      <c r="G445" s="987"/>
      <c r="H445" s="987"/>
      <c r="I445" s="987"/>
      <c r="J445" s="987"/>
      <c r="K445" s="987"/>
      <c r="L445" s="987"/>
      <c r="M445" s="987"/>
      <c r="N445" s="987"/>
      <c r="O445" s="987"/>
      <c r="P445" s="987"/>
      <c r="Q445" s="987"/>
      <c r="R445" s="987"/>
      <c r="S445" s="987"/>
      <c r="T445" s="987"/>
      <c r="U445" s="987"/>
      <c r="V445" s="987"/>
      <c r="W445" s="987"/>
      <c r="X445" s="987"/>
      <c r="Y445" s="987"/>
      <c r="Z445" s="987"/>
    </row>
    <row r="446">
      <c r="A446" s="987"/>
      <c r="B446" s="987"/>
      <c r="C446" s="987"/>
      <c r="D446" s="987"/>
      <c r="E446" s="987"/>
      <c r="F446" s="987"/>
      <c r="G446" s="987"/>
      <c r="H446" s="987"/>
      <c r="I446" s="987"/>
      <c r="J446" s="987"/>
      <c r="K446" s="987"/>
      <c r="L446" s="987"/>
      <c r="M446" s="987"/>
      <c r="N446" s="987"/>
      <c r="O446" s="987"/>
      <c r="P446" s="987"/>
      <c r="Q446" s="987"/>
      <c r="R446" s="987"/>
      <c r="S446" s="987"/>
      <c r="T446" s="987"/>
      <c r="U446" s="987"/>
      <c r="V446" s="987"/>
      <c r="W446" s="987"/>
      <c r="X446" s="987"/>
      <c r="Y446" s="987"/>
      <c r="Z446" s="987"/>
    </row>
    <row r="447">
      <c r="A447" s="987"/>
      <c r="B447" s="987"/>
      <c r="C447" s="987"/>
      <c r="D447" s="987"/>
      <c r="E447" s="987"/>
      <c r="F447" s="987"/>
      <c r="G447" s="987"/>
      <c r="H447" s="987"/>
      <c r="I447" s="987"/>
      <c r="J447" s="987"/>
      <c r="K447" s="987"/>
      <c r="L447" s="987"/>
      <c r="M447" s="987"/>
      <c r="N447" s="987"/>
      <c r="O447" s="987"/>
      <c r="P447" s="987"/>
      <c r="Q447" s="987"/>
      <c r="R447" s="987"/>
      <c r="S447" s="987"/>
      <c r="T447" s="987"/>
      <c r="U447" s="987"/>
      <c r="V447" s="987"/>
      <c r="W447" s="987"/>
      <c r="X447" s="987"/>
      <c r="Y447" s="987"/>
      <c r="Z447" s="987"/>
    </row>
    <row r="448">
      <c r="A448" s="987"/>
      <c r="B448" s="987"/>
      <c r="C448" s="987"/>
      <c r="D448" s="987"/>
      <c r="E448" s="987"/>
      <c r="F448" s="987"/>
      <c r="G448" s="987"/>
      <c r="H448" s="987"/>
      <c r="I448" s="987"/>
      <c r="J448" s="987"/>
      <c r="K448" s="987"/>
      <c r="L448" s="987"/>
      <c r="M448" s="987"/>
      <c r="N448" s="987"/>
      <c r="O448" s="987"/>
      <c r="P448" s="987"/>
      <c r="Q448" s="987"/>
      <c r="R448" s="987"/>
      <c r="S448" s="987"/>
      <c r="T448" s="987"/>
      <c r="U448" s="987"/>
      <c r="V448" s="987"/>
      <c r="W448" s="987"/>
      <c r="X448" s="987"/>
      <c r="Y448" s="987"/>
      <c r="Z448" s="987"/>
    </row>
    <row r="449">
      <c r="A449" s="987"/>
      <c r="B449" s="987"/>
      <c r="C449" s="987"/>
      <c r="D449" s="987"/>
      <c r="E449" s="987"/>
      <c r="F449" s="987"/>
      <c r="G449" s="987"/>
      <c r="H449" s="987"/>
      <c r="I449" s="987"/>
      <c r="J449" s="987"/>
      <c r="K449" s="987"/>
      <c r="L449" s="987"/>
      <c r="M449" s="987"/>
      <c r="N449" s="987"/>
      <c r="O449" s="987"/>
      <c r="P449" s="987"/>
      <c r="Q449" s="987"/>
      <c r="R449" s="987"/>
      <c r="S449" s="987"/>
      <c r="T449" s="987"/>
      <c r="U449" s="987"/>
      <c r="V449" s="987"/>
      <c r="W449" s="987"/>
      <c r="X449" s="987"/>
      <c r="Y449" s="987"/>
      <c r="Z449" s="987"/>
    </row>
    <row r="450">
      <c r="A450" s="987"/>
      <c r="B450" s="987"/>
      <c r="C450" s="987"/>
      <c r="D450" s="987"/>
      <c r="E450" s="987"/>
      <c r="F450" s="987"/>
      <c r="G450" s="987"/>
      <c r="H450" s="987"/>
      <c r="I450" s="987"/>
      <c r="J450" s="987"/>
      <c r="K450" s="987"/>
      <c r="L450" s="987"/>
      <c r="M450" s="987"/>
      <c r="N450" s="987"/>
      <c r="O450" s="987"/>
      <c r="P450" s="987"/>
      <c r="Q450" s="987"/>
      <c r="R450" s="987"/>
      <c r="S450" s="987"/>
      <c r="T450" s="987"/>
      <c r="U450" s="987"/>
      <c r="V450" s="987"/>
      <c r="W450" s="987"/>
      <c r="X450" s="987"/>
      <c r="Y450" s="987"/>
      <c r="Z450" s="987"/>
    </row>
    <row r="451">
      <c r="A451" s="987"/>
      <c r="B451" s="987"/>
      <c r="C451" s="987"/>
      <c r="D451" s="987"/>
      <c r="E451" s="987"/>
      <c r="F451" s="987"/>
      <c r="G451" s="987"/>
      <c r="H451" s="987"/>
      <c r="I451" s="987"/>
      <c r="J451" s="987"/>
      <c r="K451" s="987"/>
      <c r="L451" s="987"/>
      <c r="M451" s="987"/>
      <c r="N451" s="987"/>
      <c r="O451" s="987"/>
      <c r="P451" s="987"/>
      <c r="Q451" s="987"/>
      <c r="R451" s="987"/>
      <c r="S451" s="987"/>
      <c r="T451" s="987"/>
      <c r="U451" s="987"/>
      <c r="V451" s="987"/>
      <c r="W451" s="987"/>
      <c r="X451" s="987"/>
      <c r="Y451" s="987"/>
      <c r="Z451" s="987"/>
    </row>
    <row r="452">
      <c r="A452" s="987"/>
      <c r="B452" s="987"/>
      <c r="C452" s="987"/>
      <c r="D452" s="987"/>
      <c r="E452" s="987"/>
      <c r="F452" s="987"/>
      <c r="G452" s="987"/>
      <c r="H452" s="987"/>
      <c r="I452" s="987"/>
      <c r="J452" s="987"/>
      <c r="K452" s="987"/>
      <c r="L452" s="987"/>
      <c r="M452" s="987"/>
      <c r="N452" s="987"/>
      <c r="O452" s="987"/>
      <c r="P452" s="987"/>
      <c r="Q452" s="987"/>
      <c r="R452" s="987"/>
      <c r="S452" s="987"/>
      <c r="T452" s="987"/>
      <c r="U452" s="987"/>
      <c r="V452" s="987"/>
      <c r="W452" s="987"/>
      <c r="X452" s="987"/>
      <c r="Y452" s="987"/>
      <c r="Z452" s="987"/>
    </row>
    <row r="453">
      <c r="A453" s="987"/>
      <c r="B453" s="987"/>
      <c r="C453" s="987"/>
      <c r="D453" s="987"/>
      <c r="E453" s="987"/>
      <c r="F453" s="987"/>
      <c r="G453" s="987"/>
      <c r="H453" s="987"/>
      <c r="I453" s="987"/>
      <c r="J453" s="987"/>
      <c r="K453" s="987"/>
      <c r="L453" s="987"/>
      <c r="M453" s="987"/>
      <c r="N453" s="987"/>
      <c r="O453" s="987"/>
      <c r="P453" s="987"/>
      <c r="Q453" s="987"/>
      <c r="R453" s="987"/>
      <c r="S453" s="987"/>
      <c r="T453" s="987"/>
      <c r="U453" s="987"/>
      <c r="V453" s="987"/>
      <c r="W453" s="987"/>
      <c r="X453" s="987"/>
      <c r="Y453" s="987"/>
      <c r="Z453" s="987"/>
    </row>
    <row r="454">
      <c r="A454" s="987"/>
      <c r="B454" s="987"/>
      <c r="C454" s="987"/>
      <c r="D454" s="987"/>
      <c r="E454" s="987"/>
      <c r="F454" s="987"/>
      <c r="G454" s="987"/>
      <c r="H454" s="987"/>
      <c r="I454" s="987"/>
      <c r="J454" s="987"/>
      <c r="K454" s="987"/>
      <c r="L454" s="987"/>
      <c r="M454" s="987"/>
      <c r="N454" s="987"/>
      <c r="O454" s="987"/>
      <c r="P454" s="987"/>
      <c r="Q454" s="987"/>
      <c r="R454" s="987"/>
      <c r="S454" s="987"/>
      <c r="T454" s="987"/>
      <c r="U454" s="987"/>
      <c r="V454" s="987"/>
      <c r="W454" s="987"/>
      <c r="X454" s="987"/>
      <c r="Y454" s="987"/>
      <c r="Z454" s="987"/>
    </row>
    <row r="455">
      <c r="A455" s="987"/>
      <c r="B455" s="987"/>
      <c r="C455" s="987"/>
      <c r="D455" s="987"/>
      <c r="E455" s="987"/>
      <c r="F455" s="987"/>
      <c r="G455" s="987"/>
      <c r="H455" s="987"/>
      <c r="I455" s="987"/>
      <c r="J455" s="987"/>
      <c r="K455" s="987"/>
      <c r="L455" s="987"/>
      <c r="M455" s="987"/>
      <c r="N455" s="987"/>
      <c r="O455" s="987"/>
      <c r="P455" s="987"/>
      <c r="Q455" s="987"/>
      <c r="R455" s="987"/>
      <c r="S455" s="987"/>
      <c r="T455" s="987"/>
      <c r="U455" s="987"/>
      <c r="V455" s="987"/>
      <c r="W455" s="987"/>
      <c r="X455" s="987"/>
      <c r="Y455" s="987"/>
      <c r="Z455" s="987"/>
    </row>
    <row r="456">
      <c r="A456" s="987"/>
      <c r="B456" s="987"/>
      <c r="C456" s="987"/>
      <c r="D456" s="987"/>
      <c r="E456" s="987"/>
      <c r="F456" s="987"/>
      <c r="G456" s="987"/>
      <c r="H456" s="987"/>
      <c r="I456" s="987"/>
      <c r="J456" s="987"/>
      <c r="K456" s="987"/>
      <c r="L456" s="987"/>
      <c r="M456" s="987"/>
      <c r="N456" s="987"/>
      <c r="O456" s="987"/>
      <c r="P456" s="987"/>
      <c r="Q456" s="987"/>
      <c r="R456" s="987"/>
      <c r="S456" s="987"/>
      <c r="T456" s="987"/>
      <c r="U456" s="987"/>
      <c r="V456" s="987"/>
      <c r="W456" s="987"/>
      <c r="X456" s="987"/>
      <c r="Y456" s="987"/>
      <c r="Z456" s="987"/>
    </row>
    <row r="457">
      <c r="A457" s="987"/>
      <c r="B457" s="987"/>
      <c r="C457" s="987"/>
      <c r="D457" s="987"/>
      <c r="E457" s="987"/>
      <c r="F457" s="987"/>
      <c r="G457" s="987"/>
      <c r="H457" s="987"/>
      <c r="I457" s="987"/>
      <c r="J457" s="987"/>
      <c r="K457" s="987"/>
      <c r="L457" s="987"/>
      <c r="M457" s="987"/>
      <c r="N457" s="987"/>
      <c r="O457" s="987"/>
      <c r="P457" s="987"/>
      <c r="Q457" s="987"/>
      <c r="R457" s="987"/>
      <c r="S457" s="987"/>
      <c r="T457" s="987"/>
      <c r="U457" s="987"/>
      <c r="V457" s="987"/>
      <c r="W457" s="987"/>
      <c r="X457" s="987"/>
      <c r="Y457" s="987"/>
      <c r="Z457" s="987"/>
    </row>
    <row r="458">
      <c r="A458" s="987"/>
      <c r="B458" s="987"/>
      <c r="C458" s="987"/>
      <c r="D458" s="987"/>
      <c r="E458" s="987"/>
      <c r="F458" s="987"/>
      <c r="G458" s="987"/>
      <c r="H458" s="987"/>
      <c r="I458" s="987"/>
      <c r="J458" s="987"/>
      <c r="K458" s="987"/>
      <c r="L458" s="987"/>
      <c r="M458" s="987"/>
      <c r="N458" s="987"/>
      <c r="O458" s="987"/>
      <c r="P458" s="987"/>
      <c r="Q458" s="987"/>
      <c r="R458" s="987"/>
      <c r="S458" s="987"/>
      <c r="T458" s="987"/>
      <c r="U458" s="987"/>
      <c r="V458" s="987"/>
      <c r="W458" s="987"/>
      <c r="X458" s="987"/>
      <c r="Y458" s="987"/>
      <c r="Z458" s="987"/>
    </row>
    <row r="459">
      <c r="A459" s="987"/>
      <c r="B459" s="987"/>
      <c r="C459" s="987"/>
      <c r="D459" s="987"/>
      <c r="E459" s="987"/>
      <c r="F459" s="987"/>
      <c r="G459" s="987"/>
      <c r="H459" s="987"/>
      <c r="I459" s="987"/>
      <c r="J459" s="987"/>
      <c r="K459" s="987"/>
      <c r="L459" s="987"/>
      <c r="M459" s="987"/>
      <c r="N459" s="987"/>
      <c r="O459" s="987"/>
      <c r="P459" s="987"/>
      <c r="Q459" s="987"/>
      <c r="R459" s="987"/>
      <c r="S459" s="987"/>
      <c r="T459" s="987"/>
      <c r="U459" s="987"/>
      <c r="V459" s="987"/>
      <c r="W459" s="987"/>
      <c r="X459" s="987"/>
      <c r="Y459" s="987"/>
      <c r="Z459" s="987"/>
    </row>
    <row r="460">
      <c r="A460" s="987"/>
      <c r="B460" s="987"/>
      <c r="C460" s="987"/>
      <c r="D460" s="987"/>
      <c r="E460" s="987"/>
      <c r="F460" s="987"/>
      <c r="G460" s="987"/>
      <c r="H460" s="987"/>
      <c r="I460" s="987"/>
      <c r="J460" s="987"/>
      <c r="K460" s="987"/>
      <c r="L460" s="987"/>
      <c r="M460" s="987"/>
      <c r="N460" s="987"/>
      <c r="O460" s="987"/>
      <c r="P460" s="987"/>
      <c r="Q460" s="987"/>
      <c r="R460" s="987"/>
      <c r="S460" s="987"/>
      <c r="T460" s="987"/>
      <c r="U460" s="987"/>
      <c r="V460" s="987"/>
      <c r="W460" s="987"/>
      <c r="X460" s="987"/>
      <c r="Y460" s="987"/>
      <c r="Z460" s="987"/>
    </row>
    <row r="461">
      <c r="A461" s="987"/>
      <c r="B461" s="987"/>
      <c r="C461" s="987"/>
      <c r="D461" s="987"/>
      <c r="E461" s="987"/>
      <c r="F461" s="987"/>
      <c r="G461" s="987"/>
      <c r="H461" s="987"/>
      <c r="I461" s="987"/>
      <c r="J461" s="987"/>
      <c r="K461" s="987"/>
      <c r="L461" s="987"/>
      <c r="M461" s="987"/>
      <c r="N461" s="987"/>
      <c r="O461" s="987"/>
      <c r="P461" s="987"/>
      <c r="Q461" s="987"/>
      <c r="R461" s="987"/>
      <c r="S461" s="987"/>
      <c r="T461" s="987"/>
      <c r="U461" s="987"/>
      <c r="V461" s="987"/>
      <c r="W461" s="987"/>
      <c r="X461" s="987"/>
      <c r="Y461" s="987"/>
      <c r="Z461" s="987"/>
    </row>
    <row r="462">
      <c r="A462" s="987"/>
      <c r="B462" s="987"/>
      <c r="C462" s="987"/>
      <c r="D462" s="987"/>
      <c r="E462" s="987"/>
      <c r="F462" s="987"/>
      <c r="G462" s="987"/>
      <c r="H462" s="987"/>
      <c r="I462" s="987"/>
      <c r="J462" s="987"/>
      <c r="K462" s="987"/>
      <c r="L462" s="987"/>
      <c r="M462" s="987"/>
      <c r="N462" s="987"/>
      <c r="O462" s="987"/>
      <c r="P462" s="987"/>
      <c r="Q462" s="987"/>
      <c r="R462" s="987"/>
      <c r="S462" s="987"/>
      <c r="T462" s="987"/>
      <c r="U462" s="987"/>
      <c r="V462" s="987"/>
      <c r="W462" s="987"/>
      <c r="X462" s="987"/>
      <c r="Y462" s="987"/>
      <c r="Z462" s="987"/>
    </row>
    <row r="463">
      <c r="A463" s="987"/>
      <c r="B463" s="987"/>
      <c r="C463" s="987"/>
      <c r="D463" s="987"/>
      <c r="E463" s="987"/>
      <c r="F463" s="987"/>
      <c r="G463" s="987"/>
      <c r="H463" s="987"/>
      <c r="I463" s="987"/>
      <c r="J463" s="987"/>
      <c r="K463" s="987"/>
      <c r="L463" s="987"/>
      <c r="M463" s="987"/>
      <c r="N463" s="987"/>
      <c r="O463" s="987"/>
      <c r="P463" s="987"/>
      <c r="Q463" s="987"/>
      <c r="R463" s="987"/>
      <c r="S463" s="987"/>
      <c r="T463" s="987"/>
      <c r="U463" s="987"/>
      <c r="V463" s="987"/>
      <c r="W463" s="987"/>
      <c r="X463" s="987"/>
      <c r="Y463" s="987"/>
      <c r="Z463" s="987"/>
    </row>
    <row r="464">
      <c r="A464" s="987"/>
      <c r="B464" s="987"/>
      <c r="C464" s="987"/>
      <c r="D464" s="987"/>
      <c r="E464" s="987"/>
      <c r="F464" s="987"/>
      <c r="G464" s="987"/>
      <c r="H464" s="987"/>
      <c r="I464" s="987"/>
      <c r="J464" s="987"/>
      <c r="K464" s="987"/>
      <c r="L464" s="987"/>
      <c r="M464" s="987"/>
      <c r="N464" s="987"/>
      <c r="O464" s="987"/>
      <c r="P464" s="987"/>
      <c r="Q464" s="987"/>
      <c r="R464" s="987"/>
      <c r="S464" s="987"/>
      <c r="T464" s="987"/>
      <c r="U464" s="987"/>
      <c r="V464" s="987"/>
      <c r="W464" s="987"/>
      <c r="X464" s="987"/>
      <c r="Y464" s="987"/>
      <c r="Z464" s="987"/>
    </row>
    <row r="465">
      <c r="A465" s="987"/>
      <c r="B465" s="987"/>
      <c r="C465" s="987"/>
      <c r="D465" s="987"/>
      <c r="E465" s="987"/>
      <c r="F465" s="987"/>
      <c r="G465" s="987"/>
      <c r="H465" s="987"/>
      <c r="I465" s="987"/>
      <c r="J465" s="987"/>
      <c r="K465" s="987"/>
      <c r="L465" s="987"/>
      <c r="M465" s="987"/>
      <c r="N465" s="987"/>
      <c r="O465" s="987"/>
      <c r="P465" s="987"/>
      <c r="Q465" s="987"/>
      <c r="R465" s="987"/>
      <c r="S465" s="987"/>
      <c r="T465" s="987"/>
      <c r="U465" s="987"/>
      <c r="V465" s="987"/>
      <c r="W465" s="987"/>
      <c r="X465" s="987"/>
      <c r="Y465" s="987"/>
      <c r="Z465" s="987"/>
    </row>
    <row r="466">
      <c r="A466" s="987"/>
      <c r="B466" s="987"/>
      <c r="C466" s="987"/>
      <c r="D466" s="987"/>
      <c r="E466" s="987"/>
      <c r="F466" s="987"/>
      <c r="G466" s="987"/>
      <c r="H466" s="987"/>
      <c r="I466" s="987"/>
      <c r="J466" s="987"/>
      <c r="K466" s="987"/>
      <c r="L466" s="987"/>
      <c r="M466" s="987"/>
      <c r="N466" s="987"/>
      <c r="O466" s="987"/>
      <c r="P466" s="987"/>
      <c r="Q466" s="987"/>
      <c r="R466" s="987"/>
      <c r="S466" s="987"/>
      <c r="T466" s="987"/>
      <c r="U466" s="987"/>
      <c r="V466" s="987"/>
      <c r="W466" s="987"/>
      <c r="X466" s="987"/>
      <c r="Y466" s="987"/>
      <c r="Z466" s="987"/>
    </row>
    <row r="467">
      <c r="A467" s="987"/>
      <c r="B467" s="987"/>
      <c r="C467" s="987"/>
      <c r="D467" s="987"/>
      <c r="E467" s="987"/>
      <c r="F467" s="987"/>
      <c r="G467" s="987"/>
      <c r="H467" s="987"/>
      <c r="I467" s="987"/>
      <c r="J467" s="987"/>
      <c r="K467" s="987"/>
      <c r="L467" s="987"/>
      <c r="M467" s="987"/>
      <c r="N467" s="987"/>
      <c r="O467" s="987"/>
      <c r="P467" s="987"/>
      <c r="Q467" s="987"/>
      <c r="R467" s="987"/>
      <c r="S467" s="987"/>
      <c r="T467" s="987"/>
      <c r="U467" s="987"/>
      <c r="V467" s="987"/>
      <c r="W467" s="987"/>
      <c r="X467" s="987"/>
      <c r="Y467" s="987"/>
      <c r="Z467" s="987"/>
    </row>
    <row r="468">
      <c r="A468" s="987"/>
      <c r="B468" s="987"/>
      <c r="C468" s="987"/>
      <c r="D468" s="987"/>
      <c r="E468" s="987"/>
      <c r="F468" s="987"/>
      <c r="G468" s="987"/>
      <c r="H468" s="987"/>
      <c r="I468" s="987"/>
      <c r="J468" s="987"/>
      <c r="K468" s="987"/>
      <c r="L468" s="987"/>
      <c r="M468" s="987"/>
      <c r="N468" s="987"/>
      <c r="O468" s="987"/>
      <c r="P468" s="987"/>
      <c r="Q468" s="987"/>
      <c r="R468" s="987"/>
      <c r="S468" s="987"/>
      <c r="T468" s="987"/>
      <c r="U468" s="987"/>
      <c r="V468" s="987"/>
      <c r="W468" s="987"/>
      <c r="X468" s="987"/>
      <c r="Y468" s="987"/>
      <c r="Z468" s="987"/>
    </row>
    <row r="469">
      <c r="A469" s="987"/>
      <c r="B469" s="987"/>
      <c r="C469" s="987"/>
      <c r="D469" s="987"/>
      <c r="E469" s="987"/>
      <c r="F469" s="987"/>
      <c r="G469" s="987"/>
      <c r="H469" s="987"/>
      <c r="I469" s="987"/>
      <c r="J469" s="987"/>
      <c r="K469" s="987"/>
      <c r="L469" s="987"/>
      <c r="M469" s="987"/>
      <c r="N469" s="987"/>
      <c r="O469" s="987"/>
      <c r="P469" s="987"/>
      <c r="Q469" s="987"/>
      <c r="R469" s="987"/>
      <c r="S469" s="987"/>
      <c r="T469" s="987"/>
      <c r="U469" s="987"/>
      <c r="V469" s="987"/>
      <c r="W469" s="987"/>
      <c r="X469" s="987"/>
      <c r="Y469" s="987"/>
      <c r="Z469" s="987"/>
    </row>
    <row r="470">
      <c r="A470" s="987"/>
      <c r="B470" s="987"/>
      <c r="C470" s="987"/>
      <c r="D470" s="987"/>
      <c r="E470" s="987"/>
      <c r="F470" s="987"/>
      <c r="G470" s="987"/>
      <c r="H470" s="987"/>
      <c r="I470" s="987"/>
      <c r="J470" s="987"/>
      <c r="K470" s="987"/>
      <c r="L470" s="987"/>
      <c r="M470" s="987"/>
      <c r="N470" s="987"/>
      <c r="O470" s="987"/>
      <c r="P470" s="987"/>
      <c r="Q470" s="987"/>
      <c r="R470" s="987"/>
      <c r="S470" s="987"/>
      <c r="T470" s="987"/>
      <c r="U470" s="987"/>
      <c r="V470" s="987"/>
      <c r="W470" s="987"/>
      <c r="X470" s="987"/>
      <c r="Y470" s="987"/>
      <c r="Z470" s="987"/>
    </row>
    <row r="471">
      <c r="A471" s="987"/>
      <c r="B471" s="987"/>
      <c r="C471" s="987"/>
      <c r="D471" s="987"/>
      <c r="E471" s="987"/>
      <c r="F471" s="987"/>
      <c r="G471" s="987"/>
      <c r="H471" s="987"/>
      <c r="I471" s="987"/>
      <c r="J471" s="987"/>
      <c r="K471" s="987"/>
      <c r="L471" s="987"/>
      <c r="M471" s="987"/>
      <c r="N471" s="987"/>
      <c r="O471" s="987"/>
      <c r="P471" s="987"/>
      <c r="Q471" s="987"/>
      <c r="R471" s="987"/>
      <c r="S471" s="987"/>
      <c r="T471" s="987"/>
      <c r="U471" s="987"/>
      <c r="V471" s="987"/>
      <c r="W471" s="987"/>
      <c r="X471" s="987"/>
      <c r="Y471" s="987"/>
      <c r="Z471" s="987"/>
    </row>
    <row r="472">
      <c r="A472" s="987"/>
      <c r="B472" s="987"/>
      <c r="C472" s="987"/>
      <c r="D472" s="987"/>
      <c r="E472" s="987"/>
      <c r="F472" s="987"/>
      <c r="G472" s="987"/>
      <c r="H472" s="987"/>
      <c r="I472" s="987"/>
      <c r="J472" s="987"/>
      <c r="K472" s="987"/>
      <c r="L472" s="987"/>
      <c r="M472" s="987"/>
      <c r="N472" s="987"/>
      <c r="O472" s="987"/>
      <c r="P472" s="987"/>
      <c r="Q472" s="987"/>
      <c r="R472" s="987"/>
      <c r="S472" s="987"/>
      <c r="T472" s="987"/>
      <c r="U472" s="987"/>
      <c r="V472" s="987"/>
      <c r="W472" s="987"/>
      <c r="X472" s="987"/>
      <c r="Y472" s="987"/>
      <c r="Z472" s="987"/>
    </row>
    <row r="473">
      <c r="A473" s="987"/>
      <c r="B473" s="987"/>
      <c r="C473" s="987"/>
      <c r="D473" s="987"/>
      <c r="E473" s="987"/>
      <c r="F473" s="987"/>
      <c r="G473" s="987"/>
      <c r="H473" s="987"/>
      <c r="I473" s="987"/>
      <c r="J473" s="987"/>
      <c r="K473" s="987"/>
      <c r="L473" s="987"/>
      <c r="M473" s="987"/>
      <c r="N473" s="987"/>
      <c r="O473" s="987"/>
      <c r="P473" s="987"/>
      <c r="Q473" s="987"/>
      <c r="R473" s="987"/>
      <c r="S473" s="987"/>
      <c r="T473" s="987"/>
      <c r="U473" s="987"/>
      <c r="V473" s="987"/>
      <c r="W473" s="987"/>
      <c r="X473" s="987"/>
      <c r="Y473" s="987"/>
      <c r="Z473" s="987"/>
    </row>
    <row r="474">
      <c r="A474" s="987"/>
      <c r="B474" s="987"/>
      <c r="C474" s="987"/>
      <c r="D474" s="987"/>
      <c r="E474" s="987"/>
      <c r="F474" s="987"/>
      <c r="G474" s="987"/>
      <c r="H474" s="987"/>
      <c r="I474" s="987"/>
      <c r="J474" s="987"/>
      <c r="K474" s="987"/>
      <c r="L474" s="987"/>
      <c r="M474" s="987"/>
      <c r="N474" s="987"/>
      <c r="O474" s="987"/>
      <c r="P474" s="987"/>
      <c r="Q474" s="987"/>
      <c r="R474" s="987"/>
      <c r="S474" s="987"/>
      <c r="T474" s="987"/>
      <c r="U474" s="987"/>
      <c r="V474" s="987"/>
      <c r="W474" s="987"/>
      <c r="X474" s="987"/>
      <c r="Y474" s="987"/>
      <c r="Z474" s="987"/>
    </row>
    <row r="475">
      <c r="A475" s="987"/>
      <c r="B475" s="987"/>
      <c r="C475" s="987"/>
      <c r="D475" s="987"/>
      <c r="E475" s="987"/>
      <c r="F475" s="987"/>
      <c r="G475" s="987"/>
      <c r="H475" s="987"/>
      <c r="I475" s="987"/>
      <c r="J475" s="987"/>
      <c r="K475" s="987"/>
      <c r="L475" s="987"/>
      <c r="M475" s="987"/>
      <c r="N475" s="987"/>
      <c r="O475" s="987"/>
      <c r="P475" s="987"/>
      <c r="Q475" s="987"/>
      <c r="R475" s="987"/>
      <c r="S475" s="987"/>
      <c r="T475" s="987"/>
      <c r="U475" s="987"/>
      <c r="V475" s="987"/>
      <c r="W475" s="987"/>
      <c r="X475" s="987"/>
      <c r="Y475" s="987"/>
      <c r="Z475" s="987"/>
    </row>
    <row r="476">
      <c r="A476" s="987"/>
      <c r="B476" s="987"/>
      <c r="C476" s="987"/>
      <c r="D476" s="987"/>
      <c r="E476" s="987"/>
      <c r="F476" s="987"/>
      <c r="G476" s="987"/>
      <c r="H476" s="987"/>
      <c r="I476" s="987"/>
      <c r="J476" s="987"/>
      <c r="K476" s="987"/>
      <c r="L476" s="987"/>
      <c r="M476" s="987"/>
      <c r="N476" s="987"/>
      <c r="O476" s="987"/>
      <c r="P476" s="987"/>
      <c r="Q476" s="987"/>
      <c r="R476" s="987"/>
      <c r="S476" s="987"/>
      <c r="T476" s="987"/>
      <c r="U476" s="987"/>
      <c r="V476" s="987"/>
      <c r="W476" s="987"/>
      <c r="X476" s="987"/>
      <c r="Y476" s="987"/>
      <c r="Z476" s="987"/>
    </row>
    <row r="477">
      <c r="A477" s="987"/>
      <c r="B477" s="987"/>
      <c r="C477" s="987"/>
      <c r="D477" s="987"/>
      <c r="E477" s="987"/>
      <c r="F477" s="987"/>
      <c r="G477" s="987"/>
      <c r="H477" s="987"/>
      <c r="I477" s="987"/>
      <c r="J477" s="987"/>
      <c r="K477" s="987"/>
      <c r="L477" s="987"/>
      <c r="M477" s="987"/>
      <c r="N477" s="987"/>
      <c r="O477" s="987"/>
      <c r="P477" s="987"/>
      <c r="Q477" s="987"/>
      <c r="R477" s="987"/>
      <c r="S477" s="987"/>
      <c r="T477" s="987"/>
      <c r="U477" s="987"/>
      <c r="V477" s="987"/>
      <c r="W477" s="987"/>
      <c r="X477" s="987"/>
      <c r="Y477" s="987"/>
      <c r="Z477" s="987"/>
    </row>
    <row r="478">
      <c r="A478" s="987"/>
      <c r="B478" s="987"/>
      <c r="C478" s="987"/>
      <c r="D478" s="987"/>
      <c r="E478" s="987"/>
      <c r="F478" s="987"/>
      <c r="G478" s="987"/>
      <c r="H478" s="987"/>
      <c r="I478" s="987"/>
      <c r="J478" s="987"/>
      <c r="K478" s="987"/>
      <c r="L478" s="987"/>
      <c r="M478" s="987"/>
      <c r="N478" s="987"/>
      <c r="O478" s="987"/>
      <c r="P478" s="987"/>
      <c r="Q478" s="987"/>
      <c r="R478" s="987"/>
      <c r="S478" s="987"/>
      <c r="T478" s="987"/>
      <c r="U478" s="987"/>
      <c r="V478" s="987"/>
      <c r="W478" s="987"/>
      <c r="X478" s="987"/>
      <c r="Y478" s="987"/>
      <c r="Z478" s="987"/>
    </row>
    <row r="479">
      <c r="A479" s="987"/>
      <c r="B479" s="987"/>
      <c r="C479" s="987"/>
      <c r="D479" s="987"/>
      <c r="E479" s="987"/>
      <c r="F479" s="987"/>
      <c r="G479" s="987"/>
      <c r="H479" s="987"/>
      <c r="I479" s="987"/>
      <c r="J479" s="987"/>
      <c r="K479" s="987"/>
      <c r="L479" s="987"/>
      <c r="M479" s="987"/>
      <c r="N479" s="987"/>
      <c r="O479" s="987"/>
      <c r="P479" s="987"/>
      <c r="Q479" s="987"/>
      <c r="R479" s="987"/>
      <c r="S479" s="987"/>
      <c r="T479" s="987"/>
      <c r="U479" s="987"/>
      <c r="V479" s="987"/>
      <c r="W479" s="987"/>
      <c r="X479" s="987"/>
      <c r="Y479" s="987"/>
      <c r="Z479" s="987"/>
    </row>
    <row r="480">
      <c r="A480" s="987"/>
      <c r="B480" s="987"/>
      <c r="C480" s="987"/>
      <c r="D480" s="987"/>
      <c r="E480" s="987"/>
      <c r="F480" s="987"/>
      <c r="G480" s="987"/>
      <c r="H480" s="987"/>
      <c r="I480" s="987"/>
      <c r="J480" s="987"/>
      <c r="K480" s="987"/>
      <c r="L480" s="987"/>
      <c r="M480" s="987"/>
      <c r="N480" s="987"/>
      <c r="O480" s="987"/>
      <c r="P480" s="987"/>
      <c r="Q480" s="987"/>
      <c r="R480" s="987"/>
      <c r="S480" s="987"/>
      <c r="T480" s="987"/>
      <c r="U480" s="987"/>
      <c r="V480" s="987"/>
      <c r="W480" s="987"/>
      <c r="X480" s="987"/>
      <c r="Y480" s="987"/>
      <c r="Z480" s="987"/>
    </row>
    <row r="481">
      <c r="A481" s="987"/>
      <c r="B481" s="987"/>
      <c r="C481" s="987"/>
      <c r="D481" s="987"/>
      <c r="E481" s="987"/>
      <c r="F481" s="987"/>
      <c r="G481" s="987"/>
      <c r="H481" s="987"/>
      <c r="I481" s="987"/>
      <c r="J481" s="987"/>
      <c r="K481" s="987"/>
      <c r="L481" s="987"/>
      <c r="M481" s="987"/>
      <c r="N481" s="987"/>
      <c r="O481" s="987"/>
      <c r="P481" s="987"/>
      <c r="Q481" s="987"/>
      <c r="R481" s="987"/>
      <c r="S481" s="987"/>
      <c r="T481" s="987"/>
      <c r="U481" s="987"/>
      <c r="V481" s="987"/>
      <c r="W481" s="987"/>
      <c r="X481" s="987"/>
      <c r="Y481" s="987"/>
      <c r="Z481" s="987"/>
    </row>
    <row r="482">
      <c r="A482" s="987"/>
      <c r="B482" s="987"/>
      <c r="C482" s="987"/>
      <c r="D482" s="987"/>
      <c r="E482" s="987"/>
      <c r="F482" s="987"/>
      <c r="G482" s="987"/>
      <c r="H482" s="987"/>
      <c r="I482" s="987"/>
      <c r="J482" s="987"/>
      <c r="K482" s="987"/>
      <c r="L482" s="987"/>
      <c r="M482" s="987"/>
      <c r="N482" s="987"/>
      <c r="O482" s="987"/>
      <c r="P482" s="987"/>
      <c r="Q482" s="987"/>
      <c r="R482" s="987"/>
      <c r="S482" s="987"/>
      <c r="T482" s="987"/>
      <c r="U482" s="987"/>
      <c r="V482" s="987"/>
      <c r="W482" s="987"/>
      <c r="X482" s="987"/>
      <c r="Y482" s="987"/>
      <c r="Z482" s="987"/>
    </row>
    <row r="483">
      <c r="A483" s="987"/>
      <c r="B483" s="987"/>
      <c r="C483" s="987"/>
      <c r="D483" s="987"/>
      <c r="E483" s="987"/>
      <c r="F483" s="987"/>
      <c r="G483" s="987"/>
      <c r="H483" s="987"/>
      <c r="I483" s="987"/>
      <c r="J483" s="987"/>
      <c r="K483" s="987"/>
      <c r="L483" s="987"/>
      <c r="M483" s="987"/>
      <c r="N483" s="987"/>
      <c r="O483" s="987"/>
      <c r="P483" s="987"/>
      <c r="Q483" s="987"/>
      <c r="R483" s="987"/>
      <c r="S483" s="987"/>
      <c r="T483" s="987"/>
      <c r="U483" s="987"/>
      <c r="V483" s="987"/>
      <c r="W483" s="987"/>
      <c r="X483" s="987"/>
      <c r="Y483" s="987"/>
      <c r="Z483" s="987"/>
    </row>
    <row r="484">
      <c r="A484" s="987"/>
      <c r="B484" s="987"/>
      <c r="C484" s="987"/>
      <c r="D484" s="987"/>
      <c r="E484" s="987"/>
      <c r="F484" s="987"/>
      <c r="G484" s="987"/>
      <c r="H484" s="987"/>
      <c r="I484" s="987"/>
      <c r="J484" s="987"/>
      <c r="K484" s="987"/>
      <c r="L484" s="987"/>
      <c r="M484" s="987"/>
      <c r="N484" s="987"/>
      <c r="O484" s="987"/>
      <c r="P484" s="987"/>
      <c r="Q484" s="987"/>
      <c r="R484" s="987"/>
      <c r="S484" s="987"/>
      <c r="T484" s="987"/>
      <c r="U484" s="987"/>
      <c r="V484" s="987"/>
      <c r="W484" s="987"/>
      <c r="X484" s="987"/>
      <c r="Y484" s="987"/>
      <c r="Z484" s="987"/>
    </row>
    <row r="485">
      <c r="A485" s="987"/>
      <c r="B485" s="987"/>
      <c r="C485" s="987"/>
      <c r="D485" s="987"/>
      <c r="E485" s="987"/>
      <c r="F485" s="987"/>
      <c r="G485" s="987"/>
      <c r="H485" s="987"/>
      <c r="I485" s="987"/>
      <c r="J485" s="987"/>
      <c r="K485" s="987"/>
      <c r="L485" s="987"/>
      <c r="M485" s="987"/>
      <c r="N485" s="987"/>
      <c r="O485" s="987"/>
      <c r="P485" s="987"/>
      <c r="Q485" s="987"/>
      <c r="R485" s="987"/>
      <c r="S485" s="987"/>
      <c r="T485" s="987"/>
      <c r="U485" s="987"/>
      <c r="V485" s="987"/>
      <c r="W485" s="987"/>
      <c r="X485" s="987"/>
      <c r="Y485" s="987"/>
      <c r="Z485" s="987"/>
    </row>
    <row r="486">
      <c r="A486" s="987"/>
      <c r="B486" s="987"/>
      <c r="C486" s="987"/>
      <c r="D486" s="987"/>
      <c r="E486" s="987"/>
      <c r="F486" s="987"/>
      <c r="G486" s="987"/>
      <c r="H486" s="987"/>
      <c r="I486" s="987"/>
      <c r="J486" s="987"/>
      <c r="K486" s="987"/>
      <c r="L486" s="987"/>
      <c r="M486" s="987"/>
      <c r="N486" s="987"/>
      <c r="O486" s="987"/>
      <c r="P486" s="987"/>
      <c r="Q486" s="987"/>
      <c r="R486" s="987"/>
      <c r="S486" s="987"/>
      <c r="T486" s="987"/>
      <c r="U486" s="987"/>
      <c r="V486" s="987"/>
      <c r="W486" s="987"/>
      <c r="X486" s="987"/>
      <c r="Y486" s="987"/>
      <c r="Z486" s="987"/>
    </row>
    <row r="487">
      <c r="A487" s="987"/>
      <c r="B487" s="987"/>
      <c r="C487" s="987"/>
      <c r="D487" s="987"/>
      <c r="E487" s="987"/>
      <c r="F487" s="987"/>
      <c r="G487" s="987"/>
      <c r="H487" s="987"/>
      <c r="I487" s="987"/>
      <c r="J487" s="987"/>
      <c r="K487" s="987"/>
      <c r="L487" s="987"/>
      <c r="M487" s="987"/>
      <c r="N487" s="987"/>
      <c r="O487" s="987"/>
      <c r="P487" s="987"/>
      <c r="Q487" s="987"/>
      <c r="R487" s="987"/>
      <c r="S487" s="987"/>
      <c r="T487" s="987"/>
      <c r="U487" s="987"/>
      <c r="V487" s="987"/>
      <c r="W487" s="987"/>
      <c r="X487" s="987"/>
      <c r="Y487" s="987"/>
      <c r="Z487" s="987"/>
    </row>
    <row r="488">
      <c r="A488" s="987"/>
      <c r="B488" s="987"/>
      <c r="C488" s="987"/>
      <c r="D488" s="987"/>
      <c r="E488" s="987"/>
      <c r="F488" s="987"/>
      <c r="G488" s="987"/>
      <c r="H488" s="987"/>
      <c r="I488" s="987"/>
      <c r="J488" s="987"/>
      <c r="K488" s="987"/>
      <c r="L488" s="987"/>
      <c r="M488" s="987"/>
      <c r="N488" s="987"/>
      <c r="O488" s="987"/>
      <c r="P488" s="987"/>
      <c r="Q488" s="987"/>
      <c r="R488" s="987"/>
      <c r="S488" s="987"/>
      <c r="T488" s="987"/>
      <c r="U488" s="987"/>
      <c r="V488" s="987"/>
      <c r="W488" s="987"/>
      <c r="X488" s="987"/>
      <c r="Y488" s="987"/>
      <c r="Z488" s="987"/>
    </row>
    <row r="489">
      <c r="A489" s="987"/>
      <c r="B489" s="987"/>
      <c r="C489" s="987"/>
      <c r="D489" s="987"/>
      <c r="E489" s="987"/>
      <c r="F489" s="987"/>
      <c r="G489" s="987"/>
      <c r="H489" s="987"/>
      <c r="I489" s="987"/>
      <c r="J489" s="987"/>
      <c r="K489" s="987"/>
      <c r="L489" s="987"/>
      <c r="M489" s="987"/>
      <c r="N489" s="987"/>
      <c r="O489" s="987"/>
      <c r="P489" s="987"/>
      <c r="Q489" s="987"/>
      <c r="R489" s="987"/>
      <c r="S489" s="987"/>
      <c r="T489" s="987"/>
      <c r="U489" s="987"/>
      <c r="V489" s="987"/>
      <c r="W489" s="987"/>
      <c r="X489" s="987"/>
      <c r="Y489" s="987"/>
      <c r="Z489" s="987"/>
    </row>
    <row r="490">
      <c r="A490" s="987"/>
      <c r="B490" s="987"/>
      <c r="C490" s="987"/>
      <c r="D490" s="987"/>
      <c r="E490" s="987"/>
      <c r="F490" s="987"/>
      <c r="G490" s="987"/>
      <c r="H490" s="987"/>
      <c r="I490" s="987"/>
      <c r="J490" s="987"/>
      <c r="K490" s="987"/>
      <c r="L490" s="987"/>
      <c r="M490" s="987"/>
      <c r="N490" s="987"/>
      <c r="O490" s="987"/>
      <c r="P490" s="987"/>
      <c r="Q490" s="987"/>
      <c r="R490" s="987"/>
      <c r="S490" s="987"/>
      <c r="T490" s="987"/>
      <c r="U490" s="987"/>
      <c r="V490" s="987"/>
      <c r="W490" s="987"/>
      <c r="X490" s="987"/>
      <c r="Y490" s="987"/>
      <c r="Z490" s="987"/>
    </row>
    <row r="491">
      <c r="A491" s="987"/>
      <c r="B491" s="987"/>
      <c r="C491" s="987"/>
      <c r="D491" s="987"/>
      <c r="E491" s="987"/>
      <c r="F491" s="987"/>
      <c r="G491" s="987"/>
      <c r="H491" s="987"/>
      <c r="I491" s="987"/>
      <c r="J491" s="987"/>
      <c r="K491" s="987"/>
      <c r="L491" s="987"/>
      <c r="M491" s="987"/>
      <c r="N491" s="987"/>
      <c r="O491" s="987"/>
      <c r="P491" s="987"/>
      <c r="Q491" s="987"/>
      <c r="R491" s="987"/>
      <c r="S491" s="987"/>
      <c r="T491" s="987"/>
      <c r="U491" s="987"/>
      <c r="V491" s="987"/>
      <c r="W491" s="987"/>
      <c r="X491" s="987"/>
      <c r="Y491" s="987"/>
      <c r="Z491" s="987"/>
    </row>
    <row r="492">
      <c r="A492" s="987"/>
      <c r="B492" s="987"/>
      <c r="C492" s="987"/>
      <c r="D492" s="987"/>
      <c r="E492" s="987"/>
      <c r="F492" s="987"/>
      <c r="G492" s="987"/>
      <c r="H492" s="987"/>
      <c r="I492" s="987"/>
      <c r="J492" s="987"/>
      <c r="K492" s="987"/>
      <c r="L492" s="987"/>
      <c r="M492" s="987"/>
      <c r="N492" s="987"/>
      <c r="O492" s="987"/>
      <c r="P492" s="987"/>
      <c r="Q492" s="987"/>
      <c r="R492" s="987"/>
      <c r="S492" s="987"/>
      <c r="T492" s="987"/>
      <c r="U492" s="987"/>
      <c r="V492" s="987"/>
      <c r="W492" s="987"/>
      <c r="X492" s="987"/>
      <c r="Y492" s="987"/>
      <c r="Z492" s="987"/>
    </row>
    <row r="493">
      <c r="A493" s="987"/>
      <c r="B493" s="987"/>
      <c r="C493" s="987"/>
      <c r="D493" s="987"/>
      <c r="E493" s="987"/>
      <c r="F493" s="987"/>
      <c r="G493" s="987"/>
      <c r="H493" s="987"/>
      <c r="I493" s="987"/>
      <c r="J493" s="987"/>
      <c r="K493" s="987"/>
      <c r="L493" s="987"/>
      <c r="M493" s="987"/>
      <c r="N493" s="987"/>
      <c r="O493" s="987"/>
      <c r="P493" s="987"/>
      <c r="Q493" s="987"/>
      <c r="R493" s="987"/>
      <c r="S493" s="987"/>
      <c r="T493" s="987"/>
      <c r="U493" s="987"/>
      <c r="V493" s="987"/>
      <c r="W493" s="987"/>
      <c r="X493" s="987"/>
      <c r="Y493" s="987"/>
      <c r="Z493" s="987"/>
    </row>
    <row r="494">
      <c r="A494" s="987"/>
      <c r="B494" s="987"/>
      <c r="C494" s="987"/>
      <c r="D494" s="987"/>
      <c r="E494" s="987"/>
      <c r="F494" s="987"/>
      <c r="G494" s="987"/>
      <c r="H494" s="987"/>
      <c r="I494" s="987"/>
      <c r="J494" s="987"/>
      <c r="K494" s="987"/>
      <c r="L494" s="987"/>
      <c r="M494" s="987"/>
      <c r="N494" s="987"/>
      <c r="O494" s="987"/>
      <c r="P494" s="987"/>
      <c r="Q494" s="987"/>
      <c r="R494" s="987"/>
      <c r="S494" s="987"/>
      <c r="T494" s="987"/>
      <c r="U494" s="987"/>
      <c r="V494" s="987"/>
      <c r="W494" s="987"/>
      <c r="X494" s="987"/>
      <c r="Y494" s="987"/>
      <c r="Z494" s="987"/>
    </row>
    <row r="495">
      <c r="A495" s="987"/>
      <c r="B495" s="987"/>
      <c r="C495" s="987"/>
      <c r="D495" s="987"/>
      <c r="E495" s="987"/>
      <c r="F495" s="987"/>
      <c r="G495" s="987"/>
      <c r="H495" s="987"/>
      <c r="I495" s="987"/>
      <c r="J495" s="987"/>
      <c r="K495" s="987"/>
      <c r="L495" s="987"/>
      <c r="M495" s="987"/>
      <c r="N495" s="987"/>
      <c r="O495" s="987"/>
      <c r="P495" s="987"/>
      <c r="Q495" s="987"/>
      <c r="R495" s="987"/>
      <c r="S495" s="987"/>
      <c r="T495" s="987"/>
      <c r="U495" s="987"/>
      <c r="V495" s="987"/>
      <c r="W495" s="987"/>
      <c r="X495" s="987"/>
      <c r="Y495" s="987"/>
      <c r="Z495" s="987"/>
    </row>
    <row r="496">
      <c r="A496" s="987"/>
      <c r="B496" s="987"/>
      <c r="C496" s="987"/>
      <c r="D496" s="987"/>
      <c r="E496" s="987"/>
      <c r="F496" s="987"/>
      <c r="G496" s="987"/>
      <c r="H496" s="987"/>
      <c r="I496" s="987"/>
      <c r="J496" s="987"/>
      <c r="K496" s="987"/>
      <c r="L496" s="987"/>
      <c r="M496" s="987"/>
      <c r="N496" s="987"/>
      <c r="O496" s="987"/>
      <c r="P496" s="987"/>
      <c r="Q496" s="987"/>
      <c r="R496" s="987"/>
      <c r="S496" s="987"/>
      <c r="T496" s="987"/>
      <c r="U496" s="987"/>
      <c r="V496" s="987"/>
      <c r="W496" s="987"/>
      <c r="X496" s="987"/>
      <c r="Y496" s="987"/>
      <c r="Z496" s="987"/>
    </row>
    <row r="497">
      <c r="A497" s="987"/>
      <c r="B497" s="987"/>
      <c r="C497" s="987"/>
      <c r="D497" s="987"/>
      <c r="E497" s="987"/>
      <c r="F497" s="987"/>
      <c r="G497" s="987"/>
      <c r="H497" s="987"/>
      <c r="I497" s="987"/>
      <c r="J497" s="987"/>
      <c r="K497" s="987"/>
      <c r="L497" s="987"/>
      <c r="M497" s="987"/>
      <c r="N497" s="987"/>
      <c r="O497" s="987"/>
      <c r="P497" s="987"/>
      <c r="Q497" s="987"/>
      <c r="R497" s="987"/>
      <c r="S497" s="987"/>
      <c r="T497" s="987"/>
      <c r="U497" s="987"/>
      <c r="V497" s="987"/>
      <c r="W497" s="987"/>
      <c r="X497" s="987"/>
      <c r="Y497" s="987"/>
      <c r="Z497" s="987"/>
    </row>
    <row r="498">
      <c r="A498" s="987"/>
      <c r="B498" s="987"/>
      <c r="C498" s="987"/>
      <c r="D498" s="987"/>
      <c r="E498" s="987"/>
      <c r="F498" s="987"/>
      <c r="G498" s="987"/>
      <c r="H498" s="987"/>
      <c r="I498" s="987"/>
      <c r="J498" s="987"/>
      <c r="K498" s="987"/>
      <c r="L498" s="987"/>
      <c r="M498" s="987"/>
      <c r="N498" s="987"/>
      <c r="O498" s="987"/>
      <c r="P498" s="987"/>
      <c r="Q498" s="987"/>
      <c r="R498" s="987"/>
      <c r="S498" s="987"/>
      <c r="T498" s="987"/>
      <c r="U498" s="987"/>
      <c r="V498" s="987"/>
      <c r="W498" s="987"/>
      <c r="X498" s="987"/>
      <c r="Y498" s="987"/>
      <c r="Z498" s="987"/>
    </row>
    <row r="499">
      <c r="A499" s="987"/>
      <c r="B499" s="987"/>
      <c r="C499" s="987"/>
      <c r="D499" s="987"/>
      <c r="E499" s="987"/>
      <c r="F499" s="987"/>
      <c r="G499" s="987"/>
      <c r="H499" s="987"/>
      <c r="I499" s="987"/>
      <c r="J499" s="987"/>
      <c r="K499" s="987"/>
      <c r="L499" s="987"/>
      <c r="M499" s="987"/>
      <c r="N499" s="987"/>
      <c r="O499" s="987"/>
      <c r="P499" s="987"/>
      <c r="Q499" s="987"/>
      <c r="R499" s="987"/>
      <c r="S499" s="987"/>
      <c r="T499" s="987"/>
      <c r="U499" s="987"/>
      <c r="V499" s="987"/>
      <c r="W499" s="987"/>
      <c r="X499" s="987"/>
      <c r="Y499" s="987"/>
      <c r="Z499" s="987"/>
    </row>
    <row r="500">
      <c r="A500" s="987"/>
      <c r="B500" s="987"/>
      <c r="C500" s="987"/>
      <c r="D500" s="987"/>
      <c r="E500" s="987"/>
      <c r="F500" s="987"/>
      <c r="G500" s="987"/>
      <c r="H500" s="987"/>
      <c r="I500" s="987"/>
      <c r="J500" s="987"/>
      <c r="K500" s="987"/>
      <c r="L500" s="987"/>
      <c r="M500" s="987"/>
      <c r="N500" s="987"/>
      <c r="O500" s="987"/>
      <c r="P500" s="987"/>
      <c r="Q500" s="987"/>
      <c r="R500" s="987"/>
      <c r="S500" s="987"/>
      <c r="T500" s="987"/>
      <c r="U500" s="987"/>
      <c r="V500" s="987"/>
      <c r="W500" s="987"/>
      <c r="X500" s="987"/>
      <c r="Y500" s="987"/>
      <c r="Z500" s="987"/>
    </row>
    <row r="501">
      <c r="A501" s="987"/>
      <c r="B501" s="987"/>
      <c r="C501" s="987"/>
      <c r="D501" s="987"/>
      <c r="E501" s="987"/>
      <c r="F501" s="987"/>
      <c r="G501" s="987"/>
      <c r="H501" s="987"/>
      <c r="I501" s="987"/>
      <c r="J501" s="987"/>
      <c r="K501" s="987"/>
      <c r="L501" s="987"/>
      <c r="M501" s="987"/>
      <c r="N501" s="987"/>
      <c r="O501" s="987"/>
      <c r="P501" s="987"/>
      <c r="Q501" s="987"/>
      <c r="R501" s="987"/>
      <c r="S501" s="987"/>
      <c r="T501" s="987"/>
      <c r="U501" s="987"/>
      <c r="V501" s="987"/>
      <c r="W501" s="987"/>
      <c r="X501" s="987"/>
      <c r="Y501" s="987"/>
      <c r="Z501" s="987"/>
    </row>
    <row r="502">
      <c r="A502" s="987"/>
      <c r="B502" s="987"/>
      <c r="C502" s="987"/>
      <c r="D502" s="987"/>
      <c r="E502" s="987"/>
      <c r="F502" s="987"/>
      <c r="G502" s="987"/>
      <c r="H502" s="987"/>
      <c r="I502" s="987"/>
      <c r="J502" s="987"/>
      <c r="K502" s="987"/>
      <c r="L502" s="987"/>
      <c r="M502" s="987"/>
      <c r="N502" s="987"/>
      <c r="O502" s="987"/>
      <c r="P502" s="987"/>
      <c r="Q502" s="987"/>
      <c r="R502" s="987"/>
      <c r="S502" s="987"/>
      <c r="T502" s="987"/>
      <c r="U502" s="987"/>
      <c r="V502" s="987"/>
      <c r="W502" s="987"/>
      <c r="X502" s="987"/>
      <c r="Y502" s="987"/>
      <c r="Z502" s="987"/>
    </row>
    <row r="503">
      <c r="A503" s="987"/>
      <c r="B503" s="987"/>
      <c r="C503" s="987"/>
      <c r="D503" s="987"/>
      <c r="E503" s="987"/>
      <c r="F503" s="987"/>
      <c r="G503" s="987"/>
      <c r="H503" s="987"/>
      <c r="I503" s="987"/>
      <c r="J503" s="987"/>
      <c r="K503" s="987"/>
      <c r="L503" s="987"/>
      <c r="M503" s="987"/>
      <c r="N503" s="987"/>
      <c r="O503" s="987"/>
      <c r="P503" s="987"/>
      <c r="Q503" s="987"/>
      <c r="R503" s="987"/>
      <c r="S503" s="987"/>
      <c r="T503" s="987"/>
      <c r="U503" s="987"/>
      <c r="V503" s="987"/>
      <c r="W503" s="987"/>
      <c r="X503" s="987"/>
      <c r="Y503" s="987"/>
      <c r="Z503" s="987"/>
    </row>
    <row r="504">
      <c r="A504" s="987"/>
      <c r="B504" s="987"/>
      <c r="C504" s="987"/>
      <c r="D504" s="987"/>
      <c r="E504" s="987"/>
      <c r="F504" s="987"/>
      <c r="G504" s="987"/>
      <c r="H504" s="987"/>
      <c r="I504" s="987"/>
      <c r="J504" s="987"/>
      <c r="K504" s="987"/>
      <c r="L504" s="987"/>
      <c r="M504" s="987"/>
      <c r="N504" s="987"/>
      <c r="O504" s="987"/>
      <c r="P504" s="987"/>
      <c r="Q504" s="987"/>
      <c r="R504" s="987"/>
      <c r="S504" s="987"/>
      <c r="T504" s="987"/>
      <c r="U504" s="987"/>
      <c r="V504" s="987"/>
      <c r="W504" s="987"/>
      <c r="X504" s="987"/>
      <c r="Y504" s="987"/>
      <c r="Z504" s="987"/>
    </row>
    <row r="505">
      <c r="A505" s="987"/>
      <c r="B505" s="987"/>
      <c r="C505" s="987"/>
      <c r="D505" s="987"/>
      <c r="E505" s="987"/>
      <c r="F505" s="987"/>
      <c r="G505" s="987"/>
      <c r="H505" s="987"/>
      <c r="I505" s="987"/>
      <c r="J505" s="987"/>
      <c r="K505" s="987"/>
      <c r="L505" s="987"/>
      <c r="M505" s="987"/>
      <c r="N505" s="987"/>
      <c r="O505" s="987"/>
      <c r="P505" s="987"/>
      <c r="Q505" s="987"/>
      <c r="R505" s="987"/>
      <c r="S505" s="987"/>
      <c r="T505" s="987"/>
      <c r="U505" s="987"/>
      <c r="V505" s="987"/>
      <c r="W505" s="987"/>
      <c r="X505" s="987"/>
      <c r="Y505" s="987"/>
      <c r="Z505" s="987"/>
    </row>
    <row r="506">
      <c r="A506" s="987"/>
      <c r="B506" s="987"/>
      <c r="C506" s="987"/>
      <c r="D506" s="987"/>
      <c r="E506" s="987"/>
      <c r="F506" s="987"/>
      <c r="G506" s="987"/>
      <c r="H506" s="987"/>
      <c r="I506" s="987"/>
      <c r="J506" s="987"/>
      <c r="K506" s="987"/>
      <c r="L506" s="987"/>
      <c r="M506" s="987"/>
      <c r="N506" s="987"/>
      <c r="O506" s="987"/>
      <c r="P506" s="987"/>
      <c r="Q506" s="987"/>
      <c r="R506" s="987"/>
      <c r="S506" s="987"/>
      <c r="T506" s="987"/>
      <c r="U506" s="987"/>
      <c r="V506" s="987"/>
      <c r="W506" s="987"/>
      <c r="X506" s="987"/>
      <c r="Y506" s="987"/>
      <c r="Z506" s="987"/>
    </row>
    <row r="507">
      <c r="A507" s="987"/>
      <c r="B507" s="987"/>
      <c r="C507" s="987"/>
      <c r="D507" s="987"/>
      <c r="E507" s="987"/>
      <c r="F507" s="987"/>
      <c r="G507" s="987"/>
      <c r="H507" s="987"/>
      <c r="I507" s="987"/>
      <c r="J507" s="987"/>
      <c r="K507" s="987"/>
      <c r="L507" s="987"/>
      <c r="M507" s="987"/>
      <c r="N507" s="987"/>
      <c r="O507" s="987"/>
      <c r="P507" s="987"/>
      <c r="Q507" s="987"/>
      <c r="R507" s="987"/>
      <c r="S507" s="987"/>
      <c r="T507" s="987"/>
      <c r="U507" s="987"/>
      <c r="V507" s="987"/>
      <c r="W507" s="987"/>
      <c r="X507" s="987"/>
      <c r="Y507" s="987"/>
      <c r="Z507" s="987"/>
    </row>
    <row r="508">
      <c r="A508" s="987"/>
      <c r="B508" s="987"/>
      <c r="C508" s="987"/>
      <c r="D508" s="987"/>
      <c r="E508" s="987"/>
      <c r="F508" s="987"/>
      <c r="G508" s="987"/>
      <c r="H508" s="987"/>
      <c r="I508" s="987"/>
      <c r="J508" s="987"/>
      <c r="K508" s="987"/>
      <c r="L508" s="987"/>
      <c r="M508" s="987"/>
      <c r="N508" s="987"/>
      <c r="O508" s="987"/>
      <c r="P508" s="987"/>
      <c r="Q508" s="987"/>
      <c r="R508" s="987"/>
      <c r="S508" s="987"/>
      <c r="T508" s="987"/>
      <c r="U508" s="987"/>
      <c r="V508" s="987"/>
      <c r="W508" s="987"/>
      <c r="X508" s="987"/>
      <c r="Y508" s="987"/>
      <c r="Z508" s="987"/>
    </row>
    <row r="509">
      <c r="A509" s="987"/>
      <c r="B509" s="987"/>
      <c r="C509" s="987"/>
      <c r="D509" s="987"/>
      <c r="E509" s="987"/>
      <c r="F509" s="987"/>
      <c r="G509" s="987"/>
      <c r="H509" s="987"/>
      <c r="I509" s="987"/>
      <c r="J509" s="987"/>
      <c r="K509" s="987"/>
      <c r="L509" s="987"/>
      <c r="M509" s="987"/>
      <c r="N509" s="987"/>
      <c r="O509" s="987"/>
      <c r="P509" s="987"/>
      <c r="Q509" s="987"/>
      <c r="R509" s="987"/>
      <c r="S509" s="987"/>
      <c r="T509" s="987"/>
      <c r="U509" s="987"/>
      <c r="V509" s="987"/>
      <c r="W509" s="987"/>
      <c r="X509" s="987"/>
      <c r="Y509" s="987"/>
      <c r="Z509" s="987"/>
    </row>
    <row r="510">
      <c r="A510" s="987"/>
      <c r="B510" s="987"/>
      <c r="C510" s="987"/>
      <c r="D510" s="987"/>
      <c r="E510" s="987"/>
      <c r="F510" s="987"/>
      <c r="G510" s="987"/>
      <c r="H510" s="987"/>
      <c r="I510" s="987"/>
      <c r="J510" s="987"/>
      <c r="K510" s="987"/>
      <c r="L510" s="987"/>
      <c r="M510" s="987"/>
      <c r="N510" s="987"/>
      <c r="O510" s="987"/>
      <c r="P510" s="987"/>
      <c r="Q510" s="987"/>
      <c r="R510" s="987"/>
      <c r="S510" s="987"/>
      <c r="T510" s="987"/>
      <c r="U510" s="987"/>
      <c r="V510" s="987"/>
      <c r="W510" s="987"/>
      <c r="X510" s="987"/>
      <c r="Y510" s="987"/>
      <c r="Z510" s="987"/>
    </row>
    <row r="511">
      <c r="A511" s="987"/>
      <c r="B511" s="987"/>
      <c r="C511" s="987"/>
      <c r="D511" s="987"/>
      <c r="E511" s="987"/>
      <c r="F511" s="987"/>
      <c r="G511" s="987"/>
      <c r="H511" s="987"/>
      <c r="I511" s="987"/>
      <c r="J511" s="987"/>
      <c r="K511" s="987"/>
      <c r="L511" s="987"/>
      <c r="M511" s="987"/>
      <c r="N511" s="987"/>
      <c r="O511" s="987"/>
      <c r="P511" s="987"/>
      <c r="Q511" s="987"/>
      <c r="R511" s="987"/>
      <c r="S511" s="987"/>
      <c r="T511" s="987"/>
      <c r="U511" s="987"/>
      <c r="V511" s="987"/>
      <c r="W511" s="987"/>
      <c r="X511" s="987"/>
      <c r="Y511" s="987"/>
      <c r="Z511" s="987"/>
    </row>
    <row r="512">
      <c r="A512" s="987"/>
      <c r="B512" s="987"/>
      <c r="C512" s="987"/>
      <c r="D512" s="987"/>
      <c r="E512" s="987"/>
      <c r="F512" s="987"/>
      <c r="G512" s="987"/>
      <c r="H512" s="987"/>
      <c r="I512" s="987"/>
      <c r="J512" s="987"/>
      <c r="K512" s="987"/>
      <c r="L512" s="987"/>
      <c r="M512" s="987"/>
      <c r="N512" s="987"/>
      <c r="O512" s="987"/>
      <c r="P512" s="987"/>
      <c r="Q512" s="987"/>
      <c r="R512" s="987"/>
      <c r="S512" s="987"/>
      <c r="T512" s="987"/>
      <c r="U512" s="987"/>
      <c r="V512" s="987"/>
      <c r="W512" s="987"/>
      <c r="X512" s="987"/>
      <c r="Y512" s="987"/>
      <c r="Z512" s="987"/>
    </row>
    <row r="513">
      <c r="A513" s="987"/>
      <c r="B513" s="987"/>
      <c r="C513" s="987"/>
      <c r="D513" s="987"/>
      <c r="E513" s="987"/>
      <c r="F513" s="987"/>
      <c r="G513" s="987"/>
      <c r="H513" s="987"/>
      <c r="I513" s="987"/>
      <c r="J513" s="987"/>
      <c r="K513" s="987"/>
      <c r="L513" s="987"/>
      <c r="M513" s="987"/>
      <c r="N513" s="987"/>
      <c r="O513" s="987"/>
      <c r="P513" s="987"/>
      <c r="Q513" s="987"/>
      <c r="R513" s="987"/>
      <c r="S513" s="987"/>
      <c r="T513" s="987"/>
      <c r="U513" s="987"/>
      <c r="V513" s="987"/>
      <c r="W513" s="987"/>
      <c r="X513" s="987"/>
      <c r="Y513" s="987"/>
      <c r="Z513" s="987"/>
    </row>
    <row r="514">
      <c r="A514" s="987"/>
      <c r="B514" s="987"/>
      <c r="C514" s="987"/>
      <c r="D514" s="987"/>
      <c r="E514" s="987"/>
      <c r="F514" s="987"/>
      <c r="G514" s="987"/>
      <c r="H514" s="987"/>
      <c r="I514" s="987"/>
      <c r="J514" s="987"/>
      <c r="K514" s="987"/>
      <c r="L514" s="987"/>
      <c r="M514" s="987"/>
      <c r="N514" s="987"/>
      <c r="O514" s="987"/>
      <c r="P514" s="987"/>
      <c r="Q514" s="987"/>
      <c r="R514" s="987"/>
      <c r="S514" s="987"/>
      <c r="T514" s="987"/>
      <c r="U514" s="987"/>
      <c r="V514" s="987"/>
      <c r="W514" s="987"/>
      <c r="X514" s="987"/>
      <c r="Y514" s="987"/>
      <c r="Z514" s="987"/>
    </row>
    <row r="515">
      <c r="A515" s="987"/>
      <c r="B515" s="987"/>
      <c r="C515" s="987"/>
      <c r="D515" s="987"/>
      <c r="E515" s="987"/>
      <c r="F515" s="987"/>
      <c r="G515" s="987"/>
      <c r="H515" s="987"/>
      <c r="I515" s="987"/>
      <c r="J515" s="987"/>
      <c r="K515" s="987"/>
      <c r="L515" s="987"/>
      <c r="M515" s="987"/>
      <c r="N515" s="987"/>
      <c r="O515" s="987"/>
      <c r="P515" s="987"/>
      <c r="Q515" s="987"/>
      <c r="R515" s="987"/>
      <c r="S515" s="987"/>
      <c r="T515" s="987"/>
      <c r="U515" s="987"/>
      <c r="V515" s="987"/>
      <c r="W515" s="987"/>
      <c r="X515" s="987"/>
      <c r="Y515" s="987"/>
      <c r="Z515" s="987"/>
    </row>
    <row r="516">
      <c r="A516" s="987"/>
      <c r="B516" s="987"/>
      <c r="C516" s="987"/>
      <c r="D516" s="987"/>
      <c r="E516" s="987"/>
      <c r="F516" s="987"/>
      <c r="G516" s="987"/>
      <c r="H516" s="987"/>
      <c r="I516" s="987"/>
      <c r="J516" s="987"/>
      <c r="K516" s="987"/>
      <c r="L516" s="987"/>
      <c r="M516" s="987"/>
      <c r="N516" s="987"/>
      <c r="O516" s="987"/>
      <c r="P516" s="987"/>
      <c r="Q516" s="987"/>
      <c r="R516" s="987"/>
      <c r="S516" s="987"/>
      <c r="T516" s="987"/>
      <c r="U516" s="987"/>
      <c r="V516" s="987"/>
      <c r="W516" s="987"/>
      <c r="X516" s="987"/>
      <c r="Y516" s="987"/>
      <c r="Z516" s="987"/>
    </row>
    <row r="517">
      <c r="A517" s="987"/>
      <c r="B517" s="987"/>
      <c r="C517" s="987"/>
      <c r="D517" s="987"/>
      <c r="E517" s="987"/>
      <c r="F517" s="987"/>
      <c r="G517" s="987"/>
      <c r="H517" s="987"/>
      <c r="I517" s="987"/>
      <c r="J517" s="987"/>
      <c r="K517" s="987"/>
      <c r="L517" s="987"/>
      <c r="M517" s="987"/>
      <c r="N517" s="987"/>
      <c r="O517" s="987"/>
      <c r="P517" s="987"/>
      <c r="Q517" s="987"/>
      <c r="R517" s="987"/>
      <c r="S517" s="987"/>
      <c r="T517" s="987"/>
      <c r="U517" s="987"/>
      <c r="V517" s="987"/>
      <c r="W517" s="987"/>
      <c r="X517" s="987"/>
      <c r="Y517" s="987"/>
      <c r="Z517" s="987"/>
    </row>
    <row r="518">
      <c r="A518" s="987"/>
      <c r="B518" s="987"/>
      <c r="C518" s="987"/>
      <c r="D518" s="987"/>
      <c r="E518" s="987"/>
      <c r="F518" s="987"/>
      <c r="G518" s="987"/>
      <c r="H518" s="987"/>
      <c r="I518" s="987"/>
      <c r="J518" s="987"/>
      <c r="K518" s="987"/>
      <c r="L518" s="987"/>
      <c r="M518" s="987"/>
      <c r="N518" s="987"/>
      <c r="O518" s="987"/>
      <c r="P518" s="987"/>
      <c r="Q518" s="987"/>
      <c r="R518" s="987"/>
      <c r="S518" s="987"/>
      <c r="T518" s="987"/>
      <c r="U518" s="987"/>
      <c r="V518" s="987"/>
      <c r="W518" s="987"/>
      <c r="X518" s="987"/>
      <c r="Y518" s="987"/>
      <c r="Z518" s="987"/>
    </row>
    <row r="519">
      <c r="A519" s="987"/>
      <c r="B519" s="987"/>
      <c r="C519" s="987"/>
      <c r="D519" s="987"/>
      <c r="E519" s="987"/>
      <c r="F519" s="987"/>
      <c r="G519" s="987"/>
      <c r="H519" s="987"/>
      <c r="I519" s="987"/>
      <c r="J519" s="987"/>
      <c r="K519" s="987"/>
      <c r="L519" s="987"/>
      <c r="M519" s="987"/>
      <c r="N519" s="987"/>
      <c r="O519" s="987"/>
      <c r="P519" s="987"/>
      <c r="Q519" s="987"/>
      <c r="R519" s="987"/>
      <c r="S519" s="987"/>
      <c r="T519" s="987"/>
      <c r="U519" s="987"/>
      <c r="V519" s="987"/>
      <c r="W519" s="987"/>
      <c r="X519" s="987"/>
      <c r="Y519" s="987"/>
      <c r="Z519" s="987"/>
    </row>
    <row r="520">
      <c r="A520" s="987"/>
      <c r="B520" s="987"/>
      <c r="C520" s="987"/>
      <c r="D520" s="987"/>
      <c r="E520" s="987"/>
      <c r="F520" s="987"/>
      <c r="G520" s="987"/>
      <c r="H520" s="987"/>
      <c r="I520" s="987"/>
      <c r="J520" s="987"/>
      <c r="K520" s="987"/>
      <c r="L520" s="987"/>
      <c r="M520" s="987"/>
      <c r="N520" s="987"/>
      <c r="O520" s="987"/>
      <c r="P520" s="987"/>
      <c r="Q520" s="987"/>
      <c r="R520" s="987"/>
      <c r="S520" s="987"/>
      <c r="T520" s="987"/>
      <c r="U520" s="987"/>
      <c r="V520" s="987"/>
      <c r="W520" s="987"/>
      <c r="X520" s="987"/>
      <c r="Y520" s="987"/>
      <c r="Z520" s="987"/>
    </row>
    <row r="521">
      <c r="A521" s="987"/>
      <c r="B521" s="987"/>
      <c r="C521" s="987"/>
      <c r="D521" s="987"/>
      <c r="E521" s="987"/>
      <c r="F521" s="987"/>
      <c r="G521" s="987"/>
      <c r="H521" s="987"/>
      <c r="I521" s="987"/>
      <c r="J521" s="987"/>
      <c r="K521" s="987"/>
      <c r="L521" s="987"/>
      <c r="M521" s="987"/>
      <c r="N521" s="987"/>
      <c r="O521" s="987"/>
      <c r="P521" s="987"/>
      <c r="Q521" s="987"/>
      <c r="R521" s="987"/>
      <c r="S521" s="987"/>
      <c r="T521" s="987"/>
      <c r="U521" s="987"/>
      <c r="V521" s="987"/>
      <c r="W521" s="987"/>
      <c r="X521" s="987"/>
      <c r="Y521" s="987"/>
      <c r="Z521" s="987"/>
    </row>
    <row r="522">
      <c r="A522" s="987"/>
      <c r="B522" s="987"/>
      <c r="C522" s="987"/>
      <c r="D522" s="987"/>
      <c r="E522" s="987"/>
      <c r="F522" s="987"/>
      <c r="G522" s="987"/>
      <c r="H522" s="987"/>
      <c r="I522" s="987"/>
      <c r="J522" s="987"/>
      <c r="K522" s="987"/>
      <c r="L522" s="987"/>
      <c r="M522" s="987"/>
      <c r="N522" s="987"/>
      <c r="O522" s="987"/>
      <c r="P522" s="987"/>
      <c r="Q522" s="987"/>
      <c r="R522" s="987"/>
      <c r="S522" s="987"/>
      <c r="T522" s="987"/>
      <c r="U522" s="987"/>
      <c r="V522" s="987"/>
      <c r="W522" s="987"/>
      <c r="X522" s="987"/>
      <c r="Y522" s="987"/>
      <c r="Z522" s="987"/>
    </row>
    <row r="523">
      <c r="A523" s="987"/>
      <c r="B523" s="987"/>
      <c r="C523" s="987"/>
      <c r="D523" s="987"/>
      <c r="E523" s="987"/>
      <c r="F523" s="987"/>
      <c r="G523" s="987"/>
      <c r="H523" s="987"/>
      <c r="I523" s="987"/>
      <c r="J523" s="987"/>
      <c r="K523" s="987"/>
      <c r="L523" s="987"/>
      <c r="M523" s="987"/>
      <c r="N523" s="987"/>
      <c r="O523" s="987"/>
      <c r="P523" s="987"/>
      <c r="Q523" s="987"/>
      <c r="R523" s="987"/>
      <c r="S523" s="987"/>
      <c r="T523" s="987"/>
      <c r="U523" s="987"/>
      <c r="V523" s="987"/>
      <c r="W523" s="987"/>
      <c r="X523" s="987"/>
      <c r="Y523" s="987"/>
      <c r="Z523" s="987"/>
    </row>
    <row r="524">
      <c r="A524" s="987"/>
      <c r="B524" s="987"/>
      <c r="C524" s="987"/>
      <c r="D524" s="987"/>
      <c r="E524" s="987"/>
      <c r="F524" s="987"/>
      <c r="G524" s="987"/>
      <c r="H524" s="987"/>
      <c r="I524" s="987"/>
      <c r="J524" s="987"/>
      <c r="K524" s="987"/>
      <c r="L524" s="987"/>
      <c r="M524" s="987"/>
      <c r="N524" s="987"/>
      <c r="O524" s="987"/>
      <c r="P524" s="987"/>
      <c r="Q524" s="987"/>
      <c r="R524" s="987"/>
      <c r="S524" s="987"/>
      <c r="T524" s="987"/>
      <c r="U524" s="987"/>
      <c r="V524" s="987"/>
      <c r="W524" s="987"/>
      <c r="X524" s="987"/>
      <c r="Y524" s="987"/>
      <c r="Z524" s="987"/>
    </row>
    <row r="525">
      <c r="A525" s="987"/>
      <c r="B525" s="987"/>
      <c r="C525" s="987"/>
      <c r="D525" s="987"/>
      <c r="E525" s="987"/>
      <c r="F525" s="987"/>
      <c r="G525" s="987"/>
      <c r="H525" s="987"/>
      <c r="I525" s="987"/>
      <c r="J525" s="987"/>
      <c r="K525" s="987"/>
      <c r="L525" s="987"/>
      <c r="M525" s="987"/>
      <c r="N525" s="987"/>
      <c r="O525" s="987"/>
      <c r="P525" s="987"/>
      <c r="Q525" s="987"/>
      <c r="R525" s="987"/>
      <c r="S525" s="987"/>
      <c r="T525" s="987"/>
      <c r="U525" s="987"/>
      <c r="V525" s="987"/>
      <c r="W525" s="987"/>
      <c r="X525" s="987"/>
      <c r="Y525" s="987"/>
      <c r="Z525" s="987"/>
    </row>
    <row r="526">
      <c r="A526" s="987"/>
      <c r="B526" s="987"/>
      <c r="C526" s="987"/>
      <c r="D526" s="987"/>
      <c r="E526" s="987"/>
      <c r="F526" s="987"/>
      <c r="G526" s="987"/>
      <c r="H526" s="987"/>
      <c r="I526" s="987"/>
      <c r="J526" s="987"/>
      <c r="K526" s="987"/>
      <c r="L526" s="987"/>
      <c r="M526" s="987"/>
      <c r="N526" s="987"/>
      <c r="O526" s="987"/>
      <c r="P526" s="987"/>
      <c r="Q526" s="987"/>
      <c r="R526" s="987"/>
      <c r="S526" s="987"/>
      <c r="T526" s="987"/>
      <c r="U526" s="987"/>
      <c r="V526" s="987"/>
      <c r="W526" s="987"/>
      <c r="X526" s="987"/>
      <c r="Y526" s="987"/>
      <c r="Z526" s="987"/>
    </row>
    <row r="527">
      <c r="A527" s="987"/>
      <c r="B527" s="987"/>
      <c r="C527" s="987"/>
      <c r="D527" s="987"/>
      <c r="E527" s="987"/>
      <c r="F527" s="987"/>
      <c r="G527" s="987"/>
      <c r="H527" s="987"/>
      <c r="I527" s="987"/>
      <c r="J527" s="987"/>
      <c r="K527" s="987"/>
      <c r="L527" s="987"/>
      <c r="M527" s="987"/>
      <c r="N527" s="987"/>
      <c r="O527" s="987"/>
      <c r="P527" s="987"/>
      <c r="Q527" s="987"/>
      <c r="R527" s="987"/>
      <c r="S527" s="987"/>
      <c r="T527" s="987"/>
      <c r="U527" s="987"/>
      <c r="V527" s="987"/>
      <c r="W527" s="987"/>
      <c r="X527" s="987"/>
      <c r="Y527" s="987"/>
      <c r="Z527" s="987"/>
    </row>
    <row r="528">
      <c r="A528" s="987"/>
      <c r="B528" s="987"/>
      <c r="C528" s="987"/>
      <c r="D528" s="987"/>
      <c r="E528" s="987"/>
      <c r="F528" s="987"/>
      <c r="G528" s="987"/>
      <c r="H528" s="987"/>
      <c r="I528" s="987"/>
      <c r="J528" s="987"/>
      <c r="K528" s="987"/>
      <c r="L528" s="987"/>
      <c r="M528" s="987"/>
      <c r="N528" s="987"/>
      <c r="O528" s="987"/>
      <c r="P528" s="987"/>
      <c r="Q528" s="987"/>
      <c r="R528" s="987"/>
      <c r="S528" s="987"/>
      <c r="T528" s="987"/>
      <c r="U528" s="987"/>
      <c r="V528" s="987"/>
      <c r="W528" s="987"/>
      <c r="X528" s="987"/>
      <c r="Y528" s="987"/>
      <c r="Z528" s="987"/>
    </row>
    <row r="529">
      <c r="A529" s="987"/>
      <c r="B529" s="987"/>
      <c r="C529" s="987"/>
      <c r="D529" s="987"/>
      <c r="E529" s="987"/>
      <c r="F529" s="987"/>
      <c r="G529" s="987"/>
      <c r="H529" s="987"/>
      <c r="I529" s="987"/>
      <c r="J529" s="987"/>
      <c r="K529" s="987"/>
      <c r="L529" s="987"/>
      <c r="M529" s="987"/>
      <c r="N529" s="987"/>
      <c r="O529" s="987"/>
      <c r="P529" s="987"/>
      <c r="Q529" s="987"/>
      <c r="R529" s="987"/>
      <c r="S529" s="987"/>
      <c r="T529" s="987"/>
      <c r="U529" s="987"/>
      <c r="V529" s="987"/>
      <c r="W529" s="987"/>
      <c r="X529" s="987"/>
      <c r="Y529" s="987"/>
      <c r="Z529" s="987"/>
    </row>
    <row r="530">
      <c r="A530" s="987"/>
      <c r="B530" s="987"/>
      <c r="C530" s="987"/>
      <c r="D530" s="987"/>
      <c r="E530" s="987"/>
      <c r="F530" s="987"/>
      <c r="G530" s="987"/>
      <c r="H530" s="987"/>
      <c r="I530" s="987"/>
      <c r="J530" s="987"/>
      <c r="K530" s="987"/>
      <c r="L530" s="987"/>
      <c r="M530" s="987"/>
      <c r="N530" s="987"/>
      <c r="O530" s="987"/>
      <c r="P530" s="987"/>
      <c r="Q530" s="987"/>
      <c r="R530" s="987"/>
      <c r="S530" s="987"/>
      <c r="T530" s="987"/>
      <c r="U530" s="987"/>
      <c r="V530" s="987"/>
      <c r="W530" s="987"/>
      <c r="X530" s="987"/>
      <c r="Y530" s="987"/>
      <c r="Z530" s="987"/>
    </row>
    <row r="531">
      <c r="A531" s="987"/>
      <c r="B531" s="987"/>
      <c r="C531" s="987"/>
      <c r="D531" s="987"/>
      <c r="E531" s="987"/>
      <c r="F531" s="987"/>
      <c r="G531" s="987"/>
      <c r="H531" s="987"/>
      <c r="I531" s="987"/>
      <c r="J531" s="987"/>
      <c r="K531" s="987"/>
      <c r="L531" s="987"/>
      <c r="M531" s="987"/>
      <c r="N531" s="987"/>
      <c r="O531" s="987"/>
      <c r="P531" s="987"/>
      <c r="Q531" s="987"/>
      <c r="R531" s="987"/>
      <c r="S531" s="987"/>
      <c r="T531" s="987"/>
      <c r="U531" s="987"/>
      <c r="V531" s="987"/>
      <c r="W531" s="987"/>
      <c r="X531" s="987"/>
      <c r="Y531" s="987"/>
      <c r="Z531" s="987"/>
    </row>
    <row r="532">
      <c r="A532" s="987"/>
      <c r="B532" s="987"/>
      <c r="C532" s="987"/>
      <c r="D532" s="987"/>
      <c r="E532" s="987"/>
      <c r="F532" s="987"/>
      <c r="G532" s="987"/>
      <c r="H532" s="987"/>
      <c r="I532" s="987"/>
      <c r="J532" s="987"/>
      <c r="K532" s="987"/>
      <c r="L532" s="987"/>
      <c r="M532" s="987"/>
      <c r="N532" s="987"/>
      <c r="O532" s="987"/>
      <c r="P532" s="987"/>
      <c r="Q532" s="987"/>
      <c r="R532" s="987"/>
      <c r="S532" s="987"/>
      <c r="T532" s="987"/>
      <c r="U532" s="987"/>
      <c r="V532" s="987"/>
      <c r="W532" s="987"/>
      <c r="X532" s="987"/>
      <c r="Y532" s="987"/>
      <c r="Z532" s="987"/>
    </row>
    <row r="533">
      <c r="A533" s="987"/>
      <c r="B533" s="987"/>
      <c r="C533" s="987"/>
      <c r="D533" s="987"/>
      <c r="E533" s="987"/>
      <c r="F533" s="987"/>
      <c r="G533" s="987"/>
      <c r="H533" s="987"/>
      <c r="I533" s="987"/>
      <c r="J533" s="987"/>
      <c r="K533" s="987"/>
      <c r="L533" s="987"/>
      <c r="M533" s="987"/>
      <c r="N533" s="987"/>
      <c r="O533" s="987"/>
      <c r="P533" s="987"/>
      <c r="Q533" s="987"/>
      <c r="R533" s="987"/>
      <c r="S533" s="987"/>
      <c r="T533" s="987"/>
      <c r="U533" s="987"/>
      <c r="V533" s="987"/>
      <c r="W533" s="987"/>
      <c r="X533" s="987"/>
      <c r="Y533" s="987"/>
      <c r="Z533" s="987"/>
    </row>
    <row r="534">
      <c r="A534" s="987"/>
      <c r="B534" s="987"/>
      <c r="C534" s="987"/>
      <c r="D534" s="987"/>
      <c r="E534" s="987"/>
      <c r="F534" s="987"/>
      <c r="G534" s="987"/>
      <c r="H534" s="987"/>
      <c r="I534" s="987"/>
      <c r="J534" s="987"/>
      <c r="K534" s="987"/>
      <c r="L534" s="987"/>
      <c r="M534" s="987"/>
      <c r="N534" s="987"/>
      <c r="O534" s="987"/>
      <c r="P534" s="987"/>
      <c r="Q534" s="987"/>
      <c r="R534" s="987"/>
      <c r="S534" s="987"/>
      <c r="T534" s="987"/>
      <c r="U534" s="987"/>
      <c r="V534" s="987"/>
      <c r="W534" s="987"/>
      <c r="X534" s="987"/>
      <c r="Y534" s="987"/>
      <c r="Z534" s="987"/>
    </row>
    <row r="535">
      <c r="A535" s="987"/>
      <c r="B535" s="987"/>
      <c r="C535" s="987"/>
      <c r="D535" s="987"/>
      <c r="E535" s="987"/>
      <c r="F535" s="987"/>
      <c r="G535" s="987"/>
      <c r="H535" s="987"/>
      <c r="I535" s="987"/>
      <c r="J535" s="987"/>
      <c r="K535" s="987"/>
      <c r="L535" s="987"/>
      <c r="M535" s="987"/>
      <c r="N535" s="987"/>
      <c r="O535" s="987"/>
      <c r="P535" s="987"/>
      <c r="Q535" s="987"/>
      <c r="R535" s="987"/>
      <c r="S535" s="987"/>
      <c r="T535" s="987"/>
      <c r="U535" s="987"/>
      <c r="V535" s="987"/>
      <c r="W535" s="987"/>
      <c r="X535" s="987"/>
      <c r="Y535" s="987"/>
      <c r="Z535" s="987"/>
    </row>
    <row r="536">
      <c r="A536" s="987"/>
      <c r="B536" s="987"/>
      <c r="C536" s="987"/>
      <c r="D536" s="987"/>
      <c r="E536" s="987"/>
      <c r="F536" s="987"/>
      <c r="G536" s="987"/>
      <c r="H536" s="987"/>
      <c r="I536" s="987"/>
      <c r="J536" s="987"/>
      <c r="K536" s="987"/>
      <c r="L536" s="987"/>
      <c r="M536" s="987"/>
      <c r="N536" s="987"/>
      <c r="O536" s="987"/>
      <c r="P536" s="987"/>
      <c r="Q536" s="987"/>
      <c r="R536" s="987"/>
      <c r="S536" s="987"/>
      <c r="T536" s="987"/>
      <c r="U536" s="987"/>
      <c r="V536" s="987"/>
      <c r="W536" s="987"/>
      <c r="X536" s="987"/>
      <c r="Y536" s="987"/>
      <c r="Z536" s="987"/>
    </row>
    <row r="537">
      <c r="A537" s="987"/>
      <c r="B537" s="987"/>
      <c r="C537" s="987"/>
      <c r="D537" s="987"/>
      <c r="E537" s="987"/>
      <c r="F537" s="987"/>
      <c r="G537" s="987"/>
      <c r="H537" s="987"/>
      <c r="I537" s="987"/>
      <c r="J537" s="987"/>
      <c r="K537" s="987"/>
      <c r="L537" s="987"/>
      <c r="M537" s="987"/>
      <c r="N537" s="987"/>
      <c r="O537" s="987"/>
      <c r="P537" s="987"/>
      <c r="Q537" s="987"/>
      <c r="R537" s="987"/>
      <c r="S537" s="987"/>
      <c r="T537" s="987"/>
      <c r="U537" s="987"/>
      <c r="V537" s="987"/>
      <c r="W537" s="987"/>
      <c r="X537" s="987"/>
      <c r="Y537" s="987"/>
      <c r="Z537" s="987"/>
    </row>
    <row r="538">
      <c r="A538" s="987"/>
      <c r="B538" s="987"/>
      <c r="C538" s="987"/>
      <c r="D538" s="987"/>
      <c r="E538" s="987"/>
      <c r="F538" s="987"/>
      <c r="G538" s="987"/>
      <c r="H538" s="987"/>
      <c r="I538" s="987"/>
      <c r="J538" s="987"/>
      <c r="K538" s="987"/>
      <c r="L538" s="987"/>
      <c r="M538" s="987"/>
      <c r="N538" s="987"/>
      <c r="O538" s="987"/>
      <c r="P538" s="987"/>
      <c r="Q538" s="987"/>
      <c r="R538" s="987"/>
      <c r="S538" s="987"/>
      <c r="T538" s="987"/>
      <c r="U538" s="987"/>
      <c r="V538" s="987"/>
      <c r="W538" s="987"/>
      <c r="X538" s="987"/>
      <c r="Y538" s="987"/>
      <c r="Z538" s="987"/>
    </row>
    <row r="539">
      <c r="A539" s="987"/>
      <c r="B539" s="987"/>
      <c r="C539" s="987"/>
      <c r="D539" s="987"/>
      <c r="E539" s="987"/>
      <c r="F539" s="987"/>
      <c r="G539" s="987"/>
      <c r="H539" s="987"/>
      <c r="I539" s="987"/>
      <c r="J539" s="987"/>
      <c r="K539" s="987"/>
      <c r="L539" s="987"/>
      <c r="M539" s="987"/>
      <c r="N539" s="987"/>
      <c r="O539" s="987"/>
      <c r="P539" s="987"/>
      <c r="Q539" s="987"/>
      <c r="R539" s="987"/>
      <c r="S539" s="987"/>
      <c r="T539" s="987"/>
      <c r="U539" s="987"/>
      <c r="V539" s="987"/>
      <c r="W539" s="987"/>
      <c r="X539" s="987"/>
      <c r="Y539" s="987"/>
      <c r="Z539" s="987"/>
    </row>
    <row r="540">
      <c r="A540" s="987"/>
      <c r="B540" s="987"/>
      <c r="C540" s="987"/>
      <c r="D540" s="987"/>
      <c r="E540" s="987"/>
      <c r="F540" s="987"/>
      <c r="G540" s="987"/>
      <c r="H540" s="987"/>
      <c r="I540" s="987"/>
      <c r="J540" s="987"/>
      <c r="K540" s="987"/>
      <c r="L540" s="987"/>
      <c r="M540" s="987"/>
      <c r="N540" s="987"/>
      <c r="O540" s="987"/>
      <c r="P540" s="987"/>
      <c r="Q540" s="987"/>
      <c r="R540" s="987"/>
      <c r="S540" s="987"/>
      <c r="T540" s="987"/>
      <c r="U540" s="987"/>
      <c r="V540" s="987"/>
      <c r="W540" s="987"/>
      <c r="X540" s="987"/>
      <c r="Y540" s="987"/>
      <c r="Z540" s="987"/>
    </row>
    <row r="541">
      <c r="A541" s="987"/>
      <c r="B541" s="987"/>
      <c r="C541" s="987"/>
      <c r="D541" s="987"/>
      <c r="E541" s="987"/>
      <c r="F541" s="987"/>
      <c r="G541" s="987"/>
      <c r="H541" s="987"/>
      <c r="I541" s="987"/>
      <c r="J541" s="987"/>
      <c r="K541" s="987"/>
      <c r="L541" s="987"/>
      <c r="M541" s="987"/>
      <c r="N541" s="987"/>
      <c r="O541" s="987"/>
      <c r="P541" s="987"/>
      <c r="Q541" s="987"/>
      <c r="R541" s="987"/>
      <c r="S541" s="987"/>
      <c r="T541" s="987"/>
      <c r="U541" s="987"/>
      <c r="V541" s="987"/>
      <c r="W541" s="987"/>
      <c r="X541" s="987"/>
      <c r="Y541" s="987"/>
      <c r="Z541" s="987"/>
    </row>
    <row r="542">
      <c r="A542" s="987"/>
      <c r="B542" s="987"/>
      <c r="C542" s="987"/>
      <c r="D542" s="987"/>
      <c r="E542" s="987"/>
      <c r="F542" s="987"/>
      <c r="G542" s="987"/>
      <c r="H542" s="987"/>
      <c r="I542" s="987"/>
      <c r="J542" s="987"/>
      <c r="K542" s="987"/>
      <c r="L542" s="987"/>
      <c r="M542" s="987"/>
      <c r="N542" s="987"/>
      <c r="O542" s="987"/>
      <c r="P542" s="987"/>
      <c r="Q542" s="987"/>
      <c r="R542" s="987"/>
      <c r="S542" s="987"/>
      <c r="T542" s="987"/>
      <c r="U542" s="987"/>
      <c r="V542" s="987"/>
      <c r="W542" s="987"/>
      <c r="X542" s="987"/>
      <c r="Y542" s="987"/>
      <c r="Z542" s="987"/>
    </row>
    <row r="543">
      <c r="A543" s="987"/>
      <c r="B543" s="987"/>
      <c r="C543" s="987"/>
      <c r="D543" s="987"/>
      <c r="E543" s="987"/>
      <c r="F543" s="987"/>
      <c r="G543" s="987"/>
      <c r="H543" s="987"/>
      <c r="I543" s="987"/>
      <c r="J543" s="987"/>
      <c r="K543" s="987"/>
      <c r="L543" s="987"/>
      <c r="M543" s="987"/>
      <c r="N543" s="987"/>
      <c r="O543" s="987"/>
      <c r="P543" s="987"/>
      <c r="Q543" s="987"/>
      <c r="R543" s="987"/>
      <c r="S543" s="987"/>
      <c r="T543" s="987"/>
      <c r="U543" s="987"/>
      <c r="V543" s="987"/>
      <c r="W543" s="987"/>
      <c r="X543" s="987"/>
      <c r="Y543" s="987"/>
      <c r="Z543" s="987"/>
    </row>
    <row r="544">
      <c r="A544" s="987"/>
      <c r="B544" s="987"/>
      <c r="C544" s="987"/>
      <c r="D544" s="987"/>
      <c r="E544" s="987"/>
      <c r="F544" s="987"/>
      <c r="G544" s="987"/>
      <c r="H544" s="987"/>
      <c r="I544" s="987"/>
      <c r="J544" s="987"/>
      <c r="K544" s="987"/>
      <c r="L544" s="987"/>
      <c r="M544" s="987"/>
      <c r="N544" s="987"/>
      <c r="O544" s="987"/>
      <c r="P544" s="987"/>
      <c r="Q544" s="987"/>
      <c r="R544" s="987"/>
      <c r="S544" s="987"/>
      <c r="T544" s="987"/>
      <c r="U544" s="987"/>
      <c r="V544" s="987"/>
      <c r="W544" s="987"/>
      <c r="X544" s="987"/>
      <c r="Y544" s="987"/>
      <c r="Z544" s="987"/>
    </row>
    <row r="545">
      <c r="A545" s="987"/>
      <c r="B545" s="987"/>
      <c r="C545" s="987"/>
      <c r="D545" s="987"/>
      <c r="E545" s="987"/>
      <c r="F545" s="987"/>
      <c r="G545" s="987"/>
      <c r="H545" s="987"/>
      <c r="I545" s="987"/>
      <c r="J545" s="987"/>
      <c r="K545" s="987"/>
      <c r="L545" s="987"/>
      <c r="M545" s="987"/>
      <c r="N545" s="987"/>
      <c r="O545" s="987"/>
      <c r="P545" s="987"/>
      <c r="Q545" s="987"/>
      <c r="R545" s="987"/>
      <c r="S545" s="987"/>
      <c r="T545" s="987"/>
      <c r="U545" s="987"/>
      <c r="V545" s="987"/>
      <c r="W545" s="987"/>
      <c r="X545" s="987"/>
      <c r="Y545" s="987"/>
      <c r="Z545" s="987"/>
    </row>
    <row r="546">
      <c r="A546" s="987"/>
      <c r="B546" s="987"/>
      <c r="C546" s="987"/>
      <c r="D546" s="987"/>
      <c r="E546" s="987"/>
      <c r="F546" s="987"/>
      <c r="G546" s="987"/>
      <c r="H546" s="987"/>
      <c r="I546" s="987"/>
      <c r="J546" s="987"/>
      <c r="K546" s="987"/>
      <c r="L546" s="987"/>
      <c r="M546" s="987"/>
      <c r="N546" s="987"/>
      <c r="O546" s="987"/>
      <c r="P546" s="987"/>
      <c r="Q546" s="987"/>
      <c r="R546" s="987"/>
      <c r="S546" s="987"/>
      <c r="T546" s="987"/>
      <c r="U546" s="987"/>
      <c r="V546" s="987"/>
      <c r="W546" s="987"/>
      <c r="X546" s="987"/>
      <c r="Y546" s="987"/>
      <c r="Z546" s="987"/>
    </row>
    <row r="547">
      <c r="A547" s="987"/>
      <c r="B547" s="987"/>
      <c r="C547" s="987"/>
      <c r="D547" s="987"/>
      <c r="E547" s="987"/>
      <c r="F547" s="987"/>
      <c r="G547" s="987"/>
      <c r="H547" s="987"/>
      <c r="I547" s="987"/>
      <c r="J547" s="987"/>
      <c r="K547" s="987"/>
      <c r="L547" s="987"/>
      <c r="M547" s="987"/>
      <c r="N547" s="987"/>
      <c r="O547" s="987"/>
      <c r="P547" s="987"/>
      <c r="Q547" s="987"/>
      <c r="R547" s="987"/>
      <c r="S547" s="987"/>
      <c r="T547" s="987"/>
      <c r="U547" s="987"/>
      <c r="V547" s="987"/>
      <c r="W547" s="987"/>
      <c r="X547" s="987"/>
      <c r="Y547" s="987"/>
      <c r="Z547" s="987"/>
    </row>
    <row r="548">
      <c r="A548" s="987"/>
      <c r="B548" s="987"/>
      <c r="C548" s="987"/>
      <c r="D548" s="987"/>
      <c r="E548" s="987"/>
      <c r="F548" s="987"/>
      <c r="G548" s="987"/>
      <c r="H548" s="987"/>
      <c r="I548" s="987"/>
      <c r="J548" s="987"/>
      <c r="K548" s="987"/>
      <c r="L548" s="987"/>
      <c r="M548" s="987"/>
      <c r="N548" s="987"/>
      <c r="O548" s="987"/>
      <c r="P548" s="987"/>
      <c r="Q548" s="987"/>
      <c r="R548" s="987"/>
      <c r="S548" s="987"/>
      <c r="T548" s="987"/>
      <c r="U548" s="987"/>
      <c r="V548" s="987"/>
      <c r="W548" s="987"/>
      <c r="X548" s="987"/>
      <c r="Y548" s="987"/>
      <c r="Z548" s="987"/>
    </row>
    <row r="549">
      <c r="A549" s="987"/>
      <c r="B549" s="987"/>
      <c r="C549" s="987"/>
      <c r="D549" s="987"/>
      <c r="E549" s="987"/>
      <c r="F549" s="987"/>
      <c r="G549" s="987"/>
      <c r="H549" s="987"/>
      <c r="I549" s="987"/>
      <c r="J549" s="987"/>
      <c r="K549" s="987"/>
      <c r="L549" s="987"/>
      <c r="M549" s="987"/>
      <c r="N549" s="987"/>
      <c r="O549" s="987"/>
      <c r="P549" s="987"/>
      <c r="Q549" s="987"/>
      <c r="R549" s="987"/>
      <c r="S549" s="987"/>
      <c r="T549" s="987"/>
      <c r="U549" s="987"/>
      <c r="V549" s="987"/>
      <c r="W549" s="987"/>
      <c r="X549" s="987"/>
      <c r="Y549" s="987"/>
      <c r="Z549" s="987"/>
    </row>
    <row r="550">
      <c r="A550" s="987"/>
      <c r="B550" s="987"/>
      <c r="C550" s="987"/>
      <c r="D550" s="987"/>
      <c r="E550" s="987"/>
      <c r="F550" s="987"/>
      <c r="G550" s="987"/>
      <c r="H550" s="987"/>
      <c r="I550" s="987"/>
      <c r="J550" s="987"/>
      <c r="K550" s="987"/>
      <c r="L550" s="987"/>
      <c r="M550" s="987"/>
      <c r="N550" s="987"/>
      <c r="O550" s="987"/>
      <c r="P550" s="987"/>
      <c r="Q550" s="987"/>
      <c r="R550" s="987"/>
      <c r="S550" s="987"/>
      <c r="T550" s="987"/>
      <c r="U550" s="987"/>
      <c r="V550" s="987"/>
      <c r="W550" s="987"/>
      <c r="X550" s="987"/>
      <c r="Y550" s="987"/>
      <c r="Z550" s="987"/>
    </row>
    <row r="551">
      <c r="A551" s="987"/>
      <c r="B551" s="987"/>
      <c r="C551" s="987"/>
      <c r="D551" s="987"/>
      <c r="E551" s="987"/>
      <c r="F551" s="987"/>
      <c r="G551" s="987"/>
      <c r="H551" s="987"/>
      <c r="I551" s="987"/>
      <c r="J551" s="987"/>
      <c r="K551" s="987"/>
      <c r="L551" s="987"/>
      <c r="M551" s="987"/>
      <c r="N551" s="987"/>
      <c r="O551" s="987"/>
      <c r="P551" s="987"/>
      <c r="Q551" s="987"/>
      <c r="R551" s="987"/>
      <c r="S551" s="987"/>
      <c r="T551" s="987"/>
      <c r="U551" s="987"/>
      <c r="V551" s="987"/>
      <c r="W551" s="987"/>
      <c r="X551" s="987"/>
      <c r="Y551" s="987"/>
      <c r="Z551" s="987"/>
    </row>
    <row r="552">
      <c r="A552" s="987"/>
      <c r="B552" s="987"/>
      <c r="C552" s="987"/>
      <c r="D552" s="987"/>
      <c r="E552" s="987"/>
      <c r="F552" s="987"/>
      <c r="G552" s="987"/>
      <c r="H552" s="987"/>
      <c r="I552" s="987"/>
      <c r="J552" s="987"/>
      <c r="K552" s="987"/>
      <c r="L552" s="987"/>
      <c r="M552" s="987"/>
      <c r="N552" s="987"/>
      <c r="O552" s="987"/>
      <c r="P552" s="987"/>
      <c r="Q552" s="987"/>
      <c r="R552" s="987"/>
      <c r="S552" s="987"/>
      <c r="T552" s="987"/>
      <c r="U552" s="987"/>
      <c r="V552" s="987"/>
      <c r="W552" s="987"/>
      <c r="X552" s="987"/>
      <c r="Y552" s="987"/>
      <c r="Z552" s="987"/>
    </row>
    <row r="553">
      <c r="A553" s="987"/>
      <c r="B553" s="987"/>
      <c r="C553" s="987"/>
      <c r="D553" s="987"/>
      <c r="E553" s="987"/>
      <c r="F553" s="987"/>
      <c r="G553" s="987"/>
      <c r="H553" s="987"/>
      <c r="I553" s="987"/>
      <c r="J553" s="987"/>
      <c r="K553" s="987"/>
      <c r="L553" s="987"/>
      <c r="M553" s="987"/>
      <c r="N553" s="987"/>
      <c r="O553" s="987"/>
      <c r="P553" s="987"/>
      <c r="Q553" s="987"/>
      <c r="R553" s="987"/>
      <c r="S553" s="987"/>
      <c r="T553" s="987"/>
      <c r="U553" s="987"/>
      <c r="V553" s="987"/>
      <c r="W553" s="987"/>
      <c r="X553" s="987"/>
      <c r="Y553" s="987"/>
      <c r="Z553" s="987"/>
    </row>
    <row r="554">
      <c r="A554" s="987"/>
      <c r="B554" s="987"/>
      <c r="C554" s="987"/>
      <c r="D554" s="987"/>
      <c r="E554" s="987"/>
      <c r="F554" s="987"/>
      <c r="G554" s="987"/>
      <c r="H554" s="987"/>
      <c r="I554" s="987"/>
      <c r="J554" s="987"/>
      <c r="K554" s="987"/>
      <c r="L554" s="987"/>
      <c r="M554" s="987"/>
      <c r="N554" s="987"/>
      <c r="O554" s="987"/>
      <c r="P554" s="987"/>
      <c r="Q554" s="987"/>
      <c r="R554" s="987"/>
      <c r="S554" s="987"/>
      <c r="T554" s="987"/>
      <c r="U554" s="987"/>
      <c r="V554" s="987"/>
      <c r="W554" s="987"/>
      <c r="X554" s="987"/>
      <c r="Y554" s="987"/>
      <c r="Z554" s="987"/>
    </row>
    <row r="555">
      <c r="A555" s="987"/>
      <c r="B555" s="987"/>
      <c r="C555" s="987"/>
      <c r="D555" s="987"/>
      <c r="E555" s="987"/>
      <c r="F555" s="987"/>
      <c r="G555" s="987"/>
      <c r="H555" s="987"/>
      <c r="I555" s="987"/>
      <c r="J555" s="987"/>
      <c r="K555" s="987"/>
      <c r="L555" s="987"/>
      <c r="M555" s="987"/>
      <c r="N555" s="987"/>
      <c r="O555" s="987"/>
      <c r="P555" s="987"/>
      <c r="Q555" s="987"/>
      <c r="R555" s="987"/>
      <c r="S555" s="987"/>
      <c r="T555" s="987"/>
      <c r="U555" s="987"/>
      <c r="V555" s="987"/>
      <c r="W555" s="987"/>
      <c r="X555" s="987"/>
      <c r="Y555" s="987"/>
      <c r="Z555" s="987"/>
    </row>
    <row r="556">
      <c r="A556" s="987"/>
      <c r="B556" s="987"/>
      <c r="C556" s="987"/>
      <c r="D556" s="987"/>
      <c r="E556" s="987"/>
      <c r="F556" s="987"/>
      <c r="G556" s="987"/>
      <c r="H556" s="987"/>
      <c r="I556" s="987"/>
      <c r="J556" s="987"/>
      <c r="K556" s="987"/>
      <c r="L556" s="987"/>
      <c r="M556" s="987"/>
      <c r="N556" s="987"/>
      <c r="O556" s="987"/>
      <c r="P556" s="987"/>
      <c r="Q556" s="987"/>
      <c r="R556" s="987"/>
      <c r="S556" s="987"/>
      <c r="T556" s="987"/>
      <c r="U556" s="987"/>
      <c r="V556" s="987"/>
      <c r="W556" s="987"/>
      <c r="X556" s="987"/>
      <c r="Y556" s="987"/>
      <c r="Z556" s="987"/>
    </row>
    <row r="557">
      <c r="A557" s="987"/>
      <c r="B557" s="987"/>
      <c r="C557" s="987"/>
      <c r="D557" s="987"/>
      <c r="E557" s="987"/>
      <c r="F557" s="987"/>
      <c r="G557" s="987"/>
      <c r="H557" s="987"/>
      <c r="I557" s="987"/>
      <c r="J557" s="987"/>
      <c r="K557" s="987"/>
      <c r="L557" s="987"/>
      <c r="M557" s="987"/>
      <c r="N557" s="987"/>
      <c r="O557" s="987"/>
      <c r="P557" s="987"/>
      <c r="Q557" s="987"/>
      <c r="R557" s="987"/>
      <c r="S557" s="987"/>
      <c r="T557" s="987"/>
      <c r="U557" s="987"/>
      <c r="V557" s="987"/>
      <c r="W557" s="987"/>
      <c r="X557" s="987"/>
      <c r="Y557" s="987"/>
      <c r="Z557" s="987"/>
    </row>
    <row r="558">
      <c r="A558" s="987"/>
      <c r="B558" s="987"/>
      <c r="C558" s="987"/>
      <c r="D558" s="987"/>
      <c r="E558" s="987"/>
      <c r="F558" s="987"/>
      <c r="G558" s="987"/>
      <c r="H558" s="987"/>
      <c r="I558" s="987"/>
      <c r="J558" s="987"/>
      <c r="K558" s="987"/>
      <c r="L558" s="987"/>
      <c r="M558" s="987"/>
      <c r="N558" s="987"/>
      <c r="O558" s="987"/>
      <c r="P558" s="987"/>
      <c r="Q558" s="987"/>
      <c r="R558" s="987"/>
      <c r="S558" s="987"/>
      <c r="T558" s="987"/>
      <c r="U558" s="987"/>
      <c r="V558" s="987"/>
      <c r="W558" s="987"/>
      <c r="X558" s="987"/>
      <c r="Y558" s="987"/>
      <c r="Z558" s="987"/>
    </row>
    <row r="559">
      <c r="A559" s="987"/>
      <c r="B559" s="987"/>
      <c r="C559" s="987"/>
      <c r="D559" s="987"/>
      <c r="E559" s="987"/>
      <c r="F559" s="987"/>
      <c r="G559" s="987"/>
      <c r="H559" s="987"/>
      <c r="I559" s="987"/>
      <c r="J559" s="987"/>
      <c r="K559" s="987"/>
      <c r="L559" s="987"/>
      <c r="M559" s="987"/>
      <c r="N559" s="987"/>
      <c r="O559" s="987"/>
      <c r="P559" s="987"/>
      <c r="Q559" s="987"/>
      <c r="R559" s="987"/>
      <c r="S559" s="987"/>
      <c r="T559" s="987"/>
      <c r="U559" s="987"/>
      <c r="V559" s="987"/>
      <c r="W559" s="987"/>
      <c r="X559" s="987"/>
      <c r="Y559" s="987"/>
      <c r="Z559" s="987"/>
    </row>
    <row r="560">
      <c r="A560" s="987"/>
      <c r="B560" s="987"/>
      <c r="C560" s="987"/>
      <c r="D560" s="987"/>
      <c r="E560" s="987"/>
      <c r="F560" s="987"/>
      <c r="G560" s="987"/>
      <c r="H560" s="987"/>
      <c r="I560" s="987"/>
      <c r="J560" s="987"/>
      <c r="K560" s="987"/>
      <c r="L560" s="987"/>
      <c r="M560" s="987"/>
      <c r="N560" s="987"/>
      <c r="O560" s="987"/>
      <c r="P560" s="987"/>
      <c r="Q560" s="987"/>
      <c r="R560" s="987"/>
      <c r="S560" s="987"/>
      <c r="T560" s="987"/>
      <c r="U560" s="987"/>
      <c r="V560" s="987"/>
      <c r="W560" s="987"/>
      <c r="X560" s="987"/>
      <c r="Y560" s="987"/>
      <c r="Z560" s="987"/>
    </row>
    <row r="561">
      <c r="A561" s="987"/>
      <c r="B561" s="987"/>
      <c r="C561" s="987"/>
      <c r="D561" s="987"/>
      <c r="E561" s="987"/>
      <c r="F561" s="987"/>
      <c r="G561" s="987"/>
      <c r="H561" s="987"/>
      <c r="I561" s="987"/>
      <c r="J561" s="987"/>
      <c r="K561" s="987"/>
      <c r="L561" s="987"/>
      <c r="M561" s="987"/>
      <c r="N561" s="987"/>
      <c r="O561" s="987"/>
      <c r="P561" s="987"/>
      <c r="Q561" s="987"/>
      <c r="R561" s="987"/>
      <c r="S561" s="987"/>
      <c r="T561" s="987"/>
      <c r="U561" s="987"/>
      <c r="V561" s="987"/>
      <c r="W561" s="987"/>
      <c r="X561" s="987"/>
      <c r="Y561" s="987"/>
      <c r="Z561" s="987"/>
    </row>
    <row r="562">
      <c r="A562" s="987"/>
      <c r="B562" s="987"/>
      <c r="C562" s="987"/>
      <c r="D562" s="987"/>
      <c r="E562" s="987"/>
      <c r="F562" s="987"/>
      <c r="G562" s="987"/>
      <c r="H562" s="987"/>
      <c r="I562" s="987"/>
      <c r="J562" s="987"/>
      <c r="K562" s="987"/>
      <c r="L562" s="987"/>
      <c r="M562" s="987"/>
      <c r="N562" s="987"/>
      <c r="O562" s="987"/>
      <c r="P562" s="987"/>
      <c r="Q562" s="987"/>
      <c r="R562" s="987"/>
      <c r="S562" s="987"/>
      <c r="T562" s="987"/>
      <c r="U562" s="987"/>
      <c r="V562" s="987"/>
      <c r="W562" s="987"/>
      <c r="X562" s="987"/>
      <c r="Y562" s="987"/>
      <c r="Z562" s="987"/>
    </row>
    <row r="563">
      <c r="A563" s="987"/>
      <c r="B563" s="987"/>
      <c r="C563" s="987"/>
      <c r="D563" s="987"/>
      <c r="E563" s="987"/>
      <c r="F563" s="987"/>
      <c r="G563" s="987"/>
      <c r="H563" s="987"/>
      <c r="I563" s="987"/>
      <c r="J563" s="987"/>
      <c r="K563" s="987"/>
      <c r="L563" s="987"/>
      <c r="M563" s="987"/>
      <c r="N563" s="987"/>
      <c r="O563" s="987"/>
      <c r="P563" s="987"/>
      <c r="Q563" s="987"/>
      <c r="R563" s="987"/>
      <c r="S563" s="987"/>
      <c r="T563" s="987"/>
      <c r="U563" s="987"/>
      <c r="V563" s="987"/>
      <c r="W563" s="987"/>
      <c r="X563" s="987"/>
      <c r="Y563" s="987"/>
      <c r="Z563" s="987"/>
    </row>
    <row r="564">
      <c r="A564" s="987"/>
      <c r="B564" s="987"/>
      <c r="C564" s="987"/>
      <c r="D564" s="987"/>
      <c r="E564" s="987"/>
      <c r="F564" s="987"/>
      <c r="G564" s="987"/>
      <c r="H564" s="987"/>
      <c r="I564" s="987"/>
      <c r="J564" s="987"/>
      <c r="K564" s="987"/>
      <c r="L564" s="987"/>
      <c r="M564" s="987"/>
      <c r="N564" s="987"/>
      <c r="O564" s="987"/>
      <c r="P564" s="987"/>
      <c r="Q564" s="987"/>
      <c r="R564" s="987"/>
      <c r="S564" s="987"/>
      <c r="T564" s="987"/>
      <c r="U564" s="987"/>
      <c r="V564" s="987"/>
      <c r="W564" s="987"/>
      <c r="X564" s="987"/>
      <c r="Y564" s="987"/>
      <c r="Z564" s="987"/>
    </row>
    <row r="565">
      <c r="A565" s="987"/>
      <c r="B565" s="987"/>
      <c r="C565" s="987"/>
      <c r="D565" s="987"/>
      <c r="E565" s="987"/>
      <c r="F565" s="987"/>
      <c r="G565" s="987"/>
      <c r="H565" s="987"/>
      <c r="I565" s="987"/>
      <c r="J565" s="987"/>
      <c r="K565" s="987"/>
      <c r="L565" s="987"/>
      <c r="M565" s="987"/>
      <c r="N565" s="987"/>
      <c r="O565" s="987"/>
      <c r="P565" s="987"/>
      <c r="Q565" s="987"/>
      <c r="R565" s="987"/>
      <c r="S565" s="987"/>
      <c r="T565" s="987"/>
      <c r="U565" s="987"/>
      <c r="V565" s="987"/>
      <c r="W565" s="987"/>
      <c r="X565" s="987"/>
      <c r="Y565" s="987"/>
      <c r="Z565" s="987"/>
    </row>
    <row r="566">
      <c r="A566" s="987"/>
      <c r="B566" s="987"/>
      <c r="C566" s="987"/>
      <c r="D566" s="987"/>
      <c r="E566" s="987"/>
      <c r="F566" s="987"/>
      <c r="G566" s="987"/>
      <c r="H566" s="987"/>
      <c r="I566" s="987"/>
      <c r="J566" s="987"/>
      <c r="K566" s="987"/>
      <c r="L566" s="987"/>
      <c r="M566" s="987"/>
      <c r="N566" s="987"/>
      <c r="O566" s="987"/>
      <c r="P566" s="987"/>
      <c r="Q566" s="987"/>
      <c r="R566" s="987"/>
      <c r="S566" s="987"/>
      <c r="T566" s="987"/>
      <c r="U566" s="987"/>
      <c r="V566" s="987"/>
      <c r="W566" s="987"/>
      <c r="X566" s="987"/>
      <c r="Y566" s="987"/>
      <c r="Z566" s="987"/>
    </row>
    <row r="567">
      <c r="A567" s="987"/>
      <c r="B567" s="987"/>
      <c r="C567" s="987"/>
      <c r="D567" s="987"/>
      <c r="E567" s="987"/>
      <c r="F567" s="987"/>
      <c r="G567" s="987"/>
      <c r="H567" s="987"/>
      <c r="I567" s="987"/>
      <c r="J567" s="987"/>
      <c r="K567" s="987"/>
      <c r="L567" s="987"/>
      <c r="M567" s="987"/>
      <c r="N567" s="987"/>
      <c r="O567" s="987"/>
      <c r="P567" s="987"/>
      <c r="Q567" s="987"/>
      <c r="R567" s="987"/>
      <c r="S567" s="987"/>
      <c r="T567" s="987"/>
      <c r="U567" s="987"/>
      <c r="V567" s="987"/>
      <c r="W567" s="987"/>
      <c r="X567" s="987"/>
      <c r="Y567" s="987"/>
      <c r="Z567" s="987"/>
    </row>
    <row r="568">
      <c r="A568" s="987"/>
      <c r="B568" s="987"/>
      <c r="C568" s="987"/>
      <c r="D568" s="987"/>
      <c r="E568" s="987"/>
      <c r="F568" s="987"/>
      <c r="G568" s="987"/>
      <c r="H568" s="987"/>
      <c r="I568" s="987"/>
      <c r="J568" s="987"/>
      <c r="K568" s="987"/>
      <c r="L568" s="987"/>
      <c r="M568" s="987"/>
      <c r="N568" s="987"/>
      <c r="O568" s="987"/>
      <c r="P568" s="987"/>
      <c r="Q568" s="987"/>
      <c r="R568" s="987"/>
      <c r="S568" s="987"/>
      <c r="T568" s="987"/>
      <c r="U568" s="987"/>
      <c r="V568" s="987"/>
      <c r="W568" s="987"/>
      <c r="X568" s="987"/>
      <c r="Y568" s="987"/>
      <c r="Z568" s="987"/>
    </row>
    <row r="569">
      <c r="A569" s="987"/>
      <c r="B569" s="987"/>
      <c r="C569" s="987"/>
      <c r="D569" s="987"/>
      <c r="E569" s="987"/>
      <c r="F569" s="987"/>
      <c r="G569" s="987"/>
      <c r="H569" s="987"/>
      <c r="I569" s="987"/>
      <c r="J569" s="987"/>
      <c r="K569" s="987"/>
      <c r="L569" s="987"/>
      <c r="M569" s="987"/>
      <c r="N569" s="987"/>
      <c r="O569" s="987"/>
      <c r="P569" s="987"/>
      <c r="Q569" s="987"/>
      <c r="R569" s="987"/>
      <c r="S569" s="987"/>
      <c r="T569" s="987"/>
      <c r="U569" s="987"/>
      <c r="V569" s="987"/>
      <c r="W569" s="987"/>
      <c r="X569" s="987"/>
      <c r="Y569" s="987"/>
      <c r="Z569" s="987"/>
    </row>
    <row r="570">
      <c r="A570" s="987"/>
      <c r="B570" s="987"/>
      <c r="C570" s="987"/>
      <c r="D570" s="987"/>
      <c r="E570" s="987"/>
      <c r="F570" s="987"/>
      <c r="G570" s="987"/>
      <c r="H570" s="987"/>
      <c r="I570" s="987"/>
      <c r="J570" s="987"/>
      <c r="K570" s="987"/>
      <c r="L570" s="987"/>
      <c r="M570" s="987"/>
      <c r="N570" s="987"/>
      <c r="O570" s="987"/>
      <c r="P570" s="987"/>
      <c r="Q570" s="987"/>
      <c r="R570" s="987"/>
      <c r="S570" s="987"/>
      <c r="T570" s="987"/>
      <c r="U570" s="987"/>
      <c r="V570" s="987"/>
      <c r="W570" s="987"/>
      <c r="X570" s="987"/>
      <c r="Y570" s="987"/>
      <c r="Z570" s="987"/>
    </row>
    <row r="571">
      <c r="A571" s="987"/>
      <c r="B571" s="987"/>
      <c r="C571" s="987"/>
      <c r="D571" s="987"/>
      <c r="E571" s="987"/>
      <c r="F571" s="987"/>
      <c r="G571" s="987"/>
      <c r="H571" s="987"/>
      <c r="I571" s="987"/>
      <c r="J571" s="987"/>
      <c r="K571" s="987"/>
      <c r="L571" s="987"/>
      <c r="M571" s="987"/>
      <c r="N571" s="987"/>
      <c r="O571" s="987"/>
      <c r="P571" s="987"/>
      <c r="Q571" s="987"/>
      <c r="R571" s="987"/>
      <c r="S571" s="987"/>
      <c r="T571" s="987"/>
      <c r="U571" s="987"/>
      <c r="V571" s="987"/>
      <c r="W571" s="987"/>
      <c r="X571" s="987"/>
      <c r="Y571" s="987"/>
      <c r="Z571" s="987"/>
    </row>
    <row r="572">
      <c r="A572" s="987"/>
      <c r="B572" s="987"/>
      <c r="C572" s="987"/>
      <c r="D572" s="987"/>
      <c r="E572" s="987"/>
      <c r="F572" s="987"/>
      <c r="G572" s="987"/>
      <c r="H572" s="987"/>
      <c r="I572" s="987"/>
      <c r="J572" s="987"/>
      <c r="K572" s="987"/>
      <c r="L572" s="987"/>
      <c r="M572" s="987"/>
      <c r="N572" s="987"/>
      <c r="O572" s="987"/>
      <c r="P572" s="987"/>
      <c r="Q572" s="987"/>
      <c r="R572" s="987"/>
      <c r="S572" s="987"/>
      <c r="T572" s="987"/>
      <c r="U572" s="987"/>
      <c r="V572" s="987"/>
      <c r="W572" s="987"/>
      <c r="X572" s="987"/>
      <c r="Y572" s="987"/>
      <c r="Z572" s="987"/>
    </row>
    <row r="573">
      <c r="A573" s="987"/>
      <c r="B573" s="987"/>
      <c r="C573" s="987"/>
      <c r="D573" s="987"/>
      <c r="E573" s="987"/>
      <c r="F573" s="987"/>
      <c r="G573" s="987"/>
      <c r="H573" s="987"/>
      <c r="I573" s="987"/>
      <c r="J573" s="987"/>
      <c r="K573" s="987"/>
      <c r="L573" s="987"/>
      <c r="M573" s="987"/>
      <c r="N573" s="987"/>
      <c r="O573" s="987"/>
      <c r="P573" s="987"/>
      <c r="Q573" s="987"/>
      <c r="R573" s="987"/>
      <c r="S573" s="987"/>
      <c r="T573" s="987"/>
      <c r="U573" s="987"/>
      <c r="V573" s="987"/>
      <c r="W573" s="987"/>
      <c r="X573" s="987"/>
      <c r="Y573" s="987"/>
      <c r="Z573" s="987"/>
    </row>
    <row r="574">
      <c r="A574" s="987"/>
      <c r="B574" s="987"/>
      <c r="C574" s="987"/>
      <c r="D574" s="987"/>
      <c r="E574" s="987"/>
      <c r="F574" s="987"/>
      <c r="G574" s="987"/>
      <c r="H574" s="987"/>
      <c r="I574" s="987"/>
      <c r="J574" s="987"/>
      <c r="K574" s="987"/>
      <c r="L574" s="987"/>
      <c r="M574" s="987"/>
      <c r="N574" s="987"/>
      <c r="O574" s="987"/>
      <c r="P574" s="987"/>
      <c r="Q574" s="987"/>
      <c r="R574" s="987"/>
      <c r="S574" s="987"/>
      <c r="T574" s="987"/>
      <c r="U574" s="987"/>
      <c r="V574" s="987"/>
      <c r="W574" s="987"/>
      <c r="X574" s="987"/>
      <c r="Y574" s="987"/>
      <c r="Z574" s="987"/>
    </row>
    <row r="575">
      <c r="A575" s="987"/>
      <c r="B575" s="987"/>
      <c r="C575" s="987"/>
      <c r="D575" s="987"/>
      <c r="E575" s="987"/>
      <c r="F575" s="987"/>
      <c r="G575" s="987"/>
      <c r="H575" s="987"/>
      <c r="I575" s="987"/>
      <c r="J575" s="987"/>
      <c r="K575" s="987"/>
      <c r="L575" s="987"/>
      <c r="M575" s="987"/>
      <c r="N575" s="987"/>
      <c r="O575" s="987"/>
      <c r="P575" s="987"/>
      <c r="Q575" s="987"/>
      <c r="R575" s="987"/>
      <c r="S575" s="987"/>
      <c r="T575" s="987"/>
      <c r="U575" s="987"/>
      <c r="V575" s="987"/>
      <c r="W575" s="987"/>
      <c r="X575" s="987"/>
      <c r="Y575" s="987"/>
      <c r="Z575" s="987"/>
    </row>
    <row r="576">
      <c r="A576" s="987"/>
      <c r="B576" s="987"/>
      <c r="C576" s="987"/>
      <c r="D576" s="987"/>
      <c r="E576" s="987"/>
      <c r="F576" s="987"/>
      <c r="G576" s="987"/>
      <c r="H576" s="987"/>
      <c r="I576" s="987"/>
      <c r="J576" s="987"/>
      <c r="K576" s="987"/>
      <c r="L576" s="987"/>
      <c r="M576" s="987"/>
      <c r="N576" s="987"/>
      <c r="O576" s="987"/>
      <c r="P576" s="987"/>
      <c r="Q576" s="987"/>
      <c r="R576" s="987"/>
      <c r="S576" s="987"/>
      <c r="T576" s="987"/>
      <c r="U576" s="987"/>
      <c r="V576" s="987"/>
      <c r="W576" s="987"/>
      <c r="X576" s="987"/>
      <c r="Y576" s="987"/>
      <c r="Z576" s="987"/>
    </row>
    <row r="577">
      <c r="A577" s="987"/>
      <c r="B577" s="987"/>
      <c r="C577" s="987"/>
      <c r="D577" s="987"/>
      <c r="E577" s="987"/>
      <c r="F577" s="987"/>
      <c r="G577" s="987"/>
      <c r="H577" s="987"/>
      <c r="I577" s="987"/>
      <c r="J577" s="987"/>
      <c r="K577" s="987"/>
      <c r="L577" s="987"/>
      <c r="M577" s="987"/>
      <c r="N577" s="987"/>
      <c r="O577" s="987"/>
      <c r="P577" s="987"/>
      <c r="Q577" s="987"/>
      <c r="R577" s="987"/>
      <c r="S577" s="987"/>
      <c r="T577" s="987"/>
      <c r="U577" s="987"/>
      <c r="V577" s="987"/>
      <c r="W577" s="987"/>
      <c r="X577" s="987"/>
      <c r="Y577" s="987"/>
      <c r="Z577" s="987"/>
    </row>
    <row r="578">
      <c r="A578" s="987"/>
      <c r="B578" s="987"/>
      <c r="C578" s="987"/>
      <c r="D578" s="987"/>
      <c r="E578" s="987"/>
      <c r="F578" s="987"/>
      <c r="G578" s="987"/>
      <c r="H578" s="987"/>
      <c r="I578" s="987"/>
      <c r="J578" s="987"/>
      <c r="K578" s="987"/>
      <c r="L578" s="987"/>
      <c r="M578" s="987"/>
      <c r="N578" s="987"/>
      <c r="O578" s="987"/>
      <c r="P578" s="987"/>
      <c r="Q578" s="987"/>
      <c r="R578" s="987"/>
      <c r="S578" s="987"/>
      <c r="T578" s="987"/>
      <c r="U578" s="987"/>
      <c r="V578" s="987"/>
      <c r="W578" s="987"/>
      <c r="X578" s="987"/>
      <c r="Y578" s="987"/>
      <c r="Z578" s="987"/>
    </row>
    <row r="579">
      <c r="A579" s="987"/>
      <c r="B579" s="987"/>
      <c r="C579" s="987"/>
      <c r="D579" s="987"/>
      <c r="E579" s="987"/>
      <c r="F579" s="987"/>
      <c r="G579" s="987"/>
      <c r="H579" s="987"/>
      <c r="I579" s="987"/>
      <c r="J579" s="987"/>
      <c r="K579" s="987"/>
      <c r="L579" s="987"/>
      <c r="M579" s="987"/>
      <c r="N579" s="987"/>
      <c r="O579" s="987"/>
      <c r="P579" s="987"/>
      <c r="Q579" s="987"/>
      <c r="R579" s="987"/>
      <c r="S579" s="987"/>
      <c r="T579" s="987"/>
      <c r="U579" s="987"/>
      <c r="V579" s="987"/>
      <c r="W579" s="987"/>
      <c r="X579" s="987"/>
      <c r="Y579" s="987"/>
      <c r="Z579" s="987"/>
    </row>
    <row r="580">
      <c r="A580" s="987"/>
      <c r="B580" s="987"/>
      <c r="C580" s="987"/>
      <c r="D580" s="987"/>
      <c r="E580" s="987"/>
      <c r="F580" s="987"/>
      <c r="G580" s="987"/>
      <c r="H580" s="987"/>
      <c r="I580" s="987"/>
      <c r="J580" s="987"/>
      <c r="K580" s="987"/>
      <c r="L580" s="987"/>
      <c r="M580" s="987"/>
      <c r="N580" s="987"/>
      <c r="O580" s="987"/>
      <c r="P580" s="987"/>
      <c r="Q580" s="987"/>
      <c r="R580" s="987"/>
      <c r="S580" s="987"/>
      <c r="T580" s="987"/>
      <c r="U580" s="987"/>
      <c r="V580" s="987"/>
      <c r="W580" s="987"/>
      <c r="X580" s="987"/>
      <c r="Y580" s="987"/>
      <c r="Z580" s="987"/>
    </row>
    <row r="581">
      <c r="A581" s="987"/>
      <c r="B581" s="987"/>
      <c r="C581" s="987"/>
      <c r="D581" s="987"/>
      <c r="E581" s="987"/>
      <c r="F581" s="987"/>
      <c r="G581" s="987"/>
      <c r="H581" s="987"/>
      <c r="I581" s="987"/>
      <c r="J581" s="987"/>
      <c r="K581" s="987"/>
      <c r="L581" s="987"/>
      <c r="M581" s="987"/>
      <c r="N581" s="987"/>
      <c r="O581" s="987"/>
      <c r="P581" s="987"/>
      <c r="Q581" s="987"/>
      <c r="R581" s="987"/>
      <c r="S581" s="987"/>
      <c r="T581" s="987"/>
      <c r="U581" s="987"/>
      <c r="V581" s="987"/>
      <c r="W581" s="987"/>
      <c r="X581" s="987"/>
      <c r="Y581" s="987"/>
      <c r="Z581" s="987"/>
    </row>
    <row r="582">
      <c r="A582" s="987"/>
      <c r="B582" s="987"/>
      <c r="C582" s="987"/>
      <c r="D582" s="987"/>
      <c r="E582" s="987"/>
      <c r="F582" s="987"/>
      <c r="G582" s="987"/>
      <c r="H582" s="987"/>
      <c r="I582" s="987"/>
      <c r="J582" s="987"/>
      <c r="K582" s="987"/>
      <c r="L582" s="987"/>
      <c r="M582" s="987"/>
      <c r="N582" s="987"/>
      <c r="O582" s="987"/>
      <c r="P582" s="987"/>
      <c r="Q582" s="987"/>
      <c r="R582" s="987"/>
      <c r="S582" s="987"/>
      <c r="T582" s="987"/>
      <c r="U582" s="987"/>
      <c r="V582" s="987"/>
      <c r="W582" s="987"/>
      <c r="X582" s="987"/>
      <c r="Y582" s="987"/>
      <c r="Z582" s="987"/>
    </row>
    <row r="583">
      <c r="A583" s="987"/>
      <c r="B583" s="987"/>
      <c r="C583" s="987"/>
      <c r="D583" s="987"/>
      <c r="E583" s="987"/>
      <c r="F583" s="987"/>
      <c r="G583" s="987"/>
      <c r="H583" s="987"/>
      <c r="I583" s="987"/>
      <c r="J583" s="987"/>
      <c r="K583" s="987"/>
      <c r="L583" s="987"/>
      <c r="M583" s="987"/>
      <c r="N583" s="987"/>
      <c r="O583" s="987"/>
      <c r="P583" s="987"/>
      <c r="Q583" s="987"/>
      <c r="R583" s="987"/>
      <c r="S583" s="987"/>
      <c r="T583" s="987"/>
      <c r="U583" s="987"/>
      <c r="V583" s="987"/>
      <c r="W583" s="987"/>
      <c r="X583" s="987"/>
      <c r="Y583" s="987"/>
      <c r="Z583" s="987"/>
    </row>
    <row r="584">
      <c r="A584" s="987"/>
      <c r="B584" s="987"/>
      <c r="C584" s="987"/>
      <c r="D584" s="987"/>
      <c r="E584" s="987"/>
      <c r="F584" s="987"/>
      <c r="G584" s="987"/>
      <c r="H584" s="987"/>
      <c r="I584" s="987"/>
      <c r="J584" s="987"/>
      <c r="K584" s="987"/>
      <c r="L584" s="987"/>
      <c r="M584" s="987"/>
      <c r="N584" s="987"/>
      <c r="O584" s="987"/>
      <c r="P584" s="987"/>
      <c r="Q584" s="987"/>
      <c r="R584" s="987"/>
      <c r="S584" s="987"/>
      <c r="T584" s="987"/>
      <c r="U584" s="987"/>
      <c r="V584" s="987"/>
      <c r="W584" s="987"/>
      <c r="X584" s="987"/>
      <c r="Y584" s="987"/>
      <c r="Z584" s="987"/>
    </row>
    <row r="585">
      <c r="A585" s="987"/>
      <c r="B585" s="987"/>
      <c r="C585" s="987"/>
      <c r="D585" s="987"/>
      <c r="E585" s="987"/>
      <c r="F585" s="987"/>
      <c r="G585" s="987"/>
      <c r="H585" s="987"/>
      <c r="I585" s="987"/>
      <c r="J585" s="987"/>
      <c r="K585" s="987"/>
      <c r="L585" s="987"/>
      <c r="M585" s="987"/>
      <c r="N585" s="987"/>
      <c r="O585" s="987"/>
      <c r="P585" s="987"/>
      <c r="Q585" s="987"/>
      <c r="R585" s="987"/>
      <c r="S585" s="987"/>
      <c r="T585" s="987"/>
      <c r="U585" s="987"/>
      <c r="V585" s="987"/>
      <c r="W585" s="987"/>
      <c r="X585" s="987"/>
      <c r="Y585" s="987"/>
      <c r="Z585" s="987"/>
    </row>
    <row r="586">
      <c r="A586" s="987"/>
      <c r="B586" s="987"/>
      <c r="C586" s="987"/>
      <c r="D586" s="987"/>
      <c r="E586" s="987"/>
      <c r="F586" s="987"/>
      <c r="G586" s="987"/>
      <c r="H586" s="987"/>
      <c r="I586" s="987"/>
      <c r="J586" s="987"/>
      <c r="K586" s="987"/>
      <c r="L586" s="987"/>
      <c r="M586" s="987"/>
      <c r="N586" s="987"/>
      <c r="O586" s="987"/>
      <c r="P586" s="987"/>
      <c r="Q586" s="987"/>
      <c r="R586" s="987"/>
      <c r="S586" s="987"/>
      <c r="T586" s="987"/>
      <c r="U586" s="987"/>
      <c r="V586" s="987"/>
      <c r="W586" s="987"/>
      <c r="X586" s="987"/>
      <c r="Y586" s="987"/>
      <c r="Z586" s="987"/>
    </row>
    <row r="587">
      <c r="A587" s="987"/>
      <c r="B587" s="987"/>
      <c r="C587" s="987"/>
      <c r="D587" s="987"/>
      <c r="E587" s="987"/>
      <c r="F587" s="987"/>
      <c r="G587" s="987"/>
      <c r="H587" s="987"/>
      <c r="I587" s="987"/>
      <c r="J587" s="987"/>
      <c r="K587" s="987"/>
      <c r="L587" s="987"/>
      <c r="M587" s="987"/>
      <c r="N587" s="987"/>
      <c r="O587" s="987"/>
      <c r="P587" s="987"/>
      <c r="Q587" s="987"/>
      <c r="R587" s="987"/>
      <c r="S587" s="987"/>
      <c r="T587" s="987"/>
      <c r="U587" s="987"/>
      <c r="V587" s="987"/>
      <c r="W587" s="987"/>
      <c r="X587" s="987"/>
      <c r="Y587" s="987"/>
      <c r="Z587" s="987"/>
    </row>
    <row r="588">
      <c r="A588" s="987"/>
      <c r="B588" s="987"/>
      <c r="C588" s="987"/>
      <c r="D588" s="987"/>
      <c r="E588" s="987"/>
      <c r="F588" s="987"/>
      <c r="G588" s="987"/>
      <c r="H588" s="987"/>
      <c r="I588" s="987"/>
      <c r="J588" s="987"/>
      <c r="K588" s="987"/>
      <c r="L588" s="987"/>
      <c r="M588" s="987"/>
      <c r="N588" s="987"/>
      <c r="O588" s="987"/>
      <c r="P588" s="987"/>
      <c r="Q588" s="987"/>
      <c r="R588" s="987"/>
      <c r="S588" s="987"/>
      <c r="T588" s="987"/>
      <c r="U588" s="987"/>
      <c r="V588" s="987"/>
      <c r="W588" s="987"/>
      <c r="X588" s="987"/>
      <c r="Y588" s="987"/>
      <c r="Z588" s="987"/>
    </row>
    <row r="589">
      <c r="A589" s="987"/>
      <c r="B589" s="987"/>
      <c r="C589" s="987"/>
      <c r="D589" s="987"/>
      <c r="E589" s="987"/>
      <c r="F589" s="987"/>
      <c r="G589" s="987"/>
      <c r="H589" s="987"/>
      <c r="I589" s="987"/>
      <c r="J589" s="987"/>
      <c r="K589" s="987"/>
      <c r="L589" s="987"/>
      <c r="M589" s="987"/>
      <c r="N589" s="987"/>
      <c r="O589" s="987"/>
      <c r="P589" s="987"/>
      <c r="Q589" s="987"/>
      <c r="R589" s="987"/>
      <c r="S589" s="987"/>
      <c r="T589" s="987"/>
      <c r="U589" s="987"/>
      <c r="V589" s="987"/>
      <c r="W589" s="987"/>
      <c r="X589" s="987"/>
      <c r="Y589" s="987"/>
      <c r="Z589" s="987"/>
    </row>
    <row r="590">
      <c r="A590" s="987"/>
      <c r="B590" s="987"/>
      <c r="C590" s="987"/>
      <c r="D590" s="987"/>
      <c r="E590" s="987"/>
      <c r="F590" s="987"/>
      <c r="G590" s="987"/>
      <c r="H590" s="987"/>
      <c r="I590" s="987"/>
      <c r="J590" s="987"/>
      <c r="K590" s="987"/>
      <c r="L590" s="987"/>
      <c r="M590" s="987"/>
      <c r="N590" s="987"/>
      <c r="O590" s="987"/>
      <c r="P590" s="987"/>
      <c r="Q590" s="987"/>
      <c r="R590" s="987"/>
      <c r="S590" s="987"/>
      <c r="T590" s="987"/>
      <c r="U590" s="987"/>
      <c r="V590" s="987"/>
      <c r="W590" s="987"/>
      <c r="X590" s="987"/>
      <c r="Y590" s="987"/>
      <c r="Z590" s="987"/>
    </row>
    <row r="591">
      <c r="A591" s="987"/>
      <c r="B591" s="987"/>
      <c r="C591" s="987"/>
      <c r="D591" s="987"/>
      <c r="E591" s="987"/>
      <c r="F591" s="987"/>
      <c r="G591" s="987"/>
      <c r="H591" s="987"/>
      <c r="I591" s="987"/>
      <c r="J591" s="987"/>
      <c r="K591" s="987"/>
      <c r="L591" s="987"/>
      <c r="M591" s="987"/>
      <c r="N591" s="987"/>
      <c r="O591" s="987"/>
      <c r="P591" s="987"/>
      <c r="Q591" s="987"/>
      <c r="R591" s="987"/>
      <c r="S591" s="987"/>
      <c r="T591" s="987"/>
      <c r="U591" s="987"/>
      <c r="V591" s="987"/>
      <c r="W591" s="987"/>
      <c r="X591" s="987"/>
      <c r="Y591" s="987"/>
      <c r="Z591" s="987"/>
    </row>
    <row r="592">
      <c r="A592" s="987"/>
      <c r="B592" s="987"/>
      <c r="C592" s="987"/>
      <c r="D592" s="987"/>
      <c r="E592" s="987"/>
      <c r="F592" s="987"/>
      <c r="G592" s="987"/>
      <c r="H592" s="987"/>
      <c r="I592" s="987"/>
      <c r="J592" s="987"/>
      <c r="K592" s="987"/>
      <c r="L592" s="987"/>
      <c r="M592" s="987"/>
      <c r="N592" s="987"/>
      <c r="O592" s="987"/>
      <c r="P592" s="987"/>
      <c r="Q592" s="987"/>
      <c r="R592" s="987"/>
      <c r="S592" s="987"/>
      <c r="T592" s="987"/>
      <c r="U592" s="987"/>
      <c r="V592" s="987"/>
      <c r="W592" s="987"/>
      <c r="X592" s="987"/>
      <c r="Y592" s="987"/>
      <c r="Z592" s="987"/>
    </row>
    <row r="593">
      <c r="A593" s="987"/>
      <c r="B593" s="987"/>
      <c r="C593" s="987"/>
      <c r="D593" s="987"/>
      <c r="E593" s="987"/>
      <c r="F593" s="987"/>
      <c r="G593" s="987"/>
      <c r="H593" s="987"/>
      <c r="I593" s="987"/>
      <c r="J593" s="987"/>
      <c r="K593" s="987"/>
      <c r="L593" s="987"/>
      <c r="M593" s="987"/>
      <c r="N593" s="987"/>
      <c r="O593" s="987"/>
      <c r="P593" s="987"/>
      <c r="Q593" s="987"/>
      <c r="R593" s="987"/>
      <c r="S593" s="987"/>
      <c r="T593" s="987"/>
      <c r="U593" s="987"/>
      <c r="V593" s="987"/>
      <c r="W593" s="987"/>
      <c r="X593" s="987"/>
      <c r="Y593" s="987"/>
      <c r="Z593" s="987"/>
    </row>
    <row r="594">
      <c r="A594" s="987"/>
      <c r="B594" s="987"/>
      <c r="C594" s="987"/>
      <c r="D594" s="987"/>
      <c r="E594" s="987"/>
      <c r="F594" s="987"/>
      <c r="G594" s="987"/>
      <c r="H594" s="987"/>
      <c r="I594" s="987"/>
      <c r="J594" s="987"/>
      <c r="K594" s="987"/>
      <c r="L594" s="987"/>
      <c r="M594" s="987"/>
      <c r="N594" s="987"/>
      <c r="O594" s="987"/>
      <c r="P594" s="987"/>
      <c r="Q594" s="987"/>
      <c r="R594" s="987"/>
      <c r="S594" s="987"/>
      <c r="T594" s="987"/>
      <c r="U594" s="987"/>
      <c r="V594" s="987"/>
      <c r="W594" s="987"/>
      <c r="X594" s="987"/>
      <c r="Y594" s="987"/>
      <c r="Z594" s="987"/>
    </row>
    <row r="595">
      <c r="A595" s="987"/>
      <c r="B595" s="987"/>
      <c r="C595" s="987"/>
      <c r="D595" s="987"/>
      <c r="E595" s="987"/>
      <c r="F595" s="987"/>
      <c r="G595" s="987"/>
      <c r="H595" s="987"/>
      <c r="I595" s="987"/>
      <c r="J595" s="987"/>
      <c r="K595" s="987"/>
      <c r="L595" s="987"/>
      <c r="M595" s="987"/>
      <c r="N595" s="987"/>
      <c r="O595" s="987"/>
      <c r="P595" s="987"/>
      <c r="Q595" s="987"/>
      <c r="R595" s="987"/>
      <c r="S595" s="987"/>
      <c r="T595" s="987"/>
      <c r="U595" s="987"/>
      <c r="V595" s="987"/>
      <c r="W595" s="987"/>
      <c r="X595" s="987"/>
      <c r="Y595" s="987"/>
      <c r="Z595" s="987"/>
    </row>
    <row r="596">
      <c r="A596" s="987"/>
      <c r="B596" s="987"/>
      <c r="C596" s="987"/>
      <c r="D596" s="987"/>
      <c r="E596" s="987"/>
      <c r="F596" s="987"/>
      <c r="G596" s="987"/>
      <c r="H596" s="987"/>
      <c r="I596" s="987"/>
      <c r="J596" s="987"/>
      <c r="K596" s="987"/>
      <c r="L596" s="987"/>
      <c r="M596" s="987"/>
      <c r="N596" s="987"/>
      <c r="O596" s="987"/>
      <c r="P596" s="987"/>
      <c r="Q596" s="987"/>
      <c r="R596" s="987"/>
      <c r="S596" s="987"/>
      <c r="T596" s="987"/>
      <c r="U596" s="987"/>
      <c r="V596" s="987"/>
      <c r="W596" s="987"/>
      <c r="X596" s="987"/>
      <c r="Y596" s="987"/>
      <c r="Z596" s="987"/>
    </row>
    <row r="597">
      <c r="A597" s="987"/>
      <c r="B597" s="987"/>
      <c r="C597" s="987"/>
      <c r="D597" s="987"/>
      <c r="E597" s="987"/>
      <c r="F597" s="987"/>
      <c r="G597" s="987"/>
      <c r="H597" s="987"/>
      <c r="I597" s="987"/>
      <c r="J597" s="987"/>
      <c r="K597" s="987"/>
      <c r="L597" s="987"/>
      <c r="M597" s="987"/>
      <c r="N597" s="987"/>
      <c r="O597" s="987"/>
      <c r="P597" s="987"/>
      <c r="Q597" s="987"/>
      <c r="R597" s="987"/>
      <c r="S597" s="987"/>
      <c r="T597" s="987"/>
      <c r="U597" s="987"/>
      <c r="V597" s="987"/>
      <c r="W597" s="987"/>
      <c r="X597" s="987"/>
      <c r="Y597" s="987"/>
      <c r="Z597" s="987"/>
    </row>
    <row r="598">
      <c r="A598" s="987"/>
      <c r="B598" s="987"/>
      <c r="C598" s="987"/>
      <c r="D598" s="987"/>
      <c r="E598" s="987"/>
      <c r="F598" s="987"/>
      <c r="G598" s="987"/>
      <c r="H598" s="987"/>
      <c r="I598" s="987"/>
      <c r="J598" s="987"/>
      <c r="K598" s="987"/>
      <c r="L598" s="987"/>
      <c r="M598" s="987"/>
      <c r="N598" s="987"/>
      <c r="O598" s="987"/>
      <c r="P598" s="987"/>
      <c r="Q598" s="987"/>
      <c r="R598" s="987"/>
      <c r="S598" s="987"/>
      <c r="T598" s="987"/>
      <c r="U598" s="987"/>
      <c r="V598" s="987"/>
      <c r="W598" s="987"/>
      <c r="X598" s="987"/>
      <c r="Y598" s="987"/>
      <c r="Z598" s="987"/>
    </row>
    <row r="599">
      <c r="A599" s="987"/>
      <c r="B599" s="987"/>
      <c r="C599" s="987"/>
      <c r="D599" s="987"/>
      <c r="E599" s="987"/>
      <c r="F599" s="987"/>
      <c r="G599" s="987"/>
      <c r="H599" s="987"/>
      <c r="I599" s="987"/>
      <c r="J599" s="987"/>
      <c r="K599" s="987"/>
      <c r="L599" s="987"/>
      <c r="M599" s="987"/>
      <c r="N599" s="987"/>
      <c r="O599" s="987"/>
      <c r="P599" s="987"/>
      <c r="Q599" s="987"/>
      <c r="R599" s="987"/>
      <c r="S599" s="987"/>
      <c r="T599" s="987"/>
      <c r="U599" s="987"/>
      <c r="V599" s="987"/>
      <c r="W599" s="987"/>
      <c r="X599" s="987"/>
      <c r="Y599" s="987"/>
      <c r="Z599" s="987"/>
    </row>
    <row r="600">
      <c r="A600" s="987"/>
      <c r="B600" s="987"/>
      <c r="C600" s="987"/>
      <c r="D600" s="987"/>
      <c r="E600" s="987"/>
      <c r="F600" s="987"/>
      <c r="G600" s="987"/>
      <c r="H600" s="987"/>
      <c r="I600" s="987"/>
      <c r="J600" s="987"/>
      <c r="K600" s="987"/>
      <c r="L600" s="987"/>
      <c r="M600" s="987"/>
      <c r="N600" s="987"/>
      <c r="O600" s="987"/>
      <c r="P600" s="987"/>
      <c r="Q600" s="987"/>
      <c r="R600" s="987"/>
      <c r="S600" s="987"/>
      <c r="T600" s="987"/>
      <c r="U600" s="987"/>
      <c r="V600" s="987"/>
      <c r="W600" s="987"/>
      <c r="X600" s="987"/>
      <c r="Y600" s="987"/>
      <c r="Z600" s="987"/>
    </row>
    <row r="601">
      <c r="A601" s="987"/>
      <c r="B601" s="987"/>
      <c r="C601" s="987"/>
      <c r="D601" s="987"/>
      <c r="E601" s="987"/>
      <c r="F601" s="987"/>
      <c r="G601" s="987"/>
      <c r="H601" s="987"/>
      <c r="I601" s="987"/>
      <c r="J601" s="987"/>
      <c r="K601" s="987"/>
      <c r="L601" s="987"/>
      <c r="M601" s="987"/>
      <c r="N601" s="987"/>
      <c r="O601" s="987"/>
      <c r="P601" s="987"/>
      <c r="Q601" s="987"/>
      <c r="R601" s="987"/>
      <c r="S601" s="987"/>
      <c r="T601" s="987"/>
      <c r="U601" s="987"/>
      <c r="V601" s="987"/>
      <c r="W601" s="987"/>
      <c r="X601" s="987"/>
      <c r="Y601" s="987"/>
      <c r="Z601" s="987"/>
    </row>
    <row r="602">
      <c r="A602" s="987"/>
      <c r="B602" s="987"/>
      <c r="C602" s="987"/>
      <c r="D602" s="987"/>
      <c r="E602" s="987"/>
      <c r="F602" s="987"/>
      <c r="G602" s="987"/>
      <c r="H602" s="987"/>
      <c r="I602" s="987"/>
      <c r="J602" s="987"/>
      <c r="K602" s="987"/>
      <c r="L602" s="987"/>
      <c r="M602" s="987"/>
      <c r="N602" s="987"/>
      <c r="O602" s="987"/>
      <c r="P602" s="987"/>
      <c r="Q602" s="987"/>
      <c r="R602" s="987"/>
      <c r="S602" s="987"/>
      <c r="T602" s="987"/>
      <c r="U602" s="987"/>
      <c r="V602" s="987"/>
      <c r="W602" s="987"/>
      <c r="X602" s="987"/>
      <c r="Y602" s="987"/>
      <c r="Z602" s="987"/>
    </row>
    <row r="603">
      <c r="A603" s="987"/>
      <c r="B603" s="987"/>
      <c r="C603" s="987"/>
      <c r="D603" s="987"/>
      <c r="E603" s="987"/>
      <c r="F603" s="987"/>
      <c r="G603" s="987"/>
      <c r="H603" s="987"/>
      <c r="I603" s="987"/>
      <c r="J603" s="987"/>
      <c r="K603" s="987"/>
      <c r="L603" s="987"/>
      <c r="M603" s="987"/>
      <c r="N603" s="987"/>
      <c r="O603" s="987"/>
      <c r="P603" s="987"/>
      <c r="Q603" s="987"/>
      <c r="R603" s="987"/>
      <c r="S603" s="987"/>
      <c r="T603" s="987"/>
      <c r="U603" s="987"/>
      <c r="V603" s="987"/>
      <c r="W603" s="987"/>
      <c r="X603" s="987"/>
      <c r="Y603" s="987"/>
      <c r="Z603" s="987"/>
    </row>
    <row r="604">
      <c r="A604" s="987"/>
      <c r="B604" s="987"/>
      <c r="C604" s="987"/>
      <c r="D604" s="987"/>
      <c r="E604" s="987"/>
      <c r="F604" s="987"/>
      <c r="G604" s="987"/>
      <c r="H604" s="987"/>
      <c r="I604" s="987"/>
      <c r="J604" s="987"/>
      <c r="K604" s="987"/>
      <c r="L604" s="987"/>
      <c r="M604" s="987"/>
      <c r="N604" s="987"/>
      <c r="O604" s="987"/>
      <c r="P604" s="987"/>
      <c r="Q604" s="987"/>
      <c r="R604" s="987"/>
      <c r="S604" s="987"/>
      <c r="T604" s="987"/>
      <c r="U604" s="987"/>
      <c r="V604" s="987"/>
      <c r="W604" s="987"/>
      <c r="X604" s="987"/>
      <c r="Y604" s="987"/>
      <c r="Z604" s="987"/>
    </row>
    <row r="605">
      <c r="A605" s="987"/>
      <c r="B605" s="987"/>
      <c r="C605" s="987"/>
      <c r="D605" s="987"/>
      <c r="E605" s="987"/>
      <c r="F605" s="987"/>
      <c r="G605" s="987"/>
      <c r="H605" s="987"/>
      <c r="I605" s="987"/>
      <c r="J605" s="987"/>
      <c r="K605" s="987"/>
      <c r="L605" s="987"/>
      <c r="M605" s="987"/>
      <c r="N605" s="987"/>
      <c r="O605" s="987"/>
      <c r="P605" s="987"/>
      <c r="Q605" s="987"/>
      <c r="R605" s="987"/>
      <c r="S605" s="987"/>
      <c r="T605" s="987"/>
      <c r="U605" s="987"/>
      <c r="V605" s="987"/>
      <c r="W605" s="987"/>
      <c r="X605" s="987"/>
      <c r="Y605" s="987"/>
      <c r="Z605" s="987"/>
    </row>
    <row r="606">
      <c r="A606" s="987"/>
      <c r="B606" s="987"/>
      <c r="C606" s="987"/>
      <c r="D606" s="987"/>
      <c r="E606" s="987"/>
      <c r="F606" s="987"/>
      <c r="G606" s="987"/>
      <c r="H606" s="987"/>
      <c r="I606" s="987"/>
      <c r="J606" s="987"/>
      <c r="K606" s="987"/>
      <c r="L606" s="987"/>
      <c r="M606" s="987"/>
      <c r="N606" s="987"/>
      <c r="O606" s="987"/>
      <c r="P606" s="987"/>
      <c r="Q606" s="987"/>
      <c r="R606" s="987"/>
      <c r="S606" s="987"/>
      <c r="T606" s="987"/>
      <c r="U606" s="987"/>
      <c r="V606" s="987"/>
      <c r="W606" s="987"/>
      <c r="X606" s="987"/>
      <c r="Y606" s="987"/>
      <c r="Z606" s="987"/>
    </row>
    <row r="607">
      <c r="A607" s="987"/>
      <c r="B607" s="987"/>
      <c r="C607" s="987"/>
      <c r="D607" s="987"/>
      <c r="E607" s="987"/>
      <c r="F607" s="987"/>
      <c r="G607" s="987"/>
      <c r="H607" s="987"/>
      <c r="I607" s="987"/>
      <c r="J607" s="987"/>
      <c r="K607" s="987"/>
      <c r="L607" s="987"/>
      <c r="M607" s="987"/>
      <c r="N607" s="987"/>
      <c r="O607" s="987"/>
      <c r="P607" s="987"/>
      <c r="Q607" s="987"/>
      <c r="R607" s="987"/>
      <c r="S607" s="987"/>
      <c r="T607" s="987"/>
      <c r="U607" s="987"/>
      <c r="V607" s="987"/>
      <c r="W607" s="987"/>
      <c r="X607" s="987"/>
      <c r="Y607" s="987"/>
      <c r="Z607" s="987"/>
    </row>
    <row r="608">
      <c r="A608" s="987"/>
      <c r="B608" s="987"/>
      <c r="C608" s="987"/>
      <c r="D608" s="987"/>
      <c r="E608" s="987"/>
      <c r="F608" s="987"/>
      <c r="G608" s="987"/>
      <c r="H608" s="987"/>
      <c r="I608" s="987"/>
      <c r="J608" s="987"/>
      <c r="K608" s="987"/>
      <c r="L608" s="987"/>
      <c r="M608" s="987"/>
      <c r="N608" s="987"/>
      <c r="O608" s="987"/>
      <c r="P608" s="987"/>
      <c r="Q608" s="987"/>
      <c r="R608" s="987"/>
      <c r="S608" s="987"/>
      <c r="T608" s="987"/>
      <c r="U608" s="987"/>
      <c r="V608" s="987"/>
      <c r="W608" s="987"/>
      <c r="X608" s="987"/>
      <c r="Y608" s="987"/>
      <c r="Z608" s="987"/>
    </row>
    <row r="609">
      <c r="A609" s="987"/>
      <c r="B609" s="987"/>
      <c r="C609" s="987"/>
      <c r="D609" s="987"/>
      <c r="E609" s="987"/>
      <c r="F609" s="987"/>
      <c r="G609" s="987"/>
      <c r="H609" s="987"/>
      <c r="I609" s="987"/>
      <c r="J609" s="987"/>
      <c r="K609" s="987"/>
      <c r="L609" s="987"/>
      <c r="M609" s="987"/>
      <c r="N609" s="987"/>
      <c r="O609" s="987"/>
      <c r="P609" s="987"/>
      <c r="Q609" s="987"/>
      <c r="R609" s="987"/>
      <c r="S609" s="987"/>
      <c r="T609" s="987"/>
      <c r="U609" s="987"/>
      <c r="V609" s="987"/>
      <c r="W609" s="987"/>
      <c r="X609" s="987"/>
      <c r="Y609" s="987"/>
      <c r="Z609" s="987"/>
    </row>
    <row r="610">
      <c r="A610" s="987"/>
      <c r="B610" s="987"/>
      <c r="C610" s="987"/>
      <c r="D610" s="987"/>
      <c r="E610" s="987"/>
      <c r="F610" s="987"/>
      <c r="G610" s="987"/>
      <c r="H610" s="987"/>
      <c r="I610" s="987"/>
      <c r="J610" s="987"/>
      <c r="K610" s="987"/>
      <c r="L610" s="987"/>
      <c r="M610" s="987"/>
      <c r="N610" s="987"/>
      <c r="O610" s="987"/>
      <c r="P610" s="987"/>
      <c r="Q610" s="987"/>
      <c r="R610" s="987"/>
      <c r="S610" s="987"/>
      <c r="T610" s="987"/>
      <c r="U610" s="987"/>
      <c r="V610" s="987"/>
      <c r="W610" s="987"/>
      <c r="X610" s="987"/>
      <c r="Y610" s="987"/>
      <c r="Z610" s="987"/>
    </row>
    <row r="611">
      <c r="A611" s="987"/>
      <c r="B611" s="987"/>
      <c r="C611" s="987"/>
      <c r="D611" s="987"/>
      <c r="E611" s="987"/>
      <c r="F611" s="987"/>
      <c r="G611" s="987"/>
      <c r="H611" s="987"/>
      <c r="I611" s="987"/>
      <c r="J611" s="987"/>
      <c r="K611" s="987"/>
      <c r="L611" s="987"/>
      <c r="M611" s="987"/>
      <c r="N611" s="987"/>
      <c r="O611" s="987"/>
      <c r="P611" s="987"/>
      <c r="Q611" s="987"/>
      <c r="R611" s="987"/>
      <c r="S611" s="987"/>
      <c r="T611" s="987"/>
      <c r="U611" s="987"/>
      <c r="V611" s="987"/>
      <c r="W611" s="987"/>
      <c r="X611" s="987"/>
      <c r="Y611" s="987"/>
      <c r="Z611" s="987"/>
    </row>
    <row r="612">
      <c r="A612" s="987"/>
      <c r="B612" s="987"/>
      <c r="C612" s="987"/>
      <c r="D612" s="987"/>
      <c r="E612" s="987"/>
      <c r="F612" s="987"/>
      <c r="G612" s="987"/>
      <c r="H612" s="987"/>
      <c r="I612" s="987"/>
      <c r="J612" s="987"/>
      <c r="K612" s="987"/>
      <c r="L612" s="987"/>
      <c r="M612" s="987"/>
      <c r="N612" s="987"/>
      <c r="O612" s="987"/>
      <c r="P612" s="987"/>
      <c r="Q612" s="987"/>
      <c r="R612" s="987"/>
      <c r="S612" s="987"/>
      <c r="T612" s="987"/>
      <c r="U612" s="987"/>
      <c r="V612" s="987"/>
      <c r="W612" s="987"/>
      <c r="X612" s="987"/>
      <c r="Y612" s="987"/>
      <c r="Z612" s="987"/>
    </row>
    <row r="613">
      <c r="A613" s="987"/>
      <c r="B613" s="987"/>
      <c r="C613" s="987"/>
      <c r="D613" s="987"/>
      <c r="E613" s="987"/>
      <c r="F613" s="987"/>
      <c r="G613" s="987"/>
      <c r="H613" s="987"/>
      <c r="I613" s="987"/>
      <c r="J613" s="987"/>
      <c r="K613" s="987"/>
      <c r="L613" s="987"/>
      <c r="M613" s="987"/>
      <c r="N613" s="987"/>
      <c r="O613" s="987"/>
      <c r="P613" s="987"/>
      <c r="Q613" s="987"/>
      <c r="R613" s="987"/>
      <c r="S613" s="987"/>
      <c r="T613" s="987"/>
      <c r="U613" s="987"/>
      <c r="V613" s="987"/>
      <c r="W613" s="987"/>
      <c r="X613" s="987"/>
      <c r="Y613" s="987"/>
      <c r="Z613" s="987"/>
    </row>
    <row r="614">
      <c r="A614" s="987"/>
      <c r="B614" s="987"/>
      <c r="C614" s="987"/>
      <c r="D614" s="987"/>
      <c r="E614" s="987"/>
      <c r="F614" s="987"/>
      <c r="G614" s="987"/>
      <c r="H614" s="987"/>
      <c r="I614" s="987"/>
      <c r="J614" s="987"/>
      <c r="K614" s="987"/>
      <c r="L614" s="987"/>
      <c r="M614" s="987"/>
      <c r="N614" s="987"/>
      <c r="O614" s="987"/>
      <c r="P614" s="987"/>
      <c r="Q614" s="987"/>
      <c r="R614" s="987"/>
      <c r="S614" s="987"/>
      <c r="T614" s="987"/>
      <c r="U614" s="987"/>
      <c r="V614" s="987"/>
      <c r="W614" s="987"/>
      <c r="X614" s="987"/>
      <c r="Y614" s="987"/>
      <c r="Z614" s="987"/>
    </row>
    <row r="615">
      <c r="A615" s="987"/>
      <c r="B615" s="987"/>
      <c r="C615" s="987"/>
      <c r="D615" s="987"/>
      <c r="E615" s="987"/>
      <c r="F615" s="987"/>
      <c r="G615" s="987"/>
      <c r="H615" s="987"/>
      <c r="I615" s="987"/>
      <c r="J615" s="987"/>
      <c r="K615" s="987"/>
      <c r="L615" s="987"/>
      <c r="M615" s="987"/>
      <c r="N615" s="987"/>
      <c r="O615" s="987"/>
      <c r="P615" s="987"/>
      <c r="Q615" s="987"/>
      <c r="R615" s="987"/>
      <c r="S615" s="987"/>
      <c r="T615" s="987"/>
      <c r="U615" s="987"/>
      <c r="V615" s="987"/>
      <c r="W615" s="987"/>
      <c r="X615" s="987"/>
      <c r="Y615" s="987"/>
      <c r="Z615" s="987"/>
    </row>
    <row r="616">
      <c r="A616" s="987"/>
      <c r="B616" s="987"/>
      <c r="C616" s="987"/>
      <c r="D616" s="987"/>
      <c r="E616" s="987"/>
      <c r="F616" s="987"/>
      <c r="G616" s="987"/>
      <c r="H616" s="987"/>
      <c r="I616" s="987"/>
      <c r="J616" s="987"/>
      <c r="K616" s="987"/>
      <c r="L616" s="987"/>
      <c r="M616" s="987"/>
      <c r="N616" s="987"/>
      <c r="O616" s="987"/>
      <c r="P616" s="987"/>
      <c r="Q616" s="987"/>
      <c r="R616" s="987"/>
      <c r="S616" s="987"/>
      <c r="T616" s="987"/>
      <c r="U616" s="987"/>
      <c r="V616" s="987"/>
      <c r="W616" s="987"/>
      <c r="X616" s="987"/>
      <c r="Y616" s="987"/>
      <c r="Z616" s="987"/>
    </row>
    <row r="617">
      <c r="A617" s="987"/>
      <c r="B617" s="987"/>
      <c r="C617" s="987"/>
      <c r="D617" s="987"/>
      <c r="E617" s="987"/>
      <c r="F617" s="987"/>
      <c r="G617" s="987"/>
      <c r="H617" s="987"/>
      <c r="I617" s="987"/>
      <c r="J617" s="987"/>
      <c r="K617" s="987"/>
      <c r="L617" s="987"/>
      <c r="M617" s="987"/>
      <c r="N617" s="987"/>
      <c r="O617" s="987"/>
      <c r="P617" s="987"/>
      <c r="Q617" s="987"/>
      <c r="R617" s="987"/>
      <c r="S617" s="987"/>
      <c r="T617" s="987"/>
      <c r="U617" s="987"/>
      <c r="V617" s="987"/>
      <c r="W617" s="987"/>
      <c r="X617" s="987"/>
      <c r="Y617" s="987"/>
      <c r="Z617" s="987"/>
    </row>
    <row r="618">
      <c r="A618" s="987"/>
      <c r="B618" s="987"/>
      <c r="C618" s="987"/>
      <c r="D618" s="987"/>
      <c r="E618" s="987"/>
      <c r="F618" s="987"/>
      <c r="G618" s="987"/>
      <c r="H618" s="987"/>
      <c r="I618" s="987"/>
      <c r="J618" s="987"/>
      <c r="K618" s="987"/>
      <c r="L618" s="987"/>
      <c r="M618" s="987"/>
      <c r="N618" s="987"/>
      <c r="O618" s="987"/>
      <c r="P618" s="987"/>
      <c r="Q618" s="987"/>
      <c r="R618" s="987"/>
      <c r="S618" s="987"/>
      <c r="T618" s="987"/>
      <c r="U618" s="987"/>
      <c r="V618" s="987"/>
      <c r="W618" s="987"/>
      <c r="X618" s="987"/>
      <c r="Y618" s="987"/>
      <c r="Z618" s="987"/>
    </row>
    <row r="619">
      <c r="A619" s="987"/>
      <c r="B619" s="987"/>
      <c r="C619" s="987"/>
      <c r="D619" s="987"/>
      <c r="E619" s="987"/>
      <c r="F619" s="987"/>
      <c r="G619" s="987"/>
      <c r="H619" s="987"/>
      <c r="I619" s="987"/>
      <c r="J619" s="987"/>
      <c r="K619" s="987"/>
      <c r="L619" s="987"/>
      <c r="M619" s="987"/>
      <c r="N619" s="987"/>
      <c r="O619" s="987"/>
      <c r="P619" s="987"/>
      <c r="Q619" s="987"/>
      <c r="R619" s="987"/>
      <c r="S619" s="987"/>
      <c r="T619" s="987"/>
      <c r="U619" s="987"/>
      <c r="V619" s="987"/>
      <c r="W619" s="987"/>
      <c r="X619" s="987"/>
      <c r="Y619" s="987"/>
      <c r="Z619" s="987"/>
    </row>
    <row r="620">
      <c r="A620" s="987"/>
      <c r="B620" s="987"/>
      <c r="C620" s="987"/>
      <c r="D620" s="987"/>
      <c r="E620" s="987"/>
      <c r="F620" s="987"/>
      <c r="G620" s="987"/>
      <c r="H620" s="987"/>
      <c r="I620" s="987"/>
      <c r="J620" s="987"/>
      <c r="K620" s="987"/>
      <c r="L620" s="987"/>
      <c r="M620" s="987"/>
      <c r="N620" s="987"/>
      <c r="O620" s="987"/>
      <c r="P620" s="987"/>
      <c r="Q620" s="987"/>
      <c r="R620" s="987"/>
      <c r="S620" s="987"/>
      <c r="T620" s="987"/>
      <c r="U620" s="987"/>
      <c r="V620" s="987"/>
      <c r="W620" s="987"/>
      <c r="X620" s="987"/>
      <c r="Y620" s="987"/>
      <c r="Z620" s="987"/>
    </row>
    <row r="621">
      <c r="A621" s="987"/>
      <c r="B621" s="987"/>
      <c r="C621" s="987"/>
      <c r="D621" s="987"/>
      <c r="E621" s="987"/>
      <c r="F621" s="987"/>
      <c r="G621" s="987"/>
      <c r="H621" s="987"/>
      <c r="I621" s="987"/>
      <c r="J621" s="987"/>
      <c r="K621" s="987"/>
      <c r="L621" s="987"/>
      <c r="M621" s="987"/>
      <c r="N621" s="987"/>
      <c r="O621" s="987"/>
      <c r="P621" s="987"/>
      <c r="Q621" s="987"/>
      <c r="R621" s="987"/>
      <c r="S621" s="987"/>
      <c r="T621" s="987"/>
      <c r="U621" s="987"/>
      <c r="V621" s="987"/>
      <c r="W621" s="987"/>
      <c r="X621" s="987"/>
      <c r="Y621" s="987"/>
      <c r="Z621" s="987"/>
    </row>
    <row r="622">
      <c r="A622" s="987"/>
      <c r="B622" s="987"/>
      <c r="C622" s="987"/>
      <c r="D622" s="987"/>
      <c r="E622" s="987"/>
      <c r="F622" s="987"/>
      <c r="G622" s="987"/>
      <c r="H622" s="987"/>
      <c r="I622" s="987"/>
      <c r="J622" s="987"/>
      <c r="K622" s="987"/>
      <c r="L622" s="987"/>
      <c r="M622" s="987"/>
      <c r="N622" s="987"/>
      <c r="O622" s="987"/>
      <c r="P622" s="987"/>
      <c r="Q622" s="987"/>
      <c r="R622" s="987"/>
      <c r="S622" s="987"/>
      <c r="T622" s="987"/>
      <c r="U622" s="987"/>
      <c r="V622" s="987"/>
      <c r="W622" s="987"/>
      <c r="X622" s="987"/>
      <c r="Y622" s="987"/>
      <c r="Z622" s="987"/>
    </row>
    <row r="623">
      <c r="A623" s="987"/>
      <c r="B623" s="987"/>
      <c r="C623" s="987"/>
      <c r="D623" s="987"/>
      <c r="E623" s="987"/>
      <c r="F623" s="987"/>
      <c r="G623" s="987"/>
      <c r="H623" s="987"/>
      <c r="I623" s="987"/>
      <c r="J623" s="987"/>
      <c r="K623" s="987"/>
      <c r="L623" s="987"/>
      <c r="M623" s="987"/>
      <c r="N623" s="987"/>
      <c r="O623" s="987"/>
      <c r="P623" s="987"/>
      <c r="Q623" s="987"/>
      <c r="R623" s="987"/>
      <c r="S623" s="987"/>
      <c r="T623" s="987"/>
      <c r="U623" s="987"/>
      <c r="V623" s="987"/>
      <c r="W623" s="987"/>
      <c r="X623" s="987"/>
      <c r="Y623" s="987"/>
      <c r="Z623" s="987"/>
    </row>
    <row r="624">
      <c r="A624" s="987"/>
      <c r="B624" s="987"/>
      <c r="C624" s="987"/>
      <c r="D624" s="987"/>
      <c r="E624" s="987"/>
      <c r="F624" s="987"/>
      <c r="G624" s="987"/>
      <c r="H624" s="987"/>
      <c r="I624" s="987"/>
      <c r="J624" s="987"/>
      <c r="K624" s="987"/>
      <c r="L624" s="987"/>
      <c r="M624" s="987"/>
      <c r="N624" s="987"/>
      <c r="O624" s="987"/>
      <c r="P624" s="987"/>
      <c r="Q624" s="987"/>
      <c r="R624" s="987"/>
      <c r="S624" s="987"/>
      <c r="T624" s="987"/>
      <c r="U624" s="987"/>
      <c r="V624" s="987"/>
      <c r="W624" s="987"/>
      <c r="X624" s="987"/>
      <c r="Y624" s="987"/>
      <c r="Z624" s="987"/>
    </row>
    <row r="625">
      <c r="A625" s="987"/>
      <c r="B625" s="987"/>
      <c r="C625" s="987"/>
      <c r="D625" s="987"/>
      <c r="E625" s="987"/>
      <c r="F625" s="987"/>
      <c r="G625" s="987"/>
      <c r="H625" s="987"/>
      <c r="I625" s="987"/>
      <c r="J625" s="987"/>
      <c r="K625" s="987"/>
      <c r="L625" s="987"/>
      <c r="M625" s="987"/>
      <c r="N625" s="987"/>
      <c r="O625" s="987"/>
      <c r="P625" s="987"/>
      <c r="Q625" s="987"/>
      <c r="R625" s="987"/>
      <c r="S625" s="987"/>
      <c r="T625" s="987"/>
      <c r="U625" s="987"/>
      <c r="V625" s="987"/>
      <c r="W625" s="987"/>
      <c r="X625" s="987"/>
      <c r="Y625" s="987"/>
      <c r="Z625" s="987"/>
    </row>
    <row r="626">
      <c r="A626" s="987"/>
      <c r="B626" s="987"/>
      <c r="C626" s="987"/>
      <c r="D626" s="987"/>
      <c r="E626" s="987"/>
      <c r="F626" s="987"/>
      <c r="G626" s="987"/>
      <c r="H626" s="987"/>
      <c r="I626" s="987"/>
      <c r="J626" s="987"/>
      <c r="K626" s="987"/>
      <c r="L626" s="987"/>
      <c r="M626" s="987"/>
      <c r="N626" s="987"/>
      <c r="O626" s="987"/>
      <c r="P626" s="987"/>
      <c r="Q626" s="987"/>
      <c r="R626" s="987"/>
      <c r="S626" s="987"/>
      <c r="T626" s="987"/>
      <c r="U626" s="987"/>
      <c r="V626" s="987"/>
      <c r="W626" s="987"/>
      <c r="X626" s="987"/>
      <c r="Y626" s="987"/>
      <c r="Z626" s="987"/>
    </row>
    <row r="627">
      <c r="A627" s="987"/>
      <c r="B627" s="987"/>
      <c r="C627" s="987"/>
      <c r="D627" s="987"/>
      <c r="E627" s="987"/>
      <c r="F627" s="987"/>
      <c r="G627" s="987"/>
      <c r="H627" s="987"/>
      <c r="I627" s="987"/>
      <c r="J627" s="987"/>
      <c r="K627" s="987"/>
      <c r="L627" s="987"/>
      <c r="M627" s="987"/>
      <c r="N627" s="987"/>
      <c r="O627" s="987"/>
      <c r="P627" s="987"/>
      <c r="Q627" s="987"/>
      <c r="R627" s="987"/>
      <c r="S627" s="987"/>
      <c r="T627" s="987"/>
      <c r="U627" s="987"/>
      <c r="V627" s="987"/>
      <c r="W627" s="987"/>
      <c r="X627" s="987"/>
      <c r="Y627" s="987"/>
      <c r="Z627" s="987"/>
    </row>
    <row r="628">
      <c r="A628" s="987"/>
      <c r="B628" s="987"/>
      <c r="C628" s="987"/>
      <c r="D628" s="987"/>
      <c r="E628" s="987"/>
      <c r="F628" s="987"/>
      <c r="G628" s="987"/>
      <c r="H628" s="987"/>
      <c r="I628" s="987"/>
      <c r="J628" s="987"/>
      <c r="K628" s="987"/>
      <c r="L628" s="987"/>
      <c r="M628" s="987"/>
      <c r="N628" s="987"/>
      <c r="O628" s="987"/>
      <c r="P628" s="987"/>
      <c r="Q628" s="987"/>
      <c r="R628" s="987"/>
      <c r="S628" s="987"/>
      <c r="T628" s="987"/>
      <c r="U628" s="987"/>
      <c r="V628" s="987"/>
      <c r="W628" s="987"/>
      <c r="X628" s="987"/>
      <c r="Y628" s="987"/>
      <c r="Z628" s="987"/>
    </row>
    <row r="629">
      <c r="A629" s="987"/>
      <c r="B629" s="987"/>
      <c r="C629" s="987"/>
      <c r="D629" s="987"/>
      <c r="E629" s="987"/>
      <c r="F629" s="987"/>
      <c r="G629" s="987"/>
      <c r="H629" s="987"/>
      <c r="I629" s="987"/>
      <c r="J629" s="987"/>
      <c r="K629" s="987"/>
      <c r="L629" s="987"/>
      <c r="M629" s="987"/>
      <c r="N629" s="987"/>
      <c r="O629" s="987"/>
      <c r="P629" s="987"/>
      <c r="Q629" s="987"/>
      <c r="R629" s="987"/>
      <c r="S629" s="987"/>
      <c r="T629" s="987"/>
      <c r="U629" s="987"/>
      <c r="V629" s="987"/>
      <c r="W629" s="987"/>
      <c r="X629" s="987"/>
      <c r="Y629" s="987"/>
      <c r="Z629" s="987"/>
    </row>
    <row r="630">
      <c r="A630" s="987"/>
      <c r="B630" s="987"/>
      <c r="C630" s="987"/>
      <c r="D630" s="987"/>
      <c r="E630" s="987"/>
      <c r="F630" s="987"/>
      <c r="G630" s="987"/>
      <c r="H630" s="987"/>
      <c r="I630" s="987"/>
      <c r="J630" s="987"/>
      <c r="K630" s="987"/>
      <c r="L630" s="987"/>
      <c r="M630" s="987"/>
      <c r="N630" s="987"/>
      <c r="O630" s="987"/>
      <c r="P630" s="987"/>
      <c r="Q630" s="987"/>
      <c r="R630" s="987"/>
      <c r="S630" s="987"/>
      <c r="T630" s="987"/>
      <c r="U630" s="987"/>
      <c r="V630" s="987"/>
      <c r="W630" s="987"/>
      <c r="X630" s="987"/>
      <c r="Y630" s="987"/>
      <c r="Z630" s="987"/>
    </row>
    <row r="631">
      <c r="A631" s="987"/>
      <c r="B631" s="987"/>
      <c r="C631" s="987"/>
      <c r="D631" s="987"/>
      <c r="E631" s="987"/>
      <c r="F631" s="987"/>
      <c r="G631" s="987"/>
      <c r="H631" s="987"/>
      <c r="I631" s="987"/>
      <c r="J631" s="987"/>
      <c r="K631" s="987"/>
      <c r="L631" s="987"/>
      <c r="M631" s="987"/>
      <c r="N631" s="987"/>
      <c r="O631" s="987"/>
      <c r="P631" s="987"/>
      <c r="Q631" s="987"/>
      <c r="R631" s="987"/>
      <c r="S631" s="987"/>
      <c r="T631" s="987"/>
      <c r="U631" s="987"/>
      <c r="V631" s="987"/>
      <c r="W631" s="987"/>
      <c r="X631" s="987"/>
      <c r="Y631" s="987"/>
      <c r="Z631" s="987"/>
    </row>
    <row r="632">
      <c r="A632" s="987"/>
      <c r="B632" s="987"/>
      <c r="C632" s="987"/>
      <c r="D632" s="987"/>
      <c r="E632" s="987"/>
      <c r="F632" s="987"/>
      <c r="G632" s="987"/>
      <c r="H632" s="987"/>
      <c r="I632" s="987"/>
      <c r="J632" s="987"/>
      <c r="K632" s="987"/>
      <c r="L632" s="987"/>
      <c r="M632" s="987"/>
      <c r="N632" s="987"/>
      <c r="O632" s="987"/>
      <c r="P632" s="987"/>
      <c r="Q632" s="987"/>
      <c r="R632" s="987"/>
      <c r="S632" s="987"/>
      <c r="T632" s="987"/>
      <c r="U632" s="987"/>
      <c r="V632" s="987"/>
      <c r="W632" s="987"/>
      <c r="X632" s="987"/>
      <c r="Y632" s="987"/>
      <c r="Z632" s="987"/>
    </row>
    <row r="633">
      <c r="A633" s="987"/>
      <c r="B633" s="987"/>
      <c r="C633" s="987"/>
      <c r="D633" s="987"/>
      <c r="E633" s="987"/>
      <c r="F633" s="987"/>
      <c r="G633" s="987"/>
      <c r="H633" s="987"/>
      <c r="I633" s="987"/>
      <c r="J633" s="987"/>
      <c r="K633" s="987"/>
      <c r="L633" s="987"/>
      <c r="M633" s="987"/>
      <c r="N633" s="987"/>
      <c r="O633" s="987"/>
      <c r="P633" s="987"/>
      <c r="Q633" s="987"/>
      <c r="R633" s="987"/>
      <c r="S633" s="987"/>
      <c r="T633" s="987"/>
      <c r="U633" s="987"/>
      <c r="V633" s="987"/>
      <c r="W633" s="987"/>
      <c r="X633" s="987"/>
      <c r="Y633" s="987"/>
      <c r="Z633" s="987"/>
    </row>
    <row r="634">
      <c r="A634" s="987"/>
      <c r="B634" s="987"/>
      <c r="C634" s="987"/>
      <c r="D634" s="987"/>
      <c r="E634" s="987"/>
      <c r="F634" s="987"/>
      <c r="G634" s="987"/>
      <c r="H634" s="987"/>
      <c r="I634" s="987"/>
      <c r="J634" s="987"/>
      <c r="K634" s="987"/>
      <c r="L634" s="987"/>
      <c r="M634" s="987"/>
      <c r="N634" s="987"/>
      <c r="O634" s="987"/>
      <c r="P634" s="987"/>
      <c r="Q634" s="987"/>
      <c r="R634" s="987"/>
      <c r="S634" s="987"/>
      <c r="T634" s="987"/>
      <c r="U634" s="987"/>
      <c r="V634" s="987"/>
      <c r="W634" s="987"/>
      <c r="X634" s="987"/>
      <c r="Y634" s="987"/>
      <c r="Z634" s="987"/>
    </row>
    <row r="635">
      <c r="A635" s="987"/>
      <c r="B635" s="987"/>
      <c r="C635" s="987"/>
      <c r="D635" s="987"/>
      <c r="E635" s="987"/>
      <c r="F635" s="987"/>
      <c r="G635" s="987"/>
      <c r="H635" s="987"/>
      <c r="I635" s="987"/>
      <c r="J635" s="987"/>
      <c r="K635" s="987"/>
      <c r="L635" s="987"/>
      <c r="M635" s="987"/>
      <c r="N635" s="987"/>
      <c r="O635" s="987"/>
      <c r="P635" s="987"/>
      <c r="Q635" s="987"/>
      <c r="R635" s="987"/>
      <c r="S635" s="987"/>
      <c r="T635" s="987"/>
      <c r="U635" s="987"/>
      <c r="V635" s="987"/>
      <c r="W635" s="987"/>
      <c r="X635" s="987"/>
      <c r="Y635" s="987"/>
      <c r="Z635" s="987"/>
    </row>
    <row r="636">
      <c r="A636" s="987"/>
      <c r="B636" s="987"/>
      <c r="C636" s="987"/>
      <c r="D636" s="987"/>
      <c r="E636" s="987"/>
      <c r="F636" s="987"/>
      <c r="G636" s="987"/>
      <c r="H636" s="987"/>
      <c r="I636" s="987"/>
      <c r="J636" s="987"/>
      <c r="K636" s="987"/>
      <c r="L636" s="987"/>
      <c r="M636" s="987"/>
      <c r="N636" s="987"/>
      <c r="O636" s="987"/>
      <c r="P636" s="987"/>
      <c r="Q636" s="987"/>
      <c r="R636" s="987"/>
      <c r="S636" s="987"/>
      <c r="T636" s="987"/>
      <c r="U636" s="987"/>
      <c r="V636" s="987"/>
      <c r="W636" s="987"/>
      <c r="X636" s="987"/>
      <c r="Y636" s="987"/>
      <c r="Z636" s="987"/>
    </row>
    <row r="637">
      <c r="A637" s="987"/>
      <c r="B637" s="987"/>
      <c r="C637" s="987"/>
      <c r="D637" s="987"/>
      <c r="E637" s="987"/>
      <c r="F637" s="987"/>
      <c r="G637" s="987"/>
      <c r="H637" s="987"/>
      <c r="I637" s="987"/>
      <c r="J637" s="987"/>
      <c r="K637" s="987"/>
      <c r="L637" s="987"/>
      <c r="M637" s="987"/>
      <c r="N637" s="987"/>
      <c r="O637" s="987"/>
      <c r="P637" s="987"/>
      <c r="Q637" s="987"/>
      <c r="R637" s="987"/>
      <c r="S637" s="987"/>
      <c r="T637" s="987"/>
      <c r="U637" s="987"/>
      <c r="V637" s="987"/>
      <c r="W637" s="987"/>
      <c r="X637" s="987"/>
      <c r="Y637" s="987"/>
      <c r="Z637" s="987"/>
    </row>
    <row r="638">
      <c r="A638" s="987"/>
      <c r="B638" s="987"/>
      <c r="C638" s="987"/>
      <c r="D638" s="987"/>
      <c r="E638" s="987"/>
      <c r="F638" s="987"/>
      <c r="G638" s="987"/>
      <c r="H638" s="987"/>
      <c r="I638" s="987"/>
      <c r="J638" s="987"/>
      <c r="K638" s="987"/>
      <c r="L638" s="987"/>
      <c r="M638" s="987"/>
      <c r="N638" s="987"/>
      <c r="O638" s="987"/>
      <c r="P638" s="987"/>
      <c r="Q638" s="987"/>
      <c r="R638" s="987"/>
      <c r="S638" s="987"/>
      <c r="T638" s="987"/>
      <c r="U638" s="987"/>
      <c r="V638" s="987"/>
      <c r="W638" s="987"/>
      <c r="X638" s="987"/>
      <c r="Y638" s="987"/>
      <c r="Z638" s="987"/>
    </row>
    <row r="639">
      <c r="A639" s="987"/>
      <c r="B639" s="987"/>
      <c r="C639" s="987"/>
      <c r="D639" s="987"/>
      <c r="E639" s="987"/>
      <c r="F639" s="987"/>
      <c r="G639" s="987"/>
      <c r="H639" s="987"/>
      <c r="I639" s="987"/>
      <c r="J639" s="987"/>
      <c r="K639" s="987"/>
      <c r="L639" s="987"/>
      <c r="M639" s="987"/>
      <c r="N639" s="987"/>
      <c r="O639" s="987"/>
      <c r="P639" s="987"/>
      <c r="Q639" s="987"/>
      <c r="R639" s="987"/>
      <c r="S639" s="987"/>
      <c r="T639" s="987"/>
      <c r="U639" s="987"/>
      <c r="V639" s="987"/>
      <c r="W639" s="987"/>
      <c r="X639" s="987"/>
      <c r="Y639" s="987"/>
      <c r="Z639" s="987"/>
    </row>
    <row r="640">
      <c r="A640" s="987"/>
      <c r="B640" s="987"/>
      <c r="C640" s="987"/>
      <c r="D640" s="987"/>
      <c r="E640" s="987"/>
      <c r="F640" s="987"/>
      <c r="G640" s="987"/>
      <c r="H640" s="987"/>
      <c r="I640" s="987"/>
      <c r="J640" s="987"/>
      <c r="K640" s="987"/>
      <c r="L640" s="987"/>
      <c r="M640" s="987"/>
      <c r="N640" s="987"/>
      <c r="O640" s="987"/>
      <c r="P640" s="987"/>
      <c r="Q640" s="987"/>
      <c r="R640" s="987"/>
      <c r="S640" s="987"/>
      <c r="T640" s="987"/>
      <c r="U640" s="987"/>
      <c r="V640" s="987"/>
      <c r="W640" s="987"/>
      <c r="X640" s="987"/>
      <c r="Y640" s="987"/>
      <c r="Z640" s="987"/>
    </row>
    <row r="641">
      <c r="A641" s="987"/>
      <c r="B641" s="987"/>
      <c r="C641" s="987"/>
      <c r="D641" s="987"/>
      <c r="E641" s="987"/>
      <c r="F641" s="987"/>
      <c r="G641" s="987"/>
      <c r="H641" s="987"/>
      <c r="I641" s="987"/>
      <c r="J641" s="987"/>
      <c r="K641" s="987"/>
      <c r="L641" s="987"/>
      <c r="M641" s="987"/>
      <c r="N641" s="987"/>
      <c r="O641" s="987"/>
      <c r="P641" s="987"/>
      <c r="Q641" s="987"/>
      <c r="R641" s="987"/>
      <c r="S641" s="987"/>
      <c r="T641" s="987"/>
      <c r="U641" s="987"/>
      <c r="V641" s="987"/>
      <c r="W641" s="987"/>
      <c r="X641" s="987"/>
      <c r="Y641" s="987"/>
      <c r="Z641" s="987"/>
    </row>
    <row r="642">
      <c r="A642" s="987"/>
      <c r="B642" s="987"/>
      <c r="C642" s="987"/>
      <c r="D642" s="987"/>
      <c r="E642" s="987"/>
      <c r="F642" s="987"/>
      <c r="G642" s="987"/>
      <c r="H642" s="987"/>
      <c r="I642" s="987"/>
      <c r="J642" s="987"/>
      <c r="K642" s="987"/>
      <c r="L642" s="987"/>
      <c r="M642" s="987"/>
      <c r="N642" s="987"/>
      <c r="O642" s="987"/>
      <c r="P642" s="987"/>
      <c r="Q642" s="987"/>
      <c r="R642" s="987"/>
      <c r="S642" s="987"/>
      <c r="T642" s="987"/>
      <c r="U642" s="987"/>
      <c r="V642" s="987"/>
      <c r="W642" s="987"/>
      <c r="X642" s="987"/>
      <c r="Y642" s="987"/>
      <c r="Z642" s="987"/>
    </row>
    <row r="643">
      <c r="A643" s="987"/>
      <c r="B643" s="987"/>
      <c r="C643" s="987"/>
      <c r="D643" s="987"/>
      <c r="E643" s="987"/>
      <c r="F643" s="987"/>
      <c r="G643" s="987"/>
      <c r="H643" s="987"/>
      <c r="I643" s="987"/>
      <c r="J643" s="987"/>
      <c r="K643" s="987"/>
      <c r="L643" s="987"/>
      <c r="M643" s="987"/>
      <c r="N643" s="987"/>
      <c r="O643" s="987"/>
      <c r="P643" s="987"/>
      <c r="Q643" s="987"/>
      <c r="R643" s="987"/>
      <c r="S643" s="987"/>
      <c r="T643" s="987"/>
      <c r="U643" s="987"/>
      <c r="V643" s="987"/>
      <c r="W643" s="987"/>
      <c r="X643" s="987"/>
      <c r="Y643" s="987"/>
      <c r="Z643" s="987"/>
    </row>
    <row r="644">
      <c r="A644" s="987"/>
      <c r="B644" s="987"/>
      <c r="C644" s="987"/>
      <c r="D644" s="987"/>
      <c r="E644" s="987"/>
      <c r="F644" s="987"/>
      <c r="G644" s="987"/>
      <c r="H644" s="987"/>
      <c r="I644" s="987"/>
      <c r="J644" s="987"/>
      <c r="K644" s="987"/>
      <c r="L644" s="987"/>
      <c r="M644" s="987"/>
      <c r="N644" s="987"/>
      <c r="O644" s="987"/>
      <c r="P644" s="987"/>
      <c r="Q644" s="987"/>
      <c r="R644" s="987"/>
      <c r="S644" s="987"/>
      <c r="T644" s="987"/>
      <c r="U644" s="987"/>
      <c r="V644" s="987"/>
      <c r="W644" s="987"/>
      <c r="X644" s="987"/>
      <c r="Y644" s="987"/>
      <c r="Z644" s="987"/>
    </row>
    <row r="645">
      <c r="A645" s="987"/>
      <c r="B645" s="987"/>
      <c r="C645" s="987"/>
      <c r="D645" s="987"/>
      <c r="E645" s="987"/>
      <c r="F645" s="987"/>
      <c r="G645" s="987"/>
      <c r="H645" s="987"/>
      <c r="I645" s="987"/>
      <c r="J645" s="987"/>
      <c r="K645" s="987"/>
      <c r="L645" s="987"/>
      <c r="M645" s="987"/>
      <c r="N645" s="987"/>
      <c r="O645" s="987"/>
      <c r="P645" s="987"/>
      <c r="Q645" s="987"/>
      <c r="R645" s="987"/>
      <c r="S645" s="987"/>
      <c r="T645" s="987"/>
      <c r="U645" s="987"/>
      <c r="V645" s="987"/>
      <c r="W645" s="987"/>
      <c r="X645" s="987"/>
      <c r="Y645" s="987"/>
      <c r="Z645" s="987"/>
    </row>
    <row r="646">
      <c r="A646" s="987"/>
      <c r="B646" s="987"/>
      <c r="C646" s="987"/>
      <c r="D646" s="987"/>
      <c r="E646" s="987"/>
      <c r="F646" s="987"/>
      <c r="G646" s="987"/>
      <c r="H646" s="987"/>
      <c r="I646" s="987"/>
      <c r="J646" s="987"/>
      <c r="K646" s="987"/>
      <c r="L646" s="987"/>
      <c r="M646" s="987"/>
      <c r="N646" s="987"/>
      <c r="O646" s="987"/>
      <c r="P646" s="987"/>
      <c r="Q646" s="987"/>
      <c r="R646" s="987"/>
      <c r="S646" s="987"/>
      <c r="T646" s="987"/>
      <c r="U646" s="987"/>
      <c r="V646" s="987"/>
      <c r="W646" s="987"/>
      <c r="X646" s="987"/>
      <c r="Y646" s="987"/>
      <c r="Z646" s="987"/>
    </row>
    <row r="647">
      <c r="A647" s="987"/>
      <c r="B647" s="987"/>
      <c r="C647" s="987"/>
      <c r="D647" s="987"/>
      <c r="E647" s="987"/>
      <c r="F647" s="987"/>
      <c r="G647" s="987"/>
      <c r="H647" s="987"/>
      <c r="I647" s="987"/>
      <c r="J647" s="987"/>
      <c r="K647" s="987"/>
      <c r="L647" s="987"/>
      <c r="M647" s="987"/>
      <c r="N647" s="987"/>
      <c r="O647" s="987"/>
      <c r="P647" s="987"/>
      <c r="Q647" s="987"/>
      <c r="R647" s="987"/>
      <c r="S647" s="987"/>
      <c r="T647" s="987"/>
      <c r="U647" s="987"/>
      <c r="V647" s="987"/>
      <c r="W647" s="987"/>
      <c r="X647" s="987"/>
      <c r="Y647" s="987"/>
      <c r="Z647" s="987"/>
    </row>
    <row r="648">
      <c r="A648" s="987"/>
      <c r="B648" s="987"/>
      <c r="C648" s="987"/>
      <c r="D648" s="987"/>
      <c r="E648" s="987"/>
      <c r="F648" s="987"/>
      <c r="G648" s="987"/>
      <c r="H648" s="987"/>
      <c r="I648" s="987"/>
      <c r="J648" s="987"/>
      <c r="K648" s="987"/>
      <c r="L648" s="987"/>
      <c r="M648" s="987"/>
      <c r="N648" s="987"/>
      <c r="O648" s="987"/>
      <c r="P648" s="987"/>
      <c r="Q648" s="987"/>
      <c r="R648" s="987"/>
      <c r="S648" s="987"/>
      <c r="T648" s="987"/>
      <c r="U648" s="987"/>
      <c r="V648" s="987"/>
      <c r="W648" s="987"/>
      <c r="X648" s="987"/>
      <c r="Y648" s="987"/>
      <c r="Z648" s="987"/>
    </row>
    <row r="649">
      <c r="A649" s="987"/>
      <c r="B649" s="987"/>
      <c r="C649" s="987"/>
      <c r="D649" s="987"/>
      <c r="E649" s="987"/>
      <c r="F649" s="987"/>
      <c r="G649" s="987"/>
      <c r="H649" s="987"/>
      <c r="I649" s="987"/>
      <c r="J649" s="987"/>
      <c r="K649" s="987"/>
      <c r="L649" s="987"/>
      <c r="M649" s="987"/>
      <c r="N649" s="987"/>
      <c r="O649" s="987"/>
      <c r="P649" s="987"/>
      <c r="Q649" s="987"/>
      <c r="R649" s="987"/>
      <c r="S649" s="987"/>
      <c r="T649" s="987"/>
      <c r="U649" s="987"/>
      <c r="V649" s="987"/>
      <c r="W649" s="987"/>
      <c r="X649" s="987"/>
      <c r="Y649" s="987"/>
      <c r="Z649" s="987"/>
    </row>
    <row r="650">
      <c r="A650" s="987"/>
      <c r="B650" s="987"/>
      <c r="C650" s="987"/>
      <c r="D650" s="987"/>
      <c r="E650" s="987"/>
      <c r="F650" s="987"/>
      <c r="G650" s="987"/>
      <c r="H650" s="987"/>
      <c r="I650" s="987"/>
      <c r="J650" s="987"/>
      <c r="K650" s="987"/>
      <c r="L650" s="987"/>
      <c r="M650" s="987"/>
      <c r="N650" s="987"/>
      <c r="O650" s="987"/>
      <c r="P650" s="987"/>
      <c r="Q650" s="987"/>
      <c r="R650" s="987"/>
      <c r="S650" s="987"/>
      <c r="T650" s="987"/>
      <c r="U650" s="987"/>
      <c r="V650" s="987"/>
      <c r="W650" s="987"/>
      <c r="X650" s="987"/>
      <c r="Y650" s="987"/>
      <c r="Z650" s="987"/>
    </row>
    <row r="651">
      <c r="A651" s="987"/>
      <c r="B651" s="987"/>
      <c r="C651" s="987"/>
      <c r="D651" s="987"/>
      <c r="E651" s="987"/>
      <c r="F651" s="987"/>
      <c r="G651" s="987"/>
      <c r="H651" s="987"/>
      <c r="I651" s="987"/>
      <c r="J651" s="987"/>
      <c r="K651" s="987"/>
      <c r="L651" s="987"/>
      <c r="M651" s="987"/>
      <c r="N651" s="987"/>
      <c r="O651" s="987"/>
      <c r="P651" s="987"/>
      <c r="Q651" s="987"/>
      <c r="R651" s="987"/>
      <c r="S651" s="987"/>
      <c r="T651" s="987"/>
      <c r="U651" s="987"/>
      <c r="V651" s="987"/>
      <c r="W651" s="987"/>
      <c r="X651" s="987"/>
      <c r="Y651" s="987"/>
      <c r="Z651" s="987"/>
    </row>
    <row r="652">
      <c r="A652" s="987"/>
      <c r="B652" s="987"/>
      <c r="C652" s="987"/>
      <c r="D652" s="987"/>
      <c r="E652" s="987"/>
      <c r="F652" s="987"/>
      <c r="G652" s="987"/>
      <c r="H652" s="987"/>
      <c r="I652" s="987"/>
      <c r="J652" s="987"/>
      <c r="K652" s="987"/>
      <c r="L652" s="987"/>
      <c r="M652" s="987"/>
      <c r="N652" s="987"/>
      <c r="O652" s="987"/>
      <c r="P652" s="987"/>
      <c r="Q652" s="987"/>
      <c r="R652" s="987"/>
      <c r="S652" s="987"/>
      <c r="T652" s="987"/>
      <c r="U652" s="987"/>
      <c r="V652" s="987"/>
      <c r="W652" s="987"/>
      <c r="X652" s="987"/>
      <c r="Y652" s="987"/>
      <c r="Z652" s="987"/>
    </row>
    <row r="653">
      <c r="A653" s="987"/>
      <c r="B653" s="987"/>
      <c r="C653" s="987"/>
      <c r="D653" s="987"/>
      <c r="E653" s="987"/>
      <c r="F653" s="987"/>
      <c r="G653" s="987"/>
      <c r="H653" s="987"/>
      <c r="I653" s="987"/>
      <c r="J653" s="987"/>
      <c r="K653" s="987"/>
      <c r="L653" s="987"/>
      <c r="M653" s="987"/>
      <c r="N653" s="987"/>
      <c r="O653" s="987"/>
      <c r="P653" s="987"/>
      <c r="Q653" s="987"/>
      <c r="R653" s="987"/>
      <c r="S653" s="987"/>
      <c r="T653" s="987"/>
      <c r="U653" s="987"/>
      <c r="V653" s="987"/>
      <c r="W653" s="987"/>
      <c r="X653" s="987"/>
      <c r="Y653" s="987"/>
      <c r="Z653" s="987"/>
    </row>
    <row r="654">
      <c r="A654" s="987"/>
      <c r="B654" s="987"/>
      <c r="C654" s="987"/>
      <c r="D654" s="987"/>
      <c r="E654" s="987"/>
      <c r="F654" s="987"/>
      <c r="G654" s="987"/>
      <c r="H654" s="987"/>
      <c r="I654" s="987"/>
      <c r="J654" s="987"/>
      <c r="K654" s="987"/>
      <c r="L654" s="987"/>
      <c r="M654" s="987"/>
      <c r="N654" s="987"/>
      <c r="O654" s="987"/>
      <c r="P654" s="987"/>
      <c r="Q654" s="987"/>
      <c r="R654" s="987"/>
      <c r="S654" s="987"/>
      <c r="T654" s="987"/>
      <c r="U654" s="987"/>
      <c r="V654" s="987"/>
      <c r="W654" s="987"/>
      <c r="X654" s="987"/>
      <c r="Y654" s="987"/>
      <c r="Z654" s="987"/>
    </row>
    <row r="655">
      <c r="A655" s="987"/>
      <c r="B655" s="987"/>
      <c r="C655" s="987"/>
      <c r="D655" s="987"/>
      <c r="E655" s="987"/>
      <c r="F655" s="987"/>
      <c r="G655" s="987"/>
      <c r="H655" s="987"/>
      <c r="I655" s="987"/>
      <c r="J655" s="987"/>
      <c r="K655" s="987"/>
      <c r="L655" s="987"/>
      <c r="M655" s="987"/>
      <c r="N655" s="987"/>
      <c r="O655" s="987"/>
      <c r="P655" s="987"/>
      <c r="Q655" s="987"/>
      <c r="R655" s="987"/>
      <c r="S655" s="987"/>
      <c r="T655" s="987"/>
      <c r="U655" s="987"/>
      <c r="V655" s="987"/>
      <c r="W655" s="987"/>
      <c r="X655" s="987"/>
      <c r="Y655" s="987"/>
      <c r="Z655" s="987"/>
    </row>
    <row r="656">
      <c r="A656" s="987"/>
      <c r="B656" s="987"/>
      <c r="C656" s="987"/>
      <c r="D656" s="987"/>
      <c r="E656" s="987"/>
      <c r="F656" s="987"/>
      <c r="G656" s="987"/>
      <c r="H656" s="987"/>
      <c r="I656" s="987"/>
      <c r="J656" s="987"/>
      <c r="K656" s="987"/>
      <c r="L656" s="987"/>
      <c r="M656" s="987"/>
      <c r="N656" s="987"/>
      <c r="O656" s="987"/>
      <c r="P656" s="987"/>
      <c r="Q656" s="987"/>
      <c r="R656" s="987"/>
      <c r="S656" s="987"/>
      <c r="T656" s="987"/>
      <c r="U656" s="987"/>
      <c r="V656" s="987"/>
      <c r="W656" s="987"/>
      <c r="X656" s="987"/>
      <c r="Y656" s="987"/>
      <c r="Z656" s="987"/>
    </row>
    <row r="657">
      <c r="A657" s="987"/>
      <c r="B657" s="987"/>
      <c r="C657" s="987"/>
      <c r="D657" s="987"/>
      <c r="E657" s="987"/>
      <c r="F657" s="987"/>
      <c r="G657" s="987"/>
      <c r="H657" s="987"/>
      <c r="I657" s="987"/>
      <c r="J657" s="987"/>
      <c r="K657" s="987"/>
      <c r="L657" s="987"/>
      <c r="M657" s="987"/>
      <c r="N657" s="987"/>
      <c r="O657" s="987"/>
      <c r="P657" s="987"/>
      <c r="Q657" s="987"/>
      <c r="R657" s="987"/>
      <c r="S657" s="987"/>
      <c r="T657" s="987"/>
      <c r="U657" s="987"/>
      <c r="V657" s="987"/>
      <c r="W657" s="987"/>
      <c r="X657" s="987"/>
      <c r="Y657" s="987"/>
      <c r="Z657" s="987"/>
    </row>
    <row r="658">
      <c r="A658" s="987"/>
      <c r="B658" s="987"/>
      <c r="C658" s="987"/>
      <c r="D658" s="987"/>
      <c r="E658" s="987"/>
      <c r="F658" s="987"/>
      <c r="G658" s="987"/>
      <c r="H658" s="987"/>
      <c r="I658" s="987"/>
      <c r="J658" s="987"/>
      <c r="K658" s="987"/>
      <c r="L658" s="987"/>
      <c r="M658" s="987"/>
      <c r="N658" s="987"/>
      <c r="O658" s="987"/>
      <c r="P658" s="987"/>
      <c r="Q658" s="987"/>
      <c r="R658" s="987"/>
      <c r="S658" s="987"/>
      <c r="T658" s="987"/>
      <c r="U658" s="987"/>
      <c r="V658" s="987"/>
      <c r="W658" s="987"/>
      <c r="X658" s="987"/>
      <c r="Y658" s="987"/>
      <c r="Z658" s="987"/>
    </row>
    <row r="659">
      <c r="A659" s="987"/>
      <c r="B659" s="987"/>
      <c r="C659" s="987"/>
      <c r="D659" s="987"/>
      <c r="E659" s="987"/>
      <c r="F659" s="987"/>
      <c r="G659" s="987"/>
      <c r="H659" s="987"/>
      <c r="I659" s="987"/>
      <c r="J659" s="987"/>
      <c r="K659" s="987"/>
      <c r="L659" s="987"/>
      <c r="M659" s="987"/>
      <c r="N659" s="987"/>
      <c r="O659" s="987"/>
      <c r="P659" s="987"/>
      <c r="Q659" s="987"/>
      <c r="R659" s="987"/>
      <c r="S659" s="987"/>
      <c r="T659" s="987"/>
      <c r="U659" s="987"/>
      <c r="V659" s="987"/>
      <c r="W659" s="987"/>
      <c r="X659" s="987"/>
      <c r="Y659" s="987"/>
      <c r="Z659" s="987"/>
    </row>
    <row r="660">
      <c r="A660" s="987"/>
      <c r="B660" s="987"/>
      <c r="C660" s="987"/>
      <c r="D660" s="987"/>
      <c r="E660" s="987"/>
      <c r="F660" s="987"/>
      <c r="G660" s="987"/>
      <c r="H660" s="987"/>
      <c r="I660" s="987"/>
      <c r="J660" s="987"/>
      <c r="K660" s="987"/>
      <c r="L660" s="987"/>
      <c r="M660" s="987"/>
      <c r="N660" s="987"/>
      <c r="O660" s="987"/>
      <c r="P660" s="987"/>
      <c r="Q660" s="987"/>
      <c r="R660" s="987"/>
      <c r="S660" s="987"/>
      <c r="T660" s="987"/>
      <c r="U660" s="987"/>
      <c r="V660" s="987"/>
      <c r="W660" s="987"/>
      <c r="X660" s="987"/>
      <c r="Y660" s="987"/>
      <c r="Z660" s="987"/>
    </row>
    <row r="661">
      <c r="A661" s="987"/>
      <c r="B661" s="987"/>
      <c r="C661" s="987"/>
      <c r="D661" s="987"/>
      <c r="E661" s="987"/>
      <c r="F661" s="987"/>
      <c r="G661" s="987"/>
      <c r="H661" s="987"/>
      <c r="I661" s="987"/>
      <c r="J661" s="987"/>
      <c r="K661" s="987"/>
      <c r="L661" s="987"/>
      <c r="M661" s="987"/>
      <c r="N661" s="987"/>
      <c r="O661" s="987"/>
      <c r="P661" s="987"/>
      <c r="Q661" s="987"/>
      <c r="R661" s="987"/>
      <c r="S661" s="987"/>
      <c r="T661" s="987"/>
      <c r="U661" s="987"/>
      <c r="V661" s="987"/>
      <c r="W661" s="987"/>
      <c r="X661" s="987"/>
      <c r="Y661" s="987"/>
      <c r="Z661" s="987"/>
    </row>
    <row r="662">
      <c r="A662" s="987"/>
      <c r="B662" s="987"/>
      <c r="C662" s="987"/>
      <c r="D662" s="987"/>
      <c r="E662" s="987"/>
      <c r="F662" s="987"/>
      <c r="G662" s="987"/>
      <c r="H662" s="987"/>
      <c r="I662" s="987"/>
      <c r="J662" s="987"/>
      <c r="K662" s="987"/>
      <c r="L662" s="987"/>
      <c r="M662" s="987"/>
      <c r="N662" s="987"/>
      <c r="O662" s="987"/>
      <c r="P662" s="987"/>
      <c r="Q662" s="987"/>
      <c r="R662" s="987"/>
      <c r="S662" s="987"/>
      <c r="T662" s="987"/>
      <c r="U662" s="987"/>
      <c r="V662" s="987"/>
      <c r="W662" s="987"/>
      <c r="X662" s="987"/>
      <c r="Y662" s="987"/>
      <c r="Z662" s="987"/>
    </row>
    <row r="663">
      <c r="A663" s="987"/>
      <c r="B663" s="987"/>
      <c r="C663" s="987"/>
      <c r="D663" s="987"/>
      <c r="E663" s="987"/>
      <c r="F663" s="987"/>
      <c r="G663" s="987"/>
      <c r="H663" s="987"/>
      <c r="I663" s="987"/>
      <c r="J663" s="987"/>
      <c r="K663" s="987"/>
      <c r="L663" s="987"/>
      <c r="M663" s="987"/>
      <c r="N663" s="987"/>
      <c r="O663" s="987"/>
      <c r="P663" s="987"/>
      <c r="Q663" s="987"/>
      <c r="R663" s="987"/>
      <c r="S663" s="987"/>
      <c r="T663" s="987"/>
      <c r="U663" s="987"/>
      <c r="V663" s="987"/>
      <c r="W663" s="987"/>
      <c r="X663" s="987"/>
      <c r="Y663" s="987"/>
      <c r="Z663" s="987"/>
    </row>
    <row r="664">
      <c r="A664" s="987"/>
      <c r="B664" s="987"/>
      <c r="C664" s="987"/>
      <c r="D664" s="987"/>
      <c r="E664" s="987"/>
      <c r="F664" s="987"/>
      <c r="G664" s="987"/>
      <c r="H664" s="987"/>
      <c r="I664" s="987"/>
      <c r="J664" s="987"/>
      <c r="K664" s="987"/>
      <c r="L664" s="987"/>
      <c r="M664" s="987"/>
      <c r="N664" s="987"/>
      <c r="O664" s="987"/>
      <c r="P664" s="987"/>
      <c r="Q664" s="987"/>
      <c r="R664" s="987"/>
      <c r="S664" s="987"/>
      <c r="T664" s="987"/>
      <c r="U664" s="987"/>
      <c r="V664" s="987"/>
      <c r="W664" s="987"/>
      <c r="X664" s="987"/>
      <c r="Y664" s="987"/>
      <c r="Z664" s="987"/>
    </row>
    <row r="665">
      <c r="A665" s="987"/>
      <c r="B665" s="987"/>
      <c r="C665" s="987"/>
      <c r="D665" s="987"/>
      <c r="E665" s="987"/>
      <c r="F665" s="987"/>
      <c r="G665" s="987"/>
      <c r="H665" s="987"/>
      <c r="I665" s="987"/>
      <c r="J665" s="987"/>
      <c r="K665" s="987"/>
      <c r="L665" s="987"/>
      <c r="M665" s="987"/>
      <c r="N665" s="987"/>
      <c r="O665" s="987"/>
      <c r="P665" s="987"/>
      <c r="Q665" s="987"/>
      <c r="R665" s="987"/>
      <c r="S665" s="987"/>
      <c r="T665" s="987"/>
      <c r="U665" s="987"/>
      <c r="V665" s="987"/>
      <c r="W665" s="987"/>
      <c r="X665" s="987"/>
      <c r="Y665" s="987"/>
      <c r="Z665" s="987"/>
    </row>
    <row r="666">
      <c r="A666" s="987"/>
      <c r="B666" s="987"/>
      <c r="C666" s="987"/>
      <c r="D666" s="987"/>
      <c r="E666" s="987"/>
      <c r="F666" s="987"/>
      <c r="G666" s="987"/>
      <c r="H666" s="987"/>
      <c r="I666" s="987"/>
      <c r="J666" s="987"/>
      <c r="K666" s="987"/>
      <c r="L666" s="987"/>
      <c r="M666" s="987"/>
      <c r="N666" s="987"/>
      <c r="O666" s="987"/>
      <c r="P666" s="987"/>
      <c r="Q666" s="987"/>
      <c r="R666" s="987"/>
      <c r="S666" s="987"/>
      <c r="T666" s="987"/>
      <c r="U666" s="987"/>
      <c r="V666" s="987"/>
      <c r="W666" s="987"/>
      <c r="X666" s="987"/>
      <c r="Y666" s="987"/>
      <c r="Z666" s="987"/>
    </row>
    <row r="667">
      <c r="A667" s="987"/>
      <c r="B667" s="987"/>
      <c r="C667" s="987"/>
      <c r="D667" s="987"/>
      <c r="E667" s="987"/>
      <c r="F667" s="987"/>
      <c r="G667" s="987"/>
      <c r="H667" s="987"/>
      <c r="I667" s="987"/>
      <c r="J667" s="987"/>
      <c r="K667" s="987"/>
      <c r="L667" s="987"/>
      <c r="M667" s="987"/>
      <c r="N667" s="987"/>
      <c r="O667" s="987"/>
      <c r="P667" s="987"/>
      <c r="Q667" s="987"/>
      <c r="R667" s="987"/>
      <c r="S667" s="987"/>
      <c r="T667" s="987"/>
      <c r="U667" s="987"/>
      <c r="V667" s="987"/>
      <c r="W667" s="987"/>
      <c r="X667" s="987"/>
      <c r="Y667" s="987"/>
      <c r="Z667" s="987"/>
    </row>
    <row r="668">
      <c r="A668" s="987"/>
      <c r="B668" s="987"/>
      <c r="C668" s="987"/>
      <c r="D668" s="987"/>
      <c r="E668" s="987"/>
      <c r="F668" s="987"/>
      <c r="G668" s="987"/>
      <c r="H668" s="987"/>
      <c r="I668" s="987"/>
      <c r="J668" s="987"/>
      <c r="K668" s="987"/>
      <c r="L668" s="987"/>
      <c r="M668" s="987"/>
      <c r="N668" s="987"/>
      <c r="O668" s="987"/>
      <c r="P668" s="987"/>
      <c r="Q668" s="987"/>
      <c r="R668" s="987"/>
      <c r="S668" s="987"/>
      <c r="T668" s="987"/>
      <c r="U668" s="987"/>
      <c r="V668" s="987"/>
      <c r="W668" s="987"/>
      <c r="X668" s="987"/>
      <c r="Y668" s="987"/>
      <c r="Z668" s="987"/>
    </row>
    <row r="669">
      <c r="A669" s="987"/>
      <c r="B669" s="987"/>
      <c r="C669" s="987"/>
      <c r="D669" s="987"/>
      <c r="E669" s="987"/>
      <c r="F669" s="987"/>
      <c r="G669" s="987"/>
      <c r="H669" s="987"/>
      <c r="I669" s="987"/>
      <c r="J669" s="987"/>
      <c r="K669" s="987"/>
      <c r="L669" s="987"/>
      <c r="M669" s="987"/>
      <c r="N669" s="987"/>
      <c r="O669" s="987"/>
      <c r="P669" s="987"/>
      <c r="Q669" s="987"/>
      <c r="R669" s="987"/>
      <c r="S669" s="987"/>
      <c r="T669" s="987"/>
      <c r="U669" s="987"/>
      <c r="V669" s="987"/>
      <c r="W669" s="987"/>
      <c r="X669" s="987"/>
      <c r="Y669" s="987"/>
      <c r="Z669" s="987"/>
    </row>
    <row r="670">
      <c r="A670" s="987"/>
      <c r="B670" s="987"/>
      <c r="C670" s="987"/>
      <c r="D670" s="987"/>
      <c r="E670" s="987"/>
      <c r="F670" s="987"/>
      <c r="G670" s="987"/>
      <c r="H670" s="987"/>
      <c r="I670" s="987"/>
      <c r="J670" s="987"/>
      <c r="K670" s="987"/>
      <c r="L670" s="987"/>
      <c r="M670" s="987"/>
      <c r="N670" s="987"/>
      <c r="O670" s="987"/>
      <c r="P670" s="987"/>
      <c r="Q670" s="987"/>
      <c r="R670" s="987"/>
      <c r="S670" s="987"/>
      <c r="T670" s="987"/>
      <c r="U670" s="987"/>
      <c r="V670" s="987"/>
      <c r="W670" s="987"/>
      <c r="X670" s="987"/>
      <c r="Y670" s="987"/>
      <c r="Z670" s="987"/>
    </row>
    <row r="671">
      <c r="A671" s="987"/>
      <c r="B671" s="987"/>
      <c r="C671" s="987"/>
      <c r="D671" s="987"/>
      <c r="E671" s="987"/>
      <c r="F671" s="987"/>
      <c r="G671" s="987"/>
      <c r="H671" s="987"/>
      <c r="I671" s="987"/>
      <c r="J671" s="987"/>
      <c r="K671" s="987"/>
      <c r="L671" s="987"/>
      <c r="M671" s="987"/>
      <c r="N671" s="987"/>
      <c r="O671" s="987"/>
      <c r="P671" s="987"/>
      <c r="Q671" s="987"/>
      <c r="R671" s="987"/>
      <c r="S671" s="987"/>
      <c r="T671" s="987"/>
      <c r="U671" s="987"/>
      <c r="V671" s="987"/>
      <c r="W671" s="987"/>
      <c r="X671" s="987"/>
      <c r="Y671" s="987"/>
      <c r="Z671" s="987"/>
    </row>
    <row r="672">
      <c r="A672" s="987"/>
      <c r="B672" s="987"/>
      <c r="C672" s="987"/>
      <c r="D672" s="987"/>
      <c r="E672" s="987"/>
      <c r="F672" s="987"/>
      <c r="G672" s="987"/>
      <c r="H672" s="987"/>
      <c r="I672" s="987"/>
      <c r="J672" s="987"/>
      <c r="K672" s="987"/>
      <c r="L672" s="987"/>
      <c r="M672" s="987"/>
      <c r="N672" s="987"/>
      <c r="O672" s="987"/>
      <c r="P672" s="987"/>
      <c r="Q672" s="987"/>
      <c r="R672" s="987"/>
      <c r="S672" s="987"/>
      <c r="T672" s="987"/>
      <c r="U672" s="987"/>
      <c r="V672" s="987"/>
      <c r="W672" s="987"/>
      <c r="X672" s="987"/>
      <c r="Y672" s="987"/>
      <c r="Z672" s="987"/>
    </row>
    <row r="673">
      <c r="A673" s="987"/>
      <c r="B673" s="987"/>
      <c r="C673" s="987"/>
      <c r="D673" s="987"/>
      <c r="E673" s="987"/>
      <c r="F673" s="987"/>
      <c r="G673" s="987"/>
      <c r="H673" s="987"/>
      <c r="I673" s="987"/>
      <c r="J673" s="987"/>
      <c r="K673" s="987"/>
      <c r="L673" s="987"/>
      <c r="M673" s="987"/>
      <c r="N673" s="987"/>
      <c r="O673" s="987"/>
      <c r="P673" s="987"/>
      <c r="Q673" s="987"/>
      <c r="R673" s="987"/>
      <c r="S673" s="987"/>
      <c r="T673" s="987"/>
      <c r="U673" s="987"/>
      <c r="V673" s="987"/>
      <c r="W673" s="987"/>
      <c r="X673" s="987"/>
      <c r="Y673" s="987"/>
      <c r="Z673" s="987"/>
    </row>
    <row r="674">
      <c r="A674" s="987"/>
      <c r="B674" s="987"/>
      <c r="C674" s="987"/>
      <c r="D674" s="987"/>
      <c r="E674" s="987"/>
      <c r="F674" s="987"/>
      <c r="G674" s="987"/>
      <c r="H674" s="987"/>
      <c r="I674" s="987"/>
      <c r="J674" s="987"/>
      <c r="K674" s="987"/>
      <c r="L674" s="987"/>
      <c r="M674" s="987"/>
      <c r="N674" s="987"/>
      <c r="O674" s="987"/>
      <c r="P674" s="987"/>
      <c r="Q674" s="987"/>
      <c r="R674" s="987"/>
      <c r="S674" s="987"/>
      <c r="T674" s="987"/>
      <c r="U674" s="987"/>
      <c r="V674" s="987"/>
      <c r="W674" s="987"/>
      <c r="X674" s="987"/>
      <c r="Y674" s="987"/>
      <c r="Z674" s="987"/>
    </row>
    <row r="675">
      <c r="A675" s="987"/>
      <c r="B675" s="987"/>
      <c r="C675" s="987"/>
      <c r="D675" s="987"/>
      <c r="E675" s="987"/>
      <c r="F675" s="987"/>
      <c r="G675" s="987"/>
      <c r="H675" s="987"/>
      <c r="I675" s="987"/>
      <c r="J675" s="987"/>
      <c r="K675" s="987"/>
      <c r="L675" s="987"/>
      <c r="M675" s="987"/>
      <c r="N675" s="987"/>
      <c r="O675" s="987"/>
      <c r="P675" s="987"/>
      <c r="Q675" s="987"/>
      <c r="R675" s="987"/>
      <c r="S675" s="987"/>
      <c r="T675" s="987"/>
      <c r="U675" s="987"/>
      <c r="V675" s="987"/>
      <c r="W675" s="987"/>
      <c r="X675" s="987"/>
      <c r="Y675" s="987"/>
      <c r="Z675" s="987"/>
    </row>
    <row r="676">
      <c r="A676" s="987"/>
      <c r="B676" s="987"/>
      <c r="C676" s="987"/>
      <c r="D676" s="987"/>
      <c r="E676" s="987"/>
      <c r="F676" s="987"/>
      <c r="G676" s="987"/>
      <c r="H676" s="987"/>
      <c r="I676" s="987"/>
      <c r="J676" s="987"/>
      <c r="K676" s="987"/>
      <c r="L676" s="987"/>
      <c r="M676" s="987"/>
      <c r="N676" s="987"/>
      <c r="O676" s="987"/>
      <c r="P676" s="987"/>
      <c r="Q676" s="987"/>
      <c r="R676" s="987"/>
      <c r="S676" s="987"/>
      <c r="T676" s="987"/>
      <c r="U676" s="987"/>
      <c r="V676" s="987"/>
      <c r="W676" s="987"/>
      <c r="X676" s="987"/>
      <c r="Y676" s="987"/>
      <c r="Z676" s="987"/>
    </row>
    <row r="677">
      <c r="A677" s="987"/>
      <c r="B677" s="987"/>
      <c r="C677" s="987"/>
      <c r="D677" s="987"/>
      <c r="E677" s="987"/>
      <c r="F677" s="987"/>
      <c r="G677" s="987"/>
      <c r="H677" s="987"/>
      <c r="I677" s="987"/>
      <c r="J677" s="987"/>
      <c r="K677" s="987"/>
      <c r="L677" s="987"/>
      <c r="M677" s="987"/>
      <c r="N677" s="987"/>
      <c r="O677" s="987"/>
      <c r="P677" s="987"/>
      <c r="Q677" s="987"/>
      <c r="R677" s="987"/>
      <c r="S677" s="987"/>
      <c r="T677" s="987"/>
      <c r="U677" s="987"/>
      <c r="V677" s="987"/>
      <c r="W677" s="987"/>
      <c r="X677" s="987"/>
      <c r="Y677" s="987"/>
      <c r="Z677" s="987"/>
    </row>
    <row r="678">
      <c r="A678" s="987"/>
      <c r="B678" s="987"/>
      <c r="C678" s="987"/>
      <c r="D678" s="987"/>
      <c r="E678" s="987"/>
      <c r="F678" s="987"/>
      <c r="G678" s="987"/>
      <c r="H678" s="987"/>
      <c r="I678" s="987"/>
      <c r="J678" s="987"/>
      <c r="K678" s="987"/>
      <c r="L678" s="987"/>
      <c r="M678" s="987"/>
      <c r="N678" s="987"/>
      <c r="O678" s="987"/>
      <c r="P678" s="987"/>
      <c r="Q678" s="987"/>
      <c r="R678" s="987"/>
      <c r="S678" s="987"/>
      <c r="T678" s="987"/>
      <c r="U678" s="987"/>
      <c r="V678" s="987"/>
      <c r="W678" s="987"/>
      <c r="X678" s="987"/>
      <c r="Y678" s="987"/>
      <c r="Z678" s="987"/>
    </row>
    <row r="679">
      <c r="A679" s="987"/>
      <c r="B679" s="987"/>
      <c r="C679" s="987"/>
      <c r="D679" s="987"/>
      <c r="E679" s="987"/>
      <c r="F679" s="987"/>
      <c r="G679" s="987"/>
      <c r="H679" s="987"/>
      <c r="I679" s="987"/>
      <c r="J679" s="987"/>
      <c r="K679" s="987"/>
      <c r="L679" s="987"/>
      <c r="M679" s="987"/>
      <c r="N679" s="987"/>
      <c r="O679" s="987"/>
      <c r="P679" s="987"/>
      <c r="Q679" s="987"/>
      <c r="R679" s="987"/>
      <c r="S679" s="987"/>
      <c r="T679" s="987"/>
      <c r="U679" s="987"/>
      <c r="V679" s="987"/>
      <c r="W679" s="987"/>
      <c r="X679" s="987"/>
      <c r="Y679" s="987"/>
      <c r="Z679" s="987"/>
    </row>
    <row r="680">
      <c r="A680" s="987"/>
      <c r="B680" s="987"/>
      <c r="C680" s="987"/>
      <c r="D680" s="987"/>
      <c r="E680" s="987"/>
      <c r="F680" s="987"/>
      <c r="G680" s="987"/>
      <c r="H680" s="987"/>
      <c r="I680" s="987"/>
      <c r="J680" s="987"/>
      <c r="K680" s="987"/>
      <c r="L680" s="987"/>
      <c r="M680" s="987"/>
      <c r="N680" s="987"/>
      <c r="O680" s="987"/>
      <c r="P680" s="987"/>
      <c r="Q680" s="987"/>
      <c r="R680" s="987"/>
      <c r="S680" s="987"/>
      <c r="T680" s="987"/>
      <c r="U680" s="987"/>
      <c r="V680" s="987"/>
      <c r="W680" s="987"/>
      <c r="X680" s="987"/>
      <c r="Y680" s="987"/>
      <c r="Z680" s="987"/>
    </row>
    <row r="681">
      <c r="A681" s="987"/>
      <c r="B681" s="987"/>
      <c r="C681" s="987"/>
      <c r="D681" s="987"/>
      <c r="E681" s="987"/>
      <c r="F681" s="987"/>
      <c r="G681" s="987"/>
      <c r="H681" s="987"/>
      <c r="I681" s="987"/>
      <c r="J681" s="987"/>
      <c r="K681" s="987"/>
      <c r="L681" s="987"/>
      <c r="M681" s="987"/>
      <c r="N681" s="987"/>
      <c r="O681" s="987"/>
      <c r="P681" s="987"/>
      <c r="Q681" s="987"/>
      <c r="R681" s="987"/>
      <c r="S681" s="987"/>
      <c r="T681" s="987"/>
      <c r="U681" s="987"/>
      <c r="V681" s="987"/>
      <c r="W681" s="987"/>
      <c r="X681" s="987"/>
      <c r="Y681" s="987"/>
      <c r="Z681" s="987"/>
    </row>
    <row r="682">
      <c r="A682" s="987"/>
      <c r="B682" s="987"/>
      <c r="C682" s="987"/>
      <c r="D682" s="987"/>
      <c r="E682" s="987"/>
      <c r="F682" s="987"/>
      <c r="G682" s="987"/>
      <c r="H682" s="987"/>
      <c r="I682" s="987"/>
      <c r="J682" s="987"/>
      <c r="K682" s="987"/>
      <c r="L682" s="987"/>
      <c r="M682" s="987"/>
      <c r="N682" s="987"/>
      <c r="O682" s="987"/>
      <c r="P682" s="987"/>
      <c r="Q682" s="987"/>
      <c r="R682" s="987"/>
      <c r="S682" s="987"/>
      <c r="T682" s="987"/>
      <c r="U682" s="987"/>
      <c r="V682" s="987"/>
      <c r="W682" s="987"/>
      <c r="X682" s="987"/>
      <c r="Y682" s="987"/>
      <c r="Z682" s="987"/>
    </row>
    <row r="683">
      <c r="A683" s="987"/>
      <c r="B683" s="987"/>
      <c r="C683" s="987"/>
      <c r="D683" s="987"/>
      <c r="E683" s="987"/>
      <c r="F683" s="987"/>
      <c r="G683" s="987"/>
      <c r="H683" s="987"/>
      <c r="I683" s="987"/>
      <c r="J683" s="987"/>
      <c r="K683" s="987"/>
      <c r="L683" s="987"/>
      <c r="M683" s="987"/>
      <c r="N683" s="987"/>
      <c r="O683" s="987"/>
      <c r="P683" s="987"/>
      <c r="Q683" s="987"/>
      <c r="R683" s="987"/>
      <c r="S683" s="987"/>
      <c r="T683" s="987"/>
      <c r="U683" s="987"/>
      <c r="V683" s="987"/>
      <c r="W683" s="987"/>
      <c r="X683" s="987"/>
      <c r="Y683" s="987"/>
      <c r="Z683" s="987"/>
    </row>
    <row r="684">
      <c r="A684" s="987"/>
      <c r="B684" s="987"/>
      <c r="C684" s="987"/>
      <c r="D684" s="987"/>
      <c r="E684" s="987"/>
      <c r="F684" s="987"/>
      <c r="G684" s="987"/>
      <c r="H684" s="987"/>
      <c r="I684" s="987"/>
      <c r="J684" s="987"/>
      <c r="K684" s="987"/>
      <c r="L684" s="987"/>
      <c r="M684" s="987"/>
      <c r="N684" s="987"/>
      <c r="O684" s="987"/>
      <c r="P684" s="987"/>
      <c r="Q684" s="987"/>
      <c r="R684" s="987"/>
      <c r="S684" s="987"/>
      <c r="T684" s="987"/>
      <c r="U684" s="987"/>
      <c r="V684" s="987"/>
      <c r="W684" s="987"/>
      <c r="X684" s="987"/>
      <c r="Y684" s="987"/>
      <c r="Z684" s="987"/>
    </row>
    <row r="685">
      <c r="A685" s="987"/>
      <c r="B685" s="987"/>
      <c r="C685" s="987"/>
      <c r="D685" s="987"/>
      <c r="E685" s="987"/>
      <c r="F685" s="987"/>
      <c r="G685" s="987"/>
      <c r="H685" s="987"/>
      <c r="I685" s="987"/>
      <c r="J685" s="987"/>
      <c r="K685" s="987"/>
      <c r="L685" s="987"/>
      <c r="M685" s="987"/>
      <c r="N685" s="987"/>
      <c r="O685" s="987"/>
      <c r="P685" s="987"/>
      <c r="Q685" s="987"/>
      <c r="R685" s="987"/>
      <c r="S685" s="987"/>
      <c r="T685" s="987"/>
      <c r="U685" s="987"/>
      <c r="V685" s="987"/>
      <c r="W685" s="987"/>
      <c r="X685" s="987"/>
      <c r="Y685" s="987"/>
      <c r="Z685" s="987"/>
    </row>
    <row r="686">
      <c r="A686" s="987"/>
      <c r="B686" s="987"/>
      <c r="C686" s="987"/>
      <c r="D686" s="987"/>
      <c r="E686" s="987"/>
      <c r="F686" s="987"/>
      <c r="G686" s="987"/>
      <c r="H686" s="987"/>
      <c r="I686" s="987"/>
      <c r="J686" s="987"/>
      <c r="K686" s="987"/>
      <c r="L686" s="987"/>
      <c r="M686" s="987"/>
      <c r="N686" s="987"/>
      <c r="O686" s="987"/>
      <c r="P686" s="987"/>
      <c r="Q686" s="987"/>
      <c r="R686" s="987"/>
      <c r="S686" s="987"/>
      <c r="T686" s="987"/>
      <c r="U686" s="987"/>
      <c r="V686" s="987"/>
      <c r="W686" s="987"/>
      <c r="X686" s="987"/>
      <c r="Y686" s="987"/>
      <c r="Z686" s="987"/>
    </row>
    <row r="687">
      <c r="A687" s="987"/>
      <c r="B687" s="987"/>
      <c r="C687" s="987"/>
      <c r="D687" s="987"/>
      <c r="E687" s="987"/>
      <c r="F687" s="987"/>
      <c r="G687" s="987"/>
      <c r="H687" s="987"/>
      <c r="I687" s="987"/>
      <c r="J687" s="987"/>
      <c r="K687" s="987"/>
      <c r="L687" s="987"/>
      <c r="M687" s="987"/>
      <c r="N687" s="987"/>
      <c r="O687" s="987"/>
      <c r="P687" s="987"/>
      <c r="Q687" s="987"/>
      <c r="R687" s="987"/>
      <c r="S687" s="987"/>
      <c r="T687" s="987"/>
      <c r="U687" s="987"/>
      <c r="V687" s="987"/>
      <c r="W687" s="987"/>
      <c r="X687" s="987"/>
      <c r="Y687" s="987"/>
      <c r="Z687" s="987"/>
    </row>
    <row r="688">
      <c r="A688" s="987"/>
      <c r="B688" s="987"/>
      <c r="C688" s="987"/>
      <c r="D688" s="987"/>
      <c r="E688" s="987"/>
      <c r="F688" s="987"/>
      <c r="G688" s="987"/>
      <c r="H688" s="987"/>
      <c r="I688" s="987"/>
      <c r="J688" s="987"/>
      <c r="K688" s="987"/>
      <c r="L688" s="987"/>
      <c r="M688" s="987"/>
      <c r="N688" s="987"/>
      <c r="O688" s="987"/>
      <c r="P688" s="987"/>
      <c r="Q688" s="987"/>
      <c r="R688" s="987"/>
      <c r="S688" s="987"/>
      <c r="T688" s="987"/>
      <c r="U688" s="987"/>
      <c r="V688" s="987"/>
      <c r="W688" s="987"/>
      <c r="X688" s="987"/>
      <c r="Y688" s="987"/>
      <c r="Z688" s="987"/>
    </row>
    <row r="689">
      <c r="A689" s="987"/>
      <c r="B689" s="987"/>
      <c r="C689" s="987"/>
      <c r="D689" s="987"/>
      <c r="E689" s="987"/>
      <c r="F689" s="987"/>
      <c r="G689" s="987"/>
      <c r="H689" s="987"/>
      <c r="I689" s="987"/>
      <c r="J689" s="987"/>
      <c r="K689" s="987"/>
      <c r="L689" s="987"/>
      <c r="M689" s="987"/>
      <c r="N689" s="987"/>
      <c r="O689" s="987"/>
      <c r="P689" s="987"/>
      <c r="Q689" s="987"/>
      <c r="R689" s="987"/>
      <c r="S689" s="987"/>
      <c r="T689" s="987"/>
      <c r="U689" s="987"/>
      <c r="V689" s="987"/>
      <c r="W689" s="987"/>
      <c r="X689" s="987"/>
      <c r="Y689" s="987"/>
      <c r="Z689" s="987"/>
    </row>
    <row r="690">
      <c r="A690" s="987"/>
      <c r="B690" s="987"/>
      <c r="C690" s="987"/>
      <c r="D690" s="987"/>
      <c r="E690" s="987"/>
      <c r="F690" s="987"/>
      <c r="G690" s="987"/>
      <c r="H690" s="987"/>
      <c r="I690" s="987"/>
      <c r="J690" s="987"/>
      <c r="K690" s="987"/>
      <c r="L690" s="987"/>
      <c r="M690" s="987"/>
      <c r="N690" s="987"/>
      <c r="O690" s="987"/>
      <c r="P690" s="987"/>
      <c r="Q690" s="987"/>
      <c r="R690" s="987"/>
      <c r="S690" s="987"/>
      <c r="T690" s="987"/>
      <c r="U690" s="987"/>
      <c r="V690" s="987"/>
      <c r="W690" s="987"/>
      <c r="X690" s="987"/>
      <c r="Y690" s="987"/>
      <c r="Z690" s="987"/>
    </row>
    <row r="691">
      <c r="A691" s="987"/>
      <c r="B691" s="987"/>
      <c r="C691" s="987"/>
      <c r="D691" s="987"/>
      <c r="E691" s="987"/>
      <c r="F691" s="987"/>
      <c r="G691" s="987"/>
      <c r="H691" s="987"/>
      <c r="I691" s="987"/>
      <c r="J691" s="987"/>
      <c r="K691" s="987"/>
      <c r="L691" s="987"/>
      <c r="M691" s="987"/>
      <c r="N691" s="987"/>
      <c r="O691" s="987"/>
      <c r="P691" s="987"/>
      <c r="Q691" s="987"/>
      <c r="R691" s="987"/>
      <c r="S691" s="987"/>
      <c r="T691" s="987"/>
      <c r="U691" s="987"/>
      <c r="V691" s="987"/>
      <c r="W691" s="987"/>
      <c r="X691" s="987"/>
      <c r="Y691" s="987"/>
      <c r="Z691" s="987"/>
    </row>
    <row r="692">
      <c r="A692" s="987"/>
      <c r="B692" s="987"/>
      <c r="C692" s="987"/>
      <c r="D692" s="987"/>
      <c r="E692" s="987"/>
      <c r="F692" s="987"/>
      <c r="G692" s="987"/>
      <c r="H692" s="987"/>
      <c r="I692" s="987"/>
      <c r="J692" s="987"/>
      <c r="K692" s="987"/>
      <c r="L692" s="987"/>
      <c r="M692" s="987"/>
      <c r="N692" s="987"/>
      <c r="O692" s="987"/>
      <c r="P692" s="987"/>
      <c r="Q692" s="987"/>
      <c r="R692" s="987"/>
      <c r="S692" s="987"/>
      <c r="T692" s="987"/>
      <c r="U692" s="987"/>
      <c r="V692" s="987"/>
      <c r="W692" s="987"/>
      <c r="X692" s="987"/>
      <c r="Y692" s="987"/>
      <c r="Z692" s="987"/>
    </row>
    <row r="693">
      <c r="A693" s="987"/>
      <c r="B693" s="987"/>
      <c r="C693" s="987"/>
      <c r="D693" s="987"/>
      <c r="E693" s="987"/>
      <c r="F693" s="987"/>
      <c r="G693" s="987"/>
      <c r="H693" s="987"/>
      <c r="I693" s="987"/>
      <c r="J693" s="987"/>
      <c r="K693" s="987"/>
      <c r="L693" s="987"/>
      <c r="M693" s="987"/>
      <c r="N693" s="987"/>
      <c r="O693" s="987"/>
      <c r="P693" s="987"/>
      <c r="Q693" s="987"/>
      <c r="R693" s="987"/>
      <c r="S693" s="987"/>
      <c r="T693" s="987"/>
      <c r="U693" s="987"/>
      <c r="V693" s="987"/>
      <c r="W693" s="987"/>
      <c r="X693" s="987"/>
      <c r="Y693" s="987"/>
      <c r="Z693" s="987"/>
    </row>
    <row r="694">
      <c r="A694" s="987"/>
      <c r="B694" s="987"/>
      <c r="C694" s="987"/>
      <c r="D694" s="987"/>
      <c r="E694" s="987"/>
      <c r="F694" s="987"/>
      <c r="G694" s="987"/>
      <c r="H694" s="987"/>
      <c r="I694" s="987"/>
      <c r="J694" s="987"/>
      <c r="K694" s="987"/>
      <c r="L694" s="987"/>
      <c r="M694" s="987"/>
      <c r="N694" s="987"/>
      <c r="O694" s="987"/>
      <c r="P694" s="987"/>
      <c r="Q694" s="987"/>
      <c r="R694" s="987"/>
      <c r="S694" s="987"/>
      <c r="T694" s="987"/>
      <c r="U694" s="987"/>
      <c r="V694" s="987"/>
      <c r="W694" s="987"/>
      <c r="X694" s="987"/>
      <c r="Y694" s="987"/>
      <c r="Z694" s="987"/>
    </row>
    <row r="695">
      <c r="A695" s="987"/>
      <c r="B695" s="987"/>
      <c r="C695" s="987"/>
      <c r="D695" s="987"/>
      <c r="E695" s="987"/>
      <c r="F695" s="987"/>
      <c r="G695" s="987"/>
      <c r="H695" s="987"/>
      <c r="I695" s="987"/>
      <c r="J695" s="987"/>
      <c r="K695" s="987"/>
      <c r="L695" s="987"/>
      <c r="M695" s="987"/>
      <c r="N695" s="987"/>
      <c r="O695" s="987"/>
      <c r="P695" s="987"/>
      <c r="Q695" s="987"/>
      <c r="R695" s="987"/>
      <c r="S695" s="987"/>
      <c r="T695" s="987"/>
      <c r="U695" s="987"/>
      <c r="V695" s="987"/>
      <c r="W695" s="987"/>
      <c r="X695" s="987"/>
      <c r="Y695" s="987"/>
      <c r="Z695" s="987"/>
    </row>
    <row r="696">
      <c r="A696" s="987"/>
      <c r="B696" s="987"/>
      <c r="C696" s="987"/>
      <c r="D696" s="987"/>
      <c r="E696" s="987"/>
      <c r="F696" s="987"/>
      <c r="G696" s="987"/>
      <c r="H696" s="987"/>
      <c r="I696" s="987"/>
      <c r="J696" s="987"/>
      <c r="K696" s="987"/>
      <c r="L696" s="987"/>
      <c r="M696" s="987"/>
      <c r="N696" s="987"/>
      <c r="O696" s="987"/>
      <c r="P696" s="987"/>
      <c r="Q696" s="987"/>
      <c r="R696" s="987"/>
      <c r="S696" s="987"/>
      <c r="T696" s="987"/>
      <c r="U696" s="987"/>
      <c r="V696" s="987"/>
      <c r="W696" s="987"/>
      <c r="X696" s="987"/>
      <c r="Y696" s="987"/>
      <c r="Z696" s="987"/>
    </row>
    <row r="697">
      <c r="A697" s="987"/>
      <c r="B697" s="987"/>
      <c r="C697" s="987"/>
      <c r="D697" s="987"/>
      <c r="E697" s="987"/>
      <c r="F697" s="987"/>
      <c r="G697" s="987"/>
      <c r="H697" s="987"/>
      <c r="I697" s="987"/>
      <c r="J697" s="987"/>
      <c r="K697" s="987"/>
      <c r="L697" s="987"/>
      <c r="M697" s="987"/>
      <c r="N697" s="987"/>
      <c r="O697" s="987"/>
      <c r="P697" s="987"/>
      <c r="Q697" s="987"/>
      <c r="R697" s="987"/>
      <c r="S697" s="987"/>
      <c r="T697" s="987"/>
      <c r="U697" s="987"/>
      <c r="V697" s="987"/>
      <c r="W697" s="987"/>
      <c r="X697" s="987"/>
      <c r="Y697" s="987"/>
      <c r="Z697" s="987"/>
    </row>
    <row r="698">
      <c r="A698" s="987"/>
      <c r="B698" s="987"/>
      <c r="C698" s="987"/>
      <c r="D698" s="987"/>
      <c r="E698" s="987"/>
      <c r="F698" s="987"/>
      <c r="G698" s="987"/>
      <c r="H698" s="987"/>
      <c r="I698" s="987"/>
      <c r="J698" s="987"/>
      <c r="K698" s="987"/>
      <c r="L698" s="987"/>
      <c r="M698" s="987"/>
      <c r="N698" s="987"/>
      <c r="O698" s="987"/>
      <c r="P698" s="987"/>
      <c r="Q698" s="987"/>
      <c r="R698" s="987"/>
      <c r="S698" s="987"/>
      <c r="T698" s="987"/>
      <c r="U698" s="987"/>
      <c r="V698" s="987"/>
      <c r="W698" s="987"/>
      <c r="X698" s="987"/>
      <c r="Y698" s="987"/>
      <c r="Z698" s="987"/>
    </row>
    <row r="699">
      <c r="A699" s="987"/>
      <c r="B699" s="987"/>
      <c r="C699" s="987"/>
      <c r="D699" s="987"/>
      <c r="E699" s="987"/>
      <c r="F699" s="987"/>
      <c r="G699" s="987"/>
      <c r="H699" s="987"/>
      <c r="I699" s="987"/>
      <c r="J699" s="987"/>
      <c r="K699" s="987"/>
      <c r="L699" s="987"/>
      <c r="M699" s="987"/>
      <c r="N699" s="987"/>
      <c r="O699" s="987"/>
      <c r="P699" s="987"/>
      <c r="Q699" s="987"/>
      <c r="R699" s="987"/>
      <c r="S699" s="987"/>
      <c r="T699" s="987"/>
      <c r="U699" s="987"/>
      <c r="V699" s="987"/>
      <c r="W699" s="987"/>
      <c r="X699" s="987"/>
      <c r="Y699" s="987"/>
      <c r="Z699" s="987"/>
    </row>
    <row r="700">
      <c r="A700" s="987"/>
      <c r="B700" s="987"/>
      <c r="C700" s="987"/>
      <c r="D700" s="987"/>
      <c r="E700" s="987"/>
      <c r="F700" s="987"/>
      <c r="G700" s="987"/>
      <c r="H700" s="987"/>
      <c r="I700" s="987"/>
      <c r="J700" s="987"/>
      <c r="K700" s="987"/>
      <c r="L700" s="987"/>
      <c r="M700" s="987"/>
      <c r="N700" s="987"/>
      <c r="O700" s="987"/>
      <c r="P700" s="987"/>
      <c r="Q700" s="987"/>
      <c r="R700" s="987"/>
      <c r="S700" s="987"/>
      <c r="T700" s="987"/>
      <c r="U700" s="987"/>
      <c r="V700" s="987"/>
      <c r="W700" s="987"/>
      <c r="X700" s="987"/>
      <c r="Y700" s="987"/>
      <c r="Z700" s="987"/>
    </row>
    <row r="701">
      <c r="A701" s="987"/>
      <c r="B701" s="987"/>
      <c r="C701" s="987"/>
      <c r="D701" s="987"/>
      <c r="E701" s="987"/>
      <c r="F701" s="987"/>
      <c r="G701" s="987"/>
      <c r="H701" s="987"/>
      <c r="I701" s="987"/>
      <c r="J701" s="987"/>
      <c r="K701" s="987"/>
      <c r="L701" s="987"/>
      <c r="M701" s="987"/>
      <c r="N701" s="987"/>
      <c r="O701" s="987"/>
      <c r="P701" s="987"/>
      <c r="Q701" s="987"/>
      <c r="R701" s="987"/>
      <c r="S701" s="987"/>
      <c r="T701" s="987"/>
      <c r="U701" s="987"/>
      <c r="V701" s="987"/>
      <c r="W701" s="987"/>
      <c r="X701" s="987"/>
      <c r="Y701" s="987"/>
      <c r="Z701" s="987"/>
    </row>
    <row r="702">
      <c r="A702" s="987"/>
      <c r="B702" s="987"/>
      <c r="C702" s="987"/>
      <c r="D702" s="987"/>
      <c r="E702" s="987"/>
      <c r="F702" s="987"/>
      <c r="G702" s="987"/>
      <c r="H702" s="987"/>
      <c r="I702" s="987"/>
      <c r="J702" s="987"/>
      <c r="K702" s="987"/>
      <c r="L702" s="987"/>
      <c r="M702" s="987"/>
      <c r="N702" s="987"/>
      <c r="O702" s="987"/>
      <c r="P702" s="987"/>
      <c r="Q702" s="987"/>
      <c r="R702" s="987"/>
      <c r="S702" s="987"/>
      <c r="T702" s="987"/>
      <c r="U702" s="987"/>
      <c r="V702" s="987"/>
      <c r="W702" s="987"/>
      <c r="X702" s="987"/>
      <c r="Y702" s="987"/>
      <c r="Z702" s="987"/>
    </row>
    <row r="703">
      <c r="A703" s="987"/>
      <c r="B703" s="987"/>
      <c r="C703" s="987"/>
      <c r="D703" s="987"/>
      <c r="E703" s="987"/>
      <c r="F703" s="987"/>
      <c r="G703" s="987"/>
      <c r="H703" s="987"/>
      <c r="I703" s="987"/>
      <c r="J703" s="987"/>
      <c r="K703" s="987"/>
      <c r="L703" s="987"/>
      <c r="M703" s="987"/>
      <c r="N703" s="987"/>
      <c r="O703" s="987"/>
      <c r="P703" s="987"/>
      <c r="Q703" s="987"/>
      <c r="R703" s="987"/>
      <c r="S703" s="987"/>
      <c r="T703" s="987"/>
      <c r="U703" s="987"/>
      <c r="V703" s="987"/>
      <c r="W703" s="987"/>
      <c r="X703" s="987"/>
      <c r="Y703" s="987"/>
      <c r="Z703" s="987"/>
    </row>
    <row r="704">
      <c r="A704" s="987"/>
      <c r="B704" s="987"/>
      <c r="C704" s="987"/>
      <c r="D704" s="987"/>
      <c r="E704" s="987"/>
      <c r="F704" s="987"/>
      <c r="G704" s="987"/>
      <c r="H704" s="987"/>
      <c r="I704" s="987"/>
      <c r="J704" s="987"/>
      <c r="K704" s="987"/>
      <c r="L704" s="987"/>
      <c r="M704" s="987"/>
      <c r="N704" s="987"/>
      <c r="O704" s="987"/>
      <c r="P704" s="987"/>
      <c r="Q704" s="987"/>
      <c r="R704" s="987"/>
      <c r="S704" s="987"/>
      <c r="T704" s="987"/>
      <c r="U704" s="987"/>
      <c r="V704" s="987"/>
      <c r="W704" s="987"/>
      <c r="X704" s="987"/>
      <c r="Y704" s="987"/>
      <c r="Z704" s="987"/>
    </row>
    <row r="705">
      <c r="A705" s="987"/>
      <c r="B705" s="987"/>
      <c r="C705" s="987"/>
      <c r="D705" s="987"/>
      <c r="E705" s="987"/>
      <c r="F705" s="987"/>
      <c r="G705" s="987"/>
      <c r="H705" s="987"/>
      <c r="I705" s="987"/>
      <c r="J705" s="987"/>
      <c r="K705" s="987"/>
      <c r="L705" s="987"/>
      <c r="M705" s="987"/>
      <c r="N705" s="987"/>
      <c r="O705" s="987"/>
      <c r="P705" s="987"/>
      <c r="Q705" s="987"/>
      <c r="R705" s="987"/>
      <c r="S705" s="987"/>
      <c r="T705" s="987"/>
      <c r="U705" s="987"/>
      <c r="V705" s="987"/>
      <c r="W705" s="987"/>
      <c r="X705" s="987"/>
      <c r="Y705" s="987"/>
      <c r="Z705" s="987"/>
    </row>
    <row r="706">
      <c r="A706" s="987"/>
      <c r="B706" s="987"/>
      <c r="C706" s="987"/>
      <c r="D706" s="987"/>
      <c r="E706" s="987"/>
      <c r="F706" s="987"/>
      <c r="G706" s="987"/>
      <c r="H706" s="987"/>
      <c r="I706" s="987"/>
      <c r="J706" s="987"/>
      <c r="K706" s="987"/>
      <c r="L706" s="987"/>
      <c r="M706" s="987"/>
      <c r="N706" s="987"/>
      <c r="O706" s="987"/>
      <c r="P706" s="987"/>
      <c r="Q706" s="987"/>
      <c r="R706" s="987"/>
      <c r="S706" s="987"/>
      <c r="T706" s="987"/>
      <c r="U706" s="987"/>
      <c r="V706" s="987"/>
      <c r="W706" s="987"/>
      <c r="X706" s="987"/>
      <c r="Y706" s="987"/>
      <c r="Z706" s="987"/>
    </row>
    <row r="707">
      <c r="A707" s="987"/>
      <c r="B707" s="987"/>
      <c r="C707" s="987"/>
      <c r="D707" s="987"/>
      <c r="E707" s="987"/>
      <c r="F707" s="987"/>
      <c r="G707" s="987"/>
      <c r="H707" s="987"/>
      <c r="I707" s="987"/>
      <c r="J707" s="987"/>
      <c r="K707" s="987"/>
      <c r="L707" s="987"/>
      <c r="M707" s="987"/>
      <c r="N707" s="987"/>
      <c r="O707" s="987"/>
      <c r="P707" s="987"/>
      <c r="Q707" s="987"/>
      <c r="R707" s="987"/>
      <c r="S707" s="987"/>
      <c r="T707" s="987"/>
      <c r="U707" s="987"/>
      <c r="V707" s="987"/>
      <c r="W707" s="987"/>
      <c r="X707" s="987"/>
      <c r="Y707" s="987"/>
      <c r="Z707" s="987"/>
    </row>
    <row r="708">
      <c r="A708" s="987"/>
      <c r="B708" s="987"/>
      <c r="C708" s="987"/>
      <c r="D708" s="987"/>
      <c r="E708" s="987"/>
      <c r="F708" s="987"/>
      <c r="G708" s="987"/>
      <c r="H708" s="987"/>
      <c r="I708" s="987"/>
      <c r="J708" s="987"/>
      <c r="K708" s="987"/>
      <c r="L708" s="987"/>
      <c r="M708" s="987"/>
      <c r="N708" s="987"/>
      <c r="O708" s="987"/>
      <c r="P708" s="987"/>
      <c r="Q708" s="987"/>
      <c r="R708" s="987"/>
      <c r="S708" s="987"/>
      <c r="T708" s="987"/>
      <c r="U708" s="987"/>
      <c r="V708" s="987"/>
      <c r="W708" s="987"/>
      <c r="X708" s="987"/>
      <c r="Y708" s="987"/>
      <c r="Z708" s="987"/>
    </row>
    <row r="709">
      <c r="A709" s="987"/>
      <c r="B709" s="987"/>
      <c r="C709" s="987"/>
      <c r="D709" s="987"/>
      <c r="E709" s="987"/>
      <c r="F709" s="987"/>
      <c r="G709" s="987"/>
      <c r="H709" s="987"/>
      <c r="I709" s="987"/>
      <c r="J709" s="987"/>
      <c r="K709" s="987"/>
      <c r="L709" s="987"/>
      <c r="M709" s="987"/>
      <c r="N709" s="987"/>
      <c r="O709" s="987"/>
      <c r="P709" s="987"/>
      <c r="Q709" s="987"/>
      <c r="R709" s="987"/>
      <c r="S709" s="987"/>
      <c r="T709" s="987"/>
      <c r="U709" s="987"/>
      <c r="V709" s="987"/>
      <c r="W709" s="987"/>
      <c r="X709" s="987"/>
      <c r="Y709" s="987"/>
      <c r="Z709" s="987"/>
    </row>
    <row r="710">
      <c r="A710" s="987"/>
      <c r="B710" s="987"/>
      <c r="C710" s="987"/>
      <c r="D710" s="987"/>
      <c r="E710" s="987"/>
      <c r="F710" s="987"/>
      <c r="G710" s="987"/>
      <c r="H710" s="987"/>
      <c r="I710" s="987"/>
      <c r="J710" s="987"/>
      <c r="K710" s="987"/>
      <c r="L710" s="987"/>
      <c r="M710" s="987"/>
      <c r="N710" s="987"/>
      <c r="O710" s="987"/>
      <c r="P710" s="987"/>
      <c r="Q710" s="987"/>
      <c r="R710" s="987"/>
      <c r="S710" s="987"/>
      <c r="T710" s="987"/>
      <c r="U710" s="987"/>
      <c r="V710" s="987"/>
      <c r="W710" s="987"/>
      <c r="X710" s="987"/>
      <c r="Y710" s="987"/>
      <c r="Z710" s="987"/>
    </row>
    <row r="711">
      <c r="A711" s="987"/>
      <c r="B711" s="987"/>
      <c r="C711" s="987"/>
      <c r="D711" s="987"/>
      <c r="E711" s="987"/>
      <c r="F711" s="987"/>
      <c r="G711" s="987"/>
      <c r="H711" s="987"/>
      <c r="I711" s="987"/>
      <c r="J711" s="987"/>
      <c r="K711" s="987"/>
      <c r="L711" s="987"/>
      <c r="M711" s="987"/>
      <c r="N711" s="987"/>
      <c r="O711" s="987"/>
      <c r="P711" s="987"/>
      <c r="Q711" s="987"/>
      <c r="R711" s="987"/>
      <c r="S711" s="987"/>
      <c r="T711" s="987"/>
      <c r="U711" s="987"/>
      <c r="V711" s="987"/>
      <c r="W711" s="987"/>
      <c r="X711" s="987"/>
      <c r="Y711" s="987"/>
      <c r="Z711" s="987"/>
    </row>
    <row r="712">
      <c r="A712" s="987"/>
      <c r="B712" s="987"/>
      <c r="C712" s="987"/>
      <c r="D712" s="987"/>
      <c r="E712" s="987"/>
      <c r="F712" s="987"/>
      <c r="G712" s="987"/>
      <c r="H712" s="987"/>
      <c r="I712" s="987"/>
      <c r="J712" s="987"/>
      <c r="K712" s="987"/>
      <c r="L712" s="987"/>
      <c r="M712" s="987"/>
      <c r="N712" s="987"/>
      <c r="O712" s="987"/>
      <c r="P712" s="987"/>
      <c r="Q712" s="987"/>
      <c r="R712" s="987"/>
      <c r="S712" s="987"/>
      <c r="T712" s="987"/>
      <c r="U712" s="987"/>
      <c r="V712" s="987"/>
      <c r="W712" s="987"/>
      <c r="X712" s="987"/>
      <c r="Y712" s="987"/>
      <c r="Z712" s="987"/>
    </row>
    <row r="713">
      <c r="A713" s="987"/>
      <c r="B713" s="987"/>
      <c r="C713" s="987"/>
      <c r="D713" s="987"/>
      <c r="E713" s="987"/>
      <c r="F713" s="987"/>
      <c r="G713" s="987"/>
      <c r="H713" s="987"/>
      <c r="I713" s="987"/>
      <c r="J713" s="987"/>
      <c r="K713" s="987"/>
      <c r="L713" s="987"/>
      <c r="M713" s="987"/>
      <c r="N713" s="987"/>
      <c r="O713" s="987"/>
      <c r="P713" s="987"/>
      <c r="Q713" s="987"/>
      <c r="R713" s="987"/>
      <c r="S713" s="987"/>
      <c r="T713" s="987"/>
      <c r="U713" s="987"/>
      <c r="V713" s="987"/>
      <c r="W713" s="987"/>
      <c r="X713" s="987"/>
      <c r="Y713" s="987"/>
      <c r="Z713" s="987"/>
    </row>
    <row r="714">
      <c r="A714" s="987"/>
      <c r="B714" s="987"/>
      <c r="C714" s="987"/>
      <c r="D714" s="987"/>
      <c r="E714" s="987"/>
      <c r="F714" s="987"/>
      <c r="G714" s="987"/>
      <c r="H714" s="987"/>
      <c r="I714" s="987"/>
      <c r="J714" s="987"/>
      <c r="K714" s="987"/>
      <c r="L714" s="987"/>
      <c r="M714" s="987"/>
      <c r="N714" s="987"/>
      <c r="O714" s="987"/>
      <c r="P714" s="987"/>
      <c r="Q714" s="987"/>
      <c r="R714" s="987"/>
      <c r="S714" s="987"/>
      <c r="T714" s="987"/>
      <c r="U714" s="987"/>
      <c r="V714" s="987"/>
      <c r="W714" s="987"/>
      <c r="X714" s="987"/>
      <c r="Y714" s="987"/>
      <c r="Z714" s="987"/>
    </row>
    <row r="715">
      <c r="A715" s="987"/>
      <c r="B715" s="987"/>
      <c r="C715" s="987"/>
      <c r="D715" s="987"/>
      <c r="E715" s="987"/>
      <c r="F715" s="987"/>
      <c r="G715" s="987"/>
      <c r="H715" s="987"/>
      <c r="I715" s="987"/>
      <c r="J715" s="987"/>
      <c r="K715" s="987"/>
      <c r="L715" s="987"/>
      <c r="M715" s="987"/>
      <c r="N715" s="987"/>
      <c r="O715" s="987"/>
      <c r="P715" s="987"/>
      <c r="Q715" s="987"/>
      <c r="R715" s="987"/>
      <c r="S715" s="987"/>
      <c r="T715" s="987"/>
      <c r="U715" s="987"/>
      <c r="V715" s="987"/>
      <c r="W715" s="987"/>
      <c r="X715" s="987"/>
      <c r="Y715" s="987"/>
      <c r="Z715" s="987"/>
    </row>
    <row r="716">
      <c r="A716" s="987"/>
      <c r="B716" s="987"/>
      <c r="C716" s="987"/>
      <c r="D716" s="987"/>
      <c r="E716" s="987"/>
      <c r="F716" s="987"/>
      <c r="G716" s="987"/>
      <c r="H716" s="987"/>
      <c r="I716" s="987"/>
      <c r="J716" s="987"/>
      <c r="K716" s="987"/>
      <c r="L716" s="987"/>
      <c r="M716" s="987"/>
      <c r="N716" s="987"/>
      <c r="O716" s="987"/>
      <c r="P716" s="987"/>
      <c r="Q716" s="987"/>
      <c r="R716" s="987"/>
      <c r="S716" s="987"/>
      <c r="T716" s="987"/>
      <c r="U716" s="987"/>
      <c r="V716" s="987"/>
      <c r="W716" s="987"/>
      <c r="X716" s="987"/>
      <c r="Y716" s="987"/>
      <c r="Z716" s="987"/>
    </row>
    <row r="717">
      <c r="A717" s="987"/>
      <c r="B717" s="987"/>
      <c r="C717" s="987"/>
      <c r="D717" s="987"/>
      <c r="E717" s="987"/>
      <c r="F717" s="987"/>
      <c r="G717" s="987"/>
      <c r="H717" s="987"/>
      <c r="I717" s="987"/>
      <c r="J717" s="987"/>
      <c r="K717" s="987"/>
      <c r="L717" s="987"/>
      <c r="M717" s="987"/>
      <c r="N717" s="987"/>
      <c r="O717" s="987"/>
      <c r="P717" s="987"/>
      <c r="Q717" s="987"/>
      <c r="R717" s="987"/>
      <c r="S717" s="987"/>
      <c r="T717" s="987"/>
      <c r="U717" s="987"/>
      <c r="V717" s="987"/>
      <c r="W717" s="987"/>
      <c r="X717" s="987"/>
      <c r="Y717" s="987"/>
      <c r="Z717" s="987"/>
    </row>
    <row r="718">
      <c r="A718" s="987"/>
      <c r="B718" s="987"/>
      <c r="C718" s="987"/>
      <c r="D718" s="987"/>
      <c r="E718" s="987"/>
      <c r="F718" s="987"/>
      <c r="G718" s="987"/>
      <c r="H718" s="987"/>
      <c r="I718" s="987"/>
      <c r="J718" s="987"/>
      <c r="K718" s="987"/>
      <c r="L718" s="987"/>
      <c r="M718" s="987"/>
      <c r="N718" s="987"/>
      <c r="O718" s="987"/>
      <c r="P718" s="987"/>
      <c r="Q718" s="987"/>
      <c r="R718" s="987"/>
      <c r="S718" s="987"/>
      <c r="T718" s="987"/>
      <c r="U718" s="987"/>
      <c r="V718" s="987"/>
      <c r="W718" s="987"/>
      <c r="X718" s="987"/>
      <c r="Y718" s="987"/>
      <c r="Z718" s="987"/>
    </row>
    <row r="719">
      <c r="A719" s="987"/>
      <c r="B719" s="987"/>
      <c r="C719" s="987"/>
      <c r="D719" s="987"/>
      <c r="E719" s="987"/>
      <c r="F719" s="987"/>
      <c r="G719" s="987"/>
      <c r="H719" s="987"/>
      <c r="I719" s="987"/>
      <c r="J719" s="987"/>
      <c r="K719" s="987"/>
      <c r="L719" s="987"/>
      <c r="M719" s="987"/>
      <c r="N719" s="987"/>
      <c r="O719" s="987"/>
      <c r="P719" s="987"/>
      <c r="Q719" s="987"/>
      <c r="R719" s="987"/>
      <c r="S719" s="987"/>
      <c r="T719" s="987"/>
      <c r="U719" s="987"/>
      <c r="V719" s="987"/>
      <c r="W719" s="987"/>
      <c r="X719" s="987"/>
      <c r="Y719" s="987"/>
      <c r="Z719" s="987"/>
    </row>
    <row r="720">
      <c r="A720" s="987"/>
      <c r="B720" s="987"/>
      <c r="C720" s="987"/>
      <c r="D720" s="987"/>
      <c r="E720" s="987"/>
      <c r="F720" s="987"/>
      <c r="G720" s="987"/>
      <c r="H720" s="987"/>
      <c r="I720" s="987"/>
      <c r="J720" s="987"/>
      <c r="K720" s="987"/>
      <c r="L720" s="987"/>
      <c r="M720" s="987"/>
      <c r="N720" s="987"/>
      <c r="O720" s="987"/>
      <c r="P720" s="987"/>
      <c r="Q720" s="987"/>
      <c r="R720" s="987"/>
      <c r="S720" s="987"/>
      <c r="T720" s="987"/>
      <c r="U720" s="987"/>
      <c r="V720" s="987"/>
      <c r="W720" s="987"/>
      <c r="X720" s="987"/>
      <c r="Y720" s="987"/>
      <c r="Z720" s="987"/>
    </row>
    <row r="721">
      <c r="A721" s="987"/>
      <c r="B721" s="987"/>
      <c r="C721" s="987"/>
      <c r="D721" s="987"/>
      <c r="E721" s="987"/>
      <c r="F721" s="987"/>
      <c r="G721" s="987"/>
      <c r="H721" s="987"/>
      <c r="I721" s="987"/>
      <c r="J721" s="987"/>
      <c r="K721" s="987"/>
      <c r="L721" s="987"/>
      <c r="M721" s="987"/>
      <c r="N721" s="987"/>
      <c r="O721" s="987"/>
      <c r="P721" s="987"/>
      <c r="Q721" s="987"/>
      <c r="R721" s="987"/>
      <c r="S721" s="987"/>
      <c r="T721" s="987"/>
      <c r="U721" s="987"/>
      <c r="V721" s="987"/>
      <c r="W721" s="987"/>
      <c r="X721" s="987"/>
      <c r="Y721" s="987"/>
      <c r="Z721" s="987"/>
    </row>
    <row r="722">
      <c r="A722" s="987"/>
      <c r="B722" s="987"/>
      <c r="C722" s="987"/>
      <c r="D722" s="987"/>
      <c r="E722" s="987"/>
      <c r="F722" s="987"/>
      <c r="G722" s="987"/>
      <c r="H722" s="987"/>
      <c r="I722" s="987"/>
      <c r="J722" s="987"/>
      <c r="K722" s="987"/>
      <c r="L722" s="987"/>
      <c r="M722" s="987"/>
      <c r="N722" s="987"/>
      <c r="O722" s="987"/>
      <c r="P722" s="987"/>
      <c r="Q722" s="987"/>
      <c r="R722" s="987"/>
      <c r="S722" s="987"/>
      <c r="T722" s="987"/>
      <c r="U722" s="987"/>
      <c r="V722" s="987"/>
      <c r="W722" s="987"/>
      <c r="X722" s="987"/>
      <c r="Y722" s="987"/>
      <c r="Z722" s="987"/>
    </row>
    <row r="723">
      <c r="A723" s="987"/>
      <c r="B723" s="987"/>
      <c r="C723" s="987"/>
      <c r="D723" s="987"/>
      <c r="E723" s="987"/>
      <c r="F723" s="987"/>
      <c r="G723" s="987"/>
      <c r="H723" s="987"/>
      <c r="I723" s="987"/>
      <c r="J723" s="987"/>
      <c r="K723" s="987"/>
      <c r="L723" s="987"/>
      <c r="M723" s="987"/>
      <c r="N723" s="987"/>
      <c r="O723" s="987"/>
      <c r="P723" s="987"/>
      <c r="Q723" s="987"/>
      <c r="R723" s="987"/>
      <c r="S723" s="987"/>
      <c r="T723" s="987"/>
      <c r="U723" s="987"/>
      <c r="V723" s="987"/>
      <c r="W723" s="987"/>
      <c r="X723" s="987"/>
      <c r="Y723" s="987"/>
      <c r="Z723" s="987"/>
    </row>
    <row r="724">
      <c r="A724" s="987"/>
      <c r="B724" s="987"/>
      <c r="C724" s="987"/>
      <c r="D724" s="987"/>
      <c r="E724" s="987"/>
      <c r="F724" s="987"/>
      <c r="G724" s="987"/>
      <c r="H724" s="987"/>
      <c r="I724" s="987"/>
      <c r="J724" s="987"/>
      <c r="K724" s="987"/>
      <c r="L724" s="987"/>
      <c r="M724" s="987"/>
      <c r="N724" s="987"/>
      <c r="O724" s="987"/>
      <c r="P724" s="987"/>
      <c r="Q724" s="987"/>
      <c r="R724" s="987"/>
      <c r="S724" s="987"/>
      <c r="T724" s="987"/>
      <c r="U724" s="987"/>
      <c r="V724" s="987"/>
      <c r="W724" s="987"/>
      <c r="X724" s="987"/>
      <c r="Y724" s="987"/>
      <c r="Z724" s="987"/>
    </row>
    <row r="725">
      <c r="A725" s="987"/>
      <c r="B725" s="987"/>
      <c r="C725" s="987"/>
      <c r="D725" s="987"/>
      <c r="E725" s="987"/>
      <c r="F725" s="987"/>
      <c r="G725" s="987"/>
      <c r="H725" s="987"/>
      <c r="I725" s="987"/>
      <c r="J725" s="987"/>
      <c r="K725" s="987"/>
      <c r="L725" s="987"/>
      <c r="M725" s="987"/>
      <c r="N725" s="987"/>
      <c r="O725" s="987"/>
      <c r="P725" s="987"/>
      <c r="Q725" s="987"/>
      <c r="R725" s="987"/>
      <c r="S725" s="987"/>
      <c r="T725" s="987"/>
      <c r="U725" s="987"/>
      <c r="V725" s="987"/>
      <c r="W725" s="987"/>
      <c r="X725" s="987"/>
      <c r="Y725" s="987"/>
      <c r="Z725" s="987"/>
    </row>
    <row r="726">
      <c r="A726" s="987"/>
      <c r="B726" s="987"/>
      <c r="C726" s="987"/>
      <c r="D726" s="987"/>
      <c r="E726" s="987"/>
      <c r="F726" s="987"/>
      <c r="G726" s="987"/>
      <c r="H726" s="987"/>
      <c r="I726" s="987"/>
      <c r="J726" s="987"/>
      <c r="K726" s="987"/>
      <c r="L726" s="987"/>
      <c r="M726" s="987"/>
      <c r="N726" s="987"/>
      <c r="O726" s="987"/>
      <c r="P726" s="987"/>
      <c r="Q726" s="987"/>
      <c r="R726" s="987"/>
      <c r="S726" s="987"/>
      <c r="T726" s="987"/>
      <c r="U726" s="987"/>
      <c r="V726" s="987"/>
      <c r="W726" s="987"/>
      <c r="X726" s="987"/>
      <c r="Y726" s="987"/>
      <c r="Z726" s="987"/>
    </row>
    <row r="727">
      <c r="A727" s="987"/>
      <c r="B727" s="987"/>
      <c r="C727" s="987"/>
      <c r="D727" s="987"/>
      <c r="E727" s="987"/>
      <c r="F727" s="987"/>
      <c r="G727" s="987"/>
      <c r="H727" s="987"/>
      <c r="I727" s="987"/>
      <c r="J727" s="987"/>
      <c r="K727" s="987"/>
      <c r="L727" s="987"/>
      <c r="M727" s="987"/>
      <c r="N727" s="987"/>
      <c r="O727" s="987"/>
      <c r="P727" s="987"/>
      <c r="Q727" s="987"/>
      <c r="R727" s="987"/>
      <c r="S727" s="987"/>
      <c r="T727" s="987"/>
      <c r="U727" s="987"/>
      <c r="V727" s="987"/>
      <c r="W727" s="987"/>
      <c r="X727" s="987"/>
      <c r="Y727" s="987"/>
      <c r="Z727" s="987"/>
    </row>
    <row r="728">
      <c r="A728" s="987"/>
      <c r="B728" s="987"/>
      <c r="C728" s="987"/>
      <c r="D728" s="987"/>
      <c r="E728" s="987"/>
      <c r="F728" s="987"/>
      <c r="G728" s="987"/>
      <c r="H728" s="987"/>
      <c r="I728" s="987"/>
      <c r="J728" s="987"/>
      <c r="K728" s="987"/>
      <c r="L728" s="987"/>
      <c r="M728" s="987"/>
      <c r="N728" s="987"/>
      <c r="O728" s="987"/>
      <c r="P728" s="987"/>
      <c r="Q728" s="987"/>
      <c r="R728" s="987"/>
      <c r="S728" s="987"/>
      <c r="T728" s="987"/>
      <c r="U728" s="987"/>
      <c r="V728" s="987"/>
      <c r="W728" s="987"/>
      <c r="X728" s="987"/>
      <c r="Y728" s="987"/>
      <c r="Z728" s="987"/>
    </row>
    <row r="729">
      <c r="A729" s="987"/>
      <c r="B729" s="987"/>
      <c r="C729" s="987"/>
      <c r="D729" s="987"/>
      <c r="E729" s="987"/>
      <c r="F729" s="987"/>
      <c r="G729" s="987"/>
      <c r="H729" s="987"/>
      <c r="I729" s="987"/>
      <c r="J729" s="987"/>
      <c r="K729" s="987"/>
      <c r="L729" s="987"/>
      <c r="M729" s="987"/>
      <c r="N729" s="987"/>
      <c r="O729" s="987"/>
      <c r="P729" s="987"/>
      <c r="Q729" s="987"/>
      <c r="R729" s="987"/>
      <c r="S729" s="987"/>
      <c r="T729" s="987"/>
      <c r="U729" s="987"/>
      <c r="V729" s="987"/>
      <c r="W729" s="987"/>
      <c r="X729" s="987"/>
      <c r="Y729" s="987"/>
      <c r="Z729" s="987"/>
    </row>
    <row r="730">
      <c r="A730" s="987"/>
      <c r="B730" s="987"/>
      <c r="C730" s="987"/>
      <c r="D730" s="987"/>
      <c r="E730" s="987"/>
      <c r="F730" s="987"/>
      <c r="G730" s="987"/>
      <c r="H730" s="987"/>
      <c r="I730" s="987"/>
      <c r="J730" s="987"/>
      <c r="K730" s="987"/>
      <c r="L730" s="987"/>
      <c r="M730" s="987"/>
      <c r="N730" s="987"/>
      <c r="O730" s="987"/>
      <c r="P730" s="987"/>
      <c r="Q730" s="987"/>
      <c r="R730" s="987"/>
      <c r="S730" s="987"/>
      <c r="T730" s="987"/>
      <c r="U730" s="987"/>
      <c r="V730" s="987"/>
      <c r="W730" s="987"/>
      <c r="X730" s="987"/>
      <c r="Y730" s="987"/>
      <c r="Z730" s="987"/>
    </row>
    <row r="731">
      <c r="A731" s="987"/>
      <c r="B731" s="987"/>
      <c r="C731" s="987"/>
      <c r="D731" s="987"/>
      <c r="E731" s="987"/>
      <c r="F731" s="987"/>
      <c r="G731" s="987"/>
      <c r="H731" s="987"/>
      <c r="I731" s="987"/>
      <c r="J731" s="987"/>
      <c r="K731" s="987"/>
      <c r="L731" s="987"/>
      <c r="M731" s="987"/>
      <c r="N731" s="987"/>
      <c r="O731" s="987"/>
      <c r="P731" s="987"/>
      <c r="Q731" s="987"/>
      <c r="R731" s="987"/>
      <c r="S731" s="987"/>
      <c r="T731" s="987"/>
      <c r="U731" s="987"/>
      <c r="V731" s="987"/>
      <c r="W731" s="987"/>
      <c r="X731" s="987"/>
      <c r="Y731" s="987"/>
      <c r="Z731" s="987"/>
    </row>
    <row r="732">
      <c r="A732" s="987"/>
      <c r="B732" s="987"/>
      <c r="C732" s="987"/>
      <c r="D732" s="987"/>
      <c r="E732" s="987"/>
      <c r="F732" s="987"/>
      <c r="G732" s="987"/>
      <c r="H732" s="987"/>
      <c r="I732" s="987"/>
      <c r="J732" s="987"/>
      <c r="K732" s="987"/>
      <c r="L732" s="987"/>
      <c r="M732" s="987"/>
      <c r="N732" s="987"/>
      <c r="O732" s="987"/>
      <c r="P732" s="987"/>
      <c r="Q732" s="987"/>
      <c r="R732" s="987"/>
      <c r="S732" s="987"/>
      <c r="T732" s="987"/>
      <c r="U732" s="987"/>
      <c r="V732" s="987"/>
      <c r="W732" s="987"/>
      <c r="X732" s="987"/>
      <c r="Y732" s="987"/>
      <c r="Z732" s="987"/>
    </row>
    <row r="733">
      <c r="A733" s="987"/>
      <c r="B733" s="987"/>
      <c r="C733" s="987"/>
      <c r="D733" s="987"/>
      <c r="E733" s="987"/>
      <c r="F733" s="987"/>
      <c r="G733" s="987"/>
      <c r="H733" s="987"/>
      <c r="I733" s="987"/>
      <c r="J733" s="987"/>
      <c r="K733" s="987"/>
      <c r="L733" s="987"/>
      <c r="M733" s="987"/>
      <c r="N733" s="987"/>
      <c r="O733" s="987"/>
      <c r="P733" s="987"/>
      <c r="Q733" s="987"/>
      <c r="R733" s="987"/>
      <c r="S733" s="987"/>
      <c r="T733" s="987"/>
      <c r="U733" s="987"/>
      <c r="V733" s="987"/>
      <c r="W733" s="987"/>
      <c r="X733" s="987"/>
      <c r="Y733" s="987"/>
      <c r="Z733" s="987"/>
    </row>
    <row r="734">
      <c r="A734" s="987"/>
      <c r="B734" s="987"/>
      <c r="C734" s="987"/>
      <c r="D734" s="987"/>
      <c r="E734" s="987"/>
      <c r="F734" s="987"/>
      <c r="G734" s="987"/>
      <c r="H734" s="987"/>
      <c r="I734" s="987"/>
      <c r="J734" s="987"/>
      <c r="K734" s="987"/>
      <c r="L734" s="987"/>
      <c r="M734" s="987"/>
      <c r="N734" s="987"/>
      <c r="O734" s="987"/>
      <c r="P734" s="987"/>
      <c r="Q734" s="987"/>
      <c r="R734" s="987"/>
      <c r="S734" s="987"/>
      <c r="T734" s="987"/>
      <c r="U734" s="987"/>
      <c r="V734" s="987"/>
      <c r="W734" s="987"/>
      <c r="X734" s="987"/>
      <c r="Y734" s="987"/>
      <c r="Z734" s="987"/>
    </row>
    <row r="735">
      <c r="A735" s="987"/>
      <c r="B735" s="987"/>
      <c r="C735" s="987"/>
      <c r="D735" s="987"/>
      <c r="E735" s="987"/>
      <c r="F735" s="987"/>
      <c r="G735" s="987"/>
      <c r="H735" s="987"/>
      <c r="I735" s="987"/>
      <c r="J735" s="987"/>
      <c r="K735" s="987"/>
      <c r="L735" s="987"/>
      <c r="M735" s="987"/>
      <c r="N735" s="987"/>
      <c r="O735" s="987"/>
      <c r="P735" s="987"/>
      <c r="Q735" s="987"/>
      <c r="R735" s="987"/>
      <c r="S735" s="987"/>
      <c r="T735" s="987"/>
      <c r="U735" s="987"/>
      <c r="V735" s="987"/>
      <c r="W735" s="987"/>
      <c r="X735" s="987"/>
      <c r="Y735" s="987"/>
      <c r="Z735" s="987"/>
    </row>
    <row r="736">
      <c r="A736" s="987"/>
      <c r="B736" s="987"/>
      <c r="C736" s="987"/>
      <c r="D736" s="987"/>
      <c r="E736" s="987"/>
      <c r="F736" s="987"/>
      <c r="G736" s="987"/>
      <c r="H736" s="987"/>
      <c r="I736" s="987"/>
      <c r="J736" s="987"/>
      <c r="K736" s="987"/>
      <c r="L736" s="987"/>
      <c r="M736" s="987"/>
      <c r="N736" s="987"/>
      <c r="O736" s="987"/>
      <c r="P736" s="987"/>
      <c r="Q736" s="987"/>
      <c r="R736" s="987"/>
      <c r="S736" s="987"/>
      <c r="T736" s="987"/>
      <c r="U736" s="987"/>
      <c r="V736" s="987"/>
      <c r="W736" s="987"/>
      <c r="X736" s="987"/>
      <c r="Y736" s="987"/>
      <c r="Z736" s="987"/>
    </row>
    <row r="737">
      <c r="A737" s="987"/>
      <c r="B737" s="987"/>
      <c r="C737" s="987"/>
      <c r="D737" s="987"/>
      <c r="E737" s="987"/>
      <c r="F737" s="987"/>
      <c r="G737" s="987"/>
      <c r="H737" s="987"/>
      <c r="I737" s="987"/>
      <c r="J737" s="987"/>
      <c r="K737" s="987"/>
      <c r="L737" s="987"/>
      <c r="M737" s="987"/>
      <c r="N737" s="987"/>
      <c r="O737" s="987"/>
      <c r="P737" s="987"/>
      <c r="Q737" s="987"/>
      <c r="R737" s="987"/>
      <c r="S737" s="987"/>
      <c r="T737" s="987"/>
      <c r="U737" s="987"/>
      <c r="V737" s="987"/>
      <c r="W737" s="987"/>
      <c r="X737" s="987"/>
      <c r="Y737" s="987"/>
      <c r="Z737" s="987"/>
    </row>
    <row r="738">
      <c r="A738" s="987"/>
      <c r="B738" s="987"/>
      <c r="C738" s="987"/>
      <c r="D738" s="987"/>
      <c r="E738" s="987"/>
      <c r="F738" s="987"/>
      <c r="G738" s="987"/>
      <c r="H738" s="987"/>
      <c r="I738" s="987"/>
      <c r="J738" s="987"/>
      <c r="K738" s="987"/>
      <c r="L738" s="987"/>
      <c r="M738" s="987"/>
      <c r="N738" s="987"/>
      <c r="O738" s="987"/>
      <c r="P738" s="987"/>
      <c r="Q738" s="987"/>
      <c r="R738" s="987"/>
      <c r="S738" s="987"/>
      <c r="T738" s="987"/>
      <c r="U738" s="987"/>
      <c r="V738" s="987"/>
      <c r="W738" s="987"/>
      <c r="X738" s="987"/>
      <c r="Y738" s="987"/>
      <c r="Z738" s="987"/>
    </row>
    <row r="739">
      <c r="A739" s="987"/>
      <c r="B739" s="987"/>
      <c r="C739" s="987"/>
      <c r="D739" s="987"/>
      <c r="E739" s="987"/>
      <c r="F739" s="987"/>
      <c r="G739" s="987"/>
      <c r="H739" s="987"/>
      <c r="I739" s="987"/>
      <c r="J739" s="987"/>
      <c r="K739" s="987"/>
      <c r="L739" s="987"/>
      <c r="M739" s="987"/>
      <c r="N739" s="987"/>
      <c r="O739" s="987"/>
      <c r="P739" s="987"/>
      <c r="Q739" s="987"/>
      <c r="R739" s="987"/>
      <c r="S739" s="987"/>
      <c r="T739" s="987"/>
      <c r="U739" s="987"/>
      <c r="V739" s="987"/>
      <c r="W739" s="987"/>
      <c r="X739" s="987"/>
      <c r="Y739" s="987"/>
      <c r="Z739" s="987"/>
    </row>
    <row r="740">
      <c r="A740" s="987"/>
      <c r="B740" s="987"/>
      <c r="C740" s="987"/>
      <c r="D740" s="987"/>
      <c r="E740" s="987"/>
      <c r="F740" s="987"/>
      <c r="G740" s="987"/>
      <c r="H740" s="987"/>
      <c r="I740" s="987"/>
      <c r="J740" s="987"/>
      <c r="K740" s="987"/>
      <c r="L740" s="987"/>
      <c r="M740" s="987"/>
      <c r="N740" s="987"/>
      <c r="O740" s="987"/>
      <c r="P740" s="987"/>
      <c r="Q740" s="987"/>
      <c r="R740" s="987"/>
      <c r="S740" s="987"/>
      <c r="T740" s="987"/>
      <c r="U740" s="987"/>
      <c r="V740" s="987"/>
      <c r="W740" s="987"/>
      <c r="X740" s="987"/>
      <c r="Y740" s="987"/>
      <c r="Z740" s="987"/>
    </row>
    <row r="741">
      <c r="A741" s="987"/>
      <c r="B741" s="987"/>
      <c r="C741" s="987"/>
      <c r="D741" s="987"/>
      <c r="E741" s="987"/>
      <c r="F741" s="987"/>
      <c r="G741" s="987"/>
      <c r="H741" s="987"/>
      <c r="I741" s="987"/>
      <c r="J741" s="987"/>
      <c r="K741" s="987"/>
      <c r="L741" s="987"/>
      <c r="M741" s="987"/>
      <c r="N741" s="987"/>
      <c r="O741" s="987"/>
      <c r="P741" s="987"/>
      <c r="Q741" s="987"/>
      <c r="R741" s="987"/>
      <c r="S741" s="987"/>
      <c r="T741" s="987"/>
      <c r="U741" s="987"/>
      <c r="V741" s="987"/>
      <c r="W741" s="987"/>
      <c r="X741" s="987"/>
      <c r="Y741" s="987"/>
      <c r="Z741" s="987"/>
    </row>
    <row r="742">
      <c r="A742" s="987"/>
      <c r="B742" s="987"/>
      <c r="C742" s="987"/>
      <c r="D742" s="987"/>
      <c r="E742" s="987"/>
      <c r="F742" s="987"/>
      <c r="G742" s="987"/>
      <c r="H742" s="987"/>
      <c r="I742" s="987"/>
      <c r="J742" s="987"/>
      <c r="K742" s="987"/>
      <c r="L742" s="987"/>
      <c r="M742" s="987"/>
      <c r="N742" s="987"/>
      <c r="O742" s="987"/>
      <c r="P742" s="987"/>
      <c r="Q742" s="987"/>
      <c r="R742" s="987"/>
      <c r="S742" s="987"/>
      <c r="T742" s="987"/>
      <c r="U742" s="987"/>
      <c r="V742" s="987"/>
      <c r="W742" s="987"/>
      <c r="X742" s="987"/>
      <c r="Y742" s="987"/>
      <c r="Z742" s="987"/>
    </row>
    <row r="743">
      <c r="A743" s="987"/>
      <c r="B743" s="987"/>
      <c r="C743" s="987"/>
      <c r="D743" s="987"/>
      <c r="E743" s="987"/>
      <c r="F743" s="987"/>
      <c r="G743" s="987"/>
      <c r="H743" s="987"/>
      <c r="I743" s="987"/>
      <c r="J743" s="987"/>
      <c r="K743" s="987"/>
      <c r="L743" s="987"/>
      <c r="M743" s="987"/>
      <c r="N743" s="987"/>
      <c r="O743" s="987"/>
      <c r="P743" s="987"/>
      <c r="Q743" s="987"/>
      <c r="R743" s="987"/>
      <c r="S743" s="987"/>
      <c r="T743" s="987"/>
      <c r="U743" s="987"/>
      <c r="V743" s="987"/>
      <c r="W743" s="987"/>
      <c r="X743" s="987"/>
      <c r="Y743" s="987"/>
      <c r="Z743" s="987"/>
    </row>
    <row r="744">
      <c r="A744" s="987"/>
      <c r="B744" s="987"/>
      <c r="C744" s="987"/>
      <c r="D744" s="987"/>
      <c r="E744" s="987"/>
      <c r="F744" s="987"/>
      <c r="G744" s="987"/>
      <c r="H744" s="987"/>
      <c r="I744" s="987"/>
      <c r="J744" s="987"/>
      <c r="K744" s="987"/>
      <c r="L744" s="987"/>
      <c r="M744" s="987"/>
      <c r="N744" s="987"/>
      <c r="O744" s="987"/>
      <c r="P744" s="987"/>
      <c r="Q744" s="987"/>
      <c r="R744" s="987"/>
      <c r="S744" s="987"/>
      <c r="T744" s="987"/>
      <c r="U744" s="987"/>
      <c r="V744" s="987"/>
      <c r="W744" s="987"/>
      <c r="X744" s="987"/>
      <c r="Y744" s="987"/>
      <c r="Z744" s="987"/>
    </row>
    <row r="745">
      <c r="A745" s="987"/>
      <c r="B745" s="987"/>
      <c r="C745" s="987"/>
      <c r="D745" s="987"/>
      <c r="E745" s="987"/>
      <c r="F745" s="987"/>
      <c r="G745" s="987"/>
      <c r="H745" s="987"/>
      <c r="I745" s="987"/>
      <c r="J745" s="987"/>
      <c r="K745" s="987"/>
      <c r="L745" s="987"/>
      <c r="M745" s="987"/>
      <c r="N745" s="987"/>
      <c r="O745" s="987"/>
      <c r="P745" s="987"/>
      <c r="Q745" s="987"/>
      <c r="R745" s="987"/>
      <c r="S745" s="987"/>
      <c r="T745" s="987"/>
      <c r="U745" s="987"/>
      <c r="V745" s="987"/>
      <c r="W745" s="987"/>
      <c r="X745" s="987"/>
      <c r="Y745" s="987"/>
      <c r="Z745" s="987"/>
    </row>
    <row r="746">
      <c r="A746" s="987"/>
      <c r="B746" s="987"/>
      <c r="C746" s="987"/>
      <c r="D746" s="987"/>
      <c r="E746" s="987"/>
      <c r="F746" s="987"/>
      <c r="G746" s="987"/>
      <c r="H746" s="987"/>
      <c r="I746" s="987"/>
      <c r="J746" s="987"/>
      <c r="K746" s="987"/>
      <c r="L746" s="987"/>
      <c r="M746" s="987"/>
      <c r="N746" s="987"/>
      <c r="O746" s="987"/>
      <c r="P746" s="987"/>
      <c r="Q746" s="987"/>
      <c r="R746" s="987"/>
      <c r="S746" s="987"/>
      <c r="T746" s="987"/>
      <c r="U746" s="987"/>
      <c r="V746" s="987"/>
      <c r="W746" s="987"/>
      <c r="X746" s="987"/>
      <c r="Y746" s="987"/>
      <c r="Z746" s="987"/>
    </row>
    <row r="747">
      <c r="A747" s="987"/>
      <c r="B747" s="987"/>
      <c r="C747" s="987"/>
      <c r="D747" s="987"/>
      <c r="E747" s="987"/>
      <c r="F747" s="987"/>
      <c r="G747" s="987"/>
      <c r="H747" s="987"/>
      <c r="I747" s="987"/>
      <c r="J747" s="987"/>
      <c r="K747" s="987"/>
      <c r="L747" s="987"/>
      <c r="M747" s="987"/>
      <c r="N747" s="987"/>
      <c r="O747" s="987"/>
      <c r="P747" s="987"/>
      <c r="Q747" s="987"/>
      <c r="R747" s="987"/>
      <c r="S747" s="987"/>
      <c r="T747" s="987"/>
      <c r="U747" s="987"/>
      <c r="V747" s="987"/>
      <c r="W747" s="987"/>
      <c r="X747" s="987"/>
      <c r="Y747" s="987"/>
      <c r="Z747" s="987"/>
    </row>
    <row r="748">
      <c r="A748" s="987"/>
      <c r="B748" s="987"/>
      <c r="C748" s="987"/>
      <c r="D748" s="987"/>
      <c r="E748" s="987"/>
      <c r="F748" s="987"/>
      <c r="G748" s="987"/>
      <c r="H748" s="987"/>
      <c r="I748" s="987"/>
      <c r="J748" s="987"/>
      <c r="K748" s="987"/>
      <c r="L748" s="987"/>
      <c r="M748" s="987"/>
      <c r="N748" s="987"/>
      <c r="O748" s="987"/>
      <c r="P748" s="987"/>
      <c r="Q748" s="987"/>
      <c r="R748" s="987"/>
      <c r="S748" s="987"/>
      <c r="T748" s="987"/>
      <c r="U748" s="987"/>
      <c r="V748" s="987"/>
      <c r="W748" s="987"/>
      <c r="X748" s="987"/>
      <c r="Y748" s="987"/>
      <c r="Z748" s="987"/>
    </row>
    <row r="749">
      <c r="A749" s="987"/>
      <c r="B749" s="987"/>
      <c r="C749" s="987"/>
      <c r="D749" s="987"/>
      <c r="E749" s="987"/>
      <c r="F749" s="987"/>
      <c r="G749" s="987"/>
      <c r="H749" s="987"/>
      <c r="I749" s="987"/>
      <c r="J749" s="987"/>
      <c r="K749" s="987"/>
      <c r="L749" s="987"/>
      <c r="M749" s="987"/>
      <c r="N749" s="987"/>
      <c r="O749" s="987"/>
      <c r="P749" s="987"/>
      <c r="Q749" s="987"/>
      <c r="R749" s="987"/>
      <c r="S749" s="987"/>
      <c r="T749" s="987"/>
      <c r="U749" s="987"/>
      <c r="V749" s="987"/>
      <c r="W749" s="987"/>
      <c r="X749" s="987"/>
      <c r="Y749" s="987"/>
      <c r="Z749" s="987"/>
    </row>
    <row r="750">
      <c r="A750" s="987"/>
      <c r="B750" s="987"/>
      <c r="C750" s="987"/>
      <c r="D750" s="987"/>
      <c r="E750" s="987"/>
      <c r="F750" s="987"/>
      <c r="G750" s="987"/>
      <c r="H750" s="987"/>
      <c r="I750" s="987"/>
      <c r="J750" s="987"/>
      <c r="K750" s="987"/>
      <c r="L750" s="987"/>
      <c r="M750" s="987"/>
      <c r="N750" s="987"/>
      <c r="O750" s="987"/>
      <c r="P750" s="987"/>
      <c r="Q750" s="987"/>
      <c r="R750" s="987"/>
      <c r="S750" s="987"/>
      <c r="T750" s="987"/>
      <c r="U750" s="987"/>
      <c r="V750" s="987"/>
      <c r="W750" s="987"/>
      <c r="X750" s="987"/>
      <c r="Y750" s="987"/>
      <c r="Z750" s="987"/>
    </row>
    <row r="751">
      <c r="A751" s="987"/>
      <c r="B751" s="987"/>
      <c r="C751" s="987"/>
      <c r="D751" s="987"/>
      <c r="E751" s="987"/>
      <c r="F751" s="987"/>
      <c r="G751" s="987"/>
      <c r="H751" s="987"/>
      <c r="I751" s="987"/>
      <c r="J751" s="987"/>
      <c r="K751" s="987"/>
      <c r="L751" s="987"/>
      <c r="M751" s="987"/>
      <c r="N751" s="987"/>
      <c r="O751" s="987"/>
      <c r="P751" s="987"/>
      <c r="Q751" s="987"/>
      <c r="R751" s="987"/>
      <c r="S751" s="987"/>
      <c r="T751" s="987"/>
      <c r="U751" s="987"/>
      <c r="V751" s="987"/>
      <c r="W751" s="987"/>
      <c r="X751" s="987"/>
      <c r="Y751" s="987"/>
      <c r="Z751" s="987"/>
    </row>
    <row r="752">
      <c r="A752" s="987"/>
      <c r="B752" s="987"/>
      <c r="C752" s="987"/>
      <c r="D752" s="987"/>
      <c r="E752" s="987"/>
      <c r="F752" s="987"/>
      <c r="G752" s="987"/>
      <c r="H752" s="987"/>
      <c r="I752" s="987"/>
      <c r="J752" s="987"/>
      <c r="K752" s="987"/>
      <c r="L752" s="987"/>
      <c r="M752" s="987"/>
      <c r="N752" s="987"/>
      <c r="O752" s="987"/>
      <c r="P752" s="987"/>
      <c r="Q752" s="987"/>
      <c r="R752" s="987"/>
      <c r="S752" s="987"/>
      <c r="T752" s="987"/>
      <c r="U752" s="987"/>
      <c r="V752" s="987"/>
      <c r="W752" s="987"/>
      <c r="X752" s="987"/>
      <c r="Y752" s="987"/>
      <c r="Z752" s="987"/>
    </row>
    <row r="753">
      <c r="A753" s="987"/>
      <c r="B753" s="987"/>
      <c r="C753" s="987"/>
      <c r="D753" s="987"/>
      <c r="E753" s="987"/>
      <c r="F753" s="987"/>
      <c r="G753" s="987"/>
      <c r="H753" s="987"/>
      <c r="I753" s="987"/>
      <c r="J753" s="987"/>
      <c r="K753" s="987"/>
      <c r="L753" s="987"/>
      <c r="M753" s="987"/>
      <c r="N753" s="987"/>
      <c r="O753" s="987"/>
      <c r="P753" s="987"/>
      <c r="Q753" s="987"/>
      <c r="R753" s="987"/>
      <c r="S753" s="987"/>
      <c r="T753" s="987"/>
      <c r="U753" s="987"/>
      <c r="V753" s="987"/>
      <c r="W753" s="987"/>
      <c r="X753" s="987"/>
      <c r="Y753" s="987"/>
      <c r="Z753" s="987"/>
    </row>
    <row r="754">
      <c r="A754" s="987"/>
      <c r="B754" s="987"/>
      <c r="C754" s="987"/>
      <c r="D754" s="987"/>
      <c r="E754" s="987"/>
      <c r="F754" s="987"/>
      <c r="G754" s="987"/>
      <c r="H754" s="987"/>
      <c r="I754" s="987"/>
      <c r="J754" s="987"/>
      <c r="K754" s="987"/>
      <c r="L754" s="987"/>
      <c r="M754" s="987"/>
      <c r="N754" s="987"/>
      <c r="O754" s="987"/>
      <c r="P754" s="987"/>
      <c r="Q754" s="987"/>
      <c r="R754" s="987"/>
      <c r="S754" s="987"/>
      <c r="T754" s="987"/>
      <c r="U754" s="987"/>
      <c r="V754" s="987"/>
      <c r="W754" s="987"/>
      <c r="X754" s="987"/>
      <c r="Y754" s="987"/>
      <c r="Z754" s="987"/>
    </row>
    <row r="755">
      <c r="A755" s="987"/>
      <c r="B755" s="987"/>
      <c r="C755" s="987"/>
      <c r="D755" s="987"/>
      <c r="E755" s="987"/>
      <c r="F755" s="987"/>
      <c r="G755" s="987"/>
      <c r="H755" s="987"/>
      <c r="I755" s="987"/>
      <c r="J755" s="987"/>
      <c r="K755" s="987"/>
      <c r="L755" s="987"/>
      <c r="M755" s="987"/>
      <c r="N755" s="987"/>
      <c r="O755" s="987"/>
      <c r="P755" s="987"/>
      <c r="Q755" s="987"/>
      <c r="R755" s="987"/>
      <c r="S755" s="987"/>
      <c r="T755" s="987"/>
      <c r="U755" s="987"/>
      <c r="V755" s="987"/>
      <c r="W755" s="987"/>
      <c r="X755" s="987"/>
      <c r="Y755" s="987"/>
      <c r="Z755" s="987"/>
    </row>
    <row r="756">
      <c r="A756" s="987"/>
      <c r="B756" s="987"/>
      <c r="C756" s="987"/>
      <c r="D756" s="987"/>
      <c r="E756" s="987"/>
      <c r="F756" s="987"/>
      <c r="G756" s="987"/>
      <c r="H756" s="987"/>
      <c r="I756" s="987"/>
      <c r="J756" s="987"/>
      <c r="K756" s="987"/>
      <c r="L756" s="987"/>
      <c r="M756" s="987"/>
      <c r="N756" s="987"/>
      <c r="O756" s="987"/>
      <c r="P756" s="987"/>
      <c r="Q756" s="987"/>
      <c r="R756" s="987"/>
      <c r="S756" s="987"/>
      <c r="T756" s="987"/>
      <c r="U756" s="987"/>
      <c r="V756" s="987"/>
      <c r="W756" s="987"/>
      <c r="X756" s="987"/>
      <c r="Y756" s="987"/>
      <c r="Z756" s="987"/>
    </row>
    <row r="757">
      <c r="A757" s="987"/>
      <c r="B757" s="987"/>
      <c r="C757" s="987"/>
      <c r="D757" s="987"/>
      <c r="E757" s="987"/>
      <c r="F757" s="987"/>
      <c r="G757" s="987"/>
      <c r="H757" s="987"/>
      <c r="I757" s="987"/>
      <c r="J757" s="987"/>
      <c r="K757" s="987"/>
      <c r="L757" s="987"/>
      <c r="M757" s="987"/>
      <c r="N757" s="987"/>
      <c r="O757" s="987"/>
      <c r="P757" s="987"/>
      <c r="Q757" s="987"/>
      <c r="R757" s="987"/>
      <c r="S757" s="987"/>
      <c r="T757" s="987"/>
      <c r="U757" s="987"/>
      <c r="V757" s="987"/>
      <c r="W757" s="987"/>
      <c r="X757" s="987"/>
      <c r="Y757" s="987"/>
      <c r="Z757" s="987"/>
    </row>
    <row r="758">
      <c r="A758" s="987"/>
      <c r="B758" s="987"/>
      <c r="C758" s="987"/>
      <c r="D758" s="987"/>
      <c r="E758" s="987"/>
      <c r="F758" s="987"/>
      <c r="G758" s="987"/>
      <c r="H758" s="987"/>
      <c r="I758" s="987"/>
      <c r="J758" s="987"/>
      <c r="K758" s="987"/>
      <c r="L758" s="987"/>
      <c r="M758" s="987"/>
      <c r="N758" s="987"/>
      <c r="O758" s="987"/>
      <c r="P758" s="987"/>
      <c r="Q758" s="987"/>
      <c r="R758" s="987"/>
      <c r="S758" s="987"/>
      <c r="T758" s="987"/>
      <c r="U758" s="987"/>
      <c r="V758" s="987"/>
      <c r="W758" s="987"/>
      <c r="X758" s="987"/>
      <c r="Y758" s="987"/>
      <c r="Z758" s="987"/>
    </row>
    <row r="759">
      <c r="A759" s="987"/>
      <c r="B759" s="987"/>
      <c r="C759" s="987"/>
      <c r="D759" s="987"/>
      <c r="E759" s="987"/>
      <c r="F759" s="987"/>
      <c r="G759" s="987"/>
      <c r="H759" s="987"/>
      <c r="I759" s="987"/>
      <c r="J759" s="987"/>
      <c r="K759" s="987"/>
      <c r="L759" s="987"/>
      <c r="M759" s="987"/>
      <c r="N759" s="987"/>
      <c r="O759" s="987"/>
      <c r="P759" s="987"/>
      <c r="Q759" s="987"/>
      <c r="R759" s="987"/>
      <c r="S759" s="987"/>
      <c r="T759" s="987"/>
      <c r="U759" s="987"/>
      <c r="V759" s="987"/>
      <c r="W759" s="987"/>
      <c r="X759" s="987"/>
      <c r="Y759" s="987"/>
      <c r="Z759" s="987"/>
    </row>
    <row r="760">
      <c r="A760" s="987"/>
      <c r="B760" s="987"/>
      <c r="C760" s="987"/>
      <c r="D760" s="987"/>
      <c r="E760" s="987"/>
      <c r="F760" s="987"/>
      <c r="G760" s="987"/>
      <c r="H760" s="987"/>
      <c r="I760" s="987"/>
      <c r="J760" s="987"/>
      <c r="K760" s="987"/>
      <c r="L760" s="987"/>
      <c r="M760" s="987"/>
      <c r="N760" s="987"/>
      <c r="O760" s="987"/>
      <c r="P760" s="987"/>
      <c r="Q760" s="987"/>
      <c r="R760" s="987"/>
      <c r="S760" s="987"/>
      <c r="T760" s="987"/>
      <c r="U760" s="987"/>
      <c r="V760" s="987"/>
      <c r="W760" s="987"/>
      <c r="X760" s="987"/>
      <c r="Y760" s="987"/>
      <c r="Z760" s="987"/>
    </row>
    <row r="761">
      <c r="A761" s="987"/>
      <c r="B761" s="987"/>
      <c r="C761" s="987"/>
      <c r="D761" s="987"/>
      <c r="E761" s="987"/>
      <c r="F761" s="987"/>
      <c r="G761" s="987"/>
      <c r="H761" s="987"/>
      <c r="I761" s="987"/>
      <c r="J761" s="987"/>
      <c r="K761" s="987"/>
      <c r="L761" s="987"/>
      <c r="M761" s="987"/>
      <c r="N761" s="987"/>
      <c r="O761" s="987"/>
      <c r="P761" s="987"/>
      <c r="Q761" s="987"/>
      <c r="R761" s="987"/>
      <c r="S761" s="987"/>
      <c r="T761" s="987"/>
      <c r="U761" s="987"/>
      <c r="V761" s="987"/>
      <c r="W761" s="987"/>
      <c r="X761" s="987"/>
      <c r="Y761" s="987"/>
      <c r="Z761" s="987"/>
    </row>
    <row r="762">
      <c r="A762" s="987"/>
      <c r="B762" s="987"/>
      <c r="C762" s="987"/>
      <c r="D762" s="987"/>
      <c r="E762" s="987"/>
      <c r="F762" s="987"/>
      <c r="G762" s="987"/>
      <c r="H762" s="987"/>
      <c r="I762" s="987"/>
      <c r="J762" s="987"/>
      <c r="K762" s="987"/>
      <c r="L762" s="987"/>
      <c r="M762" s="987"/>
      <c r="N762" s="987"/>
      <c r="O762" s="987"/>
      <c r="P762" s="987"/>
      <c r="Q762" s="987"/>
      <c r="R762" s="987"/>
      <c r="S762" s="987"/>
      <c r="T762" s="987"/>
      <c r="U762" s="987"/>
      <c r="V762" s="987"/>
      <c r="W762" s="987"/>
      <c r="X762" s="987"/>
      <c r="Y762" s="987"/>
      <c r="Z762" s="987"/>
    </row>
    <row r="763">
      <c r="A763" s="987"/>
      <c r="B763" s="987"/>
      <c r="C763" s="987"/>
      <c r="D763" s="987"/>
      <c r="E763" s="987"/>
      <c r="F763" s="987"/>
      <c r="G763" s="987"/>
      <c r="H763" s="987"/>
      <c r="I763" s="987"/>
      <c r="J763" s="987"/>
      <c r="K763" s="987"/>
      <c r="L763" s="987"/>
      <c r="M763" s="987"/>
      <c r="N763" s="987"/>
      <c r="O763" s="987"/>
      <c r="P763" s="987"/>
      <c r="Q763" s="987"/>
      <c r="R763" s="987"/>
      <c r="S763" s="987"/>
      <c r="T763" s="987"/>
      <c r="U763" s="987"/>
      <c r="V763" s="987"/>
      <c r="W763" s="987"/>
      <c r="X763" s="987"/>
      <c r="Y763" s="987"/>
      <c r="Z763" s="987"/>
    </row>
    <row r="764">
      <c r="A764" s="987"/>
      <c r="B764" s="987"/>
      <c r="C764" s="987"/>
      <c r="D764" s="987"/>
      <c r="E764" s="987"/>
      <c r="F764" s="987"/>
      <c r="G764" s="987"/>
      <c r="H764" s="987"/>
      <c r="I764" s="987"/>
      <c r="J764" s="987"/>
      <c r="K764" s="987"/>
      <c r="L764" s="987"/>
      <c r="M764" s="987"/>
      <c r="N764" s="987"/>
      <c r="O764" s="987"/>
      <c r="P764" s="987"/>
      <c r="Q764" s="987"/>
      <c r="R764" s="987"/>
      <c r="S764" s="987"/>
      <c r="T764" s="987"/>
      <c r="U764" s="987"/>
      <c r="V764" s="987"/>
      <c r="W764" s="987"/>
      <c r="X764" s="987"/>
      <c r="Y764" s="987"/>
      <c r="Z764" s="987"/>
    </row>
    <row r="765">
      <c r="A765" s="987"/>
      <c r="B765" s="987"/>
      <c r="C765" s="987"/>
      <c r="D765" s="987"/>
      <c r="E765" s="987"/>
      <c r="F765" s="987"/>
      <c r="G765" s="987"/>
      <c r="H765" s="987"/>
      <c r="I765" s="987"/>
      <c r="J765" s="987"/>
      <c r="K765" s="987"/>
      <c r="L765" s="987"/>
      <c r="M765" s="987"/>
      <c r="N765" s="987"/>
      <c r="O765" s="987"/>
      <c r="P765" s="987"/>
      <c r="Q765" s="987"/>
      <c r="R765" s="987"/>
      <c r="S765" s="987"/>
      <c r="T765" s="987"/>
      <c r="U765" s="987"/>
      <c r="V765" s="987"/>
      <c r="W765" s="987"/>
      <c r="X765" s="987"/>
      <c r="Y765" s="987"/>
      <c r="Z765" s="987"/>
    </row>
    <row r="766">
      <c r="A766" s="987"/>
      <c r="B766" s="987"/>
      <c r="C766" s="987"/>
      <c r="D766" s="987"/>
      <c r="E766" s="987"/>
      <c r="F766" s="987"/>
      <c r="G766" s="987"/>
      <c r="H766" s="987"/>
      <c r="I766" s="987"/>
      <c r="J766" s="987"/>
      <c r="K766" s="987"/>
      <c r="L766" s="987"/>
      <c r="M766" s="987"/>
      <c r="N766" s="987"/>
      <c r="O766" s="987"/>
      <c r="P766" s="987"/>
      <c r="Q766" s="987"/>
      <c r="R766" s="987"/>
      <c r="S766" s="987"/>
      <c r="T766" s="987"/>
      <c r="U766" s="987"/>
      <c r="V766" s="987"/>
      <c r="W766" s="987"/>
      <c r="X766" s="987"/>
      <c r="Y766" s="987"/>
      <c r="Z766" s="987"/>
    </row>
    <row r="767">
      <c r="A767" s="987"/>
      <c r="B767" s="987"/>
      <c r="C767" s="987"/>
      <c r="D767" s="987"/>
      <c r="E767" s="987"/>
      <c r="F767" s="987"/>
      <c r="G767" s="987"/>
      <c r="H767" s="987"/>
      <c r="I767" s="987"/>
      <c r="J767" s="987"/>
      <c r="K767" s="987"/>
      <c r="L767" s="987"/>
      <c r="M767" s="987"/>
      <c r="N767" s="987"/>
      <c r="O767" s="987"/>
      <c r="P767" s="987"/>
      <c r="Q767" s="987"/>
      <c r="R767" s="987"/>
      <c r="S767" s="987"/>
      <c r="T767" s="987"/>
      <c r="U767" s="987"/>
      <c r="V767" s="987"/>
      <c r="W767" s="987"/>
      <c r="X767" s="987"/>
      <c r="Y767" s="987"/>
      <c r="Z767" s="987"/>
    </row>
    <row r="768">
      <c r="A768" s="987"/>
      <c r="B768" s="987"/>
      <c r="C768" s="987"/>
      <c r="D768" s="987"/>
      <c r="E768" s="987"/>
      <c r="F768" s="987"/>
      <c r="G768" s="987"/>
      <c r="H768" s="987"/>
      <c r="I768" s="987"/>
      <c r="J768" s="987"/>
      <c r="K768" s="987"/>
      <c r="L768" s="987"/>
      <c r="M768" s="987"/>
      <c r="N768" s="987"/>
      <c r="O768" s="987"/>
      <c r="P768" s="987"/>
      <c r="Q768" s="987"/>
      <c r="R768" s="987"/>
      <c r="S768" s="987"/>
      <c r="T768" s="987"/>
      <c r="U768" s="987"/>
      <c r="V768" s="987"/>
      <c r="W768" s="987"/>
      <c r="X768" s="987"/>
      <c r="Y768" s="987"/>
      <c r="Z768" s="987"/>
    </row>
    <row r="769">
      <c r="A769" s="987"/>
      <c r="B769" s="987"/>
      <c r="C769" s="987"/>
      <c r="D769" s="987"/>
      <c r="E769" s="987"/>
      <c r="F769" s="987"/>
      <c r="G769" s="987"/>
      <c r="H769" s="987"/>
      <c r="I769" s="987"/>
      <c r="J769" s="987"/>
      <c r="K769" s="987"/>
      <c r="L769" s="987"/>
      <c r="M769" s="987"/>
      <c r="N769" s="987"/>
      <c r="O769" s="987"/>
      <c r="P769" s="987"/>
      <c r="Q769" s="987"/>
      <c r="R769" s="987"/>
      <c r="S769" s="987"/>
      <c r="T769" s="987"/>
      <c r="U769" s="987"/>
      <c r="V769" s="987"/>
      <c r="W769" s="987"/>
      <c r="X769" s="987"/>
      <c r="Y769" s="987"/>
      <c r="Z769" s="987"/>
    </row>
    <row r="770">
      <c r="A770" s="987"/>
      <c r="B770" s="987"/>
      <c r="C770" s="987"/>
      <c r="D770" s="987"/>
      <c r="E770" s="987"/>
      <c r="F770" s="987"/>
      <c r="G770" s="987"/>
      <c r="H770" s="987"/>
      <c r="I770" s="987"/>
      <c r="J770" s="987"/>
      <c r="K770" s="987"/>
      <c r="L770" s="987"/>
      <c r="M770" s="987"/>
      <c r="N770" s="987"/>
      <c r="O770" s="987"/>
      <c r="P770" s="987"/>
      <c r="Q770" s="987"/>
      <c r="R770" s="987"/>
      <c r="S770" s="987"/>
      <c r="T770" s="987"/>
      <c r="U770" s="987"/>
      <c r="V770" s="987"/>
      <c r="W770" s="987"/>
      <c r="X770" s="987"/>
      <c r="Y770" s="987"/>
      <c r="Z770" s="987"/>
    </row>
    <row r="771">
      <c r="A771" s="987"/>
      <c r="B771" s="987"/>
      <c r="C771" s="987"/>
      <c r="D771" s="987"/>
      <c r="E771" s="987"/>
      <c r="F771" s="987"/>
      <c r="G771" s="987"/>
      <c r="H771" s="987"/>
      <c r="I771" s="987"/>
      <c r="J771" s="987"/>
      <c r="K771" s="987"/>
      <c r="L771" s="987"/>
      <c r="M771" s="987"/>
      <c r="N771" s="987"/>
      <c r="O771" s="987"/>
      <c r="P771" s="987"/>
      <c r="Q771" s="987"/>
      <c r="R771" s="987"/>
      <c r="S771" s="987"/>
      <c r="T771" s="987"/>
      <c r="U771" s="987"/>
      <c r="V771" s="987"/>
      <c r="W771" s="987"/>
      <c r="X771" s="987"/>
      <c r="Y771" s="987"/>
      <c r="Z771" s="987"/>
    </row>
    <row r="772">
      <c r="A772" s="987"/>
      <c r="B772" s="987"/>
      <c r="C772" s="987"/>
      <c r="D772" s="987"/>
      <c r="E772" s="987"/>
      <c r="F772" s="987"/>
      <c r="G772" s="987"/>
      <c r="H772" s="987"/>
      <c r="I772" s="987"/>
      <c r="J772" s="987"/>
      <c r="K772" s="987"/>
      <c r="L772" s="987"/>
      <c r="M772" s="987"/>
      <c r="N772" s="987"/>
      <c r="O772" s="987"/>
      <c r="P772" s="987"/>
      <c r="Q772" s="987"/>
      <c r="R772" s="987"/>
      <c r="S772" s="987"/>
      <c r="T772" s="987"/>
      <c r="U772" s="987"/>
      <c r="V772" s="987"/>
      <c r="W772" s="987"/>
      <c r="X772" s="987"/>
      <c r="Y772" s="987"/>
      <c r="Z772" s="987"/>
    </row>
    <row r="773">
      <c r="A773" s="987"/>
      <c r="B773" s="987"/>
      <c r="C773" s="987"/>
      <c r="D773" s="987"/>
      <c r="E773" s="987"/>
      <c r="F773" s="987"/>
      <c r="G773" s="987"/>
      <c r="H773" s="987"/>
      <c r="I773" s="987"/>
      <c r="J773" s="987"/>
      <c r="K773" s="987"/>
      <c r="L773" s="987"/>
      <c r="M773" s="987"/>
      <c r="N773" s="987"/>
      <c r="O773" s="987"/>
      <c r="P773" s="987"/>
      <c r="Q773" s="987"/>
      <c r="R773" s="987"/>
      <c r="S773" s="987"/>
      <c r="T773" s="987"/>
      <c r="U773" s="987"/>
      <c r="V773" s="987"/>
      <c r="W773" s="987"/>
      <c r="X773" s="987"/>
      <c r="Y773" s="987"/>
      <c r="Z773" s="987"/>
    </row>
    <row r="774">
      <c r="A774" s="987"/>
      <c r="B774" s="987"/>
      <c r="C774" s="987"/>
      <c r="D774" s="987"/>
      <c r="E774" s="987"/>
      <c r="F774" s="987"/>
      <c r="G774" s="987"/>
      <c r="H774" s="987"/>
      <c r="I774" s="987"/>
      <c r="J774" s="987"/>
      <c r="K774" s="987"/>
      <c r="L774" s="987"/>
      <c r="M774" s="987"/>
      <c r="N774" s="987"/>
      <c r="O774" s="987"/>
      <c r="P774" s="987"/>
      <c r="Q774" s="987"/>
      <c r="R774" s="987"/>
      <c r="S774" s="987"/>
      <c r="T774" s="987"/>
      <c r="U774" s="987"/>
      <c r="V774" s="987"/>
      <c r="W774" s="987"/>
      <c r="X774" s="987"/>
      <c r="Y774" s="987"/>
      <c r="Z774" s="987"/>
    </row>
    <row r="775">
      <c r="A775" s="987"/>
      <c r="B775" s="987"/>
      <c r="C775" s="987"/>
      <c r="D775" s="987"/>
      <c r="E775" s="987"/>
      <c r="F775" s="987"/>
      <c r="G775" s="987"/>
      <c r="H775" s="987"/>
      <c r="I775" s="987"/>
      <c r="J775" s="987"/>
      <c r="K775" s="987"/>
      <c r="L775" s="987"/>
      <c r="M775" s="987"/>
      <c r="N775" s="987"/>
      <c r="O775" s="987"/>
      <c r="P775" s="987"/>
      <c r="Q775" s="987"/>
      <c r="R775" s="987"/>
      <c r="S775" s="987"/>
      <c r="T775" s="987"/>
      <c r="U775" s="987"/>
      <c r="V775" s="987"/>
      <c r="W775" s="987"/>
      <c r="X775" s="987"/>
      <c r="Y775" s="987"/>
      <c r="Z775" s="987"/>
    </row>
    <row r="776">
      <c r="A776" s="987"/>
      <c r="B776" s="987"/>
      <c r="C776" s="987"/>
      <c r="D776" s="987"/>
      <c r="E776" s="987"/>
      <c r="F776" s="987"/>
      <c r="G776" s="987"/>
      <c r="H776" s="987"/>
      <c r="I776" s="987"/>
      <c r="J776" s="987"/>
      <c r="K776" s="987"/>
      <c r="L776" s="987"/>
      <c r="M776" s="987"/>
      <c r="N776" s="987"/>
      <c r="O776" s="987"/>
      <c r="P776" s="987"/>
      <c r="Q776" s="987"/>
      <c r="R776" s="987"/>
      <c r="S776" s="987"/>
      <c r="T776" s="987"/>
      <c r="U776" s="987"/>
      <c r="V776" s="987"/>
      <c r="W776" s="987"/>
      <c r="X776" s="987"/>
      <c r="Y776" s="987"/>
      <c r="Z776" s="987"/>
    </row>
    <row r="777">
      <c r="A777" s="987"/>
      <c r="B777" s="987"/>
      <c r="C777" s="987"/>
      <c r="D777" s="987"/>
      <c r="E777" s="987"/>
      <c r="F777" s="987"/>
      <c r="G777" s="987"/>
      <c r="H777" s="987"/>
      <c r="I777" s="987"/>
      <c r="J777" s="987"/>
      <c r="K777" s="987"/>
      <c r="L777" s="987"/>
      <c r="M777" s="987"/>
      <c r="N777" s="987"/>
      <c r="O777" s="987"/>
      <c r="P777" s="987"/>
      <c r="Q777" s="987"/>
      <c r="R777" s="987"/>
      <c r="S777" s="987"/>
      <c r="T777" s="987"/>
      <c r="U777" s="987"/>
      <c r="V777" s="987"/>
      <c r="W777" s="987"/>
      <c r="X777" s="987"/>
      <c r="Y777" s="987"/>
      <c r="Z777" s="987"/>
    </row>
    <row r="778">
      <c r="A778" s="987"/>
      <c r="B778" s="987"/>
      <c r="C778" s="987"/>
      <c r="D778" s="987"/>
      <c r="E778" s="987"/>
      <c r="F778" s="987"/>
      <c r="G778" s="987"/>
      <c r="H778" s="987"/>
      <c r="I778" s="987"/>
      <c r="J778" s="987"/>
      <c r="K778" s="987"/>
      <c r="L778" s="987"/>
      <c r="M778" s="987"/>
      <c r="N778" s="987"/>
      <c r="O778" s="987"/>
      <c r="P778" s="987"/>
      <c r="Q778" s="987"/>
      <c r="R778" s="987"/>
      <c r="S778" s="987"/>
      <c r="T778" s="987"/>
      <c r="U778" s="987"/>
      <c r="V778" s="987"/>
      <c r="W778" s="987"/>
      <c r="X778" s="987"/>
      <c r="Y778" s="987"/>
      <c r="Z778" s="987"/>
    </row>
    <row r="779">
      <c r="A779" s="987"/>
      <c r="B779" s="987"/>
      <c r="C779" s="987"/>
      <c r="D779" s="987"/>
      <c r="E779" s="987"/>
      <c r="F779" s="987"/>
      <c r="G779" s="987"/>
      <c r="H779" s="987"/>
      <c r="I779" s="987"/>
      <c r="J779" s="987"/>
      <c r="K779" s="987"/>
      <c r="L779" s="987"/>
      <c r="M779" s="987"/>
      <c r="N779" s="987"/>
      <c r="O779" s="987"/>
      <c r="P779" s="987"/>
      <c r="Q779" s="987"/>
      <c r="R779" s="987"/>
      <c r="S779" s="987"/>
      <c r="T779" s="987"/>
      <c r="U779" s="987"/>
      <c r="V779" s="987"/>
      <c r="W779" s="987"/>
      <c r="X779" s="987"/>
      <c r="Y779" s="987"/>
      <c r="Z779" s="987"/>
    </row>
    <row r="780">
      <c r="A780" s="987"/>
      <c r="B780" s="987"/>
      <c r="C780" s="987"/>
      <c r="D780" s="987"/>
      <c r="E780" s="987"/>
      <c r="F780" s="987"/>
      <c r="G780" s="987"/>
      <c r="H780" s="987"/>
      <c r="I780" s="987"/>
      <c r="J780" s="987"/>
      <c r="K780" s="987"/>
      <c r="L780" s="987"/>
      <c r="M780" s="987"/>
      <c r="N780" s="987"/>
      <c r="O780" s="987"/>
      <c r="P780" s="987"/>
      <c r="Q780" s="987"/>
      <c r="R780" s="987"/>
      <c r="S780" s="987"/>
      <c r="T780" s="987"/>
      <c r="U780" s="987"/>
      <c r="V780" s="987"/>
      <c r="W780" s="987"/>
      <c r="X780" s="987"/>
      <c r="Y780" s="987"/>
      <c r="Z780" s="987"/>
    </row>
    <row r="781">
      <c r="A781" s="987"/>
      <c r="B781" s="987"/>
      <c r="C781" s="987"/>
      <c r="D781" s="987"/>
      <c r="E781" s="987"/>
      <c r="F781" s="987"/>
      <c r="G781" s="987"/>
      <c r="H781" s="987"/>
      <c r="I781" s="987"/>
      <c r="J781" s="987"/>
      <c r="K781" s="987"/>
      <c r="L781" s="987"/>
      <c r="M781" s="987"/>
      <c r="N781" s="987"/>
      <c r="O781" s="987"/>
      <c r="P781" s="987"/>
      <c r="Q781" s="987"/>
      <c r="R781" s="987"/>
      <c r="S781" s="987"/>
      <c r="T781" s="987"/>
      <c r="U781" s="987"/>
      <c r="V781" s="987"/>
      <c r="W781" s="987"/>
      <c r="X781" s="987"/>
      <c r="Y781" s="987"/>
      <c r="Z781" s="987"/>
    </row>
    <row r="782">
      <c r="A782" s="987"/>
      <c r="B782" s="987"/>
      <c r="C782" s="987"/>
      <c r="D782" s="987"/>
      <c r="E782" s="987"/>
      <c r="F782" s="987"/>
      <c r="G782" s="987"/>
      <c r="H782" s="987"/>
      <c r="I782" s="987"/>
      <c r="J782" s="987"/>
      <c r="K782" s="987"/>
      <c r="L782" s="987"/>
      <c r="M782" s="987"/>
      <c r="N782" s="987"/>
      <c r="O782" s="987"/>
      <c r="P782" s="987"/>
      <c r="Q782" s="987"/>
      <c r="R782" s="987"/>
      <c r="S782" s="987"/>
      <c r="T782" s="987"/>
      <c r="U782" s="987"/>
      <c r="V782" s="987"/>
      <c r="W782" s="987"/>
      <c r="X782" s="987"/>
      <c r="Y782" s="987"/>
      <c r="Z782" s="987"/>
    </row>
    <row r="783">
      <c r="A783" s="987"/>
      <c r="B783" s="987"/>
      <c r="C783" s="987"/>
      <c r="D783" s="987"/>
      <c r="E783" s="987"/>
      <c r="F783" s="987"/>
      <c r="G783" s="987"/>
      <c r="H783" s="987"/>
      <c r="I783" s="987"/>
      <c r="J783" s="987"/>
      <c r="K783" s="987"/>
      <c r="L783" s="987"/>
      <c r="M783" s="987"/>
      <c r="N783" s="987"/>
      <c r="O783" s="987"/>
      <c r="P783" s="987"/>
      <c r="Q783" s="987"/>
      <c r="R783" s="987"/>
      <c r="S783" s="987"/>
      <c r="T783" s="987"/>
      <c r="U783" s="987"/>
      <c r="V783" s="987"/>
      <c r="W783" s="987"/>
      <c r="X783" s="987"/>
      <c r="Y783" s="987"/>
      <c r="Z783" s="987"/>
    </row>
    <row r="784">
      <c r="A784" s="987"/>
      <c r="B784" s="987"/>
      <c r="C784" s="987"/>
      <c r="D784" s="987"/>
      <c r="E784" s="987"/>
      <c r="F784" s="987"/>
      <c r="G784" s="987"/>
      <c r="H784" s="987"/>
      <c r="I784" s="987"/>
      <c r="J784" s="987"/>
      <c r="K784" s="987"/>
      <c r="L784" s="987"/>
      <c r="M784" s="987"/>
      <c r="N784" s="987"/>
      <c r="O784" s="987"/>
      <c r="P784" s="987"/>
      <c r="Q784" s="987"/>
      <c r="R784" s="987"/>
      <c r="S784" s="987"/>
      <c r="T784" s="987"/>
      <c r="U784" s="987"/>
      <c r="V784" s="987"/>
      <c r="W784" s="987"/>
      <c r="X784" s="987"/>
      <c r="Y784" s="987"/>
      <c r="Z784" s="987"/>
    </row>
    <row r="785">
      <c r="A785" s="987"/>
      <c r="B785" s="987"/>
      <c r="C785" s="987"/>
      <c r="D785" s="987"/>
      <c r="E785" s="987"/>
      <c r="F785" s="987"/>
      <c r="G785" s="987"/>
      <c r="H785" s="987"/>
      <c r="I785" s="987"/>
      <c r="J785" s="987"/>
      <c r="K785" s="987"/>
      <c r="L785" s="987"/>
      <c r="M785" s="987"/>
      <c r="N785" s="987"/>
      <c r="O785" s="987"/>
      <c r="P785" s="987"/>
      <c r="Q785" s="987"/>
      <c r="R785" s="987"/>
      <c r="S785" s="987"/>
      <c r="T785" s="987"/>
      <c r="U785" s="987"/>
      <c r="V785" s="987"/>
      <c r="W785" s="987"/>
      <c r="X785" s="987"/>
      <c r="Y785" s="987"/>
      <c r="Z785" s="987"/>
    </row>
    <row r="786">
      <c r="A786" s="987"/>
      <c r="B786" s="987"/>
      <c r="C786" s="987"/>
      <c r="D786" s="987"/>
      <c r="E786" s="987"/>
      <c r="F786" s="987"/>
      <c r="G786" s="987"/>
      <c r="H786" s="987"/>
      <c r="I786" s="987"/>
      <c r="J786" s="987"/>
      <c r="K786" s="987"/>
      <c r="L786" s="987"/>
      <c r="M786" s="987"/>
      <c r="N786" s="987"/>
      <c r="O786" s="987"/>
      <c r="P786" s="987"/>
      <c r="Q786" s="987"/>
      <c r="R786" s="987"/>
      <c r="S786" s="987"/>
      <c r="T786" s="987"/>
      <c r="U786" s="987"/>
      <c r="V786" s="987"/>
      <c r="W786" s="987"/>
      <c r="X786" s="987"/>
      <c r="Y786" s="987"/>
      <c r="Z786" s="987"/>
    </row>
    <row r="787">
      <c r="A787" s="987"/>
      <c r="B787" s="987"/>
      <c r="C787" s="987"/>
      <c r="D787" s="987"/>
      <c r="E787" s="987"/>
      <c r="F787" s="987"/>
      <c r="G787" s="987"/>
      <c r="H787" s="987"/>
      <c r="I787" s="987"/>
      <c r="J787" s="987"/>
      <c r="K787" s="987"/>
      <c r="L787" s="987"/>
      <c r="M787" s="987"/>
      <c r="N787" s="987"/>
      <c r="O787" s="987"/>
      <c r="P787" s="987"/>
      <c r="Q787" s="987"/>
      <c r="R787" s="987"/>
      <c r="S787" s="987"/>
      <c r="T787" s="987"/>
      <c r="U787" s="987"/>
      <c r="V787" s="987"/>
      <c r="W787" s="987"/>
      <c r="X787" s="987"/>
      <c r="Y787" s="987"/>
      <c r="Z787" s="987"/>
    </row>
    <row r="788">
      <c r="A788" s="987"/>
      <c r="B788" s="987"/>
      <c r="C788" s="987"/>
      <c r="D788" s="987"/>
      <c r="E788" s="987"/>
      <c r="F788" s="987"/>
      <c r="G788" s="987"/>
      <c r="H788" s="987"/>
      <c r="I788" s="987"/>
      <c r="J788" s="987"/>
      <c r="K788" s="987"/>
      <c r="L788" s="987"/>
      <c r="M788" s="987"/>
      <c r="N788" s="987"/>
      <c r="O788" s="987"/>
      <c r="P788" s="987"/>
      <c r="Q788" s="987"/>
      <c r="R788" s="987"/>
      <c r="S788" s="987"/>
      <c r="T788" s="987"/>
      <c r="U788" s="987"/>
      <c r="V788" s="987"/>
      <c r="W788" s="987"/>
      <c r="X788" s="987"/>
      <c r="Y788" s="987"/>
      <c r="Z788" s="987"/>
    </row>
    <row r="789">
      <c r="A789" s="987"/>
      <c r="B789" s="987"/>
      <c r="C789" s="987"/>
      <c r="D789" s="987"/>
      <c r="E789" s="987"/>
      <c r="F789" s="987"/>
      <c r="G789" s="987"/>
      <c r="H789" s="987"/>
      <c r="I789" s="987"/>
      <c r="J789" s="987"/>
      <c r="K789" s="987"/>
      <c r="L789" s="987"/>
      <c r="M789" s="987"/>
      <c r="N789" s="987"/>
      <c r="O789" s="987"/>
      <c r="P789" s="987"/>
      <c r="Q789" s="987"/>
      <c r="R789" s="987"/>
      <c r="S789" s="987"/>
      <c r="T789" s="987"/>
      <c r="U789" s="987"/>
      <c r="V789" s="987"/>
      <c r="W789" s="987"/>
      <c r="X789" s="987"/>
      <c r="Y789" s="987"/>
      <c r="Z789" s="987"/>
    </row>
    <row r="790">
      <c r="A790" s="987"/>
      <c r="B790" s="987"/>
      <c r="C790" s="987"/>
      <c r="D790" s="987"/>
      <c r="E790" s="987"/>
      <c r="F790" s="987"/>
      <c r="G790" s="987"/>
      <c r="H790" s="987"/>
      <c r="I790" s="987"/>
      <c r="J790" s="987"/>
      <c r="K790" s="987"/>
      <c r="L790" s="987"/>
      <c r="M790" s="987"/>
      <c r="N790" s="987"/>
      <c r="O790" s="987"/>
      <c r="P790" s="987"/>
      <c r="Q790" s="987"/>
      <c r="R790" s="987"/>
      <c r="S790" s="987"/>
      <c r="T790" s="987"/>
      <c r="U790" s="987"/>
      <c r="V790" s="987"/>
      <c r="W790" s="987"/>
      <c r="X790" s="987"/>
      <c r="Y790" s="987"/>
      <c r="Z790" s="987"/>
    </row>
    <row r="791">
      <c r="A791" s="987"/>
      <c r="B791" s="987"/>
      <c r="C791" s="987"/>
      <c r="D791" s="987"/>
      <c r="E791" s="987"/>
      <c r="F791" s="987"/>
      <c r="G791" s="987"/>
      <c r="H791" s="987"/>
      <c r="I791" s="987"/>
      <c r="J791" s="987"/>
      <c r="K791" s="987"/>
      <c r="L791" s="987"/>
      <c r="M791" s="987"/>
      <c r="N791" s="987"/>
      <c r="O791" s="987"/>
      <c r="P791" s="987"/>
      <c r="Q791" s="987"/>
      <c r="R791" s="987"/>
      <c r="S791" s="987"/>
      <c r="T791" s="987"/>
      <c r="U791" s="987"/>
      <c r="V791" s="987"/>
      <c r="W791" s="987"/>
      <c r="X791" s="987"/>
      <c r="Y791" s="987"/>
      <c r="Z791" s="987"/>
    </row>
    <row r="792">
      <c r="A792" s="987"/>
      <c r="B792" s="987"/>
      <c r="C792" s="987"/>
      <c r="D792" s="987"/>
      <c r="E792" s="987"/>
      <c r="F792" s="987"/>
      <c r="G792" s="987"/>
      <c r="H792" s="987"/>
      <c r="I792" s="987"/>
      <c r="J792" s="987"/>
      <c r="K792" s="987"/>
      <c r="L792" s="987"/>
      <c r="M792" s="987"/>
      <c r="N792" s="987"/>
      <c r="O792" s="987"/>
      <c r="P792" s="987"/>
      <c r="Q792" s="987"/>
      <c r="R792" s="987"/>
      <c r="S792" s="987"/>
      <c r="T792" s="987"/>
      <c r="U792" s="987"/>
      <c r="V792" s="987"/>
      <c r="W792" s="987"/>
      <c r="X792" s="987"/>
      <c r="Y792" s="987"/>
      <c r="Z792" s="987"/>
    </row>
    <row r="793">
      <c r="A793" s="987"/>
      <c r="B793" s="987"/>
      <c r="C793" s="987"/>
      <c r="D793" s="987"/>
      <c r="E793" s="987"/>
      <c r="F793" s="987"/>
      <c r="G793" s="987"/>
      <c r="H793" s="987"/>
      <c r="I793" s="987"/>
      <c r="J793" s="987"/>
      <c r="K793" s="987"/>
      <c r="L793" s="987"/>
      <c r="M793" s="987"/>
      <c r="N793" s="987"/>
      <c r="O793" s="987"/>
      <c r="P793" s="987"/>
      <c r="Q793" s="987"/>
      <c r="R793" s="987"/>
      <c r="S793" s="987"/>
      <c r="T793" s="987"/>
      <c r="U793" s="987"/>
      <c r="V793" s="987"/>
      <c r="W793" s="987"/>
      <c r="X793" s="987"/>
      <c r="Y793" s="987"/>
      <c r="Z793" s="987"/>
    </row>
    <row r="794">
      <c r="A794" s="987"/>
      <c r="B794" s="987"/>
      <c r="C794" s="987"/>
      <c r="D794" s="987"/>
      <c r="E794" s="987"/>
      <c r="F794" s="987"/>
      <c r="G794" s="987"/>
      <c r="H794" s="987"/>
      <c r="I794" s="987"/>
      <c r="J794" s="987"/>
      <c r="K794" s="987"/>
      <c r="L794" s="987"/>
      <c r="M794" s="987"/>
      <c r="N794" s="987"/>
      <c r="O794" s="987"/>
      <c r="P794" s="987"/>
      <c r="Q794" s="987"/>
      <c r="R794" s="987"/>
      <c r="S794" s="987"/>
      <c r="T794" s="987"/>
      <c r="U794" s="987"/>
      <c r="V794" s="987"/>
      <c r="W794" s="987"/>
      <c r="X794" s="987"/>
      <c r="Y794" s="987"/>
      <c r="Z794" s="987"/>
    </row>
    <row r="795">
      <c r="A795" s="987"/>
      <c r="B795" s="987"/>
      <c r="C795" s="987"/>
      <c r="D795" s="987"/>
      <c r="E795" s="987"/>
      <c r="F795" s="987"/>
      <c r="G795" s="987"/>
      <c r="H795" s="987"/>
      <c r="I795" s="987"/>
      <c r="J795" s="987"/>
      <c r="K795" s="987"/>
      <c r="L795" s="987"/>
      <c r="M795" s="987"/>
      <c r="N795" s="987"/>
      <c r="O795" s="987"/>
      <c r="P795" s="987"/>
      <c r="Q795" s="987"/>
      <c r="R795" s="987"/>
      <c r="S795" s="987"/>
      <c r="T795" s="987"/>
      <c r="U795" s="987"/>
      <c r="V795" s="987"/>
      <c r="W795" s="987"/>
      <c r="X795" s="987"/>
      <c r="Y795" s="987"/>
      <c r="Z795" s="987"/>
    </row>
    <row r="796">
      <c r="A796" s="987"/>
      <c r="B796" s="987"/>
      <c r="C796" s="987"/>
      <c r="D796" s="987"/>
      <c r="E796" s="987"/>
      <c r="F796" s="987"/>
      <c r="G796" s="987"/>
      <c r="H796" s="987"/>
      <c r="I796" s="987"/>
      <c r="J796" s="987"/>
      <c r="K796" s="987"/>
      <c r="L796" s="987"/>
      <c r="M796" s="987"/>
      <c r="N796" s="987"/>
      <c r="O796" s="987"/>
      <c r="P796" s="987"/>
      <c r="Q796" s="987"/>
      <c r="R796" s="987"/>
      <c r="S796" s="987"/>
      <c r="T796" s="987"/>
      <c r="U796" s="987"/>
      <c r="V796" s="987"/>
      <c r="W796" s="987"/>
      <c r="X796" s="987"/>
      <c r="Y796" s="987"/>
      <c r="Z796" s="987"/>
    </row>
    <row r="797">
      <c r="A797" s="987"/>
      <c r="B797" s="987"/>
      <c r="C797" s="987"/>
      <c r="D797" s="987"/>
      <c r="E797" s="987"/>
      <c r="F797" s="987"/>
      <c r="G797" s="987"/>
      <c r="H797" s="987"/>
      <c r="I797" s="987"/>
      <c r="J797" s="987"/>
      <c r="K797" s="987"/>
      <c r="L797" s="987"/>
      <c r="M797" s="987"/>
      <c r="N797" s="987"/>
      <c r="O797" s="987"/>
      <c r="P797" s="987"/>
      <c r="Q797" s="987"/>
      <c r="R797" s="987"/>
      <c r="S797" s="987"/>
      <c r="T797" s="987"/>
      <c r="U797" s="987"/>
      <c r="V797" s="987"/>
      <c r="W797" s="987"/>
      <c r="X797" s="987"/>
      <c r="Y797" s="987"/>
      <c r="Z797" s="987"/>
    </row>
    <row r="798">
      <c r="A798" s="987"/>
      <c r="B798" s="987"/>
      <c r="C798" s="987"/>
      <c r="D798" s="987"/>
      <c r="E798" s="987"/>
      <c r="F798" s="987"/>
      <c r="G798" s="987"/>
      <c r="H798" s="987"/>
      <c r="I798" s="987"/>
      <c r="J798" s="987"/>
      <c r="K798" s="987"/>
      <c r="L798" s="987"/>
      <c r="M798" s="987"/>
      <c r="N798" s="987"/>
      <c r="O798" s="987"/>
      <c r="P798" s="987"/>
      <c r="Q798" s="987"/>
      <c r="R798" s="987"/>
      <c r="S798" s="987"/>
      <c r="T798" s="987"/>
      <c r="U798" s="987"/>
      <c r="V798" s="987"/>
      <c r="W798" s="987"/>
      <c r="X798" s="987"/>
      <c r="Y798" s="987"/>
      <c r="Z798" s="987"/>
    </row>
    <row r="799">
      <c r="A799" s="987"/>
      <c r="B799" s="987"/>
      <c r="C799" s="987"/>
      <c r="D799" s="987"/>
      <c r="E799" s="987"/>
      <c r="F799" s="987"/>
      <c r="G799" s="987"/>
      <c r="H799" s="987"/>
      <c r="I799" s="987"/>
      <c r="J799" s="987"/>
      <c r="K799" s="987"/>
      <c r="L799" s="987"/>
      <c r="M799" s="987"/>
      <c r="N799" s="987"/>
      <c r="O799" s="987"/>
      <c r="P799" s="987"/>
      <c r="Q799" s="987"/>
      <c r="R799" s="987"/>
      <c r="S799" s="987"/>
      <c r="T799" s="987"/>
      <c r="U799" s="987"/>
      <c r="V799" s="987"/>
      <c r="W799" s="987"/>
      <c r="X799" s="987"/>
      <c r="Y799" s="987"/>
      <c r="Z799" s="987"/>
    </row>
    <row r="800">
      <c r="A800" s="987"/>
      <c r="B800" s="987"/>
      <c r="C800" s="987"/>
      <c r="D800" s="987"/>
      <c r="E800" s="987"/>
      <c r="F800" s="987"/>
      <c r="G800" s="987"/>
      <c r="H800" s="987"/>
      <c r="I800" s="987"/>
      <c r="J800" s="987"/>
      <c r="K800" s="987"/>
      <c r="L800" s="987"/>
      <c r="M800" s="987"/>
      <c r="N800" s="987"/>
      <c r="O800" s="987"/>
      <c r="P800" s="987"/>
      <c r="Q800" s="987"/>
      <c r="R800" s="987"/>
      <c r="S800" s="987"/>
      <c r="T800" s="987"/>
      <c r="U800" s="987"/>
      <c r="V800" s="987"/>
      <c r="W800" s="987"/>
      <c r="X800" s="987"/>
      <c r="Y800" s="987"/>
      <c r="Z800" s="987"/>
    </row>
    <row r="801">
      <c r="A801" s="987"/>
      <c r="B801" s="987"/>
      <c r="C801" s="987"/>
      <c r="D801" s="987"/>
      <c r="E801" s="987"/>
      <c r="F801" s="987"/>
      <c r="G801" s="987"/>
      <c r="H801" s="987"/>
      <c r="I801" s="987"/>
      <c r="J801" s="987"/>
      <c r="K801" s="987"/>
      <c r="L801" s="987"/>
      <c r="M801" s="987"/>
      <c r="N801" s="987"/>
      <c r="O801" s="987"/>
      <c r="P801" s="987"/>
      <c r="Q801" s="987"/>
      <c r="R801" s="987"/>
      <c r="S801" s="987"/>
      <c r="T801" s="987"/>
      <c r="U801" s="987"/>
      <c r="V801" s="987"/>
      <c r="W801" s="987"/>
      <c r="X801" s="987"/>
      <c r="Y801" s="987"/>
      <c r="Z801" s="987"/>
    </row>
    <row r="802">
      <c r="A802" s="987"/>
      <c r="B802" s="987"/>
      <c r="C802" s="987"/>
      <c r="D802" s="987"/>
      <c r="E802" s="987"/>
      <c r="F802" s="987"/>
      <c r="G802" s="987"/>
      <c r="H802" s="987"/>
      <c r="I802" s="987"/>
      <c r="J802" s="987"/>
      <c r="K802" s="987"/>
      <c r="L802" s="987"/>
      <c r="M802" s="987"/>
      <c r="N802" s="987"/>
      <c r="O802" s="987"/>
      <c r="P802" s="987"/>
      <c r="Q802" s="987"/>
      <c r="R802" s="987"/>
      <c r="S802" s="987"/>
      <c r="T802" s="987"/>
      <c r="U802" s="987"/>
      <c r="V802" s="987"/>
      <c r="W802" s="987"/>
      <c r="X802" s="987"/>
      <c r="Y802" s="987"/>
      <c r="Z802" s="987"/>
    </row>
    <row r="803">
      <c r="A803" s="987"/>
      <c r="B803" s="987"/>
      <c r="C803" s="987"/>
      <c r="D803" s="987"/>
      <c r="E803" s="987"/>
      <c r="F803" s="987"/>
      <c r="G803" s="987"/>
      <c r="H803" s="987"/>
      <c r="I803" s="987"/>
      <c r="J803" s="987"/>
      <c r="K803" s="987"/>
      <c r="L803" s="987"/>
      <c r="M803" s="987"/>
      <c r="N803" s="987"/>
      <c r="O803" s="987"/>
      <c r="P803" s="987"/>
      <c r="Q803" s="987"/>
      <c r="R803" s="987"/>
      <c r="S803" s="987"/>
      <c r="T803" s="987"/>
      <c r="U803" s="987"/>
      <c r="V803" s="987"/>
      <c r="W803" s="987"/>
      <c r="X803" s="987"/>
      <c r="Y803" s="987"/>
      <c r="Z803" s="987"/>
    </row>
    <row r="804">
      <c r="A804" s="987"/>
      <c r="B804" s="987"/>
      <c r="C804" s="987"/>
      <c r="D804" s="987"/>
      <c r="E804" s="987"/>
      <c r="F804" s="987"/>
      <c r="G804" s="987"/>
      <c r="H804" s="987"/>
      <c r="I804" s="987"/>
      <c r="J804" s="987"/>
      <c r="K804" s="987"/>
      <c r="L804" s="987"/>
      <c r="M804" s="987"/>
      <c r="N804" s="987"/>
      <c r="O804" s="987"/>
      <c r="P804" s="987"/>
      <c r="Q804" s="987"/>
      <c r="R804" s="987"/>
      <c r="S804" s="987"/>
      <c r="T804" s="987"/>
      <c r="U804" s="987"/>
      <c r="V804" s="987"/>
      <c r="W804" s="987"/>
      <c r="X804" s="987"/>
      <c r="Y804" s="987"/>
      <c r="Z804" s="987"/>
    </row>
    <row r="805">
      <c r="A805" s="987"/>
      <c r="B805" s="987"/>
      <c r="C805" s="987"/>
      <c r="D805" s="987"/>
      <c r="E805" s="987"/>
      <c r="F805" s="987"/>
      <c r="G805" s="987"/>
      <c r="H805" s="987"/>
      <c r="I805" s="987"/>
      <c r="J805" s="987"/>
      <c r="K805" s="987"/>
      <c r="L805" s="987"/>
      <c r="M805" s="987"/>
      <c r="N805" s="987"/>
      <c r="O805" s="987"/>
      <c r="P805" s="987"/>
      <c r="Q805" s="987"/>
      <c r="R805" s="987"/>
      <c r="S805" s="987"/>
      <c r="T805" s="987"/>
      <c r="U805" s="987"/>
      <c r="V805" s="987"/>
      <c r="W805" s="987"/>
      <c r="X805" s="987"/>
      <c r="Y805" s="987"/>
      <c r="Z805" s="987"/>
    </row>
    <row r="806">
      <c r="A806" s="987"/>
      <c r="B806" s="987"/>
      <c r="C806" s="987"/>
      <c r="D806" s="987"/>
      <c r="E806" s="987"/>
      <c r="F806" s="987"/>
      <c r="G806" s="987"/>
      <c r="H806" s="987"/>
      <c r="I806" s="987"/>
      <c r="J806" s="987"/>
      <c r="K806" s="987"/>
      <c r="L806" s="987"/>
      <c r="M806" s="987"/>
      <c r="N806" s="987"/>
      <c r="O806" s="987"/>
      <c r="P806" s="987"/>
      <c r="Q806" s="987"/>
      <c r="R806" s="987"/>
      <c r="S806" s="987"/>
      <c r="T806" s="987"/>
      <c r="U806" s="987"/>
      <c r="V806" s="987"/>
      <c r="W806" s="987"/>
      <c r="X806" s="987"/>
      <c r="Y806" s="987"/>
      <c r="Z806" s="987"/>
    </row>
    <row r="807">
      <c r="A807" s="987"/>
      <c r="B807" s="987"/>
      <c r="C807" s="987"/>
      <c r="D807" s="987"/>
      <c r="E807" s="987"/>
      <c r="F807" s="987"/>
      <c r="G807" s="987"/>
      <c r="H807" s="987"/>
      <c r="I807" s="987"/>
      <c r="J807" s="987"/>
      <c r="K807" s="987"/>
      <c r="L807" s="987"/>
      <c r="M807" s="987"/>
      <c r="N807" s="987"/>
      <c r="O807" s="987"/>
      <c r="P807" s="987"/>
      <c r="Q807" s="987"/>
      <c r="R807" s="987"/>
      <c r="S807" s="987"/>
      <c r="T807" s="987"/>
      <c r="U807" s="987"/>
      <c r="V807" s="987"/>
      <c r="W807" s="987"/>
      <c r="X807" s="987"/>
      <c r="Y807" s="987"/>
      <c r="Z807" s="987"/>
    </row>
    <row r="808">
      <c r="A808" s="987"/>
      <c r="B808" s="987"/>
      <c r="C808" s="987"/>
      <c r="D808" s="987"/>
      <c r="E808" s="987"/>
      <c r="F808" s="987"/>
      <c r="G808" s="987"/>
      <c r="H808" s="987"/>
      <c r="I808" s="987"/>
      <c r="J808" s="987"/>
      <c r="K808" s="987"/>
      <c r="L808" s="987"/>
      <c r="M808" s="987"/>
      <c r="N808" s="987"/>
      <c r="O808" s="987"/>
      <c r="P808" s="987"/>
      <c r="Q808" s="987"/>
      <c r="R808" s="987"/>
      <c r="S808" s="987"/>
      <c r="T808" s="987"/>
      <c r="U808" s="987"/>
      <c r="V808" s="987"/>
      <c r="W808" s="987"/>
      <c r="X808" s="987"/>
      <c r="Y808" s="987"/>
      <c r="Z808" s="987"/>
    </row>
    <row r="809">
      <c r="A809" s="987"/>
      <c r="B809" s="987"/>
      <c r="C809" s="987"/>
      <c r="D809" s="987"/>
      <c r="E809" s="987"/>
      <c r="F809" s="987"/>
      <c r="G809" s="987"/>
      <c r="H809" s="987"/>
      <c r="I809" s="987"/>
      <c r="J809" s="987"/>
      <c r="K809" s="987"/>
      <c r="L809" s="987"/>
      <c r="M809" s="987"/>
      <c r="N809" s="987"/>
      <c r="O809" s="987"/>
      <c r="P809" s="987"/>
      <c r="Q809" s="987"/>
      <c r="R809" s="987"/>
      <c r="S809" s="987"/>
      <c r="T809" s="987"/>
      <c r="U809" s="987"/>
      <c r="V809" s="987"/>
      <c r="W809" s="987"/>
      <c r="X809" s="987"/>
      <c r="Y809" s="987"/>
      <c r="Z809" s="987"/>
    </row>
    <row r="810">
      <c r="A810" s="987"/>
      <c r="B810" s="987"/>
      <c r="C810" s="987"/>
      <c r="D810" s="987"/>
      <c r="E810" s="987"/>
      <c r="F810" s="987"/>
      <c r="G810" s="987"/>
      <c r="H810" s="987"/>
      <c r="I810" s="987"/>
      <c r="J810" s="987"/>
      <c r="K810" s="987"/>
      <c r="L810" s="987"/>
      <c r="M810" s="987"/>
      <c r="N810" s="987"/>
      <c r="O810" s="987"/>
      <c r="P810" s="987"/>
      <c r="Q810" s="987"/>
      <c r="R810" s="987"/>
      <c r="S810" s="987"/>
      <c r="T810" s="987"/>
      <c r="U810" s="987"/>
      <c r="V810" s="987"/>
      <c r="W810" s="987"/>
      <c r="X810" s="987"/>
      <c r="Y810" s="987"/>
      <c r="Z810" s="987"/>
    </row>
    <row r="811">
      <c r="A811" s="987"/>
      <c r="B811" s="987"/>
      <c r="C811" s="987"/>
      <c r="D811" s="987"/>
      <c r="E811" s="987"/>
      <c r="F811" s="987"/>
      <c r="G811" s="987"/>
      <c r="H811" s="987"/>
      <c r="I811" s="987"/>
      <c r="J811" s="987"/>
      <c r="K811" s="987"/>
      <c r="L811" s="987"/>
      <c r="M811" s="987"/>
      <c r="N811" s="987"/>
      <c r="O811" s="987"/>
      <c r="P811" s="987"/>
      <c r="Q811" s="987"/>
      <c r="R811" s="987"/>
      <c r="S811" s="987"/>
      <c r="T811" s="987"/>
      <c r="U811" s="987"/>
      <c r="V811" s="987"/>
      <c r="W811" s="987"/>
      <c r="X811" s="987"/>
      <c r="Y811" s="987"/>
      <c r="Z811" s="987"/>
    </row>
    <row r="812">
      <c r="A812" s="987"/>
      <c r="B812" s="987"/>
      <c r="C812" s="987"/>
      <c r="D812" s="987"/>
      <c r="E812" s="987"/>
      <c r="F812" s="987"/>
      <c r="G812" s="987"/>
      <c r="H812" s="987"/>
      <c r="I812" s="987"/>
      <c r="J812" s="987"/>
      <c r="K812" s="987"/>
      <c r="L812" s="987"/>
      <c r="M812" s="987"/>
      <c r="N812" s="987"/>
      <c r="O812" s="987"/>
      <c r="P812" s="987"/>
      <c r="Q812" s="987"/>
      <c r="R812" s="987"/>
      <c r="S812" s="987"/>
      <c r="T812" s="987"/>
      <c r="U812" s="987"/>
      <c r="V812" s="987"/>
      <c r="W812" s="987"/>
      <c r="X812" s="987"/>
      <c r="Y812" s="987"/>
      <c r="Z812" s="987"/>
    </row>
    <row r="813">
      <c r="A813" s="987"/>
      <c r="B813" s="987"/>
      <c r="C813" s="987"/>
      <c r="D813" s="987"/>
      <c r="E813" s="987"/>
      <c r="F813" s="987"/>
      <c r="G813" s="987"/>
      <c r="H813" s="987"/>
      <c r="I813" s="987"/>
      <c r="J813" s="987"/>
      <c r="K813" s="987"/>
      <c r="L813" s="987"/>
      <c r="M813" s="987"/>
      <c r="N813" s="987"/>
      <c r="O813" s="987"/>
      <c r="P813" s="987"/>
      <c r="Q813" s="987"/>
      <c r="R813" s="987"/>
      <c r="S813" s="987"/>
      <c r="T813" s="987"/>
      <c r="U813" s="987"/>
      <c r="V813" s="987"/>
      <c r="W813" s="987"/>
      <c r="X813" s="987"/>
      <c r="Y813" s="987"/>
      <c r="Z813" s="987"/>
    </row>
    <row r="814">
      <c r="A814" s="987"/>
      <c r="B814" s="987"/>
      <c r="C814" s="987"/>
      <c r="D814" s="987"/>
      <c r="E814" s="987"/>
      <c r="F814" s="987"/>
      <c r="G814" s="987"/>
      <c r="H814" s="987"/>
      <c r="I814" s="987"/>
      <c r="J814" s="987"/>
      <c r="K814" s="987"/>
      <c r="L814" s="987"/>
      <c r="M814" s="987"/>
      <c r="N814" s="987"/>
      <c r="O814" s="987"/>
      <c r="P814" s="987"/>
      <c r="Q814" s="987"/>
      <c r="R814" s="987"/>
      <c r="S814" s="987"/>
      <c r="T814" s="987"/>
      <c r="U814" s="987"/>
      <c r="V814" s="987"/>
      <c r="W814" s="987"/>
      <c r="X814" s="987"/>
      <c r="Y814" s="987"/>
      <c r="Z814" s="987"/>
    </row>
    <row r="815">
      <c r="A815" s="987"/>
      <c r="B815" s="987"/>
      <c r="C815" s="987"/>
      <c r="D815" s="987"/>
      <c r="E815" s="987"/>
      <c r="F815" s="987"/>
      <c r="G815" s="987"/>
      <c r="H815" s="987"/>
      <c r="I815" s="987"/>
      <c r="J815" s="987"/>
      <c r="K815" s="987"/>
      <c r="L815" s="987"/>
      <c r="M815" s="987"/>
      <c r="N815" s="987"/>
      <c r="O815" s="987"/>
      <c r="P815" s="987"/>
      <c r="Q815" s="987"/>
      <c r="R815" s="987"/>
      <c r="S815" s="987"/>
      <c r="T815" s="987"/>
      <c r="U815" s="987"/>
      <c r="V815" s="987"/>
      <c r="W815" s="987"/>
      <c r="X815" s="987"/>
      <c r="Y815" s="987"/>
      <c r="Z815" s="987"/>
    </row>
    <row r="816">
      <c r="A816" s="987"/>
      <c r="B816" s="987"/>
      <c r="C816" s="987"/>
      <c r="D816" s="987"/>
      <c r="E816" s="987"/>
      <c r="F816" s="987"/>
      <c r="G816" s="987"/>
      <c r="H816" s="987"/>
      <c r="I816" s="987"/>
      <c r="J816" s="987"/>
      <c r="K816" s="987"/>
      <c r="L816" s="987"/>
      <c r="M816" s="987"/>
      <c r="N816" s="987"/>
      <c r="O816" s="987"/>
      <c r="P816" s="987"/>
      <c r="Q816" s="987"/>
      <c r="R816" s="987"/>
      <c r="S816" s="987"/>
      <c r="T816" s="987"/>
      <c r="U816" s="987"/>
      <c r="V816" s="987"/>
      <c r="W816" s="987"/>
      <c r="X816" s="987"/>
      <c r="Y816" s="987"/>
      <c r="Z816" s="987"/>
    </row>
    <row r="817">
      <c r="A817" s="987"/>
      <c r="B817" s="987"/>
      <c r="C817" s="987"/>
      <c r="D817" s="987"/>
      <c r="E817" s="987"/>
      <c r="F817" s="987"/>
      <c r="G817" s="987"/>
      <c r="H817" s="987"/>
      <c r="I817" s="987"/>
      <c r="J817" s="987"/>
      <c r="K817" s="987"/>
      <c r="L817" s="987"/>
      <c r="M817" s="987"/>
      <c r="N817" s="987"/>
      <c r="O817" s="987"/>
      <c r="P817" s="987"/>
      <c r="Q817" s="987"/>
      <c r="R817" s="987"/>
      <c r="S817" s="987"/>
      <c r="T817" s="987"/>
      <c r="U817" s="987"/>
      <c r="V817" s="987"/>
      <c r="W817" s="987"/>
      <c r="X817" s="987"/>
      <c r="Y817" s="987"/>
      <c r="Z817" s="987"/>
    </row>
    <row r="818">
      <c r="A818" s="987"/>
      <c r="B818" s="987"/>
      <c r="C818" s="987"/>
      <c r="D818" s="987"/>
      <c r="E818" s="987"/>
      <c r="F818" s="987"/>
      <c r="G818" s="987"/>
      <c r="H818" s="987"/>
      <c r="I818" s="987"/>
      <c r="J818" s="987"/>
      <c r="K818" s="987"/>
      <c r="L818" s="987"/>
      <c r="M818" s="987"/>
      <c r="N818" s="987"/>
      <c r="O818" s="987"/>
      <c r="P818" s="987"/>
      <c r="Q818" s="987"/>
      <c r="R818" s="987"/>
      <c r="S818" s="987"/>
      <c r="T818" s="987"/>
      <c r="U818" s="987"/>
      <c r="V818" s="987"/>
      <c r="W818" s="987"/>
      <c r="X818" s="987"/>
      <c r="Y818" s="987"/>
      <c r="Z818" s="987"/>
    </row>
    <row r="819">
      <c r="A819" s="987"/>
      <c r="B819" s="987"/>
      <c r="C819" s="987"/>
      <c r="D819" s="987"/>
      <c r="E819" s="987"/>
      <c r="F819" s="987"/>
      <c r="G819" s="987"/>
      <c r="H819" s="987"/>
      <c r="I819" s="987"/>
      <c r="J819" s="987"/>
      <c r="K819" s="987"/>
      <c r="L819" s="987"/>
      <c r="M819" s="987"/>
      <c r="N819" s="987"/>
      <c r="O819" s="987"/>
      <c r="P819" s="987"/>
      <c r="Q819" s="987"/>
      <c r="R819" s="987"/>
      <c r="S819" s="987"/>
      <c r="T819" s="987"/>
      <c r="U819" s="987"/>
      <c r="V819" s="987"/>
      <c r="W819" s="987"/>
      <c r="X819" s="987"/>
      <c r="Y819" s="987"/>
      <c r="Z819" s="987"/>
    </row>
    <row r="820">
      <c r="A820" s="987"/>
      <c r="B820" s="987"/>
      <c r="C820" s="987"/>
      <c r="D820" s="987"/>
      <c r="E820" s="987"/>
      <c r="F820" s="987"/>
      <c r="G820" s="987"/>
      <c r="H820" s="987"/>
      <c r="I820" s="987"/>
      <c r="J820" s="987"/>
      <c r="K820" s="987"/>
      <c r="L820" s="987"/>
      <c r="M820" s="987"/>
      <c r="N820" s="987"/>
      <c r="O820" s="987"/>
      <c r="P820" s="987"/>
      <c r="Q820" s="987"/>
      <c r="R820" s="987"/>
      <c r="S820" s="987"/>
      <c r="T820" s="987"/>
      <c r="U820" s="987"/>
      <c r="V820" s="987"/>
      <c r="W820" s="987"/>
      <c r="X820" s="987"/>
      <c r="Y820" s="987"/>
      <c r="Z820" s="987"/>
    </row>
    <row r="821">
      <c r="A821" s="987"/>
      <c r="B821" s="987"/>
      <c r="C821" s="987"/>
      <c r="D821" s="987"/>
      <c r="E821" s="987"/>
      <c r="F821" s="987"/>
      <c r="G821" s="987"/>
      <c r="H821" s="987"/>
      <c r="I821" s="987"/>
      <c r="J821" s="987"/>
      <c r="K821" s="987"/>
      <c r="L821" s="987"/>
      <c r="M821" s="987"/>
      <c r="N821" s="987"/>
      <c r="O821" s="987"/>
      <c r="P821" s="987"/>
      <c r="Q821" s="987"/>
      <c r="R821" s="987"/>
      <c r="S821" s="987"/>
      <c r="T821" s="987"/>
      <c r="U821" s="987"/>
      <c r="V821" s="987"/>
      <c r="W821" s="987"/>
      <c r="X821" s="987"/>
      <c r="Y821" s="987"/>
      <c r="Z821" s="987"/>
    </row>
    <row r="822">
      <c r="A822" s="987"/>
      <c r="B822" s="987"/>
      <c r="C822" s="987"/>
      <c r="D822" s="987"/>
      <c r="E822" s="987"/>
      <c r="F822" s="987"/>
      <c r="G822" s="987"/>
      <c r="H822" s="987"/>
      <c r="I822" s="987"/>
      <c r="J822" s="987"/>
      <c r="K822" s="987"/>
      <c r="L822" s="987"/>
      <c r="M822" s="987"/>
      <c r="N822" s="987"/>
      <c r="O822" s="987"/>
      <c r="P822" s="987"/>
      <c r="Q822" s="987"/>
      <c r="R822" s="987"/>
      <c r="S822" s="987"/>
      <c r="T822" s="987"/>
      <c r="U822" s="987"/>
      <c r="V822" s="987"/>
      <c r="W822" s="987"/>
      <c r="X822" s="987"/>
      <c r="Y822" s="987"/>
      <c r="Z822" s="987"/>
    </row>
    <row r="823">
      <c r="A823" s="987"/>
      <c r="B823" s="987"/>
      <c r="C823" s="987"/>
      <c r="D823" s="987"/>
      <c r="E823" s="987"/>
      <c r="F823" s="987"/>
      <c r="G823" s="987"/>
      <c r="H823" s="987"/>
      <c r="I823" s="987"/>
      <c r="J823" s="987"/>
      <c r="K823" s="987"/>
      <c r="L823" s="987"/>
      <c r="M823" s="987"/>
      <c r="N823" s="987"/>
      <c r="O823" s="987"/>
      <c r="P823" s="987"/>
      <c r="Q823" s="987"/>
      <c r="R823" s="987"/>
      <c r="S823" s="987"/>
      <c r="T823" s="987"/>
      <c r="U823" s="987"/>
      <c r="V823" s="987"/>
      <c r="W823" s="987"/>
      <c r="X823" s="987"/>
      <c r="Y823" s="987"/>
      <c r="Z823" s="987"/>
    </row>
    <row r="824">
      <c r="A824" s="987"/>
      <c r="B824" s="987"/>
      <c r="C824" s="987"/>
      <c r="D824" s="987"/>
      <c r="E824" s="987"/>
      <c r="F824" s="987"/>
      <c r="G824" s="987"/>
      <c r="H824" s="987"/>
      <c r="I824" s="987"/>
      <c r="J824" s="987"/>
      <c r="K824" s="987"/>
      <c r="L824" s="987"/>
      <c r="M824" s="987"/>
      <c r="N824" s="987"/>
      <c r="O824" s="987"/>
      <c r="P824" s="987"/>
      <c r="Q824" s="987"/>
      <c r="R824" s="987"/>
      <c r="S824" s="987"/>
      <c r="T824" s="987"/>
      <c r="U824" s="987"/>
      <c r="V824" s="987"/>
      <c r="W824" s="987"/>
      <c r="X824" s="987"/>
      <c r="Y824" s="987"/>
      <c r="Z824" s="987"/>
    </row>
    <row r="825">
      <c r="A825" s="987"/>
      <c r="B825" s="987"/>
      <c r="C825" s="987"/>
      <c r="D825" s="987"/>
      <c r="E825" s="987"/>
      <c r="F825" s="987"/>
      <c r="G825" s="987"/>
      <c r="H825" s="987"/>
      <c r="I825" s="987"/>
      <c r="J825" s="987"/>
      <c r="K825" s="987"/>
      <c r="L825" s="987"/>
      <c r="M825" s="987"/>
      <c r="N825" s="987"/>
      <c r="O825" s="987"/>
      <c r="P825" s="987"/>
      <c r="Q825" s="987"/>
      <c r="R825" s="987"/>
      <c r="S825" s="987"/>
      <c r="T825" s="987"/>
      <c r="U825" s="987"/>
      <c r="V825" s="987"/>
      <c r="W825" s="987"/>
      <c r="X825" s="987"/>
      <c r="Y825" s="987"/>
      <c r="Z825" s="987"/>
    </row>
    <row r="826">
      <c r="A826" s="987"/>
      <c r="B826" s="987"/>
      <c r="C826" s="987"/>
      <c r="D826" s="987"/>
      <c r="E826" s="987"/>
      <c r="F826" s="987"/>
      <c r="G826" s="987"/>
      <c r="H826" s="987"/>
      <c r="I826" s="987"/>
      <c r="J826" s="987"/>
      <c r="K826" s="987"/>
      <c r="L826" s="987"/>
      <c r="M826" s="987"/>
      <c r="N826" s="987"/>
      <c r="O826" s="987"/>
      <c r="P826" s="987"/>
      <c r="Q826" s="987"/>
      <c r="R826" s="987"/>
      <c r="S826" s="987"/>
      <c r="T826" s="987"/>
      <c r="U826" s="987"/>
      <c r="V826" s="987"/>
      <c r="W826" s="987"/>
      <c r="X826" s="987"/>
      <c r="Y826" s="987"/>
      <c r="Z826" s="987"/>
    </row>
    <row r="827">
      <c r="A827" s="987"/>
      <c r="B827" s="987"/>
      <c r="C827" s="987"/>
      <c r="D827" s="987"/>
      <c r="E827" s="987"/>
      <c r="F827" s="987"/>
      <c r="G827" s="987"/>
      <c r="H827" s="987"/>
      <c r="I827" s="987"/>
      <c r="J827" s="987"/>
      <c r="K827" s="987"/>
      <c r="L827" s="987"/>
      <c r="M827" s="987"/>
      <c r="N827" s="987"/>
      <c r="O827" s="987"/>
      <c r="P827" s="987"/>
      <c r="Q827" s="987"/>
      <c r="R827" s="987"/>
      <c r="S827" s="987"/>
      <c r="T827" s="987"/>
      <c r="U827" s="987"/>
      <c r="V827" s="987"/>
      <c r="W827" s="987"/>
      <c r="X827" s="987"/>
      <c r="Y827" s="987"/>
      <c r="Z827" s="987"/>
    </row>
    <row r="828">
      <c r="A828" s="987"/>
      <c r="B828" s="987"/>
      <c r="C828" s="987"/>
      <c r="D828" s="987"/>
      <c r="E828" s="987"/>
      <c r="F828" s="987"/>
      <c r="G828" s="987"/>
      <c r="H828" s="987"/>
      <c r="I828" s="987"/>
      <c r="J828" s="987"/>
      <c r="K828" s="987"/>
      <c r="L828" s="987"/>
      <c r="M828" s="987"/>
      <c r="N828" s="987"/>
      <c r="O828" s="987"/>
      <c r="P828" s="987"/>
      <c r="Q828" s="987"/>
      <c r="R828" s="987"/>
      <c r="S828" s="987"/>
      <c r="T828" s="987"/>
      <c r="U828" s="987"/>
      <c r="V828" s="987"/>
      <c r="W828" s="987"/>
      <c r="X828" s="987"/>
      <c r="Y828" s="987"/>
      <c r="Z828" s="987"/>
    </row>
    <row r="829">
      <c r="A829" s="987"/>
      <c r="B829" s="987"/>
      <c r="C829" s="987"/>
      <c r="D829" s="987"/>
      <c r="E829" s="987"/>
      <c r="F829" s="987"/>
      <c r="G829" s="987"/>
      <c r="H829" s="987"/>
      <c r="I829" s="987"/>
      <c r="J829" s="987"/>
      <c r="K829" s="987"/>
      <c r="L829" s="987"/>
      <c r="M829" s="987"/>
      <c r="N829" s="987"/>
      <c r="O829" s="987"/>
      <c r="P829" s="987"/>
      <c r="Q829" s="987"/>
      <c r="R829" s="987"/>
      <c r="S829" s="987"/>
      <c r="T829" s="987"/>
      <c r="U829" s="987"/>
      <c r="V829" s="987"/>
      <c r="W829" s="987"/>
      <c r="X829" s="987"/>
      <c r="Y829" s="987"/>
      <c r="Z829" s="987"/>
    </row>
    <row r="830">
      <c r="A830" s="987"/>
      <c r="B830" s="987"/>
      <c r="C830" s="987"/>
      <c r="D830" s="987"/>
      <c r="E830" s="987"/>
      <c r="F830" s="987"/>
      <c r="G830" s="987"/>
      <c r="H830" s="987"/>
      <c r="I830" s="987"/>
      <c r="J830" s="987"/>
      <c r="K830" s="987"/>
      <c r="L830" s="987"/>
      <c r="M830" s="987"/>
      <c r="N830" s="987"/>
      <c r="O830" s="987"/>
      <c r="P830" s="987"/>
      <c r="Q830" s="987"/>
      <c r="R830" s="987"/>
      <c r="S830" s="987"/>
      <c r="T830" s="987"/>
      <c r="U830" s="987"/>
      <c r="V830" s="987"/>
      <c r="W830" s="987"/>
      <c r="X830" s="987"/>
      <c r="Y830" s="987"/>
      <c r="Z830" s="987"/>
    </row>
    <row r="831">
      <c r="A831" s="987"/>
      <c r="B831" s="987"/>
      <c r="C831" s="987"/>
      <c r="D831" s="987"/>
      <c r="E831" s="987"/>
      <c r="F831" s="987"/>
      <c r="G831" s="987"/>
      <c r="H831" s="987"/>
      <c r="I831" s="987"/>
      <c r="J831" s="987"/>
      <c r="K831" s="987"/>
      <c r="L831" s="987"/>
      <c r="M831" s="987"/>
      <c r="N831" s="987"/>
      <c r="O831" s="987"/>
      <c r="P831" s="987"/>
      <c r="Q831" s="987"/>
      <c r="R831" s="987"/>
      <c r="S831" s="987"/>
      <c r="T831" s="987"/>
      <c r="U831" s="987"/>
      <c r="V831" s="987"/>
      <c r="W831" s="987"/>
      <c r="X831" s="987"/>
      <c r="Y831" s="987"/>
      <c r="Z831" s="987"/>
    </row>
    <row r="832">
      <c r="A832" s="987"/>
      <c r="B832" s="987"/>
      <c r="C832" s="987"/>
      <c r="D832" s="987"/>
      <c r="E832" s="987"/>
      <c r="F832" s="987"/>
      <c r="G832" s="987"/>
      <c r="H832" s="987"/>
      <c r="I832" s="987"/>
      <c r="J832" s="987"/>
      <c r="K832" s="987"/>
      <c r="L832" s="987"/>
      <c r="M832" s="987"/>
      <c r="N832" s="987"/>
      <c r="O832" s="987"/>
      <c r="P832" s="987"/>
      <c r="Q832" s="987"/>
      <c r="R832" s="987"/>
      <c r="S832" s="987"/>
      <c r="T832" s="987"/>
      <c r="U832" s="987"/>
      <c r="V832" s="987"/>
      <c r="W832" s="987"/>
      <c r="X832" s="987"/>
      <c r="Y832" s="987"/>
      <c r="Z832" s="987"/>
    </row>
    <row r="833">
      <c r="A833" s="987"/>
      <c r="B833" s="987"/>
      <c r="C833" s="987"/>
      <c r="D833" s="987"/>
      <c r="E833" s="987"/>
      <c r="F833" s="987"/>
      <c r="G833" s="987"/>
      <c r="H833" s="987"/>
      <c r="I833" s="987"/>
      <c r="J833" s="987"/>
      <c r="K833" s="987"/>
      <c r="L833" s="987"/>
      <c r="M833" s="987"/>
      <c r="N833" s="987"/>
      <c r="O833" s="987"/>
      <c r="P833" s="987"/>
      <c r="Q833" s="987"/>
      <c r="R833" s="987"/>
      <c r="S833" s="987"/>
      <c r="T833" s="987"/>
      <c r="U833" s="987"/>
      <c r="V833" s="987"/>
      <c r="W833" s="987"/>
      <c r="X833" s="987"/>
      <c r="Y833" s="987"/>
      <c r="Z833" s="987"/>
    </row>
    <row r="834">
      <c r="A834" s="987"/>
      <c r="B834" s="987"/>
      <c r="C834" s="987"/>
      <c r="D834" s="987"/>
      <c r="E834" s="987"/>
      <c r="F834" s="987"/>
      <c r="G834" s="987"/>
      <c r="H834" s="987"/>
      <c r="I834" s="987"/>
      <c r="J834" s="987"/>
      <c r="K834" s="987"/>
      <c r="L834" s="987"/>
      <c r="M834" s="987"/>
      <c r="N834" s="987"/>
      <c r="O834" s="987"/>
      <c r="P834" s="987"/>
      <c r="Q834" s="987"/>
      <c r="R834" s="987"/>
      <c r="S834" s="987"/>
      <c r="T834" s="987"/>
      <c r="U834" s="987"/>
      <c r="V834" s="987"/>
      <c r="W834" s="987"/>
      <c r="X834" s="987"/>
      <c r="Y834" s="987"/>
      <c r="Z834" s="987"/>
    </row>
    <row r="835">
      <c r="A835" s="987"/>
      <c r="B835" s="987"/>
      <c r="C835" s="987"/>
      <c r="D835" s="987"/>
      <c r="E835" s="987"/>
      <c r="F835" s="987"/>
      <c r="G835" s="987"/>
      <c r="H835" s="987"/>
      <c r="I835" s="987"/>
      <c r="J835" s="987"/>
      <c r="K835" s="987"/>
      <c r="L835" s="987"/>
      <c r="M835" s="987"/>
      <c r="N835" s="987"/>
      <c r="O835" s="987"/>
      <c r="P835" s="987"/>
      <c r="Q835" s="987"/>
      <c r="R835" s="987"/>
      <c r="S835" s="987"/>
      <c r="T835" s="987"/>
      <c r="U835" s="987"/>
      <c r="V835" s="987"/>
      <c r="W835" s="987"/>
      <c r="X835" s="987"/>
      <c r="Y835" s="987"/>
      <c r="Z835" s="987"/>
    </row>
    <row r="836">
      <c r="A836" s="987"/>
      <c r="B836" s="987"/>
      <c r="C836" s="987"/>
      <c r="D836" s="987"/>
      <c r="E836" s="987"/>
      <c r="F836" s="987"/>
      <c r="G836" s="987"/>
      <c r="H836" s="987"/>
      <c r="I836" s="987"/>
      <c r="J836" s="987"/>
      <c r="K836" s="987"/>
      <c r="L836" s="987"/>
      <c r="M836" s="987"/>
      <c r="N836" s="987"/>
      <c r="O836" s="987"/>
      <c r="P836" s="987"/>
      <c r="Q836" s="987"/>
      <c r="R836" s="987"/>
      <c r="S836" s="987"/>
      <c r="T836" s="987"/>
      <c r="U836" s="987"/>
      <c r="V836" s="987"/>
      <c r="W836" s="987"/>
      <c r="X836" s="987"/>
      <c r="Y836" s="987"/>
      <c r="Z836" s="987"/>
    </row>
    <row r="837">
      <c r="A837" s="987"/>
      <c r="B837" s="987"/>
      <c r="C837" s="987"/>
      <c r="D837" s="987"/>
      <c r="E837" s="987"/>
      <c r="F837" s="987"/>
      <c r="G837" s="987"/>
      <c r="H837" s="987"/>
      <c r="I837" s="987"/>
      <c r="J837" s="987"/>
      <c r="K837" s="987"/>
      <c r="L837" s="987"/>
      <c r="M837" s="987"/>
      <c r="N837" s="987"/>
      <c r="O837" s="987"/>
      <c r="P837" s="987"/>
      <c r="Q837" s="987"/>
      <c r="R837" s="987"/>
      <c r="S837" s="987"/>
      <c r="T837" s="987"/>
      <c r="U837" s="987"/>
      <c r="V837" s="987"/>
      <c r="W837" s="987"/>
      <c r="X837" s="987"/>
      <c r="Y837" s="987"/>
      <c r="Z837" s="987"/>
    </row>
    <row r="838">
      <c r="A838" s="987"/>
      <c r="B838" s="987"/>
      <c r="C838" s="987"/>
      <c r="D838" s="987"/>
      <c r="E838" s="987"/>
      <c r="F838" s="987"/>
      <c r="G838" s="987"/>
      <c r="H838" s="987"/>
      <c r="I838" s="987"/>
      <c r="J838" s="987"/>
      <c r="K838" s="987"/>
      <c r="L838" s="987"/>
      <c r="M838" s="987"/>
      <c r="N838" s="987"/>
      <c r="O838" s="987"/>
      <c r="P838" s="987"/>
      <c r="Q838" s="987"/>
      <c r="R838" s="987"/>
      <c r="S838" s="987"/>
      <c r="T838" s="987"/>
      <c r="U838" s="987"/>
      <c r="V838" s="987"/>
      <c r="W838" s="987"/>
      <c r="X838" s="987"/>
      <c r="Y838" s="987"/>
      <c r="Z838" s="987"/>
    </row>
    <row r="839">
      <c r="A839" s="987"/>
      <c r="B839" s="987"/>
      <c r="C839" s="987"/>
      <c r="D839" s="987"/>
      <c r="E839" s="987"/>
      <c r="F839" s="987"/>
      <c r="G839" s="987"/>
      <c r="H839" s="987"/>
      <c r="I839" s="987"/>
      <c r="J839" s="987"/>
      <c r="K839" s="987"/>
      <c r="L839" s="987"/>
      <c r="M839" s="987"/>
      <c r="N839" s="987"/>
      <c r="O839" s="987"/>
      <c r="P839" s="987"/>
      <c r="Q839" s="987"/>
      <c r="R839" s="987"/>
      <c r="S839" s="987"/>
      <c r="T839" s="987"/>
      <c r="U839" s="987"/>
      <c r="V839" s="987"/>
      <c r="W839" s="987"/>
      <c r="X839" s="987"/>
      <c r="Y839" s="987"/>
      <c r="Z839" s="987"/>
    </row>
    <row r="840">
      <c r="A840" s="987"/>
      <c r="B840" s="987"/>
      <c r="C840" s="987"/>
      <c r="D840" s="987"/>
      <c r="E840" s="987"/>
      <c r="F840" s="987"/>
      <c r="G840" s="987"/>
      <c r="H840" s="987"/>
      <c r="I840" s="987"/>
      <c r="J840" s="987"/>
      <c r="K840" s="987"/>
      <c r="L840" s="987"/>
      <c r="M840" s="987"/>
      <c r="N840" s="987"/>
      <c r="O840" s="987"/>
      <c r="P840" s="987"/>
      <c r="Q840" s="987"/>
      <c r="R840" s="987"/>
      <c r="S840" s="987"/>
      <c r="T840" s="987"/>
      <c r="U840" s="987"/>
      <c r="V840" s="987"/>
      <c r="W840" s="987"/>
      <c r="X840" s="987"/>
      <c r="Y840" s="987"/>
      <c r="Z840" s="987"/>
    </row>
    <row r="841">
      <c r="A841" s="987"/>
      <c r="B841" s="987"/>
      <c r="C841" s="987"/>
      <c r="D841" s="987"/>
      <c r="E841" s="987"/>
      <c r="F841" s="987"/>
      <c r="G841" s="987"/>
      <c r="H841" s="987"/>
      <c r="I841" s="987"/>
      <c r="J841" s="987"/>
      <c r="K841" s="987"/>
      <c r="L841" s="987"/>
      <c r="M841" s="987"/>
      <c r="N841" s="987"/>
      <c r="O841" s="987"/>
      <c r="P841" s="987"/>
      <c r="Q841" s="987"/>
      <c r="R841" s="987"/>
      <c r="S841" s="987"/>
      <c r="T841" s="987"/>
      <c r="U841" s="987"/>
      <c r="V841" s="987"/>
      <c r="W841" s="987"/>
      <c r="X841" s="987"/>
      <c r="Y841" s="987"/>
      <c r="Z841" s="987"/>
    </row>
    <row r="842">
      <c r="A842" s="987"/>
      <c r="B842" s="987"/>
      <c r="C842" s="987"/>
      <c r="D842" s="987"/>
      <c r="E842" s="987"/>
      <c r="F842" s="987"/>
      <c r="G842" s="987"/>
      <c r="H842" s="987"/>
      <c r="I842" s="987"/>
      <c r="J842" s="987"/>
      <c r="K842" s="987"/>
      <c r="L842" s="987"/>
      <c r="M842" s="987"/>
      <c r="N842" s="987"/>
      <c r="O842" s="987"/>
      <c r="P842" s="987"/>
      <c r="Q842" s="987"/>
      <c r="R842" s="987"/>
      <c r="S842" s="987"/>
      <c r="T842" s="987"/>
      <c r="U842" s="987"/>
      <c r="V842" s="987"/>
      <c r="W842" s="987"/>
      <c r="X842" s="987"/>
      <c r="Y842" s="987"/>
      <c r="Z842" s="987"/>
    </row>
    <row r="843">
      <c r="A843" s="987"/>
      <c r="B843" s="987"/>
      <c r="C843" s="987"/>
      <c r="D843" s="987"/>
      <c r="E843" s="987"/>
      <c r="F843" s="987"/>
      <c r="G843" s="987"/>
      <c r="H843" s="987"/>
      <c r="I843" s="987"/>
      <c r="J843" s="987"/>
      <c r="K843" s="987"/>
      <c r="L843" s="987"/>
      <c r="M843" s="987"/>
      <c r="N843" s="987"/>
      <c r="O843" s="987"/>
      <c r="P843" s="987"/>
      <c r="Q843" s="987"/>
      <c r="R843" s="987"/>
      <c r="S843" s="987"/>
      <c r="T843" s="987"/>
      <c r="U843" s="987"/>
      <c r="V843" s="987"/>
      <c r="W843" s="987"/>
      <c r="X843" s="987"/>
      <c r="Y843" s="987"/>
      <c r="Z843" s="987"/>
    </row>
    <row r="844">
      <c r="A844" s="987"/>
      <c r="B844" s="987"/>
      <c r="C844" s="987"/>
      <c r="D844" s="987"/>
      <c r="E844" s="987"/>
      <c r="F844" s="987"/>
      <c r="G844" s="987"/>
      <c r="H844" s="987"/>
      <c r="I844" s="987"/>
      <c r="J844" s="987"/>
      <c r="K844" s="987"/>
      <c r="L844" s="987"/>
      <c r="M844" s="987"/>
      <c r="N844" s="987"/>
      <c r="O844" s="987"/>
      <c r="P844" s="987"/>
      <c r="Q844" s="987"/>
      <c r="R844" s="987"/>
      <c r="S844" s="987"/>
      <c r="T844" s="987"/>
      <c r="U844" s="987"/>
      <c r="V844" s="987"/>
      <c r="W844" s="987"/>
      <c r="X844" s="987"/>
      <c r="Y844" s="987"/>
      <c r="Z844" s="987"/>
    </row>
    <row r="845">
      <c r="A845" s="987"/>
      <c r="B845" s="987"/>
      <c r="C845" s="987"/>
      <c r="D845" s="987"/>
      <c r="E845" s="987"/>
      <c r="F845" s="987"/>
      <c r="G845" s="987"/>
      <c r="H845" s="987"/>
      <c r="I845" s="987"/>
      <c r="J845" s="987"/>
      <c r="K845" s="987"/>
      <c r="L845" s="987"/>
      <c r="M845" s="987"/>
      <c r="N845" s="987"/>
      <c r="O845" s="987"/>
      <c r="P845" s="987"/>
      <c r="Q845" s="987"/>
      <c r="R845" s="987"/>
      <c r="S845" s="987"/>
      <c r="T845" s="987"/>
      <c r="U845" s="987"/>
      <c r="V845" s="987"/>
      <c r="W845" s="987"/>
      <c r="X845" s="987"/>
      <c r="Y845" s="987"/>
      <c r="Z845" s="987"/>
    </row>
    <row r="846">
      <c r="A846" s="987"/>
      <c r="B846" s="987"/>
      <c r="C846" s="987"/>
      <c r="D846" s="987"/>
      <c r="E846" s="987"/>
      <c r="F846" s="987"/>
      <c r="G846" s="987"/>
      <c r="H846" s="987"/>
      <c r="I846" s="987"/>
      <c r="J846" s="987"/>
      <c r="K846" s="987"/>
      <c r="L846" s="987"/>
      <c r="M846" s="987"/>
      <c r="N846" s="987"/>
      <c r="O846" s="987"/>
      <c r="P846" s="987"/>
      <c r="Q846" s="987"/>
      <c r="R846" s="987"/>
      <c r="S846" s="987"/>
      <c r="T846" s="987"/>
      <c r="U846" s="987"/>
      <c r="V846" s="987"/>
      <c r="W846" s="987"/>
      <c r="X846" s="987"/>
      <c r="Y846" s="987"/>
      <c r="Z846" s="987"/>
    </row>
    <row r="847">
      <c r="A847" s="987"/>
      <c r="B847" s="987"/>
      <c r="C847" s="987"/>
      <c r="D847" s="987"/>
      <c r="E847" s="987"/>
      <c r="F847" s="987"/>
      <c r="G847" s="987"/>
      <c r="H847" s="987"/>
      <c r="I847" s="987"/>
      <c r="J847" s="987"/>
      <c r="K847" s="987"/>
      <c r="L847" s="987"/>
      <c r="M847" s="987"/>
      <c r="N847" s="987"/>
      <c r="O847" s="987"/>
      <c r="P847" s="987"/>
      <c r="Q847" s="987"/>
      <c r="R847" s="987"/>
      <c r="S847" s="987"/>
      <c r="T847" s="987"/>
      <c r="U847" s="987"/>
      <c r="V847" s="987"/>
      <c r="W847" s="987"/>
      <c r="X847" s="987"/>
      <c r="Y847" s="987"/>
      <c r="Z847" s="987"/>
    </row>
    <row r="848">
      <c r="A848" s="987"/>
      <c r="B848" s="987"/>
      <c r="C848" s="987"/>
      <c r="D848" s="987"/>
      <c r="E848" s="987"/>
      <c r="F848" s="987"/>
      <c r="G848" s="987"/>
      <c r="H848" s="987"/>
      <c r="I848" s="987"/>
      <c r="J848" s="987"/>
      <c r="K848" s="987"/>
      <c r="L848" s="987"/>
      <c r="M848" s="987"/>
      <c r="N848" s="987"/>
      <c r="O848" s="987"/>
      <c r="P848" s="987"/>
      <c r="Q848" s="987"/>
      <c r="R848" s="987"/>
      <c r="S848" s="987"/>
      <c r="T848" s="987"/>
      <c r="U848" s="987"/>
      <c r="V848" s="987"/>
      <c r="W848" s="987"/>
      <c r="X848" s="987"/>
      <c r="Y848" s="987"/>
      <c r="Z848" s="987"/>
    </row>
    <row r="849">
      <c r="A849" s="987"/>
      <c r="B849" s="987"/>
      <c r="C849" s="987"/>
      <c r="D849" s="987"/>
      <c r="E849" s="987"/>
      <c r="F849" s="987"/>
      <c r="G849" s="987"/>
      <c r="H849" s="987"/>
      <c r="I849" s="987"/>
      <c r="J849" s="987"/>
      <c r="K849" s="987"/>
      <c r="L849" s="987"/>
      <c r="M849" s="987"/>
      <c r="N849" s="987"/>
      <c r="O849" s="987"/>
      <c r="P849" s="987"/>
      <c r="Q849" s="987"/>
      <c r="R849" s="987"/>
      <c r="S849" s="987"/>
      <c r="T849" s="987"/>
      <c r="U849" s="987"/>
      <c r="V849" s="987"/>
      <c r="W849" s="987"/>
      <c r="X849" s="987"/>
      <c r="Y849" s="987"/>
      <c r="Z849" s="987"/>
    </row>
    <row r="850">
      <c r="A850" s="987"/>
      <c r="B850" s="987"/>
      <c r="C850" s="987"/>
      <c r="D850" s="987"/>
      <c r="E850" s="987"/>
      <c r="F850" s="987"/>
      <c r="G850" s="987"/>
      <c r="H850" s="987"/>
      <c r="I850" s="987"/>
      <c r="J850" s="987"/>
      <c r="K850" s="987"/>
      <c r="L850" s="987"/>
      <c r="M850" s="987"/>
      <c r="N850" s="987"/>
      <c r="O850" s="987"/>
      <c r="P850" s="987"/>
      <c r="Q850" s="987"/>
      <c r="R850" s="987"/>
      <c r="S850" s="987"/>
      <c r="T850" s="987"/>
      <c r="U850" s="987"/>
      <c r="V850" s="987"/>
      <c r="W850" s="987"/>
      <c r="X850" s="987"/>
      <c r="Y850" s="987"/>
      <c r="Z850" s="987"/>
    </row>
    <row r="851">
      <c r="A851" s="987"/>
      <c r="B851" s="987"/>
      <c r="C851" s="987"/>
      <c r="D851" s="987"/>
      <c r="E851" s="987"/>
      <c r="F851" s="987"/>
      <c r="G851" s="987"/>
      <c r="H851" s="987"/>
      <c r="I851" s="987"/>
      <c r="J851" s="987"/>
      <c r="K851" s="987"/>
      <c r="L851" s="987"/>
      <c r="M851" s="987"/>
      <c r="N851" s="987"/>
      <c r="O851" s="987"/>
      <c r="P851" s="987"/>
      <c r="Q851" s="987"/>
      <c r="R851" s="987"/>
      <c r="S851" s="987"/>
      <c r="T851" s="987"/>
      <c r="U851" s="987"/>
      <c r="V851" s="987"/>
      <c r="W851" s="987"/>
      <c r="X851" s="987"/>
      <c r="Y851" s="987"/>
      <c r="Z851" s="987"/>
    </row>
    <row r="852">
      <c r="A852" s="987"/>
      <c r="B852" s="987"/>
      <c r="C852" s="987"/>
      <c r="D852" s="987"/>
      <c r="E852" s="987"/>
      <c r="F852" s="987"/>
      <c r="G852" s="987"/>
      <c r="H852" s="987"/>
      <c r="I852" s="987"/>
      <c r="J852" s="987"/>
      <c r="K852" s="987"/>
      <c r="L852" s="987"/>
      <c r="M852" s="987"/>
      <c r="N852" s="987"/>
      <c r="O852" s="987"/>
      <c r="P852" s="987"/>
      <c r="Q852" s="987"/>
      <c r="R852" s="987"/>
      <c r="S852" s="987"/>
      <c r="T852" s="987"/>
      <c r="U852" s="987"/>
      <c r="V852" s="987"/>
      <c r="W852" s="987"/>
      <c r="X852" s="987"/>
      <c r="Y852" s="987"/>
      <c r="Z852" s="987"/>
    </row>
    <row r="853">
      <c r="A853" s="987"/>
      <c r="B853" s="987"/>
      <c r="C853" s="987"/>
      <c r="D853" s="987"/>
      <c r="E853" s="987"/>
      <c r="F853" s="987"/>
      <c r="G853" s="987"/>
      <c r="H853" s="987"/>
      <c r="I853" s="987"/>
      <c r="J853" s="987"/>
      <c r="K853" s="987"/>
      <c r="L853" s="987"/>
      <c r="M853" s="987"/>
      <c r="N853" s="987"/>
      <c r="O853" s="987"/>
      <c r="P853" s="987"/>
      <c r="Q853" s="987"/>
      <c r="R853" s="987"/>
      <c r="S853" s="987"/>
      <c r="T853" s="987"/>
      <c r="U853" s="987"/>
      <c r="V853" s="987"/>
      <c r="W853" s="987"/>
      <c r="X853" s="987"/>
      <c r="Y853" s="987"/>
      <c r="Z853" s="987"/>
    </row>
    <row r="854">
      <c r="A854" s="987"/>
      <c r="B854" s="987"/>
      <c r="C854" s="987"/>
      <c r="D854" s="987"/>
      <c r="E854" s="987"/>
      <c r="F854" s="987"/>
      <c r="G854" s="987"/>
      <c r="H854" s="987"/>
      <c r="I854" s="987"/>
      <c r="J854" s="987"/>
      <c r="K854" s="987"/>
      <c r="L854" s="987"/>
      <c r="M854" s="987"/>
      <c r="N854" s="987"/>
      <c r="O854" s="987"/>
      <c r="P854" s="987"/>
      <c r="Q854" s="987"/>
      <c r="R854" s="987"/>
      <c r="S854" s="987"/>
      <c r="T854" s="987"/>
      <c r="U854" s="987"/>
      <c r="V854" s="987"/>
      <c r="W854" s="987"/>
      <c r="X854" s="987"/>
      <c r="Y854" s="987"/>
      <c r="Z854" s="987"/>
    </row>
    <row r="855">
      <c r="A855" s="987"/>
      <c r="B855" s="987"/>
      <c r="C855" s="987"/>
      <c r="D855" s="987"/>
      <c r="E855" s="987"/>
      <c r="F855" s="987"/>
      <c r="G855" s="987"/>
      <c r="H855" s="987"/>
      <c r="I855" s="987"/>
      <c r="J855" s="987"/>
      <c r="K855" s="987"/>
      <c r="L855" s="987"/>
      <c r="M855" s="987"/>
      <c r="N855" s="987"/>
      <c r="O855" s="987"/>
      <c r="P855" s="987"/>
      <c r="Q855" s="987"/>
      <c r="R855" s="987"/>
      <c r="S855" s="987"/>
      <c r="T855" s="987"/>
      <c r="U855" s="987"/>
      <c r="V855" s="987"/>
      <c r="W855" s="987"/>
      <c r="X855" s="987"/>
      <c r="Y855" s="987"/>
      <c r="Z855" s="987"/>
    </row>
    <row r="856">
      <c r="A856" s="987"/>
      <c r="B856" s="987"/>
      <c r="C856" s="987"/>
      <c r="D856" s="987"/>
      <c r="E856" s="987"/>
      <c r="F856" s="987"/>
      <c r="G856" s="987"/>
      <c r="H856" s="987"/>
      <c r="I856" s="987"/>
      <c r="J856" s="987"/>
      <c r="K856" s="987"/>
      <c r="L856" s="987"/>
      <c r="M856" s="987"/>
      <c r="N856" s="987"/>
      <c r="O856" s="987"/>
      <c r="P856" s="987"/>
      <c r="Q856" s="987"/>
      <c r="R856" s="987"/>
      <c r="S856" s="987"/>
      <c r="T856" s="987"/>
      <c r="U856" s="987"/>
      <c r="V856" s="987"/>
      <c r="W856" s="987"/>
      <c r="X856" s="987"/>
      <c r="Y856" s="987"/>
      <c r="Z856" s="987"/>
    </row>
    <row r="857">
      <c r="A857" s="987"/>
      <c r="B857" s="987"/>
      <c r="C857" s="987"/>
      <c r="D857" s="987"/>
      <c r="E857" s="987"/>
      <c r="F857" s="987"/>
      <c r="G857" s="987"/>
      <c r="H857" s="987"/>
      <c r="I857" s="987"/>
      <c r="J857" s="987"/>
      <c r="K857" s="987"/>
      <c r="L857" s="987"/>
      <c r="M857" s="987"/>
      <c r="N857" s="987"/>
      <c r="O857" s="987"/>
      <c r="P857" s="987"/>
      <c r="Q857" s="987"/>
      <c r="R857" s="987"/>
      <c r="S857" s="987"/>
      <c r="T857" s="987"/>
      <c r="U857" s="987"/>
      <c r="V857" s="987"/>
      <c r="W857" s="987"/>
      <c r="X857" s="987"/>
      <c r="Y857" s="987"/>
      <c r="Z857" s="987"/>
    </row>
    <row r="858">
      <c r="A858" s="987"/>
      <c r="B858" s="987"/>
      <c r="C858" s="987"/>
      <c r="D858" s="987"/>
      <c r="E858" s="987"/>
      <c r="F858" s="987"/>
      <c r="G858" s="987"/>
      <c r="H858" s="987"/>
      <c r="I858" s="987"/>
      <c r="J858" s="987"/>
      <c r="K858" s="987"/>
      <c r="L858" s="987"/>
      <c r="M858" s="987"/>
      <c r="N858" s="987"/>
      <c r="O858" s="987"/>
      <c r="P858" s="987"/>
      <c r="Q858" s="987"/>
      <c r="R858" s="987"/>
      <c r="S858" s="987"/>
      <c r="T858" s="987"/>
      <c r="U858" s="987"/>
      <c r="V858" s="987"/>
      <c r="W858" s="987"/>
      <c r="X858" s="987"/>
      <c r="Y858" s="987"/>
      <c r="Z858" s="987"/>
    </row>
    <row r="859">
      <c r="A859" s="987"/>
      <c r="B859" s="987"/>
      <c r="C859" s="987"/>
      <c r="D859" s="987"/>
      <c r="E859" s="987"/>
      <c r="F859" s="987"/>
      <c r="G859" s="987"/>
      <c r="H859" s="987"/>
      <c r="I859" s="987"/>
      <c r="J859" s="987"/>
      <c r="K859" s="987"/>
      <c r="L859" s="987"/>
      <c r="M859" s="987"/>
      <c r="N859" s="987"/>
      <c r="O859" s="987"/>
      <c r="P859" s="987"/>
      <c r="Q859" s="987"/>
      <c r="R859" s="987"/>
      <c r="S859" s="987"/>
      <c r="T859" s="987"/>
      <c r="U859" s="987"/>
      <c r="V859" s="987"/>
      <c r="W859" s="987"/>
      <c r="X859" s="987"/>
      <c r="Y859" s="987"/>
      <c r="Z859" s="987"/>
    </row>
    <row r="860">
      <c r="A860" s="987"/>
      <c r="B860" s="987"/>
      <c r="C860" s="987"/>
      <c r="D860" s="987"/>
      <c r="E860" s="987"/>
      <c r="F860" s="987"/>
      <c r="G860" s="987"/>
      <c r="H860" s="987"/>
      <c r="I860" s="987"/>
      <c r="J860" s="987"/>
      <c r="K860" s="987"/>
      <c r="L860" s="987"/>
      <c r="M860" s="987"/>
      <c r="N860" s="987"/>
      <c r="O860" s="987"/>
      <c r="P860" s="987"/>
      <c r="Q860" s="987"/>
      <c r="R860" s="987"/>
      <c r="S860" s="987"/>
      <c r="T860" s="987"/>
      <c r="U860" s="987"/>
      <c r="V860" s="987"/>
      <c r="W860" s="987"/>
      <c r="X860" s="987"/>
      <c r="Y860" s="987"/>
      <c r="Z860" s="987"/>
    </row>
    <row r="861">
      <c r="A861" s="987"/>
      <c r="B861" s="987"/>
      <c r="C861" s="987"/>
      <c r="D861" s="987"/>
      <c r="E861" s="987"/>
      <c r="F861" s="987"/>
      <c r="G861" s="987"/>
      <c r="H861" s="987"/>
      <c r="I861" s="987"/>
      <c r="J861" s="987"/>
      <c r="K861" s="987"/>
      <c r="L861" s="987"/>
      <c r="M861" s="987"/>
      <c r="N861" s="987"/>
      <c r="O861" s="987"/>
      <c r="P861" s="987"/>
      <c r="Q861" s="987"/>
      <c r="R861" s="987"/>
      <c r="S861" s="987"/>
      <c r="T861" s="987"/>
      <c r="U861" s="987"/>
      <c r="V861" s="987"/>
      <c r="W861" s="987"/>
      <c r="X861" s="987"/>
      <c r="Y861" s="987"/>
      <c r="Z861" s="987"/>
    </row>
    <row r="862">
      <c r="A862" s="987"/>
      <c r="B862" s="987"/>
      <c r="C862" s="987"/>
      <c r="D862" s="987"/>
      <c r="E862" s="987"/>
      <c r="F862" s="987"/>
      <c r="G862" s="987"/>
      <c r="H862" s="987"/>
      <c r="I862" s="987"/>
      <c r="J862" s="987"/>
      <c r="K862" s="987"/>
      <c r="L862" s="987"/>
      <c r="M862" s="987"/>
      <c r="N862" s="987"/>
      <c r="O862" s="987"/>
      <c r="P862" s="987"/>
      <c r="Q862" s="987"/>
      <c r="R862" s="987"/>
      <c r="S862" s="987"/>
      <c r="T862" s="987"/>
      <c r="U862" s="987"/>
      <c r="V862" s="987"/>
      <c r="W862" s="987"/>
      <c r="X862" s="987"/>
      <c r="Y862" s="987"/>
      <c r="Z862" s="987"/>
    </row>
    <row r="863">
      <c r="A863" s="987"/>
      <c r="B863" s="987"/>
      <c r="C863" s="987"/>
      <c r="D863" s="987"/>
      <c r="E863" s="987"/>
      <c r="F863" s="987"/>
      <c r="G863" s="987"/>
      <c r="H863" s="987"/>
      <c r="I863" s="987"/>
      <c r="J863" s="987"/>
      <c r="K863" s="987"/>
      <c r="L863" s="987"/>
      <c r="M863" s="987"/>
      <c r="N863" s="987"/>
      <c r="O863" s="987"/>
      <c r="P863" s="987"/>
      <c r="Q863" s="987"/>
      <c r="R863" s="987"/>
      <c r="S863" s="987"/>
      <c r="T863" s="987"/>
      <c r="U863" s="987"/>
      <c r="V863" s="987"/>
      <c r="W863" s="987"/>
      <c r="X863" s="987"/>
      <c r="Y863" s="987"/>
      <c r="Z863" s="987"/>
    </row>
    <row r="864">
      <c r="A864" s="987"/>
      <c r="B864" s="987"/>
      <c r="C864" s="987"/>
      <c r="D864" s="987"/>
      <c r="E864" s="987"/>
      <c r="F864" s="987"/>
      <c r="G864" s="987"/>
      <c r="H864" s="987"/>
      <c r="I864" s="987"/>
      <c r="J864" s="987"/>
      <c r="K864" s="987"/>
      <c r="L864" s="987"/>
      <c r="M864" s="987"/>
      <c r="N864" s="987"/>
      <c r="O864" s="987"/>
      <c r="P864" s="987"/>
      <c r="Q864" s="987"/>
      <c r="R864" s="987"/>
      <c r="S864" s="987"/>
      <c r="T864" s="987"/>
      <c r="U864" s="987"/>
      <c r="V864" s="987"/>
      <c r="W864" s="987"/>
      <c r="X864" s="987"/>
      <c r="Y864" s="987"/>
      <c r="Z864" s="987"/>
    </row>
    <row r="865">
      <c r="A865" s="987"/>
      <c r="B865" s="987"/>
      <c r="C865" s="987"/>
      <c r="D865" s="987"/>
      <c r="E865" s="987"/>
      <c r="F865" s="987"/>
      <c r="G865" s="987"/>
      <c r="H865" s="987"/>
      <c r="I865" s="987"/>
      <c r="J865" s="987"/>
      <c r="K865" s="987"/>
      <c r="L865" s="987"/>
      <c r="M865" s="987"/>
      <c r="N865" s="987"/>
      <c r="O865" s="987"/>
      <c r="P865" s="987"/>
      <c r="Q865" s="987"/>
      <c r="R865" s="987"/>
      <c r="S865" s="987"/>
      <c r="T865" s="987"/>
      <c r="U865" s="987"/>
      <c r="V865" s="987"/>
      <c r="W865" s="987"/>
      <c r="X865" s="987"/>
      <c r="Y865" s="987"/>
      <c r="Z865" s="987"/>
    </row>
    <row r="866">
      <c r="A866" s="987"/>
      <c r="B866" s="987"/>
      <c r="C866" s="987"/>
      <c r="D866" s="987"/>
      <c r="E866" s="987"/>
      <c r="F866" s="987"/>
      <c r="G866" s="987"/>
      <c r="H866" s="987"/>
      <c r="I866" s="987"/>
      <c r="J866" s="987"/>
      <c r="K866" s="987"/>
      <c r="L866" s="987"/>
      <c r="M866" s="987"/>
      <c r="N866" s="987"/>
      <c r="O866" s="987"/>
      <c r="P866" s="987"/>
      <c r="Q866" s="987"/>
      <c r="R866" s="987"/>
      <c r="S866" s="987"/>
      <c r="T866" s="987"/>
      <c r="U866" s="987"/>
      <c r="V866" s="987"/>
      <c r="W866" s="987"/>
      <c r="X866" s="987"/>
      <c r="Y866" s="987"/>
      <c r="Z866" s="987"/>
    </row>
    <row r="867">
      <c r="A867" s="987"/>
      <c r="B867" s="987"/>
      <c r="C867" s="987"/>
      <c r="D867" s="987"/>
      <c r="E867" s="987"/>
      <c r="F867" s="987"/>
      <c r="G867" s="987"/>
      <c r="H867" s="987"/>
      <c r="I867" s="987"/>
      <c r="J867" s="987"/>
      <c r="K867" s="987"/>
      <c r="L867" s="987"/>
      <c r="M867" s="987"/>
      <c r="N867" s="987"/>
      <c r="O867" s="987"/>
      <c r="P867" s="987"/>
      <c r="Q867" s="987"/>
      <c r="R867" s="987"/>
      <c r="S867" s="987"/>
      <c r="T867" s="987"/>
      <c r="U867" s="987"/>
      <c r="V867" s="987"/>
      <c r="W867" s="987"/>
      <c r="X867" s="987"/>
      <c r="Y867" s="987"/>
      <c r="Z867" s="987"/>
    </row>
    <row r="868">
      <c r="A868" s="987"/>
      <c r="B868" s="987"/>
      <c r="C868" s="987"/>
      <c r="D868" s="987"/>
      <c r="E868" s="987"/>
      <c r="F868" s="987"/>
      <c r="G868" s="987"/>
      <c r="H868" s="987"/>
      <c r="I868" s="987"/>
      <c r="J868" s="987"/>
      <c r="K868" s="987"/>
      <c r="L868" s="987"/>
      <c r="M868" s="987"/>
      <c r="N868" s="987"/>
      <c r="O868" s="987"/>
      <c r="P868" s="987"/>
      <c r="Q868" s="987"/>
      <c r="R868" s="987"/>
      <c r="S868" s="987"/>
      <c r="T868" s="987"/>
      <c r="U868" s="987"/>
      <c r="V868" s="987"/>
      <c r="W868" s="987"/>
      <c r="X868" s="987"/>
      <c r="Y868" s="987"/>
      <c r="Z868" s="987"/>
    </row>
    <row r="869">
      <c r="A869" s="987"/>
      <c r="B869" s="987"/>
      <c r="C869" s="987"/>
      <c r="D869" s="987"/>
      <c r="E869" s="987"/>
      <c r="F869" s="987"/>
      <c r="G869" s="987"/>
      <c r="H869" s="987"/>
      <c r="I869" s="987"/>
      <c r="J869" s="987"/>
      <c r="K869" s="987"/>
      <c r="L869" s="987"/>
      <c r="M869" s="987"/>
      <c r="N869" s="987"/>
      <c r="O869" s="987"/>
      <c r="P869" s="987"/>
      <c r="Q869" s="987"/>
      <c r="R869" s="987"/>
      <c r="S869" s="987"/>
      <c r="T869" s="987"/>
      <c r="U869" s="987"/>
      <c r="V869" s="987"/>
      <c r="W869" s="987"/>
      <c r="X869" s="987"/>
      <c r="Y869" s="987"/>
      <c r="Z869" s="987"/>
    </row>
    <row r="870">
      <c r="A870" s="987"/>
      <c r="B870" s="987"/>
      <c r="C870" s="987"/>
      <c r="D870" s="987"/>
      <c r="E870" s="987"/>
      <c r="F870" s="987"/>
      <c r="G870" s="987"/>
      <c r="H870" s="987"/>
      <c r="I870" s="987"/>
      <c r="J870" s="987"/>
      <c r="K870" s="987"/>
      <c r="L870" s="987"/>
      <c r="M870" s="987"/>
      <c r="N870" s="987"/>
      <c r="O870" s="987"/>
      <c r="P870" s="987"/>
      <c r="Q870" s="987"/>
      <c r="R870" s="987"/>
      <c r="S870" s="987"/>
      <c r="T870" s="987"/>
      <c r="U870" s="987"/>
      <c r="V870" s="987"/>
      <c r="W870" s="987"/>
      <c r="X870" s="987"/>
      <c r="Y870" s="987"/>
      <c r="Z870" s="987"/>
    </row>
    <row r="871">
      <c r="A871" s="987"/>
      <c r="B871" s="987"/>
      <c r="C871" s="987"/>
      <c r="D871" s="987"/>
      <c r="E871" s="987"/>
      <c r="F871" s="987"/>
      <c r="G871" s="987"/>
      <c r="H871" s="987"/>
      <c r="I871" s="987"/>
      <c r="J871" s="987"/>
      <c r="K871" s="987"/>
      <c r="L871" s="987"/>
      <c r="M871" s="987"/>
      <c r="N871" s="987"/>
      <c r="O871" s="987"/>
      <c r="P871" s="987"/>
      <c r="Q871" s="987"/>
      <c r="R871" s="987"/>
      <c r="S871" s="987"/>
      <c r="T871" s="987"/>
      <c r="U871" s="987"/>
      <c r="V871" s="987"/>
      <c r="W871" s="987"/>
      <c r="X871" s="987"/>
      <c r="Y871" s="987"/>
      <c r="Z871" s="987"/>
    </row>
    <row r="872">
      <c r="A872" s="987"/>
      <c r="B872" s="987"/>
      <c r="C872" s="987"/>
      <c r="D872" s="987"/>
      <c r="E872" s="987"/>
      <c r="F872" s="987"/>
      <c r="G872" s="987"/>
      <c r="H872" s="987"/>
      <c r="I872" s="987"/>
      <c r="J872" s="987"/>
      <c r="K872" s="987"/>
      <c r="L872" s="987"/>
      <c r="M872" s="987"/>
      <c r="N872" s="987"/>
      <c r="O872" s="987"/>
      <c r="P872" s="987"/>
      <c r="Q872" s="987"/>
      <c r="R872" s="987"/>
      <c r="S872" s="987"/>
      <c r="T872" s="987"/>
      <c r="U872" s="987"/>
      <c r="V872" s="987"/>
      <c r="W872" s="987"/>
      <c r="X872" s="987"/>
      <c r="Y872" s="987"/>
      <c r="Z872" s="987"/>
    </row>
    <row r="873">
      <c r="A873" s="987"/>
      <c r="B873" s="987"/>
      <c r="C873" s="987"/>
      <c r="D873" s="987"/>
      <c r="E873" s="987"/>
      <c r="F873" s="987"/>
      <c r="G873" s="987"/>
      <c r="H873" s="987"/>
      <c r="I873" s="987"/>
      <c r="J873" s="987"/>
      <c r="K873" s="987"/>
      <c r="L873" s="987"/>
      <c r="M873" s="987"/>
      <c r="N873" s="987"/>
      <c r="O873" s="987"/>
      <c r="P873" s="987"/>
      <c r="Q873" s="987"/>
      <c r="R873" s="987"/>
      <c r="S873" s="987"/>
      <c r="T873" s="987"/>
      <c r="U873" s="987"/>
      <c r="V873" s="987"/>
      <c r="W873" s="987"/>
      <c r="X873" s="987"/>
      <c r="Y873" s="987"/>
      <c r="Z873" s="987"/>
    </row>
    <row r="874">
      <c r="A874" s="987"/>
      <c r="B874" s="987"/>
      <c r="C874" s="987"/>
      <c r="D874" s="987"/>
      <c r="E874" s="987"/>
      <c r="F874" s="987"/>
      <c r="G874" s="987"/>
      <c r="H874" s="987"/>
      <c r="I874" s="987"/>
      <c r="J874" s="987"/>
      <c r="K874" s="987"/>
      <c r="L874" s="987"/>
      <c r="M874" s="987"/>
      <c r="N874" s="987"/>
      <c r="O874" s="987"/>
      <c r="P874" s="987"/>
      <c r="Q874" s="987"/>
      <c r="R874" s="987"/>
      <c r="S874" s="987"/>
      <c r="T874" s="987"/>
      <c r="U874" s="987"/>
      <c r="V874" s="987"/>
      <c r="W874" s="987"/>
      <c r="X874" s="987"/>
      <c r="Y874" s="987"/>
      <c r="Z874" s="987"/>
    </row>
    <row r="875">
      <c r="A875" s="987"/>
      <c r="B875" s="987"/>
      <c r="C875" s="987"/>
      <c r="D875" s="987"/>
      <c r="E875" s="987"/>
      <c r="F875" s="987"/>
      <c r="G875" s="987"/>
      <c r="H875" s="987"/>
      <c r="I875" s="987"/>
      <c r="J875" s="987"/>
      <c r="K875" s="987"/>
      <c r="L875" s="987"/>
      <c r="M875" s="987"/>
      <c r="N875" s="987"/>
      <c r="O875" s="987"/>
      <c r="P875" s="987"/>
      <c r="Q875" s="987"/>
      <c r="R875" s="987"/>
      <c r="S875" s="987"/>
      <c r="T875" s="987"/>
      <c r="U875" s="987"/>
      <c r="V875" s="987"/>
      <c r="W875" s="987"/>
      <c r="X875" s="987"/>
      <c r="Y875" s="987"/>
      <c r="Z875" s="987"/>
    </row>
    <row r="876">
      <c r="A876" s="987"/>
      <c r="B876" s="987"/>
      <c r="C876" s="987"/>
      <c r="D876" s="987"/>
      <c r="E876" s="987"/>
      <c r="F876" s="987"/>
      <c r="G876" s="987"/>
      <c r="H876" s="987"/>
      <c r="I876" s="987"/>
      <c r="J876" s="987"/>
      <c r="K876" s="987"/>
      <c r="L876" s="987"/>
      <c r="M876" s="987"/>
      <c r="N876" s="987"/>
      <c r="O876" s="987"/>
      <c r="P876" s="987"/>
      <c r="Q876" s="987"/>
      <c r="R876" s="987"/>
      <c r="S876" s="987"/>
      <c r="T876" s="987"/>
      <c r="U876" s="987"/>
      <c r="V876" s="987"/>
      <c r="W876" s="987"/>
      <c r="X876" s="987"/>
      <c r="Y876" s="987"/>
      <c r="Z876" s="987"/>
    </row>
    <row r="877">
      <c r="A877" s="987"/>
      <c r="B877" s="987"/>
      <c r="C877" s="987"/>
      <c r="D877" s="987"/>
      <c r="E877" s="987"/>
      <c r="F877" s="987"/>
      <c r="G877" s="987"/>
      <c r="H877" s="987"/>
      <c r="I877" s="987"/>
      <c r="J877" s="987"/>
      <c r="K877" s="987"/>
      <c r="L877" s="987"/>
      <c r="M877" s="987"/>
      <c r="N877" s="987"/>
      <c r="O877" s="987"/>
      <c r="P877" s="987"/>
      <c r="Q877" s="987"/>
      <c r="R877" s="987"/>
      <c r="S877" s="987"/>
      <c r="T877" s="987"/>
      <c r="U877" s="987"/>
      <c r="V877" s="987"/>
      <c r="W877" s="987"/>
      <c r="X877" s="987"/>
      <c r="Y877" s="987"/>
      <c r="Z877" s="987"/>
    </row>
    <row r="878">
      <c r="A878" s="987"/>
      <c r="B878" s="987"/>
      <c r="C878" s="987"/>
      <c r="D878" s="987"/>
      <c r="E878" s="987"/>
      <c r="F878" s="987"/>
      <c r="G878" s="987"/>
      <c r="H878" s="987"/>
      <c r="I878" s="987"/>
      <c r="J878" s="987"/>
      <c r="K878" s="987"/>
      <c r="L878" s="987"/>
      <c r="M878" s="987"/>
      <c r="N878" s="987"/>
      <c r="O878" s="987"/>
      <c r="P878" s="987"/>
      <c r="Q878" s="987"/>
      <c r="R878" s="987"/>
      <c r="S878" s="987"/>
      <c r="T878" s="987"/>
      <c r="U878" s="987"/>
      <c r="V878" s="987"/>
      <c r="W878" s="987"/>
      <c r="X878" s="987"/>
      <c r="Y878" s="987"/>
      <c r="Z878" s="987"/>
    </row>
    <row r="879">
      <c r="A879" s="987"/>
      <c r="B879" s="987"/>
      <c r="C879" s="987"/>
      <c r="D879" s="987"/>
      <c r="E879" s="987"/>
      <c r="F879" s="987"/>
      <c r="G879" s="987"/>
      <c r="H879" s="987"/>
      <c r="I879" s="987"/>
      <c r="J879" s="987"/>
      <c r="K879" s="987"/>
      <c r="L879" s="987"/>
      <c r="M879" s="987"/>
      <c r="N879" s="987"/>
      <c r="O879" s="987"/>
      <c r="P879" s="987"/>
      <c r="Q879" s="987"/>
      <c r="R879" s="987"/>
      <c r="S879" s="987"/>
      <c r="T879" s="987"/>
      <c r="U879" s="987"/>
      <c r="V879" s="987"/>
      <c r="W879" s="987"/>
      <c r="X879" s="987"/>
      <c r="Y879" s="987"/>
      <c r="Z879" s="987"/>
    </row>
    <row r="880">
      <c r="A880" s="987"/>
      <c r="B880" s="987"/>
      <c r="C880" s="987"/>
      <c r="D880" s="987"/>
      <c r="E880" s="987"/>
      <c r="F880" s="987"/>
      <c r="G880" s="987"/>
      <c r="H880" s="987"/>
      <c r="I880" s="987"/>
      <c r="J880" s="987"/>
      <c r="K880" s="987"/>
      <c r="L880" s="987"/>
      <c r="M880" s="987"/>
      <c r="N880" s="987"/>
      <c r="O880" s="987"/>
      <c r="P880" s="987"/>
      <c r="Q880" s="987"/>
      <c r="R880" s="987"/>
      <c r="S880" s="987"/>
      <c r="T880" s="987"/>
      <c r="U880" s="987"/>
      <c r="V880" s="987"/>
      <c r="W880" s="987"/>
      <c r="X880" s="987"/>
      <c r="Y880" s="987"/>
      <c r="Z880" s="987"/>
    </row>
    <row r="881">
      <c r="A881" s="987"/>
      <c r="B881" s="987"/>
      <c r="C881" s="987"/>
      <c r="D881" s="987"/>
      <c r="E881" s="987"/>
      <c r="F881" s="987"/>
      <c r="G881" s="987"/>
      <c r="H881" s="987"/>
      <c r="I881" s="987"/>
      <c r="J881" s="987"/>
      <c r="K881" s="987"/>
      <c r="L881" s="987"/>
      <c r="M881" s="987"/>
      <c r="N881" s="987"/>
      <c r="O881" s="987"/>
      <c r="P881" s="987"/>
      <c r="Q881" s="987"/>
      <c r="R881" s="987"/>
      <c r="S881" s="987"/>
      <c r="T881" s="987"/>
      <c r="U881" s="987"/>
      <c r="V881" s="987"/>
      <c r="W881" s="987"/>
      <c r="X881" s="987"/>
      <c r="Y881" s="987"/>
      <c r="Z881" s="987"/>
    </row>
    <row r="882">
      <c r="A882" s="987"/>
      <c r="B882" s="987"/>
      <c r="C882" s="987"/>
      <c r="D882" s="987"/>
      <c r="E882" s="987"/>
      <c r="F882" s="987"/>
      <c r="G882" s="987"/>
      <c r="H882" s="987"/>
      <c r="I882" s="987"/>
      <c r="J882" s="987"/>
      <c r="K882" s="987"/>
      <c r="L882" s="987"/>
      <c r="M882" s="987"/>
      <c r="N882" s="987"/>
      <c r="O882" s="987"/>
      <c r="P882" s="987"/>
      <c r="Q882" s="987"/>
      <c r="R882" s="987"/>
      <c r="S882" s="987"/>
      <c r="T882" s="987"/>
      <c r="U882" s="987"/>
      <c r="V882" s="987"/>
      <c r="W882" s="987"/>
      <c r="X882" s="987"/>
      <c r="Y882" s="987"/>
      <c r="Z882" s="987"/>
    </row>
    <row r="883">
      <c r="A883" s="987"/>
      <c r="B883" s="987"/>
      <c r="C883" s="987"/>
      <c r="D883" s="987"/>
      <c r="E883" s="987"/>
      <c r="F883" s="987"/>
      <c r="G883" s="987"/>
      <c r="H883" s="987"/>
      <c r="I883" s="987"/>
      <c r="J883" s="987"/>
      <c r="K883" s="987"/>
      <c r="L883" s="987"/>
      <c r="M883" s="987"/>
      <c r="N883" s="987"/>
      <c r="O883" s="987"/>
      <c r="P883" s="987"/>
      <c r="Q883" s="987"/>
      <c r="R883" s="987"/>
      <c r="S883" s="987"/>
      <c r="T883" s="987"/>
      <c r="U883" s="987"/>
      <c r="V883" s="987"/>
      <c r="W883" s="987"/>
      <c r="X883" s="987"/>
      <c r="Y883" s="987"/>
      <c r="Z883" s="987"/>
    </row>
    <row r="884">
      <c r="A884" s="987"/>
      <c r="B884" s="987"/>
      <c r="C884" s="987"/>
      <c r="D884" s="987"/>
      <c r="E884" s="987"/>
      <c r="F884" s="987"/>
      <c r="G884" s="987"/>
      <c r="H884" s="987"/>
      <c r="I884" s="987"/>
      <c r="J884" s="987"/>
      <c r="K884" s="987"/>
      <c r="L884" s="987"/>
      <c r="M884" s="987"/>
      <c r="N884" s="987"/>
      <c r="O884" s="987"/>
      <c r="P884" s="987"/>
      <c r="Q884" s="987"/>
      <c r="R884" s="987"/>
      <c r="S884" s="987"/>
      <c r="T884" s="987"/>
      <c r="U884" s="987"/>
      <c r="V884" s="987"/>
      <c r="W884" s="987"/>
      <c r="X884" s="987"/>
      <c r="Y884" s="987"/>
      <c r="Z884" s="987"/>
    </row>
    <row r="885">
      <c r="A885" s="987"/>
      <c r="B885" s="987"/>
      <c r="C885" s="987"/>
      <c r="D885" s="987"/>
      <c r="E885" s="987"/>
      <c r="F885" s="987"/>
      <c r="G885" s="987"/>
      <c r="H885" s="987"/>
      <c r="I885" s="987"/>
      <c r="J885" s="987"/>
      <c r="K885" s="987"/>
      <c r="L885" s="987"/>
      <c r="M885" s="987"/>
      <c r="N885" s="987"/>
      <c r="O885" s="987"/>
      <c r="P885" s="987"/>
      <c r="Q885" s="987"/>
      <c r="R885" s="987"/>
      <c r="S885" s="987"/>
      <c r="T885" s="987"/>
      <c r="U885" s="987"/>
      <c r="V885" s="987"/>
      <c r="W885" s="987"/>
      <c r="X885" s="987"/>
      <c r="Y885" s="987"/>
      <c r="Z885" s="987"/>
    </row>
    <row r="886">
      <c r="A886" s="987"/>
      <c r="B886" s="987"/>
      <c r="C886" s="987"/>
      <c r="D886" s="987"/>
      <c r="E886" s="987"/>
      <c r="F886" s="987"/>
      <c r="G886" s="987"/>
      <c r="H886" s="987"/>
      <c r="I886" s="987"/>
      <c r="J886" s="987"/>
      <c r="K886" s="987"/>
      <c r="L886" s="987"/>
      <c r="M886" s="987"/>
      <c r="N886" s="987"/>
      <c r="O886" s="987"/>
      <c r="P886" s="987"/>
      <c r="Q886" s="987"/>
      <c r="R886" s="987"/>
      <c r="S886" s="987"/>
      <c r="T886" s="987"/>
      <c r="U886" s="987"/>
      <c r="V886" s="987"/>
      <c r="W886" s="987"/>
      <c r="X886" s="987"/>
      <c r="Y886" s="987"/>
      <c r="Z886" s="987"/>
    </row>
    <row r="887">
      <c r="A887" s="987"/>
      <c r="B887" s="987"/>
      <c r="C887" s="987"/>
      <c r="D887" s="987"/>
      <c r="E887" s="987"/>
      <c r="F887" s="987"/>
      <c r="G887" s="987"/>
      <c r="H887" s="987"/>
      <c r="I887" s="987"/>
      <c r="J887" s="987"/>
      <c r="K887" s="987"/>
      <c r="L887" s="987"/>
      <c r="M887" s="987"/>
      <c r="N887" s="987"/>
      <c r="O887" s="987"/>
      <c r="P887" s="987"/>
      <c r="Q887" s="987"/>
      <c r="R887" s="987"/>
      <c r="S887" s="987"/>
      <c r="T887" s="987"/>
      <c r="U887" s="987"/>
      <c r="V887" s="987"/>
      <c r="W887" s="987"/>
      <c r="X887" s="987"/>
      <c r="Y887" s="987"/>
      <c r="Z887" s="987"/>
    </row>
    <row r="888">
      <c r="A888" s="987"/>
      <c r="B888" s="987"/>
      <c r="C888" s="987"/>
      <c r="D888" s="987"/>
      <c r="E888" s="987"/>
      <c r="F888" s="987"/>
      <c r="G888" s="987"/>
      <c r="H888" s="987"/>
      <c r="I888" s="987"/>
      <c r="J888" s="987"/>
      <c r="K888" s="987"/>
      <c r="L888" s="987"/>
      <c r="M888" s="987"/>
      <c r="N888" s="987"/>
      <c r="O888" s="987"/>
      <c r="P888" s="987"/>
      <c r="Q888" s="987"/>
      <c r="R888" s="987"/>
      <c r="S888" s="987"/>
      <c r="T888" s="987"/>
      <c r="U888" s="987"/>
      <c r="V888" s="987"/>
      <c r="W888" s="987"/>
      <c r="X888" s="987"/>
      <c r="Y888" s="987"/>
      <c r="Z888" s="987"/>
    </row>
    <row r="889">
      <c r="A889" s="987"/>
      <c r="B889" s="987"/>
      <c r="C889" s="987"/>
      <c r="D889" s="987"/>
      <c r="E889" s="987"/>
      <c r="F889" s="987"/>
      <c r="G889" s="987"/>
      <c r="H889" s="987"/>
      <c r="I889" s="987"/>
      <c r="J889" s="987"/>
      <c r="K889" s="987"/>
      <c r="L889" s="987"/>
      <c r="M889" s="987"/>
      <c r="N889" s="987"/>
      <c r="O889" s="987"/>
      <c r="P889" s="987"/>
      <c r="Q889" s="987"/>
      <c r="R889" s="987"/>
      <c r="S889" s="987"/>
      <c r="T889" s="987"/>
      <c r="U889" s="987"/>
      <c r="V889" s="987"/>
      <c r="W889" s="987"/>
      <c r="X889" s="987"/>
      <c r="Y889" s="987"/>
      <c r="Z889" s="987"/>
    </row>
    <row r="890">
      <c r="A890" s="987"/>
      <c r="B890" s="987"/>
      <c r="C890" s="987"/>
      <c r="D890" s="987"/>
      <c r="E890" s="987"/>
      <c r="F890" s="987"/>
      <c r="G890" s="987"/>
      <c r="H890" s="987"/>
      <c r="I890" s="987"/>
      <c r="J890" s="987"/>
      <c r="K890" s="987"/>
      <c r="L890" s="987"/>
      <c r="M890" s="987"/>
      <c r="N890" s="987"/>
      <c r="O890" s="987"/>
      <c r="P890" s="987"/>
      <c r="Q890" s="987"/>
      <c r="R890" s="987"/>
      <c r="S890" s="987"/>
      <c r="T890" s="987"/>
      <c r="U890" s="987"/>
      <c r="V890" s="987"/>
      <c r="W890" s="987"/>
      <c r="X890" s="987"/>
      <c r="Y890" s="987"/>
      <c r="Z890" s="987"/>
    </row>
    <row r="891">
      <c r="A891" s="987"/>
      <c r="B891" s="987"/>
      <c r="C891" s="987"/>
      <c r="D891" s="987"/>
      <c r="E891" s="987"/>
      <c r="F891" s="987"/>
      <c r="G891" s="987"/>
      <c r="H891" s="987"/>
      <c r="I891" s="987"/>
      <c r="J891" s="987"/>
      <c r="K891" s="987"/>
      <c r="L891" s="987"/>
      <c r="M891" s="987"/>
      <c r="N891" s="987"/>
      <c r="O891" s="987"/>
      <c r="P891" s="987"/>
      <c r="Q891" s="987"/>
      <c r="R891" s="987"/>
      <c r="S891" s="987"/>
      <c r="T891" s="987"/>
      <c r="U891" s="987"/>
      <c r="V891" s="987"/>
      <c r="W891" s="987"/>
      <c r="X891" s="987"/>
      <c r="Y891" s="987"/>
      <c r="Z891" s="987"/>
    </row>
    <row r="892">
      <c r="A892" s="987"/>
      <c r="B892" s="987"/>
      <c r="C892" s="987"/>
      <c r="D892" s="987"/>
      <c r="E892" s="987"/>
      <c r="F892" s="987"/>
      <c r="G892" s="987"/>
      <c r="H892" s="987"/>
      <c r="I892" s="987"/>
      <c r="J892" s="987"/>
      <c r="K892" s="987"/>
      <c r="L892" s="987"/>
      <c r="M892" s="987"/>
      <c r="N892" s="987"/>
      <c r="O892" s="987"/>
      <c r="P892" s="987"/>
      <c r="Q892" s="987"/>
      <c r="R892" s="987"/>
      <c r="S892" s="987"/>
      <c r="T892" s="987"/>
      <c r="U892" s="987"/>
      <c r="V892" s="987"/>
      <c r="W892" s="987"/>
      <c r="X892" s="987"/>
      <c r="Y892" s="987"/>
      <c r="Z892" s="987"/>
    </row>
    <row r="893">
      <c r="A893" s="987"/>
      <c r="B893" s="987"/>
      <c r="C893" s="987"/>
      <c r="D893" s="987"/>
      <c r="E893" s="987"/>
      <c r="F893" s="987"/>
      <c r="G893" s="987"/>
      <c r="H893" s="987"/>
      <c r="I893" s="987"/>
      <c r="J893" s="987"/>
      <c r="K893" s="987"/>
      <c r="L893" s="987"/>
      <c r="M893" s="987"/>
      <c r="N893" s="987"/>
      <c r="O893" s="987"/>
      <c r="P893" s="987"/>
      <c r="Q893" s="987"/>
      <c r="R893" s="987"/>
      <c r="S893" s="987"/>
      <c r="T893" s="987"/>
      <c r="U893" s="987"/>
      <c r="V893" s="987"/>
      <c r="W893" s="987"/>
      <c r="X893" s="987"/>
      <c r="Y893" s="987"/>
      <c r="Z893" s="987"/>
    </row>
    <row r="894">
      <c r="A894" s="987"/>
      <c r="B894" s="987"/>
      <c r="C894" s="987"/>
      <c r="D894" s="987"/>
      <c r="E894" s="987"/>
      <c r="F894" s="987"/>
      <c r="G894" s="987"/>
      <c r="H894" s="987"/>
      <c r="I894" s="987"/>
      <c r="J894" s="987"/>
      <c r="K894" s="987"/>
      <c r="L894" s="987"/>
      <c r="M894" s="987"/>
      <c r="N894" s="987"/>
      <c r="O894" s="987"/>
      <c r="P894" s="987"/>
      <c r="Q894" s="987"/>
      <c r="R894" s="987"/>
      <c r="S894" s="987"/>
      <c r="T894" s="987"/>
      <c r="U894" s="987"/>
      <c r="V894" s="987"/>
      <c r="W894" s="987"/>
      <c r="X894" s="987"/>
      <c r="Y894" s="987"/>
      <c r="Z894" s="987"/>
    </row>
    <row r="895">
      <c r="A895" s="987"/>
      <c r="B895" s="987"/>
      <c r="C895" s="987"/>
      <c r="D895" s="987"/>
      <c r="E895" s="987"/>
      <c r="F895" s="987"/>
      <c r="G895" s="987"/>
      <c r="H895" s="987"/>
      <c r="I895" s="987"/>
      <c r="J895" s="987"/>
      <c r="K895" s="987"/>
      <c r="L895" s="987"/>
      <c r="M895" s="987"/>
      <c r="N895" s="987"/>
      <c r="O895" s="987"/>
      <c r="P895" s="987"/>
      <c r="Q895" s="987"/>
      <c r="R895" s="987"/>
      <c r="S895" s="987"/>
      <c r="T895" s="987"/>
      <c r="U895" s="987"/>
      <c r="V895" s="987"/>
      <c r="W895" s="987"/>
      <c r="X895" s="987"/>
      <c r="Y895" s="987"/>
      <c r="Z895" s="987"/>
    </row>
    <row r="896">
      <c r="A896" s="987"/>
      <c r="B896" s="987"/>
      <c r="C896" s="987"/>
      <c r="D896" s="987"/>
      <c r="E896" s="987"/>
      <c r="F896" s="987"/>
      <c r="G896" s="987"/>
      <c r="H896" s="987"/>
      <c r="I896" s="987"/>
      <c r="J896" s="987"/>
      <c r="K896" s="987"/>
      <c r="L896" s="987"/>
      <c r="M896" s="987"/>
      <c r="N896" s="987"/>
      <c r="O896" s="987"/>
      <c r="P896" s="987"/>
      <c r="Q896" s="987"/>
      <c r="R896" s="987"/>
      <c r="S896" s="987"/>
      <c r="T896" s="987"/>
      <c r="U896" s="987"/>
      <c r="V896" s="987"/>
      <c r="W896" s="987"/>
      <c r="X896" s="987"/>
      <c r="Y896" s="987"/>
      <c r="Z896" s="987"/>
    </row>
    <row r="897">
      <c r="A897" s="987"/>
      <c r="B897" s="987"/>
      <c r="C897" s="987"/>
      <c r="D897" s="987"/>
      <c r="E897" s="987"/>
      <c r="F897" s="987"/>
      <c r="G897" s="987"/>
      <c r="H897" s="987"/>
      <c r="I897" s="987"/>
      <c r="J897" s="987"/>
      <c r="K897" s="987"/>
      <c r="L897" s="987"/>
      <c r="M897" s="987"/>
      <c r="N897" s="987"/>
      <c r="O897" s="987"/>
      <c r="P897" s="987"/>
      <c r="Q897" s="987"/>
      <c r="R897" s="987"/>
      <c r="S897" s="987"/>
      <c r="T897" s="987"/>
      <c r="U897" s="987"/>
      <c r="V897" s="987"/>
      <c r="W897" s="987"/>
      <c r="X897" s="987"/>
      <c r="Y897" s="987"/>
      <c r="Z897" s="987"/>
    </row>
    <row r="898">
      <c r="A898" s="987"/>
      <c r="B898" s="987"/>
      <c r="C898" s="987"/>
      <c r="D898" s="987"/>
      <c r="E898" s="987"/>
      <c r="F898" s="987"/>
      <c r="G898" s="987"/>
      <c r="H898" s="987"/>
      <c r="I898" s="987"/>
      <c r="J898" s="987"/>
      <c r="K898" s="987"/>
      <c r="L898" s="987"/>
      <c r="M898" s="987"/>
      <c r="N898" s="987"/>
      <c r="O898" s="987"/>
      <c r="P898" s="987"/>
      <c r="Q898" s="987"/>
      <c r="R898" s="987"/>
      <c r="S898" s="987"/>
      <c r="T898" s="987"/>
      <c r="U898" s="987"/>
      <c r="V898" s="987"/>
      <c r="W898" s="987"/>
      <c r="X898" s="987"/>
      <c r="Y898" s="987"/>
      <c r="Z898" s="987"/>
    </row>
    <row r="899">
      <c r="A899" s="987"/>
      <c r="B899" s="987"/>
      <c r="C899" s="987"/>
      <c r="D899" s="987"/>
      <c r="E899" s="987"/>
      <c r="F899" s="987"/>
      <c r="G899" s="987"/>
      <c r="H899" s="987"/>
      <c r="I899" s="987"/>
      <c r="J899" s="987"/>
      <c r="K899" s="987"/>
      <c r="L899" s="987"/>
      <c r="M899" s="987"/>
      <c r="N899" s="987"/>
      <c r="O899" s="987"/>
      <c r="P899" s="987"/>
      <c r="Q899" s="987"/>
      <c r="R899" s="987"/>
      <c r="S899" s="987"/>
      <c r="T899" s="987"/>
      <c r="U899" s="987"/>
      <c r="V899" s="987"/>
      <c r="W899" s="987"/>
      <c r="X899" s="987"/>
      <c r="Y899" s="987"/>
      <c r="Z899" s="987"/>
    </row>
    <row r="900">
      <c r="A900" s="987"/>
      <c r="B900" s="987"/>
      <c r="C900" s="987"/>
      <c r="D900" s="987"/>
      <c r="E900" s="987"/>
      <c r="F900" s="987"/>
      <c r="G900" s="987"/>
      <c r="H900" s="987"/>
      <c r="I900" s="987"/>
      <c r="J900" s="987"/>
      <c r="K900" s="987"/>
      <c r="L900" s="987"/>
      <c r="M900" s="987"/>
      <c r="N900" s="987"/>
      <c r="O900" s="987"/>
      <c r="P900" s="987"/>
      <c r="Q900" s="987"/>
      <c r="R900" s="987"/>
      <c r="S900" s="987"/>
      <c r="T900" s="987"/>
      <c r="U900" s="987"/>
      <c r="V900" s="987"/>
      <c r="W900" s="987"/>
      <c r="X900" s="987"/>
      <c r="Y900" s="987"/>
      <c r="Z900" s="987"/>
    </row>
    <row r="901">
      <c r="A901" s="987"/>
      <c r="B901" s="987"/>
      <c r="C901" s="987"/>
      <c r="D901" s="987"/>
      <c r="E901" s="987"/>
      <c r="F901" s="987"/>
      <c r="G901" s="987"/>
      <c r="H901" s="987"/>
      <c r="I901" s="987"/>
      <c r="J901" s="987"/>
      <c r="K901" s="987"/>
      <c r="L901" s="987"/>
      <c r="M901" s="987"/>
      <c r="N901" s="987"/>
      <c r="O901" s="987"/>
      <c r="P901" s="987"/>
      <c r="Q901" s="987"/>
      <c r="R901" s="987"/>
      <c r="S901" s="987"/>
      <c r="T901" s="987"/>
      <c r="U901" s="987"/>
      <c r="V901" s="987"/>
      <c r="W901" s="987"/>
      <c r="X901" s="987"/>
      <c r="Y901" s="987"/>
      <c r="Z901" s="987"/>
    </row>
    <row r="902">
      <c r="A902" s="987"/>
      <c r="B902" s="987"/>
      <c r="C902" s="987"/>
      <c r="D902" s="987"/>
      <c r="E902" s="987"/>
      <c r="F902" s="987"/>
      <c r="G902" s="987"/>
      <c r="H902" s="987"/>
      <c r="I902" s="987"/>
      <c r="J902" s="987"/>
      <c r="K902" s="987"/>
      <c r="L902" s="987"/>
      <c r="M902" s="987"/>
      <c r="N902" s="987"/>
      <c r="O902" s="987"/>
      <c r="P902" s="987"/>
      <c r="Q902" s="987"/>
      <c r="R902" s="987"/>
      <c r="S902" s="987"/>
      <c r="T902" s="987"/>
      <c r="U902" s="987"/>
      <c r="V902" s="987"/>
      <c r="W902" s="987"/>
      <c r="X902" s="987"/>
      <c r="Y902" s="987"/>
      <c r="Z902" s="987"/>
    </row>
    <row r="903">
      <c r="A903" s="987"/>
      <c r="B903" s="987"/>
      <c r="C903" s="987"/>
      <c r="D903" s="987"/>
      <c r="E903" s="987"/>
      <c r="F903" s="987"/>
      <c r="G903" s="987"/>
      <c r="H903" s="987"/>
      <c r="I903" s="987"/>
      <c r="J903" s="987"/>
      <c r="K903" s="987"/>
      <c r="L903" s="987"/>
      <c r="M903" s="987"/>
      <c r="N903" s="987"/>
      <c r="O903" s="987"/>
      <c r="P903" s="987"/>
      <c r="Q903" s="987"/>
      <c r="R903" s="987"/>
      <c r="S903" s="987"/>
      <c r="T903" s="987"/>
      <c r="U903" s="987"/>
      <c r="V903" s="987"/>
      <c r="W903" s="987"/>
      <c r="X903" s="987"/>
      <c r="Y903" s="987"/>
      <c r="Z903" s="987"/>
    </row>
    <row r="904">
      <c r="A904" s="987"/>
      <c r="B904" s="987"/>
      <c r="C904" s="987"/>
      <c r="D904" s="987"/>
      <c r="E904" s="987"/>
      <c r="F904" s="987"/>
      <c r="G904" s="987"/>
      <c r="H904" s="987"/>
      <c r="I904" s="987"/>
      <c r="J904" s="987"/>
      <c r="K904" s="987"/>
      <c r="L904" s="987"/>
      <c r="M904" s="987"/>
      <c r="N904" s="987"/>
      <c r="O904" s="987"/>
      <c r="P904" s="987"/>
      <c r="Q904" s="987"/>
      <c r="R904" s="987"/>
      <c r="S904" s="987"/>
      <c r="T904" s="987"/>
      <c r="U904" s="987"/>
      <c r="V904" s="987"/>
      <c r="W904" s="987"/>
      <c r="X904" s="987"/>
      <c r="Y904" s="987"/>
      <c r="Z904" s="987"/>
    </row>
    <row r="905">
      <c r="A905" s="987"/>
      <c r="B905" s="987"/>
      <c r="C905" s="987"/>
      <c r="D905" s="987"/>
      <c r="E905" s="987"/>
      <c r="F905" s="987"/>
      <c r="G905" s="987"/>
      <c r="H905" s="987"/>
      <c r="I905" s="987"/>
      <c r="J905" s="987"/>
      <c r="K905" s="987"/>
      <c r="L905" s="987"/>
      <c r="M905" s="987"/>
      <c r="N905" s="987"/>
      <c r="O905" s="987"/>
      <c r="P905" s="987"/>
      <c r="Q905" s="987"/>
      <c r="R905" s="987"/>
      <c r="S905" s="987"/>
      <c r="T905" s="987"/>
      <c r="U905" s="987"/>
      <c r="V905" s="987"/>
      <c r="W905" s="987"/>
      <c r="X905" s="987"/>
      <c r="Y905" s="987"/>
      <c r="Z905" s="987"/>
    </row>
    <row r="906">
      <c r="A906" s="987"/>
      <c r="B906" s="987"/>
      <c r="C906" s="987"/>
      <c r="D906" s="987"/>
      <c r="E906" s="987"/>
      <c r="F906" s="987"/>
      <c r="G906" s="987"/>
      <c r="H906" s="987"/>
      <c r="I906" s="987"/>
      <c r="J906" s="987"/>
      <c r="K906" s="987"/>
      <c r="L906" s="987"/>
      <c r="M906" s="987"/>
      <c r="N906" s="987"/>
      <c r="O906" s="987"/>
      <c r="P906" s="987"/>
      <c r="Q906" s="987"/>
      <c r="R906" s="987"/>
      <c r="S906" s="987"/>
      <c r="T906" s="987"/>
      <c r="U906" s="987"/>
      <c r="V906" s="987"/>
      <c r="W906" s="987"/>
      <c r="X906" s="987"/>
      <c r="Y906" s="987"/>
      <c r="Z906" s="987"/>
    </row>
    <row r="907">
      <c r="A907" s="987"/>
      <c r="B907" s="987"/>
      <c r="C907" s="987"/>
      <c r="D907" s="987"/>
      <c r="E907" s="987"/>
      <c r="F907" s="987"/>
      <c r="G907" s="987"/>
      <c r="H907" s="987"/>
      <c r="I907" s="987"/>
      <c r="J907" s="987"/>
      <c r="K907" s="987"/>
      <c r="L907" s="987"/>
      <c r="M907" s="987"/>
      <c r="N907" s="987"/>
      <c r="O907" s="987"/>
      <c r="P907" s="987"/>
      <c r="Q907" s="987"/>
      <c r="R907" s="987"/>
      <c r="S907" s="987"/>
      <c r="T907" s="987"/>
      <c r="U907" s="987"/>
      <c r="V907" s="987"/>
      <c r="W907" s="987"/>
      <c r="X907" s="987"/>
      <c r="Y907" s="987"/>
      <c r="Z907" s="987"/>
    </row>
    <row r="908">
      <c r="A908" s="987"/>
      <c r="B908" s="987"/>
      <c r="C908" s="987"/>
      <c r="D908" s="987"/>
      <c r="E908" s="987"/>
      <c r="F908" s="987"/>
      <c r="G908" s="987"/>
      <c r="H908" s="987"/>
      <c r="I908" s="987"/>
      <c r="J908" s="987"/>
      <c r="K908" s="987"/>
      <c r="L908" s="987"/>
      <c r="M908" s="987"/>
      <c r="N908" s="987"/>
      <c r="O908" s="987"/>
      <c r="P908" s="987"/>
      <c r="Q908" s="987"/>
      <c r="R908" s="987"/>
      <c r="S908" s="987"/>
      <c r="T908" s="987"/>
      <c r="U908" s="987"/>
      <c r="V908" s="987"/>
      <c r="W908" s="987"/>
      <c r="X908" s="987"/>
      <c r="Y908" s="987"/>
      <c r="Z908" s="987"/>
    </row>
    <row r="909">
      <c r="A909" s="987"/>
      <c r="B909" s="987"/>
      <c r="C909" s="987"/>
      <c r="D909" s="987"/>
      <c r="E909" s="987"/>
      <c r="F909" s="987"/>
      <c r="G909" s="987"/>
      <c r="H909" s="987"/>
      <c r="I909" s="987"/>
      <c r="J909" s="987"/>
      <c r="K909" s="987"/>
      <c r="L909" s="987"/>
      <c r="M909" s="987"/>
      <c r="N909" s="987"/>
      <c r="O909" s="987"/>
      <c r="P909" s="987"/>
      <c r="Q909" s="987"/>
      <c r="R909" s="987"/>
      <c r="S909" s="987"/>
      <c r="T909" s="987"/>
      <c r="U909" s="987"/>
      <c r="V909" s="987"/>
      <c r="W909" s="987"/>
      <c r="X909" s="987"/>
      <c r="Y909" s="987"/>
      <c r="Z909" s="987"/>
    </row>
    <row r="910">
      <c r="A910" s="987"/>
      <c r="B910" s="987"/>
      <c r="C910" s="987"/>
      <c r="D910" s="987"/>
      <c r="E910" s="987"/>
      <c r="F910" s="987"/>
      <c r="G910" s="987"/>
      <c r="H910" s="987"/>
      <c r="I910" s="987"/>
      <c r="J910" s="987"/>
      <c r="K910" s="987"/>
      <c r="L910" s="987"/>
      <c r="M910" s="987"/>
      <c r="N910" s="987"/>
      <c r="O910" s="987"/>
      <c r="P910" s="987"/>
      <c r="Q910" s="987"/>
      <c r="R910" s="987"/>
      <c r="S910" s="987"/>
      <c r="T910" s="987"/>
      <c r="U910" s="987"/>
      <c r="V910" s="987"/>
      <c r="W910" s="987"/>
      <c r="X910" s="987"/>
      <c r="Y910" s="987"/>
      <c r="Z910" s="987"/>
    </row>
    <row r="911">
      <c r="A911" s="987"/>
      <c r="B911" s="987"/>
      <c r="C911" s="987"/>
      <c r="D911" s="987"/>
      <c r="E911" s="987"/>
      <c r="F911" s="987"/>
      <c r="G911" s="987"/>
      <c r="H911" s="987"/>
      <c r="I911" s="987"/>
      <c r="J911" s="987"/>
      <c r="K911" s="987"/>
      <c r="L911" s="987"/>
      <c r="M911" s="987"/>
      <c r="N911" s="987"/>
      <c r="O911" s="987"/>
      <c r="P911" s="987"/>
      <c r="Q911" s="987"/>
      <c r="R911" s="987"/>
      <c r="S911" s="987"/>
      <c r="T911" s="987"/>
      <c r="U911" s="987"/>
      <c r="V911" s="987"/>
      <c r="W911" s="987"/>
      <c r="X911" s="987"/>
      <c r="Y911" s="987"/>
      <c r="Z911" s="987"/>
    </row>
    <row r="912">
      <c r="A912" s="987"/>
      <c r="B912" s="987"/>
      <c r="C912" s="987"/>
      <c r="D912" s="987"/>
      <c r="E912" s="987"/>
      <c r="F912" s="987"/>
      <c r="G912" s="987"/>
      <c r="H912" s="987"/>
      <c r="I912" s="987"/>
      <c r="J912" s="987"/>
      <c r="K912" s="987"/>
      <c r="L912" s="987"/>
      <c r="M912" s="987"/>
      <c r="N912" s="987"/>
      <c r="O912" s="987"/>
      <c r="P912" s="987"/>
      <c r="Q912" s="987"/>
      <c r="R912" s="987"/>
      <c r="S912" s="987"/>
      <c r="T912" s="987"/>
      <c r="U912" s="987"/>
      <c r="V912" s="987"/>
      <c r="W912" s="987"/>
      <c r="X912" s="987"/>
      <c r="Y912" s="987"/>
      <c r="Z912" s="987"/>
    </row>
    <row r="913">
      <c r="A913" s="987"/>
      <c r="B913" s="987"/>
      <c r="C913" s="987"/>
      <c r="D913" s="987"/>
      <c r="E913" s="987"/>
      <c r="F913" s="987"/>
      <c r="G913" s="987"/>
      <c r="H913" s="987"/>
      <c r="I913" s="987"/>
      <c r="J913" s="987"/>
      <c r="K913" s="987"/>
      <c r="L913" s="987"/>
      <c r="M913" s="987"/>
      <c r="N913" s="987"/>
      <c r="O913" s="987"/>
      <c r="P913" s="987"/>
      <c r="Q913" s="987"/>
      <c r="R913" s="987"/>
      <c r="S913" s="987"/>
      <c r="T913" s="987"/>
      <c r="U913" s="987"/>
      <c r="V913" s="987"/>
      <c r="W913" s="987"/>
      <c r="X913" s="987"/>
      <c r="Y913" s="987"/>
      <c r="Z913" s="987"/>
    </row>
    <row r="914">
      <c r="A914" s="987"/>
      <c r="B914" s="987"/>
      <c r="C914" s="987"/>
      <c r="D914" s="987"/>
      <c r="E914" s="987"/>
      <c r="F914" s="987"/>
      <c r="G914" s="987"/>
      <c r="H914" s="987"/>
      <c r="I914" s="987"/>
      <c r="J914" s="987"/>
      <c r="K914" s="987"/>
      <c r="L914" s="987"/>
      <c r="M914" s="987"/>
      <c r="N914" s="987"/>
      <c r="O914" s="987"/>
      <c r="P914" s="987"/>
      <c r="Q914" s="987"/>
      <c r="R914" s="987"/>
      <c r="S914" s="987"/>
      <c r="T914" s="987"/>
      <c r="U914" s="987"/>
      <c r="V914" s="987"/>
      <c r="W914" s="987"/>
      <c r="X914" s="987"/>
      <c r="Y914" s="987"/>
      <c r="Z914" s="987"/>
    </row>
    <row r="915">
      <c r="A915" s="987"/>
      <c r="B915" s="987"/>
      <c r="C915" s="987"/>
      <c r="D915" s="987"/>
      <c r="E915" s="987"/>
      <c r="F915" s="987"/>
      <c r="G915" s="987"/>
      <c r="H915" s="987"/>
      <c r="I915" s="987"/>
      <c r="J915" s="987"/>
      <c r="K915" s="987"/>
      <c r="L915" s="987"/>
      <c r="M915" s="987"/>
      <c r="N915" s="987"/>
      <c r="O915" s="987"/>
      <c r="P915" s="987"/>
      <c r="Q915" s="987"/>
      <c r="R915" s="987"/>
      <c r="S915" s="987"/>
      <c r="T915" s="987"/>
      <c r="U915" s="987"/>
      <c r="V915" s="987"/>
      <c r="W915" s="987"/>
      <c r="X915" s="987"/>
      <c r="Y915" s="987"/>
      <c r="Z915" s="987"/>
    </row>
    <row r="916">
      <c r="A916" s="987"/>
      <c r="B916" s="987"/>
      <c r="C916" s="987"/>
      <c r="D916" s="987"/>
      <c r="E916" s="987"/>
      <c r="F916" s="987"/>
      <c r="G916" s="987"/>
      <c r="H916" s="987"/>
      <c r="I916" s="987"/>
      <c r="J916" s="987"/>
      <c r="K916" s="987"/>
      <c r="L916" s="987"/>
      <c r="M916" s="987"/>
      <c r="N916" s="987"/>
      <c r="O916" s="987"/>
      <c r="P916" s="987"/>
      <c r="Q916" s="987"/>
      <c r="R916" s="987"/>
      <c r="S916" s="987"/>
      <c r="T916" s="987"/>
      <c r="U916" s="987"/>
      <c r="V916" s="987"/>
      <c r="W916" s="987"/>
      <c r="X916" s="987"/>
      <c r="Y916" s="987"/>
      <c r="Z916" s="987"/>
    </row>
    <row r="917">
      <c r="A917" s="987"/>
      <c r="B917" s="987"/>
      <c r="C917" s="987"/>
      <c r="D917" s="987"/>
      <c r="E917" s="987"/>
      <c r="F917" s="987"/>
      <c r="G917" s="987"/>
      <c r="H917" s="987"/>
      <c r="I917" s="987"/>
      <c r="J917" s="987"/>
      <c r="K917" s="987"/>
      <c r="L917" s="987"/>
      <c r="M917" s="987"/>
      <c r="N917" s="987"/>
      <c r="O917" s="987"/>
      <c r="P917" s="987"/>
      <c r="Q917" s="987"/>
      <c r="R917" s="987"/>
      <c r="S917" s="987"/>
      <c r="T917" s="987"/>
      <c r="U917" s="987"/>
      <c r="V917" s="987"/>
      <c r="W917" s="987"/>
      <c r="X917" s="987"/>
      <c r="Y917" s="987"/>
      <c r="Z917" s="987"/>
    </row>
    <row r="918">
      <c r="A918" s="987"/>
      <c r="B918" s="987"/>
      <c r="C918" s="987"/>
      <c r="D918" s="987"/>
      <c r="E918" s="987"/>
      <c r="F918" s="987"/>
      <c r="G918" s="987"/>
      <c r="H918" s="987"/>
      <c r="I918" s="987"/>
      <c r="J918" s="987"/>
      <c r="K918" s="987"/>
      <c r="L918" s="987"/>
      <c r="M918" s="987"/>
      <c r="N918" s="987"/>
      <c r="O918" s="987"/>
      <c r="P918" s="987"/>
      <c r="Q918" s="987"/>
      <c r="R918" s="987"/>
      <c r="S918" s="987"/>
      <c r="T918" s="987"/>
      <c r="U918" s="987"/>
      <c r="V918" s="987"/>
      <c r="W918" s="987"/>
      <c r="X918" s="987"/>
      <c r="Y918" s="987"/>
      <c r="Z918" s="987"/>
    </row>
    <row r="919">
      <c r="A919" s="987"/>
      <c r="B919" s="987"/>
      <c r="C919" s="987"/>
      <c r="D919" s="987"/>
      <c r="E919" s="987"/>
      <c r="F919" s="987"/>
      <c r="G919" s="987"/>
      <c r="H919" s="987"/>
      <c r="I919" s="987"/>
      <c r="J919" s="987"/>
      <c r="K919" s="987"/>
      <c r="L919" s="987"/>
      <c r="M919" s="987"/>
      <c r="N919" s="987"/>
      <c r="O919" s="987"/>
      <c r="P919" s="987"/>
      <c r="Q919" s="987"/>
      <c r="R919" s="987"/>
      <c r="S919" s="987"/>
      <c r="T919" s="987"/>
      <c r="U919" s="987"/>
      <c r="V919" s="987"/>
      <c r="W919" s="987"/>
      <c r="X919" s="987"/>
      <c r="Y919" s="987"/>
      <c r="Z919" s="987"/>
    </row>
    <row r="920">
      <c r="A920" s="987"/>
      <c r="B920" s="987"/>
      <c r="C920" s="987"/>
      <c r="D920" s="987"/>
      <c r="E920" s="987"/>
      <c r="F920" s="987"/>
      <c r="G920" s="987"/>
      <c r="H920" s="987"/>
      <c r="I920" s="987"/>
      <c r="J920" s="987"/>
      <c r="K920" s="987"/>
      <c r="L920" s="987"/>
      <c r="M920" s="987"/>
      <c r="N920" s="987"/>
      <c r="O920" s="987"/>
      <c r="P920" s="987"/>
      <c r="Q920" s="987"/>
      <c r="R920" s="987"/>
      <c r="S920" s="987"/>
      <c r="T920" s="987"/>
      <c r="U920" s="987"/>
      <c r="V920" s="987"/>
      <c r="W920" s="987"/>
      <c r="X920" s="987"/>
      <c r="Y920" s="987"/>
      <c r="Z920" s="987"/>
    </row>
    <row r="921">
      <c r="A921" s="987"/>
      <c r="B921" s="987"/>
      <c r="C921" s="987"/>
      <c r="D921" s="987"/>
      <c r="E921" s="987"/>
      <c r="F921" s="987"/>
      <c r="G921" s="987"/>
      <c r="H921" s="987"/>
      <c r="I921" s="987"/>
      <c r="J921" s="987"/>
      <c r="K921" s="987"/>
      <c r="L921" s="987"/>
      <c r="M921" s="987"/>
      <c r="N921" s="987"/>
      <c r="O921" s="987"/>
      <c r="P921" s="987"/>
      <c r="Q921" s="987"/>
      <c r="R921" s="987"/>
      <c r="S921" s="987"/>
      <c r="T921" s="987"/>
      <c r="U921" s="987"/>
      <c r="V921" s="987"/>
      <c r="W921" s="987"/>
      <c r="X921" s="987"/>
      <c r="Y921" s="987"/>
      <c r="Z921" s="987"/>
    </row>
    <row r="922">
      <c r="A922" s="987"/>
      <c r="B922" s="987"/>
      <c r="C922" s="987"/>
      <c r="D922" s="987"/>
      <c r="E922" s="987"/>
      <c r="F922" s="987"/>
      <c r="G922" s="987"/>
      <c r="H922" s="987"/>
      <c r="I922" s="987"/>
      <c r="J922" s="987"/>
      <c r="K922" s="987"/>
      <c r="L922" s="987"/>
      <c r="M922" s="987"/>
      <c r="N922" s="987"/>
      <c r="O922" s="987"/>
      <c r="P922" s="987"/>
      <c r="Q922" s="987"/>
      <c r="R922" s="987"/>
      <c r="S922" s="987"/>
      <c r="T922" s="987"/>
      <c r="U922" s="987"/>
      <c r="V922" s="987"/>
      <c r="W922" s="987"/>
      <c r="X922" s="987"/>
      <c r="Y922" s="987"/>
      <c r="Z922" s="987"/>
    </row>
    <row r="923">
      <c r="A923" s="987"/>
      <c r="B923" s="987"/>
      <c r="C923" s="987"/>
      <c r="D923" s="987"/>
      <c r="E923" s="987"/>
      <c r="F923" s="987"/>
      <c r="G923" s="987"/>
      <c r="H923" s="987"/>
      <c r="I923" s="987"/>
      <c r="J923" s="987"/>
      <c r="K923" s="987"/>
      <c r="L923" s="987"/>
      <c r="M923" s="987"/>
      <c r="N923" s="987"/>
      <c r="O923" s="987"/>
      <c r="P923" s="987"/>
      <c r="Q923" s="987"/>
      <c r="R923" s="987"/>
      <c r="S923" s="987"/>
      <c r="T923" s="987"/>
      <c r="U923" s="987"/>
      <c r="V923" s="987"/>
      <c r="W923" s="987"/>
      <c r="X923" s="987"/>
      <c r="Y923" s="987"/>
      <c r="Z923" s="987"/>
    </row>
    <row r="924">
      <c r="A924" s="987"/>
      <c r="B924" s="987"/>
      <c r="C924" s="987"/>
      <c r="D924" s="987"/>
      <c r="E924" s="987"/>
      <c r="F924" s="987"/>
      <c r="G924" s="987"/>
      <c r="H924" s="987"/>
      <c r="I924" s="987"/>
      <c r="J924" s="987"/>
      <c r="K924" s="987"/>
      <c r="L924" s="987"/>
      <c r="M924" s="987"/>
      <c r="N924" s="987"/>
      <c r="O924" s="987"/>
      <c r="P924" s="987"/>
      <c r="Q924" s="987"/>
      <c r="R924" s="987"/>
      <c r="S924" s="987"/>
      <c r="T924" s="987"/>
      <c r="U924" s="987"/>
      <c r="V924" s="987"/>
      <c r="W924" s="987"/>
      <c r="X924" s="987"/>
      <c r="Y924" s="987"/>
      <c r="Z924" s="987"/>
    </row>
    <row r="925">
      <c r="A925" s="987"/>
      <c r="B925" s="987"/>
      <c r="C925" s="987"/>
      <c r="D925" s="987"/>
      <c r="E925" s="987"/>
      <c r="F925" s="987"/>
      <c r="G925" s="987"/>
      <c r="H925" s="987"/>
      <c r="I925" s="987"/>
      <c r="J925" s="987"/>
      <c r="K925" s="987"/>
      <c r="L925" s="987"/>
      <c r="M925" s="987"/>
      <c r="N925" s="987"/>
      <c r="O925" s="987"/>
      <c r="P925" s="987"/>
      <c r="Q925" s="987"/>
      <c r="R925" s="987"/>
      <c r="S925" s="987"/>
      <c r="T925" s="987"/>
      <c r="U925" s="987"/>
      <c r="V925" s="987"/>
      <c r="W925" s="987"/>
      <c r="X925" s="987"/>
      <c r="Y925" s="987"/>
      <c r="Z925" s="987"/>
    </row>
    <row r="926">
      <c r="A926" s="987"/>
      <c r="B926" s="987"/>
      <c r="C926" s="987"/>
      <c r="D926" s="987"/>
      <c r="E926" s="987"/>
      <c r="F926" s="987"/>
      <c r="G926" s="987"/>
      <c r="H926" s="987"/>
      <c r="I926" s="987"/>
      <c r="J926" s="987"/>
      <c r="K926" s="987"/>
      <c r="L926" s="987"/>
      <c r="M926" s="987"/>
      <c r="N926" s="987"/>
      <c r="O926" s="987"/>
      <c r="P926" s="987"/>
      <c r="Q926" s="987"/>
      <c r="R926" s="987"/>
      <c r="S926" s="987"/>
      <c r="T926" s="987"/>
      <c r="U926" s="987"/>
      <c r="V926" s="987"/>
      <c r="W926" s="987"/>
      <c r="X926" s="987"/>
      <c r="Y926" s="987"/>
      <c r="Z926" s="987"/>
    </row>
    <row r="927">
      <c r="A927" s="987"/>
      <c r="B927" s="987"/>
      <c r="C927" s="987"/>
      <c r="D927" s="987"/>
      <c r="E927" s="987"/>
      <c r="F927" s="987"/>
      <c r="G927" s="987"/>
      <c r="H927" s="987"/>
      <c r="I927" s="987"/>
      <c r="J927" s="987"/>
      <c r="K927" s="987"/>
      <c r="L927" s="987"/>
      <c r="M927" s="987"/>
      <c r="N927" s="987"/>
      <c r="O927" s="987"/>
      <c r="P927" s="987"/>
      <c r="Q927" s="987"/>
      <c r="R927" s="987"/>
      <c r="S927" s="987"/>
      <c r="T927" s="987"/>
      <c r="U927" s="987"/>
      <c r="V927" s="987"/>
      <c r="W927" s="987"/>
      <c r="X927" s="987"/>
      <c r="Y927" s="987"/>
      <c r="Z927" s="987"/>
    </row>
    <row r="928">
      <c r="A928" s="987"/>
      <c r="B928" s="987"/>
      <c r="C928" s="987"/>
      <c r="D928" s="987"/>
      <c r="E928" s="987"/>
      <c r="F928" s="987"/>
      <c r="G928" s="987"/>
      <c r="H928" s="987"/>
      <c r="I928" s="987"/>
      <c r="J928" s="987"/>
      <c r="K928" s="987"/>
      <c r="L928" s="987"/>
      <c r="M928" s="987"/>
      <c r="N928" s="987"/>
      <c r="O928" s="987"/>
      <c r="P928" s="987"/>
      <c r="Q928" s="987"/>
      <c r="R928" s="987"/>
      <c r="S928" s="987"/>
      <c r="T928" s="987"/>
      <c r="U928" s="987"/>
      <c r="V928" s="987"/>
      <c r="W928" s="987"/>
      <c r="X928" s="987"/>
      <c r="Y928" s="987"/>
      <c r="Z928" s="987"/>
    </row>
    <row r="929">
      <c r="A929" s="987"/>
      <c r="B929" s="987"/>
      <c r="C929" s="987"/>
      <c r="D929" s="987"/>
      <c r="E929" s="987"/>
      <c r="F929" s="987"/>
      <c r="G929" s="987"/>
      <c r="H929" s="987"/>
      <c r="I929" s="987"/>
      <c r="J929" s="987"/>
      <c r="K929" s="987"/>
      <c r="L929" s="987"/>
      <c r="M929" s="987"/>
      <c r="N929" s="987"/>
      <c r="O929" s="987"/>
      <c r="P929" s="987"/>
      <c r="Q929" s="987"/>
      <c r="R929" s="987"/>
      <c r="S929" s="987"/>
      <c r="T929" s="987"/>
      <c r="U929" s="987"/>
      <c r="V929" s="987"/>
      <c r="W929" s="987"/>
      <c r="X929" s="987"/>
      <c r="Y929" s="987"/>
      <c r="Z929" s="987"/>
    </row>
    <row r="930">
      <c r="A930" s="987"/>
      <c r="B930" s="987"/>
      <c r="C930" s="987"/>
      <c r="D930" s="987"/>
      <c r="E930" s="987"/>
      <c r="F930" s="987"/>
      <c r="G930" s="987"/>
      <c r="H930" s="987"/>
      <c r="I930" s="987"/>
      <c r="J930" s="987"/>
      <c r="K930" s="987"/>
      <c r="L930" s="987"/>
      <c r="M930" s="987"/>
      <c r="N930" s="987"/>
      <c r="O930" s="987"/>
      <c r="P930" s="987"/>
      <c r="Q930" s="987"/>
      <c r="R930" s="987"/>
      <c r="S930" s="987"/>
      <c r="T930" s="987"/>
      <c r="U930" s="987"/>
      <c r="V930" s="987"/>
      <c r="W930" s="987"/>
      <c r="X930" s="987"/>
      <c r="Y930" s="987"/>
      <c r="Z930" s="987"/>
    </row>
    <row r="931">
      <c r="A931" s="987"/>
      <c r="B931" s="987"/>
      <c r="C931" s="987"/>
      <c r="D931" s="987"/>
      <c r="E931" s="987"/>
      <c r="F931" s="987"/>
      <c r="G931" s="987"/>
      <c r="H931" s="987"/>
      <c r="I931" s="987"/>
      <c r="J931" s="987"/>
      <c r="K931" s="987"/>
      <c r="L931" s="987"/>
      <c r="M931" s="987"/>
      <c r="N931" s="987"/>
      <c r="O931" s="987"/>
      <c r="P931" s="987"/>
      <c r="Q931" s="987"/>
      <c r="R931" s="987"/>
      <c r="S931" s="987"/>
      <c r="T931" s="987"/>
      <c r="U931" s="987"/>
      <c r="V931" s="987"/>
      <c r="W931" s="987"/>
      <c r="X931" s="987"/>
      <c r="Y931" s="987"/>
      <c r="Z931" s="987"/>
    </row>
    <row r="932">
      <c r="A932" s="987"/>
      <c r="B932" s="987"/>
      <c r="C932" s="987"/>
      <c r="D932" s="987"/>
      <c r="E932" s="987"/>
      <c r="F932" s="987"/>
      <c r="G932" s="987"/>
      <c r="H932" s="987"/>
      <c r="I932" s="987"/>
      <c r="J932" s="987"/>
      <c r="K932" s="987"/>
      <c r="L932" s="987"/>
      <c r="M932" s="987"/>
      <c r="N932" s="987"/>
      <c r="O932" s="987"/>
      <c r="P932" s="987"/>
      <c r="Q932" s="987"/>
      <c r="R932" s="987"/>
      <c r="S932" s="987"/>
      <c r="T932" s="987"/>
      <c r="U932" s="987"/>
      <c r="V932" s="987"/>
      <c r="W932" s="987"/>
      <c r="X932" s="987"/>
      <c r="Y932" s="987"/>
      <c r="Z932" s="987"/>
    </row>
    <row r="933">
      <c r="A933" s="987"/>
      <c r="B933" s="987"/>
      <c r="C933" s="987"/>
      <c r="D933" s="987"/>
      <c r="E933" s="987"/>
      <c r="F933" s="987"/>
      <c r="G933" s="987"/>
      <c r="H933" s="987"/>
      <c r="I933" s="987"/>
      <c r="J933" s="987"/>
      <c r="K933" s="987"/>
      <c r="L933" s="987"/>
      <c r="M933" s="987"/>
      <c r="N933" s="987"/>
      <c r="O933" s="987"/>
      <c r="P933" s="987"/>
      <c r="Q933" s="987"/>
      <c r="R933" s="987"/>
      <c r="S933" s="987"/>
      <c r="T933" s="987"/>
      <c r="U933" s="987"/>
      <c r="V933" s="987"/>
      <c r="W933" s="987"/>
      <c r="X933" s="987"/>
      <c r="Y933" s="987"/>
      <c r="Z933" s="987"/>
    </row>
    <row r="934">
      <c r="A934" s="987"/>
      <c r="B934" s="987"/>
      <c r="C934" s="987"/>
      <c r="D934" s="987"/>
      <c r="E934" s="987"/>
      <c r="F934" s="987"/>
      <c r="G934" s="987"/>
      <c r="H934" s="987"/>
      <c r="I934" s="987"/>
      <c r="J934" s="987"/>
      <c r="K934" s="987"/>
      <c r="L934" s="987"/>
      <c r="M934" s="987"/>
      <c r="N934" s="987"/>
      <c r="O934" s="987"/>
      <c r="P934" s="987"/>
      <c r="Q934" s="987"/>
      <c r="R934" s="987"/>
      <c r="S934" s="987"/>
      <c r="T934" s="987"/>
      <c r="U934" s="987"/>
      <c r="V934" s="987"/>
      <c r="W934" s="987"/>
      <c r="X934" s="987"/>
      <c r="Y934" s="987"/>
      <c r="Z934" s="987"/>
    </row>
    <row r="935">
      <c r="A935" s="987"/>
      <c r="B935" s="987"/>
      <c r="C935" s="987"/>
      <c r="D935" s="987"/>
      <c r="E935" s="987"/>
      <c r="F935" s="987"/>
      <c r="G935" s="987"/>
      <c r="H935" s="987"/>
      <c r="I935" s="987"/>
      <c r="J935" s="987"/>
      <c r="K935" s="987"/>
      <c r="L935" s="987"/>
      <c r="M935" s="987"/>
      <c r="N935" s="987"/>
      <c r="O935" s="987"/>
      <c r="P935" s="987"/>
      <c r="Q935" s="987"/>
      <c r="R935" s="987"/>
      <c r="S935" s="987"/>
      <c r="T935" s="987"/>
      <c r="U935" s="987"/>
      <c r="V935" s="987"/>
      <c r="W935" s="987"/>
      <c r="X935" s="987"/>
      <c r="Y935" s="987"/>
      <c r="Z935" s="987"/>
    </row>
    <row r="936">
      <c r="A936" s="987"/>
      <c r="B936" s="987"/>
      <c r="C936" s="987"/>
      <c r="D936" s="987"/>
      <c r="E936" s="987"/>
      <c r="F936" s="987"/>
      <c r="G936" s="987"/>
      <c r="H936" s="987"/>
      <c r="I936" s="987"/>
      <c r="J936" s="987"/>
      <c r="K936" s="987"/>
      <c r="L936" s="987"/>
      <c r="M936" s="987"/>
      <c r="N936" s="987"/>
      <c r="O936" s="987"/>
      <c r="P936" s="987"/>
      <c r="Q936" s="987"/>
      <c r="R936" s="987"/>
      <c r="S936" s="987"/>
      <c r="T936" s="987"/>
      <c r="U936" s="987"/>
      <c r="V936" s="987"/>
      <c r="W936" s="987"/>
      <c r="X936" s="987"/>
      <c r="Y936" s="987"/>
      <c r="Z936" s="987"/>
    </row>
    <row r="937">
      <c r="A937" s="987"/>
      <c r="B937" s="987"/>
      <c r="C937" s="987"/>
      <c r="D937" s="987"/>
      <c r="E937" s="987"/>
      <c r="F937" s="987"/>
      <c r="G937" s="987"/>
      <c r="H937" s="987"/>
      <c r="I937" s="987"/>
      <c r="J937" s="987"/>
      <c r="K937" s="987"/>
      <c r="L937" s="987"/>
      <c r="M937" s="987"/>
      <c r="N937" s="987"/>
      <c r="O937" s="987"/>
      <c r="P937" s="987"/>
      <c r="Q937" s="987"/>
      <c r="R937" s="987"/>
      <c r="S937" s="987"/>
      <c r="T937" s="987"/>
      <c r="U937" s="987"/>
      <c r="V937" s="987"/>
      <c r="W937" s="987"/>
      <c r="X937" s="987"/>
      <c r="Y937" s="987"/>
      <c r="Z937" s="987"/>
    </row>
    <row r="938">
      <c r="A938" s="987"/>
      <c r="B938" s="987"/>
      <c r="C938" s="987"/>
      <c r="D938" s="987"/>
      <c r="E938" s="987"/>
      <c r="F938" s="987"/>
      <c r="G938" s="987"/>
      <c r="H938" s="987"/>
      <c r="I938" s="987"/>
      <c r="J938" s="987"/>
      <c r="K938" s="987"/>
      <c r="L938" s="987"/>
      <c r="M938" s="987"/>
      <c r="N938" s="987"/>
      <c r="O938" s="987"/>
      <c r="P938" s="987"/>
      <c r="Q938" s="987"/>
      <c r="R938" s="987"/>
      <c r="S938" s="987"/>
      <c r="T938" s="987"/>
      <c r="U938" s="987"/>
      <c r="V938" s="987"/>
      <c r="W938" s="987"/>
      <c r="X938" s="987"/>
      <c r="Y938" s="987"/>
      <c r="Z938" s="987"/>
    </row>
    <row r="939">
      <c r="A939" s="987"/>
      <c r="B939" s="987"/>
      <c r="C939" s="987"/>
      <c r="D939" s="987"/>
      <c r="E939" s="987"/>
      <c r="F939" s="987"/>
      <c r="G939" s="987"/>
      <c r="H939" s="987"/>
      <c r="I939" s="987"/>
      <c r="J939" s="987"/>
      <c r="K939" s="987"/>
      <c r="L939" s="987"/>
      <c r="M939" s="987"/>
      <c r="N939" s="987"/>
      <c r="O939" s="987"/>
      <c r="P939" s="987"/>
      <c r="Q939" s="987"/>
      <c r="R939" s="987"/>
      <c r="S939" s="987"/>
      <c r="T939" s="987"/>
      <c r="U939" s="987"/>
      <c r="V939" s="987"/>
      <c r="W939" s="987"/>
      <c r="X939" s="987"/>
      <c r="Y939" s="987"/>
      <c r="Z939" s="987"/>
    </row>
    <row r="940">
      <c r="A940" s="987"/>
      <c r="B940" s="987"/>
      <c r="C940" s="987"/>
      <c r="D940" s="987"/>
      <c r="E940" s="987"/>
      <c r="F940" s="987"/>
      <c r="G940" s="987"/>
      <c r="H940" s="987"/>
      <c r="I940" s="987"/>
      <c r="J940" s="987"/>
      <c r="K940" s="987"/>
      <c r="L940" s="987"/>
      <c r="M940" s="987"/>
      <c r="N940" s="987"/>
      <c r="O940" s="987"/>
      <c r="P940" s="987"/>
      <c r="Q940" s="987"/>
      <c r="R940" s="987"/>
      <c r="S940" s="987"/>
      <c r="T940" s="987"/>
      <c r="U940" s="987"/>
      <c r="V940" s="987"/>
      <c r="W940" s="987"/>
      <c r="X940" s="987"/>
      <c r="Y940" s="987"/>
      <c r="Z940" s="987"/>
    </row>
    <row r="941">
      <c r="A941" s="987"/>
      <c r="B941" s="987"/>
      <c r="C941" s="987"/>
      <c r="D941" s="987"/>
      <c r="E941" s="987"/>
      <c r="F941" s="987"/>
      <c r="G941" s="987"/>
      <c r="H941" s="987"/>
      <c r="I941" s="987"/>
      <c r="J941" s="987"/>
      <c r="K941" s="987"/>
      <c r="L941" s="987"/>
      <c r="M941" s="987"/>
      <c r="N941" s="987"/>
      <c r="O941" s="987"/>
      <c r="P941" s="987"/>
      <c r="Q941" s="987"/>
      <c r="R941" s="987"/>
      <c r="S941" s="987"/>
      <c r="T941" s="987"/>
      <c r="U941" s="987"/>
      <c r="V941" s="987"/>
      <c r="W941" s="987"/>
      <c r="X941" s="987"/>
      <c r="Y941" s="987"/>
      <c r="Z941" s="987"/>
    </row>
    <row r="942">
      <c r="A942" s="987"/>
      <c r="B942" s="987"/>
      <c r="C942" s="987"/>
      <c r="D942" s="987"/>
      <c r="E942" s="987"/>
      <c r="F942" s="987"/>
      <c r="G942" s="987"/>
      <c r="H942" s="987"/>
      <c r="I942" s="987"/>
      <c r="J942" s="987"/>
      <c r="K942" s="987"/>
      <c r="L942" s="987"/>
      <c r="M942" s="987"/>
      <c r="N942" s="987"/>
      <c r="O942" s="987"/>
      <c r="P942" s="987"/>
      <c r="Q942" s="987"/>
      <c r="R942" s="987"/>
      <c r="S942" s="987"/>
      <c r="T942" s="987"/>
      <c r="U942" s="987"/>
      <c r="V942" s="987"/>
      <c r="W942" s="987"/>
      <c r="X942" s="987"/>
      <c r="Y942" s="987"/>
      <c r="Z942" s="987"/>
    </row>
    <row r="943">
      <c r="A943" s="987"/>
      <c r="B943" s="987"/>
      <c r="C943" s="987"/>
      <c r="D943" s="987"/>
      <c r="E943" s="987"/>
      <c r="F943" s="987"/>
      <c r="G943" s="987"/>
      <c r="H943" s="987"/>
      <c r="I943" s="987"/>
      <c r="J943" s="987"/>
      <c r="K943" s="987"/>
      <c r="L943" s="987"/>
      <c r="M943" s="987"/>
      <c r="N943" s="987"/>
      <c r="O943" s="987"/>
      <c r="P943" s="987"/>
      <c r="Q943" s="987"/>
      <c r="R943" s="987"/>
      <c r="S943" s="987"/>
      <c r="T943" s="987"/>
      <c r="U943" s="987"/>
      <c r="V943" s="987"/>
      <c r="W943" s="987"/>
      <c r="X943" s="987"/>
      <c r="Y943" s="987"/>
      <c r="Z943" s="987"/>
    </row>
    <row r="944">
      <c r="A944" s="987"/>
      <c r="B944" s="987"/>
      <c r="C944" s="987"/>
      <c r="D944" s="987"/>
      <c r="E944" s="987"/>
      <c r="F944" s="987"/>
      <c r="G944" s="987"/>
      <c r="H944" s="987"/>
      <c r="I944" s="987"/>
      <c r="J944" s="987"/>
      <c r="K944" s="987"/>
      <c r="L944" s="987"/>
      <c r="M944" s="987"/>
      <c r="N944" s="987"/>
      <c r="O944" s="987"/>
      <c r="P944" s="987"/>
      <c r="Q944" s="987"/>
      <c r="R944" s="987"/>
      <c r="S944" s="987"/>
      <c r="T944" s="987"/>
      <c r="U944" s="987"/>
      <c r="V944" s="987"/>
      <c r="W944" s="987"/>
      <c r="X944" s="987"/>
      <c r="Y944" s="987"/>
      <c r="Z944" s="987"/>
    </row>
    <row r="945">
      <c r="A945" s="987"/>
      <c r="B945" s="987"/>
      <c r="C945" s="987"/>
      <c r="D945" s="987"/>
      <c r="E945" s="987"/>
      <c r="F945" s="987"/>
      <c r="G945" s="987"/>
      <c r="H945" s="987"/>
      <c r="I945" s="987"/>
      <c r="J945" s="987"/>
      <c r="K945" s="987"/>
      <c r="L945" s="987"/>
      <c r="M945" s="987"/>
      <c r="N945" s="987"/>
      <c r="O945" s="987"/>
      <c r="P945" s="987"/>
      <c r="Q945" s="987"/>
      <c r="R945" s="987"/>
      <c r="S945" s="987"/>
      <c r="T945" s="987"/>
      <c r="U945" s="987"/>
      <c r="V945" s="987"/>
      <c r="W945" s="987"/>
      <c r="X945" s="987"/>
      <c r="Y945" s="987"/>
      <c r="Z945" s="987"/>
    </row>
    <row r="946">
      <c r="A946" s="987"/>
      <c r="B946" s="987"/>
      <c r="C946" s="987"/>
      <c r="D946" s="987"/>
      <c r="E946" s="987"/>
      <c r="F946" s="987"/>
      <c r="G946" s="987"/>
      <c r="H946" s="987"/>
      <c r="I946" s="987"/>
      <c r="J946" s="987"/>
      <c r="K946" s="987"/>
      <c r="L946" s="987"/>
      <c r="M946" s="987"/>
      <c r="N946" s="987"/>
      <c r="O946" s="987"/>
      <c r="P946" s="987"/>
      <c r="Q946" s="987"/>
      <c r="R946" s="987"/>
      <c r="S946" s="987"/>
      <c r="T946" s="987"/>
      <c r="U946" s="987"/>
      <c r="V946" s="987"/>
      <c r="W946" s="987"/>
      <c r="X946" s="987"/>
      <c r="Y946" s="987"/>
      <c r="Z946" s="987"/>
    </row>
    <row r="947">
      <c r="A947" s="987"/>
      <c r="B947" s="987"/>
      <c r="C947" s="987"/>
      <c r="D947" s="987"/>
      <c r="E947" s="987"/>
      <c r="F947" s="987"/>
      <c r="G947" s="987"/>
      <c r="H947" s="987"/>
      <c r="I947" s="987"/>
      <c r="J947" s="987"/>
      <c r="K947" s="987"/>
      <c r="L947" s="987"/>
      <c r="M947" s="987"/>
      <c r="N947" s="987"/>
      <c r="O947" s="987"/>
      <c r="P947" s="987"/>
      <c r="Q947" s="987"/>
      <c r="R947" s="987"/>
      <c r="S947" s="987"/>
      <c r="T947" s="987"/>
      <c r="U947" s="987"/>
      <c r="V947" s="987"/>
      <c r="W947" s="987"/>
      <c r="X947" s="987"/>
      <c r="Y947" s="987"/>
      <c r="Z947" s="987"/>
    </row>
    <row r="948">
      <c r="A948" s="987"/>
      <c r="B948" s="987"/>
      <c r="C948" s="987"/>
      <c r="D948" s="987"/>
      <c r="E948" s="987"/>
      <c r="F948" s="987"/>
      <c r="G948" s="987"/>
      <c r="H948" s="987"/>
      <c r="I948" s="987"/>
      <c r="J948" s="987"/>
      <c r="K948" s="987"/>
      <c r="L948" s="987"/>
      <c r="M948" s="987"/>
      <c r="N948" s="987"/>
      <c r="O948" s="987"/>
      <c r="P948" s="987"/>
      <c r="Q948" s="987"/>
      <c r="R948" s="987"/>
      <c r="S948" s="987"/>
      <c r="T948" s="987"/>
      <c r="U948" s="987"/>
      <c r="V948" s="987"/>
      <c r="W948" s="987"/>
      <c r="X948" s="987"/>
      <c r="Y948" s="987"/>
      <c r="Z948" s="987"/>
    </row>
    <row r="949">
      <c r="A949" s="987"/>
      <c r="B949" s="987"/>
      <c r="C949" s="987"/>
      <c r="D949" s="987"/>
      <c r="E949" s="987"/>
      <c r="F949" s="987"/>
      <c r="G949" s="987"/>
      <c r="H949" s="987"/>
      <c r="I949" s="987"/>
      <c r="J949" s="987"/>
      <c r="K949" s="987"/>
      <c r="L949" s="987"/>
      <c r="M949" s="987"/>
      <c r="N949" s="987"/>
      <c r="O949" s="987"/>
      <c r="P949" s="987"/>
      <c r="Q949" s="987"/>
      <c r="R949" s="987"/>
      <c r="S949" s="987"/>
      <c r="T949" s="987"/>
      <c r="U949" s="987"/>
      <c r="V949" s="987"/>
      <c r="W949" s="987"/>
      <c r="X949" s="987"/>
      <c r="Y949" s="987"/>
      <c r="Z949" s="987"/>
    </row>
    <row r="950">
      <c r="A950" s="987"/>
      <c r="B950" s="987"/>
      <c r="C950" s="987"/>
      <c r="D950" s="987"/>
      <c r="E950" s="987"/>
      <c r="F950" s="987"/>
      <c r="G950" s="987"/>
      <c r="H950" s="987"/>
      <c r="I950" s="987"/>
      <c r="J950" s="987"/>
      <c r="K950" s="987"/>
      <c r="L950" s="987"/>
      <c r="M950" s="987"/>
      <c r="N950" s="987"/>
      <c r="O950" s="987"/>
      <c r="P950" s="987"/>
      <c r="Q950" s="987"/>
      <c r="R950" s="987"/>
      <c r="S950" s="987"/>
      <c r="T950" s="987"/>
      <c r="U950" s="987"/>
      <c r="V950" s="987"/>
      <c r="W950" s="987"/>
      <c r="X950" s="987"/>
      <c r="Y950" s="987"/>
      <c r="Z950" s="987"/>
    </row>
    <row r="951">
      <c r="A951" s="987"/>
      <c r="B951" s="987"/>
      <c r="C951" s="987"/>
      <c r="D951" s="987"/>
      <c r="E951" s="987"/>
      <c r="F951" s="987"/>
      <c r="G951" s="987"/>
      <c r="H951" s="987"/>
      <c r="I951" s="987"/>
      <c r="J951" s="987"/>
      <c r="K951" s="987"/>
      <c r="L951" s="987"/>
      <c r="M951" s="987"/>
      <c r="N951" s="987"/>
      <c r="O951" s="987"/>
      <c r="P951" s="987"/>
      <c r="Q951" s="987"/>
      <c r="R951" s="987"/>
      <c r="S951" s="987"/>
      <c r="T951" s="987"/>
      <c r="U951" s="987"/>
      <c r="V951" s="987"/>
      <c r="W951" s="987"/>
      <c r="X951" s="987"/>
      <c r="Y951" s="987"/>
      <c r="Z951" s="987"/>
    </row>
    <row r="952">
      <c r="A952" s="987"/>
      <c r="B952" s="987"/>
      <c r="C952" s="987"/>
      <c r="D952" s="987"/>
      <c r="E952" s="987"/>
      <c r="F952" s="987"/>
      <c r="G952" s="987"/>
      <c r="H952" s="987"/>
      <c r="I952" s="987"/>
      <c r="J952" s="987"/>
      <c r="K952" s="987"/>
      <c r="L952" s="987"/>
      <c r="M952" s="987"/>
      <c r="N952" s="987"/>
      <c r="O952" s="987"/>
      <c r="P952" s="987"/>
      <c r="Q952" s="987"/>
      <c r="R952" s="987"/>
      <c r="S952" s="987"/>
      <c r="T952" s="987"/>
      <c r="U952" s="987"/>
      <c r="V952" s="987"/>
      <c r="W952" s="987"/>
      <c r="X952" s="987"/>
      <c r="Y952" s="987"/>
      <c r="Z952" s="987"/>
    </row>
    <row r="953">
      <c r="A953" s="987"/>
      <c r="B953" s="987"/>
      <c r="C953" s="987"/>
      <c r="D953" s="987"/>
      <c r="E953" s="987"/>
      <c r="F953" s="987"/>
      <c r="G953" s="987"/>
      <c r="H953" s="987"/>
      <c r="I953" s="987"/>
      <c r="J953" s="987"/>
      <c r="K953" s="987"/>
      <c r="L953" s="987"/>
      <c r="M953" s="987"/>
      <c r="N953" s="987"/>
      <c r="O953" s="987"/>
      <c r="P953" s="987"/>
      <c r="Q953" s="987"/>
      <c r="R953" s="987"/>
      <c r="S953" s="987"/>
      <c r="T953" s="987"/>
      <c r="U953" s="987"/>
      <c r="V953" s="987"/>
      <c r="W953" s="987"/>
      <c r="X953" s="987"/>
      <c r="Y953" s="987"/>
      <c r="Z953" s="987"/>
    </row>
    <row r="954">
      <c r="A954" s="987"/>
      <c r="B954" s="987"/>
      <c r="C954" s="987"/>
      <c r="D954" s="987"/>
      <c r="E954" s="987"/>
      <c r="F954" s="987"/>
      <c r="G954" s="987"/>
      <c r="H954" s="987"/>
      <c r="I954" s="987"/>
      <c r="J954" s="987"/>
      <c r="K954" s="987"/>
      <c r="L954" s="987"/>
      <c r="M954" s="987"/>
      <c r="N954" s="987"/>
      <c r="O954" s="987"/>
      <c r="P954" s="987"/>
      <c r="Q954" s="987"/>
      <c r="R954" s="987"/>
      <c r="S954" s="987"/>
      <c r="T954" s="987"/>
      <c r="U954" s="987"/>
      <c r="V954" s="987"/>
      <c r="W954" s="987"/>
      <c r="X954" s="987"/>
      <c r="Y954" s="987"/>
      <c r="Z954" s="987"/>
    </row>
    <row r="955">
      <c r="A955" s="987"/>
      <c r="B955" s="987"/>
      <c r="C955" s="987"/>
      <c r="D955" s="987"/>
      <c r="E955" s="987"/>
      <c r="F955" s="987"/>
      <c r="G955" s="987"/>
      <c r="H955" s="987"/>
      <c r="I955" s="987"/>
      <c r="J955" s="987"/>
      <c r="K955" s="987"/>
      <c r="L955" s="987"/>
      <c r="M955" s="987"/>
      <c r="N955" s="987"/>
      <c r="O955" s="987"/>
      <c r="P955" s="987"/>
      <c r="Q955" s="987"/>
      <c r="R955" s="987"/>
      <c r="S955" s="987"/>
      <c r="T955" s="987"/>
      <c r="U955" s="987"/>
      <c r="V955" s="987"/>
      <c r="W955" s="987"/>
      <c r="X955" s="987"/>
      <c r="Y955" s="987"/>
      <c r="Z955" s="987"/>
    </row>
    <row r="956">
      <c r="A956" s="987"/>
      <c r="B956" s="987"/>
      <c r="C956" s="987"/>
      <c r="D956" s="987"/>
      <c r="E956" s="987"/>
      <c r="F956" s="987"/>
      <c r="G956" s="987"/>
      <c r="H956" s="987"/>
      <c r="I956" s="987"/>
      <c r="J956" s="987"/>
      <c r="K956" s="987"/>
      <c r="L956" s="987"/>
      <c r="M956" s="987"/>
      <c r="N956" s="987"/>
      <c r="O956" s="987"/>
      <c r="P956" s="987"/>
      <c r="Q956" s="987"/>
      <c r="R956" s="987"/>
      <c r="S956" s="987"/>
      <c r="T956" s="987"/>
      <c r="U956" s="987"/>
      <c r="V956" s="987"/>
      <c r="W956" s="987"/>
      <c r="X956" s="987"/>
      <c r="Y956" s="987"/>
      <c r="Z956" s="987"/>
    </row>
    <row r="957">
      <c r="A957" s="987"/>
      <c r="B957" s="987"/>
      <c r="C957" s="987"/>
      <c r="D957" s="987"/>
      <c r="E957" s="987"/>
      <c r="F957" s="987"/>
      <c r="G957" s="987"/>
      <c r="H957" s="987"/>
      <c r="I957" s="987"/>
      <c r="J957" s="987"/>
      <c r="K957" s="987"/>
      <c r="L957" s="987"/>
      <c r="M957" s="987"/>
      <c r="N957" s="987"/>
      <c r="O957" s="987"/>
      <c r="P957" s="987"/>
      <c r="Q957" s="987"/>
      <c r="R957" s="987"/>
      <c r="S957" s="987"/>
      <c r="T957" s="987"/>
      <c r="U957" s="987"/>
      <c r="V957" s="987"/>
      <c r="W957" s="987"/>
      <c r="X957" s="987"/>
      <c r="Y957" s="987"/>
      <c r="Z957" s="987"/>
    </row>
    <row r="958">
      <c r="A958" s="987"/>
      <c r="B958" s="987"/>
      <c r="C958" s="987"/>
      <c r="D958" s="987"/>
      <c r="E958" s="987"/>
      <c r="F958" s="987"/>
      <c r="G958" s="987"/>
      <c r="H958" s="987"/>
      <c r="I958" s="987"/>
      <c r="J958" s="987"/>
      <c r="K958" s="987"/>
      <c r="L958" s="987"/>
      <c r="M958" s="987"/>
      <c r="N958" s="987"/>
      <c r="O958" s="987"/>
      <c r="P958" s="987"/>
      <c r="Q958" s="987"/>
      <c r="R958" s="987"/>
      <c r="S958" s="987"/>
      <c r="T958" s="987"/>
      <c r="U958" s="987"/>
      <c r="V958" s="987"/>
      <c r="W958" s="987"/>
      <c r="X958" s="987"/>
      <c r="Y958" s="987"/>
      <c r="Z958" s="987"/>
    </row>
    <row r="959">
      <c r="A959" s="987"/>
      <c r="B959" s="987"/>
      <c r="C959" s="987"/>
      <c r="D959" s="987"/>
      <c r="E959" s="987"/>
      <c r="F959" s="987"/>
      <c r="G959" s="987"/>
      <c r="H959" s="987"/>
      <c r="I959" s="987"/>
      <c r="J959" s="987"/>
      <c r="K959" s="987"/>
      <c r="L959" s="987"/>
      <c r="M959" s="987"/>
      <c r="N959" s="987"/>
      <c r="O959" s="987"/>
      <c r="P959" s="987"/>
      <c r="Q959" s="987"/>
      <c r="R959" s="987"/>
      <c r="S959" s="987"/>
      <c r="T959" s="987"/>
      <c r="U959" s="987"/>
      <c r="V959" s="987"/>
      <c r="W959" s="987"/>
      <c r="X959" s="987"/>
      <c r="Y959" s="987"/>
      <c r="Z959" s="987"/>
    </row>
    <row r="960">
      <c r="A960" s="987"/>
      <c r="B960" s="987"/>
      <c r="C960" s="987"/>
      <c r="D960" s="987"/>
      <c r="E960" s="987"/>
      <c r="F960" s="987"/>
      <c r="G960" s="987"/>
      <c r="H960" s="987"/>
      <c r="I960" s="987"/>
      <c r="J960" s="987"/>
      <c r="K960" s="987"/>
      <c r="L960" s="987"/>
      <c r="M960" s="987"/>
      <c r="N960" s="987"/>
      <c r="O960" s="987"/>
      <c r="P960" s="987"/>
      <c r="Q960" s="987"/>
      <c r="R960" s="987"/>
      <c r="S960" s="987"/>
      <c r="T960" s="987"/>
      <c r="U960" s="987"/>
      <c r="V960" s="987"/>
      <c r="W960" s="987"/>
      <c r="X960" s="987"/>
      <c r="Y960" s="987"/>
      <c r="Z960" s="987"/>
    </row>
    <row r="961">
      <c r="A961" s="987"/>
      <c r="B961" s="987"/>
      <c r="C961" s="987"/>
      <c r="D961" s="987"/>
      <c r="E961" s="987"/>
      <c r="F961" s="987"/>
      <c r="G961" s="987"/>
      <c r="H961" s="987"/>
      <c r="I961" s="987"/>
      <c r="J961" s="987"/>
      <c r="K961" s="987"/>
      <c r="L961" s="987"/>
      <c r="M961" s="987"/>
      <c r="N961" s="987"/>
      <c r="O961" s="987"/>
      <c r="P961" s="987"/>
      <c r="Q961" s="987"/>
      <c r="R961" s="987"/>
      <c r="S961" s="987"/>
      <c r="T961" s="987"/>
      <c r="U961" s="987"/>
      <c r="V961" s="987"/>
      <c r="W961" s="987"/>
      <c r="X961" s="987"/>
      <c r="Y961" s="987"/>
      <c r="Z961" s="987"/>
    </row>
    <row r="962">
      <c r="A962" s="987"/>
      <c r="B962" s="987"/>
      <c r="C962" s="987"/>
      <c r="D962" s="987"/>
      <c r="E962" s="987"/>
      <c r="F962" s="987"/>
      <c r="G962" s="987"/>
      <c r="H962" s="987"/>
      <c r="I962" s="987"/>
      <c r="J962" s="987"/>
      <c r="K962" s="987"/>
      <c r="L962" s="987"/>
      <c r="M962" s="987"/>
      <c r="N962" s="987"/>
      <c r="O962" s="987"/>
      <c r="P962" s="987"/>
      <c r="Q962" s="987"/>
      <c r="R962" s="987"/>
      <c r="S962" s="987"/>
      <c r="T962" s="987"/>
      <c r="U962" s="987"/>
      <c r="V962" s="987"/>
      <c r="W962" s="987"/>
      <c r="X962" s="987"/>
      <c r="Y962" s="987"/>
      <c r="Z962" s="987"/>
    </row>
    <row r="963">
      <c r="A963" s="987"/>
      <c r="B963" s="987"/>
      <c r="C963" s="987"/>
      <c r="D963" s="987"/>
      <c r="E963" s="987"/>
      <c r="F963" s="987"/>
      <c r="G963" s="987"/>
      <c r="H963" s="987"/>
      <c r="I963" s="987"/>
      <c r="J963" s="987"/>
      <c r="K963" s="987"/>
      <c r="L963" s="987"/>
      <c r="M963" s="987"/>
      <c r="N963" s="987"/>
      <c r="O963" s="987"/>
      <c r="P963" s="987"/>
      <c r="Q963" s="987"/>
      <c r="R963" s="987"/>
      <c r="S963" s="987"/>
      <c r="T963" s="987"/>
      <c r="U963" s="987"/>
      <c r="V963" s="987"/>
      <c r="W963" s="987"/>
      <c r="X963" s="987"/>
      <c r="Y963" s="987"/>
      <c r="Z963" s="987"/>
    </row>
    <row r="964">
      <c r="A964" s="987"/>
      <c r="B964" s="987"/>
      <c r="C964" s="987"/>
      <c r="D964" s="987"/>
      <c r="E964" s="987"/>
      <c r="F964" s="987"/>
      <c r="G964" s="987"/>
      <c r="H964" s="987"/>
      <c r="I964" s="987"/>
      <c r="J964" s="987"/>
      <c r="K964" s="987"/>
      <c r="L964" s="987"/>
      <c r="M964" s="987"/>
      <c r="N964" s="987"/>
      <c r="O964" s="987"/>
      <c r="P964" s="987"/>
      <c r="Q964" s="987"/>
      <c r="R964" s="987"/>
      <c r="S964" s="987"/>
      <c r="T964" s="987"/>
      <c r="U964" s="987"/>
      <c r="V964" s="987"/>
      <c r="W964" s="987"/>
      <c r="X964" s="987"/>
      <c r="Y964" s="987"/>
      <c r="Z964" s="987"/>
    </row>
    <row r="965">
      <c r="A965" s="987"/>
      <c r="B965" s="987"/>
      <c r="C965" s="987"/>
      <c r="D965" s="987"/>
      <c r="E965" s="987"/>
      <c r="F965" s="987"/>
      <c r="G965" s="987"/>
      <c r="H965" s="987"/>
      <c r="I965" s="987"/>
      <c r="J965" s="987"/>
      <c r="K965" s="987"/>
      <c r="L965" s="987"/>
      <c r="M965" s="987"/>
      <c r="N965" s="987"/>
      <c r="O965" s="987"/>
      <c r="P965" s="987"/>
      <c r="Q965" s="987"/>
      <c r="R965" s="987"/>
      <c r="S965" s="987"/>
      <c r="T965" s="987"/>
      <c r="U965" s="987"/>
      <c r="V965" s="987"/>
      <c r="W965" s="987"/>
      <c r="X965" s="987"/>
      <c r="Y965" s="987"/>
      <c r="Z965" s="987"/>
    </row>
    <row r="966">
      <c r="A966" s="987"/>
      <c r="B966" s="987"/>
      <c r="C966" s="987"/>
      <c r="D966" s="987"/>
      <c r="E966" s="987"/>
      <c r="F966" s="987"/>
      <c r="G966" s="987"/>
      <c r="H966" s="987"/>
      <c r="I966" s="987"/>
      <c r="J966" s="987"/>
      <c r="K966" s="987"/>
      <c r="L966" s="987"/>
      <c r="M966" s="987"/>
      <c r="N966" s="987"/>
      <c r="O966" s="987"/>
      <c r="P966" s="987"/>
      <c r="Q966" s="987"/>
      <c r="R966" s="987"/>
      <c r="S966" s="987"/>
      <c r="T966" s="987"/>
      <c r="U966" s="987"/>
      <c r="V966" s="987"/>
      <c r="W966" s="987"/>
      <c r="X966" s="987"/>
      <c r="Y966" s="987"/>
      <c r="Z966" s="987"/>
    </row>
    <row r="967">
      <c r="A967" s="987"/>
      <c r="B967" s="987"/>
      <c r="C967" s="987"/>
      <c r="D967" s="987"/>
      <c r="E967" s="987"/>
      <c r="F967" s="987"/>
      <c r="G967" s="987"/>
      <c r="H967" s="987"/>
      <c r="I967" s="987"/>
      <c r="J967" s="987"/>
      <c r="K967" s="987"/>
      <c r="L967" s="987"/>
      <c r="M967" s="987"/>
      <c r="N967" s="987"/>
      <c r="O967" s="987"/>
      <c r="P967" s="987"/>
      <c r="Q967" s="987"/>
      <c r="R967" s="987"/>
      <c r="S967" s="987"/>
      <c r="T967" s="987"/>
      <c r="U967" s="987"/>
      <c r="V967" s="987"/>
      <c r="W967" s="987"/>
      <c r="X967" s="987"/>
      <c r="Y967" s="987"/>
      <c r="Z967" s="987"/>
    </row>
    <row r="968">
      <c r="A968" s="987"/>
      <c r="B968" s="987"/>
      <c r="C968" s="987"/>
      <c r="D968" s="987"/>
      <c r="E968" s="987"/>
      <c r="F968" s="987"/>
      <c r="G968" s="987"/>
      <c r="H968" s="987"/>
      <c r="I968" s="987"/>
      <c r="J968" s="987"/>
      <c r="K968" s="987"/>
      <c r="L968" s="987"/>
      <c r="M968" s="987"/>
      <c r="N968" s="987"/>
      <c r="O968" s="987"/>
      <c r="P968" s="987"/>
      <c r="Q968" s="987"/>
      <c r="R968" s="987"/>
      <c r="S968" s="987"/>
      <c r="T968" s="987"/>
      <c r="U968" s="987"/>
      <c r="V968" s="987"/>
      <c r="W968" s="987"/>
      <c r="X968" s="987"/>
      <c r="Y968" s="987"/>
      <c r="Z968" s="987"/>
    </row>
    <row r="969">
      <c r="A969" s="987"/>
      <c r="B969" s="987"/>
      <c r="C969" s="987"/>
      <c r="D969" s="987"/>
      <c r="E969" s="987"/>
      <c r="F969" s="987"/>
      <c r="G969" s="987"/>
      <c r="H969" s="987"/>
      <c r="I969" s="987"/>
      <c r="J969" s="987"/>
      <c r="K969" s="987"/>
      <c r="L969" s="987"/>
      <c r="M969" s="987"/>
      <c r="N969" s="987"/>
      <c r="O969" s="987"/>
      <c r="P969" s="987"/>
      <c r="Q969" s="987"/>
      <c r="R969" s="987"/>
      <c r="S969" s="987"/>
      <c r="T969" s="987"/>
      <c r="U969" s="987"/>
      <c r="V969" s="987"/>
      <c r="W969" s="987"/>
      <c r="X969" s="987"/>
      <c r="Y969" s="987"/>
      <c r="Z969" s="987"/>
    </row>
    <row r="970">
      <c r="A970" s="987"/>
      <c r="B970" s="987"/>
      <c r="C970" s="987"/>
      <c r="D970" s="987"/>
      <c r="E970" s="987"/>
      <c r="F970" s="987"/>
      <c r="G970" s="987"/>
      <c r="H970" s="987"/>
      <c r="I970" s="987"/>
      <c r="J970" s="987"/>
      <c r="K970" s="987"/>
      <c r="L970" s="987"/>
      <c r="M970" s="987"/>
      <c r="N970" s="987"/>
      <c r="O970" s="987"/>
      <c r="P970" s="987"/>
      <c r="Q970" s="987"/>
      <c r="R970" s="987"/>
      <c r="S970" s="987"/>
      <c r="T970" s="987"/>
      <c r="U970" s="987"/>
      <c r="V970" s="987"/>
      <c r="W970" s="987"/>
      <c r="X970" s="987"/>
      <c r="Y970" s="987"/>
      <c r="Z970" s="987"/>
    </row>
    <row r="971">
      <c r="A971" s="987"/>
      <c r="B971" s="987"/>
      <c r="C971" s="987"/>
      <c r="D971" s="987"/>
      <c r="E971" s="987"/>
      <c r="F971" s="987"/>
      <c r="G971" s="987"/>
      <c r="H971" s="987"/>
      <c r="I971" s="987"/>
      <c r="J971" s="987"/>
      <c r="K971" s="987"/>
      <c r="L971" s="987"/>
      <c r="M971" s="987"/>
      <c r="N971" s="987"/>
      <c r="O971" s="987"/>
      <c r="P971" s="987"/>
      <c r="Q971" s="987"/>
      <c r="R971" s="987"/>
      <c r="S971" s="987"/>
      <c r="T971" s="987"/>
      <c r="U971" s="987"/>
      <c r="V971" s="987"/>
      <c r="W971" s="987"/>
      <c r="X971" s="987"/>
      <c r="Y971" s="987"/>
      <c r="Z971" s="987"/>
    </row>
    <row r="972">
      <c r="A972" s="987"/>
      <c r="B972" s="987"/>
      <c r="C972" s="987"/>
      <c r="D972" s="987"/>
      <c r="E972" s="987"/>
      <c r="F972" s="987"/>
      <c r="G972" s="987"/>
      <c r="H972" s="987"/>
      <c r="I972" s="987"/>
      <c r="J972" s="987"/>
      <c r="K972" s="987"/>
      <c r="L972" s="987"/>
      <c r="M972" s="987"/>
      <c r="N972" s="987"/>
      <c r="O972" s="987"/>
      <c r="P972" s="987"/>
      <c r="Q972" s="987"/>
      <c r="R972" s="987"/>
      <c r="S972" s="987"/>
      <c r="T972" s="987"/>
      <c r="U972" s="987"/>
      <c r="V972" s="987"/>
      <c r="W972" s="987"/>
      <c r="X972" s="987"/>
      <c r="Y972" s="987"/>
      <c r="Z972" s="987"/>
    </row>
    <row r="973">
      <c r="A973" s="987"/>
      <c r="B973" s="987"/>
      <c r="C973" s="987"/>
      <c r="D973" s="987"/>
      <c r="E973" s="987"/>
      <c r="F973" s="987"/>
      <c r="G973" s="987"/>
      <c r="H973" s="987"/>
      <c r="I973" s="987"/>
      <c r="J973" s="987"/>
      <c r="K973" s="987"/>
      <c r="L973" s="987"/>
      <c r="M973" s="987"/>
      <c r="N973" s="987"/>
      <c r="O973" s="987"/>
      <c r="P973" s="987"/>
      <c r="Q973" s="987"/>
      <c r="R973" s="987"/>
      <c r="S973" s="987"/>
      <c r="T973" s="987"/>
      <c r="U973" s="987"/>
      <c r="V973" s="987"/>
      <c r="W973" s="987"/>
      <c r="X973" s="987"/>
      <c r="Y973" s="987"/>
      <c r="Z973" s="987"/>
    </row>
    <row r="974">
      <c r="A974" s="987"/>
      <c r="B974" s="987"/>
      <c r="C974" s="987"/>
      <c r="D974" s="987"/>
      <c r="E974" s="987"/>
      <c r="F974" s="987"/>
      <c r="G974" s="987"/>
      <c r="H974" s="987"/>
      <c r="I974" s="987"/>
      <c r="J974" s="987"/>
      <c r="K974" s="987"/>
      <c r="L974" s="987"/>
      <c r="M974" s="987"/>
      <c r="N974" s="987"/>
      <c r="O974" s="987"/>
      <c r="P974" s="987"/>
      <c r="Q974" s="987"/>
      <c r="R974" s="987"/>
      <c r="S974" s="987"/>
      <c r="T974" s="987"/>
      <c r="U974" s="987"/>
      <c r="V974" s="987"/>
      <c r="W974" s="987"/>
      <c r="X974" s="987"/>
      <c r="Y974" s="987"/>
      <c r="Z974" s="987"/>
    </row>
    <row r="975">
      <c r="A975" s="987"/>
      <c r="B975" s="987"/>
      <c r="C975" s="987"/>
      <c r="D975" s="987"/>
      <c r="E975" s="987"/>
      <c r="F975" s="987"/>
      <c r="G975" s="987"/>
      <c r="H975" s="987"/>
      <c r="I975" s="987"/>
      <c r="J975" s="987"/>
      <c r="K975" s="987"/>
      <c r="L975" s="987"/>
      <c r="M975" s="987"/>
      <c r="N975" s="987"/>
      <c r="O975" s="987"/>
      <c r="P975" s="987"/>
      <c r="Q975" s="987"/>
      <c r="R975" s="987"/>
      <c r="S975" s="987"/>
      <c r="T975" s="987"/>
      <c r="U975" s="987"/>
      <c r="V975" s="987"/>
      <c r="W975" s="987"/>
      <c r="X975" s="987"/>
      <c r="Y975" s="987"/>
      <c r="Z975" s="987"/>
    </row>
    <row r="976">
      <c r="A976" s="987"/>
      <c r="B976" s="987"/>
      <c r="C976" s="987"/>
      <c r="D976" s="987"/>
      <c r="E976" s="987"/>
      <c r="F976" s="987"/>
      <c r="G976" s="987"/>
      <c r="H976" s="987"/>
      <c r="I976" s="987"/>
      <c r="J976" s="987"/>
      <c r="K976" s="987"/>
      <c r="L976" s="987"/>
      <c r="M976" s="987"/>
      <c r="N976" s="987"/>
      <c r="O976" s="987"/>
      <c r="P976" s="987"/>
      <c r="Q976" s="987"/>
      <c r="R976" s="987"/>
      <c r="S976" s="987"/>
      <c r="T976" s="987"/>
      <c r="U976" s="987"/>
      <c r="V976" s="987"/>
      <c r="W976" s="987"/>
      <c r="X976" s="987"/>
      <c r="Y976" s="987"/>
      <c r="Z976" s="987"/>
    </row>
    <row r="977">
      <c r="A977" s="987"/>
      <c r="B977" s="987"/>
      <c r="C977" s="987"/>
      <c r="D977" s="987"/>
      <c r="E977" s="987"/>
      <c r="F977" s="987"/>
      <c r="G977" s="987"/>
      <c r="H977" s="987"/>
      <c r="I977" s="987"/>
      <c r="J977" s="987"/>
      <c r="K977" s="987"/>
      <c r="L977" s="987"/>
      <c r="M977" s="987"/>
      <c r="N977" s="987"/>
      <c r="O977" s="987"/>
      <c r="P977" s="987"/>
      <c r="Q977" s="987"/>
      <c r="R977" s="987"/>
      <c r="S977" s="987"/>
      <c r="T977" s="987"/>
      <c r="U977" s="987"/>
      <c r="V977" s="987"/>
      <c r="W977" s="987"/>
      <c r="X977" s="987"/>
      <c r="Y977" s="987"/>
      <c r="Z977" s="987"/>
    </row>
    <row r="978">
      <c r="A978" s="987"/>
      <c r="B978" s="987"/>
      <c r="C978" s="987"/>
      <c r="D978" s="987"/>
      <c r="E978" s="987"/>
      <c r="F978" s="987"/>
      <c r="G978" s="987"/>
      <c r="H978" s="987"/>
      <c r="I978" s="987"/>
      <c r="J978" s="987"/>
      <c r="K978" s="987"/>
      <c r="L978" s="987"/>
      <c r="M978" s="987"/>
      <c r="N978" s="987"/>
      <c r="O978" s="987"/>
      <c r="P978" s="987"/>
      <c r="Q978" s="987"/>
      <c r="R978" s="987"/>
      <c r="S978" s="987"/>
      <c r="T978" s="987"/>
      <c r="U978" s="987"/>
      <c r="V978" s="987"/>
      <c r="W978" s="987"/>
      <c r="X978" s="987"/>
      <c r="Y978" s="987"/>
      <c r="Z978" s="987"/>
    </row>
    <row r="979">
      <c r="A979" s="987"/>
      <c r="B979" s="987"/>
      <c r="C979" s="987"/>
      <c r="D979" s="987"/>
      <c r="E979" s="987"/>
      <c r="F979" s="987"/>
      <c r="G979" s="987"/>
      <c r="H979" s="987"/>
      <c r="I979" s="987"/>
      <c r="J979" s="987"/>
      <c r="K979" s="987"/>
      <c r="L979" s="987"/>
      <c r="M979" s="987"/>
      <c r="N979" s="987"/>
      <c r="O979" s="987"/>
      <c r="P979" s="987"/>
      <c r="Q979" s="987"/>
      <c r="R979" s="987"/>
      <c r="S979" s="987"/>
      <c r="T979" s="987"/>
      <c r="U979" s="987"/>
      <c r="V979" s="987"/>
      <c r="W979" s="987"/>
      <c r="X979" s="987"/>
      <c r="Y979" s="987"/>
      <c r="Z979" s="987"/>
    </row>
    <row r="980">
      <c r="A980" s="987"/>
      <c r="B980" s="987"/>
      <c r="C980" s="987"/>
      <c r="D980" s="987"/>
      <c r="E980" s="987"/>
      <c r="F980" s="987"/>
      <c r="G980" s="987"/>
      <c r="H980" s="987"/>
      <c r="I980" s="987"/>
      <c r="J980" s="987"/>
      <c r="K980" s="987"/>
      <c r="L980" s="987"/>
      <c r="M980" s="987"/>
      <c r="N980" s="987"/>
      <c r="O980" s="987"/>
      <c r="P980" s="987"/>
      <c r="Q980" s="987"/>
      <c r="R980" s="987"/>
      <c r="S980" s="987"/>
      <c r="T980" s="987"/>
      <c r="U980" s="987"/>
      <c r="V980" s="987"/>
      <c r="W980" s="987"/>
      <c r="X980" s="987"/>
      <c r="Y980" s="987"/>
      <c r="Z980" s="987"/>
    </row>
    <row r="981">
      <c r="A981" s="987"/>
      <c r="B981" s="987"/>
      <c r="C981" s="987"/>
      <c r="D981" s="987"/>
      <c r="E981" s="987"/>
      <c r="F981" s="987"/>
      <c r="G981" s="987"/>
      <c r="H981" s="987"/>
      <c r="I981" s="987"/>
      <c r="J981" s="987"/>
      <c r="K981" s="987"/>
      <c r="L981" s="987"/>
      <c r="M981" s="987"/>
      <c r="N981" s="987"/>
      <c r="O981" s="987"/>
      <c r="P981" s="987"/>
      <c r="Q981" s="987"/>
      <c r="R981" s="987"/>
      <c r="S981" s="987"/>
      <c r="T981" s="987"/>
      <c r="U981" s="987"/>
      <c r="V981" s="987"/>
      <c r="W981" s="987"/>
      <c r="X981" s="987"/>
      <c r="Y981" s="987"/>
      <c r="Z981" s="987"/>
    </row>
    <row r="982">
      <c r="A982" s="987"/>
      <c r="B982" s="987"/>
      <c r="C982" s="987"/>
      <c r="D982" s="987"/>
      <c r="E982" s="987"/>
      <c r="F982" s="987"/>
      <c r="G982" s="987"/>
      <c r="H982" s="987"/>
      <c r="I982" s="987"/>
      <c r="J982" s="987"/>
      <c r="K982" s="987"/>
      <c r="L982" s="987"/>
      <c r="M982" s="987"/>
      <c r="N982" s="987"/>
      <c r="O982" s="987"/>
      <c r="P982" s="987"/>
      <c r="Q982" s="987"/>
      <c r="R982" s="987"/>
      <c r="S982" s="987"/>
      <c r="T982" s="987"/>
      <c r="U982" s="987"/>
      <c r="V982" s="987"/>
      <c r="W982" s="987"/>
      <c r="X982" s="987"/>
      <c r="Y982" s="987"/>
      <c r="Z982" s="987"/>
    </row>
    <row r="983">
      <c r="A983" s="987"/>
      <c r="B983" s="987"/>
      <c r="C983" s="987"/>
      <c r="D983" s="987"/>
      <c r="E983" s="987"/>
      <c r="F983" s="987"/>
      <c r="G983" s="987"/>
      <c r="H983" s="987"/>
      <c r="I983" s="987"/>
      <c r="J983" s="987"/>
      <c r="K983" s="987"/>
      <c r="L983" s="987"/>
      <c r="M983" s="987"/>
      <c r="N983" s="987"/>
      <c r="O983" s="987"/>
      <c r="P983" s="987"/>
      <c r="Q983" s="987"/>
      <c r="R983" s="987"/>
      <c r="S983" s="987"/>
      <c r="T983" s="987"/>
      <c r="U983" s="987"/>
      <c r="V983" s="987"/>
      <c r="W983" s="987"/>
      <c r="X983" s="987"/>
      <c r="Y983" s="987"/>
      <c r="Z983" s="987"/>
    </row>
    <row r="984">
      <c r="A984" s="987"/>
      <c r="B984" s="987"/>
      <c r="C984" s="987"/>
      <c r="D984" s="987"/>
      <c r="E984" s="987"/>
      <c r="F984" s="987"/>
      <c r="G984" s="987"/>
      <c r="H984" s="987"/>
      <c r="I984" s="987"/>
      <c r="J984" s="987"/>
      <c r="K984" s="987"/>
      <c r="L984" s="987"/>
      <c r="M984" s="987"/>
      <c r="N984" s="987"/>
      <c r="O984" s="987"/>
      <c r="P984" s="987"/>
      <c r="Q984" s="987"/>
      <c r="R984" s="987"/>
      <c r="S984" s="987"/>
      <c r="T984" s="987"/>
      <c r="U984" s="987"/>
      <c r="V984" s="987"/>
      <c r="W984" s="987"/>
      <c r="X984" s="987"/>
      <c r="Y984" s="987"/>
      <c r="Z984" s="987"/>
    </row>
    <row r="985">
      <c r="A985" s="987"/>
      <c r="B985" s="987"/>
      <c r="C985" s="987"/>
      <c r="D985" s="987"/>
      <c r="E985" s="987"/>
      <c r="F985" s="987"/>
      <c r="G985" s="987"/>
      <c r="H985" s="987"/>
      <c r="I985" s="987"/>
      <c r="J985" s="987"/>
      <c r="K985" s="987"/>
      <c r="L985" s="987"/>
      <c r="M985" s="987"/>
      <c r="N985" s="987"/>
      <c r="O985" s="987"/>
      <c r="P985" s="987"/>
      <c r="Q985" s="987"/>
      <c r="R985" s="987"/>
      <c r="S985" s="987"/>
      <c r="T985" s="987"/>
      <c r="U985" s="987"/>
      <c r="V985" s="987"/>
      <c r="W985" s="987"/>
      <c r="X985" s="987"/>
      <c r="Y985" s="987"/>
      <c r="Z985" s="987"/>
    </row>
    <row r="986">
      <c r="A986" s="987"/>
      <c r="B986" s="987"/>
      <c r="C986" s="987"/>
      <c r="D986" s="987"/>
      <c r="E986" s="987"/>
      <c r="F986" s="987"/>
      <c r="G986" s="987"/>
      <c r="H986" s="987"/>
      <c r="I986" s="987"/>
      <c r="J986" s="987"/>
      <c r="K986" s="987"/>
      <c r="L986" s="987"/>
      <c r="M986" s="987"/>
      <c r="N986" s="987"/>
      <c r="O986" s="987"/>
      <c r="P986" s="987"/>
      <c r="Q986" s="987"/>
      <c r="R986" s="987"/>
      <c r="S986" s="987"/>
      <c r="T986" s="987"/>
      <c r="U986" s="987"/>
      <c r="V986" s="987"/>
      <c r="W986" s="987"/>
      <c r="X986" s="987"/>
      <c r="Y986" s="987"/>
      <c r="Z986" s="987"/>
    </row>
    <row r="987">
      <c r="A987" s="987"/>
      <c r="B987" s="987"/>
      <c r="C987" s="987"/>
      <c r="D987" s="987"/>
      <c r="E987" s="987"/>
      <c r="F987" s="987"/>
      <c r="G987" s="987"/>
      <c r="H987" s="987"/>
      <c r="I987" s="987"/>
      <c r="J987" s="987"/>
      <c r="K987" s="987"/>
      <c r="L987" s="987"/>
      <c r="M987" s="987"/>
      <c r="N987" s="987"/>
      <c r="O987" s="987"/>
      <c r="P987" s="987"/>
      <c r="Q987" s="987"/>
      <c r="R987" s="987"/>
      <c r="S987" s="987"/>
      <c r="T987" s="987"/>
      <c r="U987" s="987"/>
      <c r="V987" s="987"/>
      <c r="W987" s="987"/>
      <c r="X987" s="987"/>
      <c r="Y987" s="987"/>
      <c r="Z987" s="987"/>
    </row>
    <row r="988">
      <c r="A988" s="987"/>
      <c r="B988" s="987"/>
      <c r="C988" s="987"/>
      <c r="D988" s="987"/>
      <c r="E988" s="987"/>
      <c r="F988" s="987"/>
      <c r="G988" s="987"/>
      <c r="H988" s="987"/>
      <c r="I988" s="987"/>
      <c r="J988" s="987"/>
      <c r="K988" s="987"/>
      <c r="L988" s="987"/>
      <c r="M988" s="987"/>
      <c r="N988" s="987"/>
      <c r="O988" s="987"/>
      <c r="P988" s="987"/>
      <c r="Q988" s="987"/>
      <c r="R988" s="987"/>
      <c r="S988" s="987"/>
      <c r="T988" s="987"/>
      <c r="U988" s="987"/>
      <c r="V988" s="987"/>
      <c r="W988" s="987"/>
      <c r="X988" s="987"/>
      <c r="Y988" s="987"/>
      <c r="Z988" s="987"/>
    </row>
    <row r="989">
      <c r="A989" s="987"/>
      <c r="B989" s="987"/>
      <c r="C989" s="987"/>
      <c r="D989" s="987"/>
      <c r="E989" s="987"/>
      <c r="F989" s="987"/>
      <c r="G989" s="987"/>
      <c r="H989" s="987"/>
      <c r="I989" s="987"/>
      <c r="J989" s="987"/>
      <c r="K989" s="987"/>
      <c r="L989" s="987"/>
      <c r="M989" s="987"/>
      <c r="N989" s="987"/>
      <c r="O989" s="987"/>
      <c r="P989" s="987"/>
      <c r="Q989" s="987"/>
      <c r="R989" s="987"/>
      <c r="S989" s="987"/>
      <c r="T989" s="987"/>
      <c r="U989" s="987"/>
      <c r="V989" s="987"/>
      <c r="W989" s="987"/>
      <c r="X989" s="987"/>
      <c r="Y989" s="987"/>
      <c r="Z989" s="987"/>
    </row>
    <row r="990">
      <c r="A990" s="987"/>
      <c r="B990" s="987"/>
      <c r="C990" s="987"/>
      <c r="D990" s="987"/>
      <c r="E990" s="987"/>
      <c r="F990" s="987"/>
      <c r="G990" s="987"/>
      <c r="H990" s="987"/>
      <c r="I990" s="987"/>
      <c r="J990" s="987"/>
      <c r="K990" s="987"/>
      <c r="L990" s="987"/>
      <c r="M990" s="987"/>
      <c r="N990" s="987"/>
      <c r="O990" s="987"/>
      <c r="P990" s="987"/>
      <c r="Q990" s="987"/>
      <c r="R990" s="987"/>
      <c r="S990" s="987"/>
      <c r="T990" s="987"/>
      <c r="U990" s="987"/>
      <c r="V990" s="987"/>
      <c r="W990" s="987"/>
      <c r="X990" s="987"/>
      <c r="Y990" s="987"/>
      <c r="Z990" s="987"/>
    </row>
    <row r="991">
      <c r="A991" s="987"/>
      <c r="B991" s="987"/>
      <c r="C991" s="987"/>
      <c r="D991" s="987"/>
      <c r="E991" s="987"/>
      <c r="F991" s="987"/>
      <c r="G991" s="987"/>
      <c r="H991" s="987"/>
      <c r="I991" s="987"/>
      <c r="J991" s="987"/>
      <c r="K991" s="987"/>
      <c r="L991" s="987"/>
      <c r="M991" s="987"/>
      <c r="N991" s="987"/>
      <c r="O991" s="987"/>
      <c r="P991" s="987"/>
      <c r="Q991" s="987"/>
      <c r="R991" s="987"/>
      <c r="S991" s="987"/>
      <c r="T991" s="987"/>
      <c r="U991" s="987"/>
      <c r="V991" s="987"/>
      <c r="W991" s="987"/>
      <c r="X991" s="987"/>
      <c r="Y991" s="987"/>
      <c r="Z991" s="987"/>
    </row>
    <row r="992">
      <c r="A992" s="987"/>
      <c r="B992" s="987"/>
      <c r="C992" s="987"/>
      <c r="D992" s="987"/>
      <c r="E992" s="987"/>
      <c r="F992" s="987"/>
      <c r="G992" s="987"/>
      <c r="H992" s="987"/>
      <c r="I992" s="987"/>
      <c r="J992" s="987"/>
      <c r="K992" s="987"/>
      <c r="L992" s="987"/>
      <c r="M992" s="987"/>
      <c r="N992" s="987"/>
      <c r="O992" s="987"/>
      <c r="P992" s="987"/>
      <c r="Q992" s="987"/>
      <c r="R992" s="987"/>
      <c r="S992" s="987"/>
      <c r="T992" s="987"/>
      <c r="U992" s="987"/>
      <c r="V992" s="987"/>
      <c r="W992" s="987"/>
      <c r="X992" s="987"/>
      <c r="Y992" s="987"/>
      <c r="Z992" s="987"/>
    </row>
    <row r="993">
      <c r="A993" s="987"/>
      <c r="B993" s="987"/>
      <c r="C993" s="987"/>
      <c r="D993" s="987"/>
      <c r="E993" s="987"/>
      <c r="F993" s="987"/>
      <c r="G993" s="987"/>
      <c r="H993" s="987"/>
      <c r="I993" s="987"/>
      <c r="J993" s="987"/>
      <c r="K993" s="987"/>
      <c r="L993" s="987"/>
      <c r="M993" s="987"/>
      <c r="N993" s="987"/>
      <c r="O993" s="987"/>
      <c r="P993" s="987"/>
      <c r="Q993" s="987"/>
      <c r="R993" s="987"/>
      <c r="S993" s="987"/>
      <c r="T993" s="987"/>
      <c r="U993" s="987"/>
      <c r="V993" s="987"/>
      <c r="W993" s="987"/>
      <c r="X993" s="987"/>
      <c r="Y993" s="987"/>
      <c r="Z993" s="987"/>
    </row>
    <row r="994">
      <c r="A994" s="987"/>
      <c r="B994" s="987"/>
      <c r="C994" s="987"/>
      <c r="D994" s="987"/>
      <c r="E994" s="987"/>
      <c r="F994" s="987"/>
      <c r="G994" s="987"/>
      <c r="H994" s="987"/>
      <c r="I994" s="987"/>
      <c r="J994" s="987"/>
      <c r="K994" s="987"/>
      <c r="L994" s="987"/>
      <c r="M994" s="987"/>
      <c r="N994" s="987"/>
      <c r="O994" s="987"/>
      <c r="P994" s="987"/>
      <c r="Q994" s="987"/>
      <c r="R994" s="987"/>
      <c r="S994" s="987"/>
      <c r="T994" s="987"/>
      <c r="U994" s="987"/>
      <c r="V994" s="987"/>
      <c r="W994" s="987"/>
      <c r="X994" s="987"/>
      <c r="Y994" s="987"/>
      <c r="Z994" s="987"/>
    </row>
    <row r="995">
      <c r="A995" s="987"/>
      <c r="B995" s="987"/>
      <c r="C995" s="987"/>
      <c r="D995" s="987"/>
      <c r="E995" s="987"/>
      <c r="F995" s="987"/>
      <c r="G995" s="987"/>
      <c r="H995" s="987"/>
      <c r="I995" s="987"/>
      <c r="J995" s="987"/>
      <c r="K995" s="987"/>
      <c r="L995" s="987"/>
      <c r="M995" s="987"/>
      <c r="N995" s="987"/>
      <c r="O995" s="987"/>
      <c r="P995" s="987"/>
      <c r="Q995" s="987"/>
      <c r="R995" s="987"/>
      <c r="S995" s="987"/>
      <c r="T995" s="987"/>
      <c r="U995" s="987"/>
      <c r="V995" s="987"/>
      <c r="W995" s="987"/>
      <c r="X995" s="987"/>
      <c r="Y995" s="987"/>
      <c r="Z995" s="987"/>
    </row>
    <row r="996">
      <c r="A996" s="987"/>
      <c r="B996" s="987"/>
      <c r="C996" s="987"/>
      <c r="D996" s="987"/>
      <c r="E996" s="987"/>
      <c r="F996" s="987"/>
      <c r="G996" s="987"/>
      <c r="H996" s="987"/>
      <c r="I996" s="987"/>
      <c r="J996" s="987"/>
      <c r="K996" s="987"/>
      <c r="L996" s="987"/>
      <c r="M996" s="987"/>
      <c r="N996" s="987"/>
      <c r="O996" s="987"/>
      <c r="P996" s="987"/>
      <c r="Q996" s="987"/>
      <c r="R996" s="987"/>
      <c r="S996" s="987"/>
      <c r="T996" s="987"/>
      <c r="U996" s="987"/>
      <c r="V996" s="987"/>
      <c r="W996" s="987"/>
      <c r="X996" s="987"/>
      <c r="Y996" s="987"/>
      <c r="Z996" s="987"/>
    </row>
    <row r="997">
      <c r="A997" s="987"/>
      <c r="B997" s="987"/>
      <c r="C997" s="987"/>
      <c r="D997" s="987"/>
      <c r="E997" s="987"/>
      <c r="F997" s="987"/>
      <c r="G997" s="987"/>
      <c r="H997" s="987"/>
      <c r="I997" s="987"/>
      <c r="J997" s="987"/>
      <c r="K997" s="987"/>
      <c r="L997" s="987"/>
      <c r="M997" s="987"/>
      <c r="N997" s="987"/>
      <c r="O997" s="987"/>
      <c r="P997" s="987"/>
      <c r="Q997" s="987"/>
      <c r="R997" s="987"/>
      <c r="S997" s="987"/>
      <c r="T997" s="987"/>
      <c r="U997" s="987"/>
      <c r="V997" s="987"/>
      <c r="W997" s="987"/>
      <c r="X997" s="987"/>
      <c r="Y997" s="987"/>
      <c r="Z997" s="987"/>
    </row>
    <row r="998">
      <c r="A998" s="987"/>
      <c r="B998" s="987"/>
      <c r="C998" s="987"/>
      <c r="D998" s="987"/>
      <c r="E998" s="987"/>
      <c r="F998" s="987"/>
      <c r="G998" s="987"/>
      <c r="H998" s="987"/>
      <c r="I998" s="987"/>
      <c r="J998" s="987"/>
      <c r="K998" s="987"/>
      <c r="L998" s="987"/>
      <c r="M998" s="987"/>
      <c r="N998" s="987"/>
      <c r="O998" s="987"/>
      <c r="P998" s="987"/>
      <c r="Q998" s="987"/>
      <c r="R998" s="987"/>
      <c r="S998" s="987"/>
      <c r="T998" s="987"/>
      <c r="U998" s="987"/>
      <c r="V998" s="987"/>
      <c r="W998" s="987"/>
      <c r="X998" s="987"/>
      <c r="Y998" s="987"/>
      <c r="Z998" s="987"/>
    </row>
    <row r="999">
      <c r="A999" s="987"/>
      <c r="B999" s="987"/>
      <c r="C999" s="987"/>
      <c r="D999" s="987"/>
      <c r="E999" s="987"/>
      <c r="F999" s="987"/>
      <c r="G999" s="987"/>
      <c r="H999" s="987"/>
      <c r="I999" s="987"/>
      <c r="J999" s="987"/>
      <c r="K999" s="987"/>
      <c r="L999" s="987"/>
      <c r="M999" s="987"/>
      <c r="N999" s="987"/>
      <c r="O999" s="987"/>
      <c r="P999" s="987"/>
      <c r="Q999" s="987"/>
      <c r="R999" s="987"/>
      <c r="S999" s="987"/>
      <c r="T999" s="987"/>
      <c r="U999" s="987"/>
      <c r="V999" s="987"/>
      <c r="W999" s="987"/>
      <c r="X999" s="987"/>
      <c r="Y999" s="987"/>
      <c r="Z999" s="987"/>
    </row>
    <row r="1000">
      <c r="A1000" s="987"/>
      <c r="B1000" s="987"/>
      <c r="C1000" s="987"/>
      <c r="D1000" s="987"/>
      <c r="E1000" s="987"/>
      <c r="F1000" s="987"/>
      <c r="G1000" s="987"/>
      <c r="H1000" s="987"/>
      <c r="I1000" s="987"/>
      <c r="J1000" s="987"/>
      <c r="K1000" s="987"/>
      <c r="L1000" s="987"/>
      <c r="M1000" s="987"/>
      <c r="N1000" s="987"/>
      <c r="O1000" s="987"/>
      <c r="P1000" s="987"/>
      <c r="Q1000" s="987"/>
      <c r="R1000" s="987"/>
      <c r="S1000" s="987"/>
      <c r="T1000" s="987"/>
      <c r="U1000" s="987"/>
      <c r="V1000" s="987"/>
      <c r="W1000" s="987"/>
      <c r="X1000" s="987"/>
      <c r="Y1000" s="987"/>
      <c r="Z1000" s="987"/>
    </row>
    <row r="1001">
      <c r="A1001" s="987"/>
      <c r="B1001" s="987"/>
      <c r="C1001" s="987"/>
      <c r="D1001" s="987"/>
      <c r="E1001" s="987"/>
      <c r="F1001" s="987"/>
      <c r="G1001" s="987"/>
      <c r="H1001" s="987"/>
      <c r="I1001" s="987"/>
      <c r="J1001" s="987"/>
      <c r="K1001" s="987"/>
      <c r="L1001" s="987"/>
      <c r="M1001" s="987"/>
      <c r="N1001" s="987"/>
      <c r="O1001" s="987"/>
      <c r="P1001" s="987"/>
      <c r="Q1001" s="987"/>
      <c r="R1001" s="987"/>
      <c r="S1001" s="987"/>
      <c r="T1001" s="987"/>
      <c r="U1001" s="987"/>
      <c r="V1001" s="987"/>
      <c r="W1001" s="987"/>
      <c r="X1001" s="987"/>
      <c r="Y1001" s="987"/>
      <c r="Z1001" s="987"/>
    </row>
    <row r="1002">
      <c r="A1002" s="987"/>
      <c r="B1002" s="987"/>
      <c r="C1002" s="987"/>
      <c r="D1002" s="987"/>
      <c r="E1002" s="987"/>
      <c r="F1002" s="987"/>
      <c r="G1002" s="987"/>
      <c r="H1002" s="987"/>
      <c r="I1002" s="987"/>
      <c r="J1002" s="987"/>
      <c r="K1002" s="987"/>
      <c r="L1002" s="987"/>
      <c r="M1002" s="987"/>
      <c r="N1002" s="987"/>
      <c r="O1002" s="987"/>
      <c r="P1002" s="987"/>
      <c r="Q1002" s="987"/>
      <c r="R1002" s="987"/>
      <c r="S1002" s="987"/>
      <c r="T1002" s="987"/>
      <c r="U1002" s="987"/>
      <c r="V1002" s="987"/>
      <c r="W1002" s="987"/>
      <c r="X1002" s="987"/>
      <c r="Y1002" s="987"/>
      <c r="Z1002" s="987"/>
    </row>
    <row r="1003">
      <c r="A1003" s="987"/>
      <c r="B1003" s="987"/>
      <c r="C1003" s="987"/>
      <c r="D1003" s="987"/>
      <c r="E1003" s="987"/>
      <c r="F1003" s="987"/>
      <c r="G1003" s="987"/>
      <c r="H1003" s="987"/>
      <c r="I1003" s="987"/>
      <c r="J1003" s="987"/>
      <c r="K1003" s="987"/>
      <c r="L1003" s="987"/>
      <c r="M1003" s="987"/>
      <c r="N1003" s="987"/>
      <c r="O1003" s="987"/>
      <c r="P1003" s="987"/>
      <c r="Q1003" s="987"/>
      <c r="R1003" s="987"/>
      <c r="S1003" s="987"/>
      <c r="T1003" s="987"/>
      <c r="U1003" s="987"/>
      <c r="V1003" s="987"/>
      <c r="W1003" s="987"/>
      <c r="X1003" s="987"/>
      <c r="Y1003" s="987"/>
      <c r="Z1003" s="987"/>
    </row>
    <row r="1004">
      <c r="A1004" s="987"/>
      <c r="B1004" s="987"/>
      <c r="C1004" s="987"/>
      <c r="D1004" s="987"/>
      <c r="E1004" s="987"/>
      <c r="F1004" s="987"/>
      <c r="G1004" s="987"/>
      <c r="H1004" s="987"/>
      <c r="I1004" s="987"/>
      <c r="J1004" s="987"/>
      <c r="K1004" s="987"/>
      <c r="L1004" s="987"/>
      <c r="M1004" s="987"/>
      <c r="N1004" s="987"/>
      <c r="O1004" s="987"/>
      <c r="P1004" s="987"/>
      <c r="Q1004" s="987"/>
      <c r="R1004" s="987"/>
      <c r="S1004" s="987"/>
      <c r="T1004" s="987"/>
      <c r="U1004" s="987"/>
      <c r="V1004" s="987"/>
      <c r="W1004" s="987"/>
      <c r="X1004" s="987"/>
      <c r="Y1004" s="987"/>
      <c r="Z1004" s="987"/>
    </row>
    <row r="1005">
      <c r="A1005" s="987"/>
      <c r="B1005" s="987"/>
      <c r="C1005" s="987"/>
      <c r="D1005" s="987"/>
      <c r="E1005" s="987"/>
      <c r="F1005" s="987"/>
      <c r="G1005" s="987"/>
      <c r="H1005" s="987"/>
      <c r="I1005" s="987"/>
      <c r="J1005" s="987"/>
      <c r="K1005" s="987"/>
      <c r="L1005" s="987"/>
      <c r="M1005" s="987"/>
      <c r="N1005" s="987"/>
      <c r="O1005" s="987"/>
      <c r="P1005" s="987"/>
      <c r="Q1005" s="987"/>
      <c r="R1005" s="987"/>
      <c r="S1005" s="987"/>
      <c r="T1005" s="987"/>
      <c r="U1005" s="987"/>
      <c r="V1005" s="987"/>
      <c r="W1005" s="987"/>
      <c r="X1005" s="987"/>
      <c r="Y1005" s="987"/>
      <c r="Z1005" s="987"/>
    </row>
    <row r="1006">
      <c r="A1006" s="987"/>
      <c r="B1006" s="987"/>
      <c r="C1006" s="987"/>
      <c r="D1006" s="987"/>
      <c r="E1006" s="987"/>
      <c r="F1006" s="987"/>
      <c r="G1006" s="987"/>
      <c r="H1006" s="987"/>
      <c r="I1006" s="987"/>
      <c r="J1006" s="987"/>
      <c r="K1006" s="987"/>
      <c r="L1006" s="987"/>
      <c r="M1006" s="987"/>
      <c r="N1006" s="987"/>
      <c r="O1006" s="987"/>
      <c r="P1006" s="987"/>
      <c r="Q1006" s="987"/>
      <c r="R1006" s="987"/>
      <c r="S1006" s="987"/>
      <c r="T1006" s="987"/>
      <c r="U1006" s="987"/>
      <c r="V1006" s="987"/>
      <c r="W1006" s="987"/>
      <c r="X1006" s="987"/>
      <c r="Y1006" s="987"/>
      <c r="Z1006" s="987"/>
    </row>
    <row r="1007">
      <c r="A1007" s="987"/>
      <c r="B1007" s="987"/>
      <c r="C1007" s="987"/>
      <c r="D1007" s="987"/>
      <c r="E1007" s="987"/>
      <c r="F1007" s="987"/>
      <c r="G1007" s="987"/>
      <c r="H1007" s="987"/>
      <c r="I1007" s="987"/>
      <c r="J1007" s="987"/>
      <c r="K1007" s="987"/>
      <c r="L1007" s="987"/>
      <c r="M1007" s="987"/>
      <c r="N1007" s="987"/>
      <c r="O1007" s="987"/>
      <c r="P1007" s="987"/>
      <c r="Q1007" s="987"/>
      <c r="R1007" s="987"/>
      <c r="S1007" s="987"/>
      <c r="T1007" s="987"/>
      <c r="U1007" s="987"/>
      <c r="V1007" s="987"/>
      <c r="W1007" s="987"/>
      <c r="X1007" s="987"/>
      <c r="Y1007" s="987"/>
      <c r="Z1007" s="987"/>
    </row>
    <row r="1008">
      <c r="A1008" s="987"/>
      <c r="B1008" s="987"/>
      <c r="C1008" s="987"/>
      <c r="D1008" s="987"/>
      <c r="E1008" s="987"/>
      <c r="F1008" s="987"/>
      <c r="G1008" s="987"/>
      <c r="H1008" s="987"/>
      <c r="I1008" s="987"/>
      <c r="J1008" s="987"/>
      <c r="K1008" s="987"/>
      <c r="L1008" s="987"/>
      <c r="M1008" s="987"/>
      <c r="N1008" s="987"/>
      <c r="O1008" s="987"/>
      <c r="P1008" s="987"/>
      <c r="Q1008" s="987"/>
      <c r="R1008" s="987"/>
      <c r="S1008" s="987"/>
      <c r="T1008" s="987"/>
      <c r="U1008" s="987"/>
      <c r="V1008" s="987"/>
      <c r="W1008" s="987"/>
      <c r="X1008" s="987"/>
      <c r="Y1008" s="987"/>
      <c r="Z1008" s="987"/>
    </row>
    <row r="1009">
      <c r="A1009" s="987"/>
      <c r="B1009" s="987"/>
      <c r="C1009" s="987"/>
      <c r="D1009" s="987"/>
      <c r="E1009" s="987"/>
      <c r="F1009" s="987"/>
      <c r="G1009" s="987"/>
      <c r="H1009" s="987"/>
      <c r="I1009" s="987"/>
      <c r="J1009" s="987"/>
      <c r="K1009" s="987"/>
      <c r="L1009" s="987"/>
      <c r="M1009" s="987"/>
      <c r="N1009" s="987"/>
      <c r="O1009" s="987"/>
      <c r="P1009" s="987"/>
      <c r="Q1009" s="987"/>
      <c r="R1009" s="987"/>
      <c r="S1009" s="987"/>
      <c r="T1009" s="987"/>
      <c r="U1009" s="987"/>
      <c r="V1009" s="987"/>
      <c r="W1009" s="987"/>
      <c r="X1009" s="987"/>
      <c r="Y1009" s="987"/>
      <c r="Z1009" s="987"/>
    </row>
    <row r="1010">
      <c r="A1010" s="987"/>
      <c r="B1010" s="987"/>
      <c r="C1010" s="987"/>
      <c r="D1010" s="987"/>
      <c r="E1010" s="987"/>
      <c r="F1010" s="987"/>
      <c r="G1010" s="987"/>
      <c r="H1010" s="987"/>
      <c r="I1010" s="987"/>
      <c r="J1010" s="987"/>
      <c r="K1010" s="987"/>
      <c r="L1010" s="987"/>
      <c r="M1010" s="987"/>
      <c r="N1010" s="987"/>
      <c r="O1010" s="987"/>
      <c r="P1010" s="987"/>
      <c r="Q1010" s="987"/>
      <c r="R1010" s="987"/>
      <c r="S1010" s="987"/>
      <c r="T1010" s="987"/>
      <c r="U1010" s="987"/>
      <c r="V1010" s="987"/>
      <c r="W1010" s="987"/>
      <c r="X1010" s="987"/>
      <c r="Y1010" s="987"/>
      <c r="Z1010" s="987"/>
    </row>
    <row r="1011">
      <c r="A1011" s="987"/>
      <c r="B1011" s="987"/>
      <c r="C1011" s="987"/>
      <c r="D1011" s="987"/>
      <c r="E1011" s="987"/>
      <c r="F1011" s="987"/>
      <c r="G1011" s="987"/>
      <c r="H1011" s="987"/>
      <c r="I1011" s="987"/>
      <c r="J1011" s="987"/>
      <c r="K1011" s="987"/>
      <c r="L1011" s="987"/>
      <c r="M1011" s="987"/>
      <c r="N1011" s="987"/>
      <c r="O1011" s="987"/>
      <c r="P1011" s="987"/>
      <c r="Q1011" s="987"/>
      <c r="R1011" s="987"/>
      <c r="S1011" s="987"/>
      <c r="T1011" s="987"/>
      <c r="U1011" s="987"/>
      <c r="V1011" s="987"/>
      <c r="W1011" s="987"/>
      <c r="X1011" s="987"/>
      <c r="Y1011" s="987"/>
      <c r="Z1011" s="987"/>
    </row>
    <row r="1012">
      <c r="A1012" s="987"/>
      <c r="B1012" s="987"/>
      <c r="C1012" s="987"/>
      <c r="D1012" s="987"/>
      <c r="E1012" s="987"/>
      <c r="F1012" s="987"/>
      <c r="G1012" s="987"/>
      <c r="H1012" s="987"/>
      <c r="I1012" s="987"/>
      <c r="J1012" s="987"/>
      <c r="K1012" s="987"/>
      <c r="L1012" s="987"/>
      <c r="M1012" s="987"/>
      <c r="N1012" s="987"/>
      <c r="O1012" s="987"/>
      <c r="P1012" s="987"/>
      <c r="Q1012" s="987"/>
      <c r="R1012" s="987"/>
      <c r="S1012" s="987"/>
      <c r="T1012" s="987"/>
      <c r="U1012" s="987"/>
      <c r="V1012" s="987"/>
      <c r="W1012" s="987"/>
      <c r="X1012" s="987"/>
      <c r="Y1012" s="987"/>
      <c r="Z1012" s="987"/>
    </row>
    <row r="1013">
      <c r="A1013" s="987"/>
      <c r="B1013" s="987"/>
      <c r="C1013" s="987"/>
      <c r="D1013" s="987"/>
      <c r="E1013" s="987"/>
      <c r="F1013" s="987"/>
      <c r="G1013" s="987"/>
      <c r="H1013" s="987"/>
      <c r="I1013" s="987"/>
      <c r="J1013" s="987"/>
      <c r="K1013" s="987"/>
      <c r="L1013" s="987"/>
      <c r="M1013" s="987"/>
      <c r="N1013" s="987"/>
      <c r="O1013" s="987"/>
      <c r="P1013" s="987"/>
      <c r="Q1013" s="987"/>
      <c r="R1013" s="987"/>
      <c r="S1013" s="987"/>
      <c r="T1013" s="987"/>
      <c r="U1013" s="987"/>
      <c r="V1013" s="987"/>
      <c r="W1013" s="987"/>
      <c r="X1013" s="987"/>
      <c r="Y1013" s="987"/>
      <c r="Z1013" s="987"/>
    </row>
    <row r="1014">
      <c r="A1014" s="987"/>
      <c r="B1014" s="987"/>
      <c r="C1014" s="987"/>
      <c r="D1014" s="987"/>
      <c r="E1014" s="987"/>
      <c r="F1014" s="987"/>
      <c r="G1014" s="987"/>
      <c r="H1014" s="987"/>
      <c r="I1014" s="987"/>
      <c r="J1014" s="987"/>
      <c r="K1014" s="987"/>
      <c r="L1014" s="987"/>
      <c r="M1014" s="987"/>
      <c r="N1014" s="987"/>
      <c r="O1014" s="987"/>
      <c r="P1014" s="987"/>
      <c r="Q1014" s="987"/>
      <c r="R1014" s="987"/>
      <c r="S1014" s="987"/>
      <c r="T1014" s="987"/>
      <c r="U1014" s="987"/>
      <c r="V1014" s="987"/>
      <c r="W1014" s="987"/>
      <c r="X1014" s="987"/>
      <c r="Y1014" s="987"/>
      <c r="Z1014" s="987"/>
    </row>
    <row r="1015">
      <c r="A1015" s="987"/>
      <c r="B1015" s="987"/>
      <c r="C1015" s="987"/>
      <c r="D1015" s="987"/>
      <c r="E1015" s="987"/>
      <c r="F1015" s="987"/>
      <c r="G1015" s="987"/>
      <c r="H1015" s="987"/>
      <c r="I1015" s="987"/>
      <c r="J1015" s="987"/>
      <c r="K1015" s="987"/>
      <c r="L1015" s="987"/>
      <c r="M1015" s="987"/>
      <c r="N1015" s="987"/>
      <c r="O1015" s="987"/>
      <c r="P1015" s="987"/>
      <c r="Q1015" s="987"/>
      <c r="R1015" s="987"/>
      <c r="S1015" s="987"/>
      <c r="T1015" s="987"/>
      <c r="U1015" s="987"/>
      <c r="V1015" s="987"/>
      <c r="W1015" s="987"/>
      <c r="X1015" s="987"/>
      <c r="Y1015" s="987"/>
      <c r="Z1015" s="987"/>
    </row>
    <row r="1016">
      <c r="A1016" s="987"/>
      <c r="B1016" s="987"/>
      <c r="C1016" s="987"/>
      <c r="D1016" s="987"/>
      <c r="E1016" s="987"/>
      <c r="F1016" s="987"/>
      <c r="G1016" s="987"/>
      <c r="H1016" s="987"/>
      <c r="I1016" s="987"/>
      <c r="J1016" s="987"/>
      <c r="K1016" s="987"/>
      <c r="L1016" s="987"/>
      <c r="M1016" s="987"/>
      <c r="N1016" s="987"/>
      <c r="O1016" s="987"/>
      <c r="P1016" s="987"/>
      <c r="Q1016" s="987"/>
      <c r="R1016" s="987"/>
      <c r="S1016" s="987"/>
      <c r="T1016" s="987"/>
      <c r="U1016" s="987"/>
      <c r="V1016" s="987"/>
      <c r="W1016" s="987"/>
      <c r="X1016" s="987"/>
      <c r="Y1016" s="987"/>
      <c r="Z1016" s="987"/>
    </row>
    <row r="1017">
      <c r="A1017" s="987"/>
      <c r="B1017" s="987"/>
      <c r="C1017" s="987"/>
      <c r="D1017" s="987"/>
      <c r="E1017" s="987"/>
      <c r="F1017" s="987"/>
      <c r="G1017" s="987"/>
      <c r="H1017" s="987"/>
      <c r="I1017" s="987"/>
      <c r="J1017" s="987"/>
      <c r="K1017" s="987"/>
      <c r="L1017" s="987"/>
      <c r="M1017" s="987"/>
      <c r="N1017" s="987"/>
      <c r="O1017" s="987"/>
      <c r="P1017" s="987"/>
      <c r="Q1017" s="987"/>
      <c r="R1017" s="987"/>
      <c r="S1017" s="987"/>
      <c r="T1017" s="987"/>
      <c r="U1017" s="987"/>
      <c r="V1017" s="987"/>
      <c r="W1017" s="987"/>
      <c r="X1017" s="987"/>
      <c r="Y1017" s="987"/>
      <c r="Z1017" s="987"/>
    </row>
    <row r="1018">
      <c r="A1018" s="987"/>
      <c r="B1018" s="987"/>
      <c r="C1018" s="987"/>
      <c r="D1018" s="987"/>
      <c r="E1018" s="987"/>
      <c r="F1018" s="987"/>
      <c r="G1018" s="987"/>
      <c r="H1018" s="987"/>
      <c r="I1018" s="987"/>
      <c r="J1018" s="987"/>
      <c r="K1018" s="987"/>
      <c r="L1018" s="987"/>
      <c r="M1018" s="987"/>
      <c r="N1018" s="987"/>
      <c r="O1018" s="987"/>
      <c r="P1018" s="987"/>
      <c r="Q1018" s="987"/>
      <c r="R1018" s="987"/>
      <c r="S1018" s="987"/>
      <c r="T1018" s="987"/>
      <c r="U1018" s="987"/>
      <c r="V1018" s="987"/>
      <c r="W1018" s="987"/>
      <c r="X1018" s="987"/>
      <c r="Y1018" s="987"/>
      <c r="Z1018" s="987"/>
    </row>
    <row r="1019">
      <c r="A1019" s="987"/>
      <c r="B1019" s="987"/>
      <c r="C1019" s="987"/>
      <c r="D1019" s="987"/>
      <c r="E1019" s="987"/>
      <c r="F1019" s="987"/>
      <c r="G1019" s="987"/>
      <c r="H1019" s="987"/>
      <c r="I1019" s="987"/>
      <c r="J1019" s="987"/>
      <c r="K1019" s="987"/>
      <c r="L1019" s="987"/>
      <c r="M1019" s="987"/>
      <c r="N1019" s="987"/>
      <c r="O1019" s="987"/>
      <c r="P1019" s="987"/>
      <c r="Q1019" s="987"/>
      <c r="R1019" s="987"/>
      <c r="S1019" s="987"/>
      <c r="T1019" s="987"/>
      <c r="U1019" s="987"/>
      <c r="V1019" s="987"/>
      <c r="W1019" s="987"/>
      <c r="X1019" s="987"/>
      <c r="Y1019" s="987"/>
      <c r="Z1019" s="987"/>
    </row>
    <row r="1020">
      <c r="A1020" s="987"/>
      <c r="B1020" s="987"/>
      <c r="C1020" s="987"/>
      <c r="D1020" s="987"/>
      <c r="E1020" s="987"/>
      <c r="F1020" s="987"/>
      <c r="G1020" s="987"/>
      <c r="H1020" s="987"/>
      <c r="I1020" s="987"/>
      <c r="J1020" s="987"/>
      <c r="K1020" s="987"/>
      <c r="L1020" s="987"/>
      <c r="M1020" s="987"/>
      <c r="N1020" s="987"/>
      <c r="O1020" s="987"/>
      <c r="P1020" s="987"/>
      <c r="Q1020" s="987"/>
      <c r="R1020" s="987"/>
      <c r="S1020" s="987"/>
      <c r="T1020" s="987"/>
      <c r="U1020" s="987"/>
      <c r="V1020" s="987"/>
      <c r="W1020" s="987"/>
      <c r="X1020" s="987"/>
      <c r="Y1020" s="987"/>
      <c r="Z1020" s="987"/>
    </row>
    <row r="1021">
      <c r="A1021" s="987"/>
      <c r="B1021" s="987"/>
      <c r="C1021" s="987"/>
      <c r="D1021" s="987"/>
      <c r="E1021" s="987"/>
      <c r="F1021" s="987"/>
      <c r="G1021" s="987"/>
      <c r="H1021" s="623"/>
      <c r="I1021" s="623"/>
      <c r="J1021" s="623"/>
      <c r="K1021" s="623"/>
      <c r="L1021" s="623"/>
      <c r="M1021" s="623"/>
      <c r="N1021" s="987"/>
      <c r="O1021" s="987"/>
      <c r="P1021" s="987"/>
      <c r="Q1021" s="987"/>
      <c r="R1021" s="987"/>
      <c r="S1021" s="987"/>
      <c r="T1021" s="987"/>
      <c r="U1021" s="987"/>
      <c r="V1021" s="987"/>
      <c r="W1021" s="987"/>
      <c r="X1021" s="987"/>
      <c r="Y1021" s="987"/>
      <c r="Z1021" s="987"/>
    </row>
    <row r="1022">
      <c r="A1022" s="987"/>
      <c r="B1022" s="987"/>
      <c r="C1022" s="987"/>
      <c r="D1022" s="987"/>
      <c r="E1022" s="987"/>
      <c r="F1022" s="987"/>
      <c r="G1022" s="987"/>
      <c r="H1022" s="623"/>
      <c r="I1022" s="623"/>
      <c r="J1022" s="623"/>
      <c r="K1022" s="623"/>
      <c r="L1022" s="623"/>
      <c r="M1022" s="623"/>
      <c r="N1022" s="987"/>
      <c r="O1022" s="987"/>
      <c r="P1022" s="987"/>
      <c r="Q1022" s="987"/>
      <c r="R1022" s="987"/>
      <c r="S1022" s="987"/>
      <c r="T1022" s="987"/>
      <c r="U1022" s="987"/>
      <c r="V1022" s="987"/>
      <c r="W1022" s="987"/>
      <c r="X1022" s="987"/>
      <c r="Y1022" s="987"/>
      <c r="Z1022" s="987"/>
    </row>
    <row r="1023">
      <c r="A1023" s="987"/>
      <c r="B1023" s="987"/>
      <c r="C1023" s="987"/>
      <c r="D1023" s="987"/>
      <c r="E1023" s="987"/>
      <c r="F1023" s="987"/>
      <c r="G1023" s="987"/>
      <c r="H1023" s="623"/>
      <c r="I1023" s="623"/>
      <c r="J1023" s="623"/>
      <c r="K1023" s="623"/>
      <c r="L1023" s="623"/>
      <c r="M1023" s="623"/>
      <c r="N1023" s="987"/>
      <c r="O1023" s="987"/>
      <c r="P1023" s="987"/>
      <c r="Q1023" s="987"/>
      <c r="R1023" s="987"/>
      <c r="S1023" s="987"/>
      <c r="T1023" s="987"/>
      <c r="U1023" s="987"/>
      <c r="V1023" s="987"/>
      <c r="W1023" s="987"/>
      <c r="X1023" s="987"/>
      <c r="Y1023" s="987"/>
      <c r="Z1023" s="987"/>
    </row>
    <row r="1024">
      <c r="A1024" s="987"/>
      <c r="B1024" s="987"/>
      <c r="C1024" s="987"/>
      <c r="D1024" s="987"/>
      <c r="E1024" s="987"/>
      <c r="F1024" s="987"/>
      <c r="G1024" s="987"/>
      <c r="H1024" s="623"/>
      <c r="I1024" s="623"/>
      <c r="J1024" s="623"/>
      <c r="K1024" s="623"/>
      <c r="L1024" s="623"/>
      <c r="M1024" s="623"/>
      <c r="N1024" s="987"/>
      <c r="O1024" s="987"/>
      <c r="P1024" s="987"/>
      <c r="Q1024" s="987"/>
      <c r="R1024" s="987"/>
      <c r="S1024" s="987"/>
      <c r="T1024" s="987"/>
      <c r="U1024" s="987"/>
      <c r="V1024" s="987"/>
      <c r="W1024" s="987"/>
      <c r="X1024" s="987"/>
      <c r="Y1024" s="987"/>
      <c r="Z1024" s="987"/>
    </row>
    <row r="1025">
      <c r="A1025" s="987"/>
      <c r="B1025" s="987"/>
      <c r="C1025" s="987"/>
      <c r="D1025" s="987"/>
      <c r="E1025" s="987"/>
      <c r="F1025" s="987"/>
      <c r="G1025" s="987"/>
      <c r="H1025" s="623"/>
      <c r="I1025" s="623"/>
      <c r="J1025" s="623"/>
      <c r="K1025" s="623"/>
      <c r="L1025" s="623"/>
      <c r="M1025" s="623"/>
      <c r="N1025" s="987"/>
      <c r="O1025" s="987"/>
      <c r="P1025" s="987"/>
      <c r="Q1025" s="987"/>
      <c r="R1025" s="987"/>
      <c r="S1025" s="987"/>
      <c r="T1025" s="987"/>
      <c r="U1025" s="987"/>
      <c r="V1025" s="987"/>
      <c r="W1025" s="987"/>
      <c r="X1025" s="987"/>
      <c r="Y1025" s="987"/>
      <c r="Z1025" s="987"/>
    </row>
    <row r="1026">
      <c r="A1026" s="987"/>
      <c r="B1026" s="987"/>
      <c r="C1026" s="987"/>
      <c r="D1026" s="987"/>
      <c r="E1026" s="987"/>
      <c r="F1026" s="987"/>
      <c r="G1026" s="987"/>
      <c r="H1026" s="623"/>
      <c r="I1026" s="623"/>
      <c r="J1026" s="623"/>
      <c r="K1026" s="623"/>
      <c r="L1026" s="623"/>
      <c r="M1026" s="623"/>
      <c r="N1026" s="987"/>
      <c r="O1026" s="987"/>
      <c r="P1026" s="987"/>
      <c r="Q1026" s="987"/>
      <c r="R1026" s="987"/>
      <c r="S1026" s="987"/>
      <c r="T1026" s="987"/>
      <c r="U1026" s="987"/>
      <c r="V1026" s="987"/>
      <c r="W1026" s="987"/>
      <c r="X1026" s="987"/>
      <c r="Y1026" s="987"/>
      <c r="Z1026" s="987"/>
    </row>
    <row r="1027">
      <c r="A1027" s="987"/>
      <c r="B1027" s="987"/>
      <c r="C1027" s="987"/>
      <c r="D1027" s="987"/>
      <c r="E1027" s="987"/>
      <c r="F1027" s="987"/>
      <c r="G1027" s="987"/>
      <c r="H1027" s="623"/>
      <c r="I1027" s="623"/>
      <c r="J1027" s="623"/>
      <c r="K1027" s="623"/>
      <c r="L1027" s="623"/>
      <c r="M1027" s="623"/>
      <c r="N1027" s="987"/>
      <c r="O1027" s="987"/>
      <c r="P1027" s="987"/>
      <c r="Q1027" s="987"/>
      <c r="R1027" s="987"/>
      <c r="S1027" s="987"/>
      <c r="T1027" s="987"/>
      <c r="U1027" s="987"/>
      <c r="V1027" s="987"/>
      <c r="W1027" s="987"/>
      <c r="X1027" s="987"/>
      <c r="Y1027" s="987"/>
      <c r="Z1027" s="987"/>
    </row>
    <row r="1028">
      <c r="A1028" s="987"/>
      <c r="B1028" s="987"/>
      <c r="C1028" s="987"/>
      <c r="D1028" s="987"/>
      <c r="E1028" s="987"/>
      <c r="F1028" s="987"/>
      <c r="G1028" s="987"/>
      <c r="H1028" s="623"/>
      <c r="I1028" s="623"/>
      <c r="J1028" s="623"/>
      <c r="K1028" s="623"/>
      <c r="L1028" s="623"/>
      <c r="M1028" s="623"/>
      <c r="N1028" s="987"/>
      <c r="O1028" s="987"/>
      <c r="P1028" s="987"/>
      <c r="Q1028" s="987"/>
      <c r="R1028" s="987"/>
      <c r="S1028" s="987"/>
      <c r="T1028" s="987"/>
      <c r="U1028" s="987"/>
      <c r="V1028" s="987"/>
      <c r="W1028" s="987"/>
      <c r="X1028" s="987"/>
      <c r="Y1028" s="987"/>
      <c r="Z1028" s="987"/>
    </row>
    <row r="1029">
      <c r="A1029" s="987"/>
      <c r="B1029" s="987"/>
      <c r="C1029" s="987"/>
      <c r="D1029" s="987"/>
      <c r="E1029" s="987"/>
      <c r="F1029" s="987"/>
      <c r="G1029" s="987"/>
      <c r="H1029" s="623"/>
      <c r="I1029" s="623"/>
      <c r="J1029" s="623"/>
      <c r="K1029" s="623"/>
      <c r="L1029" s="623"/>
      <c r="M1029" s="623"/>
      <c r="N1029" s="987"/>
      <c r="O1029" s="987"/>
      <c r="P1029" s="987"/>
      <c r="Q1029" s="987"/>
      <c r="R1029" s="987"/>
      <c r="S1029" s="987"/>
      <c r="T1029" s="987"/>
      <c r="U1029" s="987"/>
      <c r="V1029" s="987"/>
      <c r="W1029" s="987"/>
      <c r="X1029" s="987"/>
      <c r="Y1029" s="987"/>
      <c r="Z1029" s="987"/>
    </row>
    <row r="1030">
      <c r="A1030" s="987"/>
      <c r="B1030" s="987"/>
      <c r="C1030" s="987"/>
      <c r="D1030" s="987"/>
      <c r="E1030" s="987"/>
      <c r="F1030" s="987"/>
      <c r="G1030" s="987"/>
      <c r="H1030" s="623"/>
      <c r="I1030" s="623"/>
      <c r="J1030" s="623"/>
      <c r="K1030" s="623"/>
      <c r="L1030" s="623"/>
      <c r="M1030" s="623"/>
      <c r="N1030" s="987"/>
      <c r="O1030" s="987"/>
      <c r="P1030" s="987"/>
      <c r="Q1030" s="987"/>
      <c r="R1030" s="987"/>
      <c r="S1030" s="987"/>
      <c r="T1030" s="987"/>
      <c r="U1030" s="987"/>
      <c r="V1030" s="987"/>
      <c r="W1030" s="987"/>
      <c r="X1030" s="987"/>
      <c r="Y1030" s="987"/>
      <c r="Z1030" s="987"/>
    </row>
    <row r="1031">
      <c r="A1031" s="987"/>
      <c r="B1031" s="987"/>
      <c r="C1031" s="987"/>
      <c r="D1031" s="987"/>
      <c r="E1031" s="987"/>
      <c r="F1031" s="987"/>
      <c r="G1031" s="987"/>
      <c r="H1031" s="623"/>
      <c r="I1031" s="623"/>
      <c r="J1031" s="623"/>
      <c r="K1031" s="623"/>
      <c r="L1031" s="623"/>
      <c r="M1031" s="623"/>
      <c r="N1031" s="987"/>
      <c r="O1031" s="987"/>
      <c r="P1031" s="987"/>
      <c r="Q1031" s="987"/>
      <c r="R1031" s="987"/>
      <c r="S1031" s="987"/>
      <c r="T1031" s="987"/>
      <c r="U1031" s="987"/>
      <c r="V1031" s="987"/>
      <c r="W1031" s="987"/>
      <c r="X1031" s="987"/>
      <c r="Y1031" s="987"/>
      <c r="Z1031" s="987"/>
    </row>
    <row r="1032">
      <c r="A1032" s="987"/>
      <c r="B1032" s="987"/>
      <c r="C1032" s="987"/>
      <c r="D1032" s="987"/>
      <c r="E1032" s="987"/>
      <c r="F1032" s="987"/>
      <c r="G1032" s="987"/>
      <c r="H1032" s="623"/>
      <c r="I1032" s="623"/>
      <c r="J1032" s="623"/>
      <c r="K1032" s="623"/>
      <c r="L1032" s="623"/>
      <c r="M1032" s="623"/>
      <c r="N1032" s="987"/>
      <c r="O1032" s="987"/>
      <c r="P1032" s="987"/>
      <c r="Q1032" s="987"/>
      <c r="R1032" s="987"/>
      <c r="S1032" s="987"/>
      <c r="T1032" s="987"/>
      <c r="U1032" s="987"/>
      <c r="V1032" s="987"/>
      <c r="W1032" s="987"/>
      <c r="X1032" s="987"/>
      <c r="Y1032" s="987"/>
      <c r="Z1032" s="987"/>
    </row>
    <row r="1033">
      <c r="A1033" s="987"/>
      <c r="B1033" s="987"/>
      <c r="C1033" s="987"/>
      <c r="D1033" s="987"/>
      <c r="E1033" s="987"/>
      <c r="F1033" s="987"/>
      <c r="G1033" s="987"/>
      <c r="H1033" s="623"/>
      <c r="I1033" s="623"/>
      <c r="J1033" s="623"/>
      <c r="K1033" s="623"/>
      <c r="L1033" s="623"/>
      <c r="M1033" s="623"/>
      <c r="N1033" s="987"/>
      <c r="O1033" s="987"/>
      <c r="P1033" s="987"/>
      <c r="Q1033" s="987"/>
      <c r="R1033" s="987"/>
      <c r="S1033" s="987"/>
      <c r="T1033" s="987"/>
      <c r="U1033" s="987"/>
      <c r="V1033" s="987"/>
      <c r="W1033" s="987"/>
      <c r="X1033" s="987"/>
      <c r="Y1033" s="987"/>
      <c r="Z1033" s="987"/>
    </row>
    <row r="1034">
      <c r="A1034" s="987"/>
      <c r="B1034" s="987"/>
      <c r="C1034" s="987"/>
      <c r="D1034" s="987"/>
      <c r="E1034" s="987"/>
      <c r="F1034" s="987"/>
      <c r="G1034" s="987"/>
      <c r="H1034" s="623"/>
      <c r="I1034" s="623"/>
      <c r="J1034" s="623"/>
      <c r="K1034" s="623"/>
      <c r="L1034" s="623"/>
      <c r="M1034" s="623"/>
      <c r="N1034" s="987"/>
      <c r="O1034" s="987"/>
      <c r="P1034" s="987"/>
      <c r="Q1034" s="987"/>
      <c r="R1034" s="987"/>
      <c r="S1034" s="987"/>
      <c r="T1034" s="987"/>
      <c r="U1034" s="987"/>
      <c r="V1034" s="987"/>
      <c r="W1034" s="987"/>
      <c r="X1034" s="987"/>
      <c r="Y1034" s="987"/>
      <c r="Z1034" s="987"/>
    </row>
    <row r="1035">
      <c r="A1035" s="987"/>
      <c r="B1035" s="987"/>
      <c r="C1035" s="987"/>
      <c r="D1035" s="987"/>
      <c r="E1035" s="987"/>
      <c r="F1035" s="987"/>
      <c r="G1035" s="987"/>
      <c r="H1035" s="623"/>
      <c r="I1035" s="623"/>
      <c r="J1035" s="623"/>
      <c r="K1035" s="623"/>
      <c r="L1035" s="623"/>
      <c r="M1035" s="623"/>
      <c r="N1035" s="987"/>
      <c r="O1035" s="987"/>
      <c r="P1035" s="987"/>
      <c r="Q1035" s="987"/>
      <c r="R1035" s="987"/>
      <c r="S1035" s="987"/>
      <c r="T1035" s="987"/>
      <c r="U1035" s="987"/>
      <c r="V1035" s="987"/>
      <c r="W1035" s="987"/>
      <c r="X1035" s="987"/>
      <c r="Y1035" s="987"/>
      <c r="Z1035" s="987"/>
    </row>
  </sheetData>
  <mergeCells count="66">
    <mergeCell ref="A97:F97"/>
    <mergeCell ref="H97:M97"/>
    <mergeCell ref="B98:F98"/>
    <mergeCell ref="I98:M98"/>
    <mergeCell ref="G100:G101"/>
    <mergeCell ref="A105:F105"/>
    <mergeCell ref="H108:M108"/>
    <mergeCell ref="A135:F135"/>
    <mergeCell ref="A136:F137"/>
    <mergeCell ref="B146:F146"/>
    <mergeCell ref="A149:F149"/>
    <mergeCell ref="B150:F150"/>
    <mergeCell ref="A157:F157"/>
    <mergeCell ref="A159:F160"/>
    <mergeCell ref="C161:F175"/>
    <mergeCell ref="A108:F108"/>
    <mergeCell ref="A109:F109"/>
    <mergeCell ref="B110:F110"/>
    <mergeCell ref="A119:F119"/>
    <mergeCell ref="B120:F120"/>
    <mergeCell ref="A127:F127"/>
    <mergeCell ref="B128:F128"/>
    <mergeCell ref="A9:F9"/>
    <mergeCell ref="A10:F11"/>
    <mergeCell ref="A12:F12"/>
    <mergeCell ref="A13:F13"/>
    <mergeCell ref="A15:F15"/>
    <mergeCell ref="H15:M15"/>
    <mergeCell ref="O15:T15"/>
    <mergeCell ref="A18:F18"/>
    <mergeCell ref="H18:M18"/>
    <mergeCell ref="O18:T18"/>
    <mergeCell ref="A19:F19"/>
    <mergeCell ref="H19:M19"/>
    <mergeCell ref="B20:F20"/>
    <mergeCell ref="I20:M20"/>
    <mergeCell ref="O19:T19"/>
    <mergeCell ref="P20:T20"/>
    <mergeCell ref="G23:G24"/>
    <mergeCell ref="A25:F25"/>
    <mergeCell ref="H25:M25"/>
    <mergeCell ref="O25:T25"/>
    <mergeCell ref="H32:M32"/>
    <mergeCell ref="A32:F32"/>
    <mergeCell ref="B33:F33"/>
    <mergeCell ref="I33:M33"/>
    <mergeCell ref="A39:F39"/>
    <mergeCell ref="B40:F40"/>
    <mergeCell ref="A46:F46"/>
    <mergeCell ref="A49:F49"/>
    <mergeCell ref="B52:F52"/>
    <mergeCell ref="A54:F54"/>
    <mergeCell ref="B55:F55"/>
    <mergeCell ref="A60:F61"/>
    <mergeCell ref="A62:F62"/>
    <mergeCell ref="B63:F63"/>
    <mergeCell ref="A70:F70"/>
    <mergeCell ref="A73:F73"/>
    <mergeCell ref="A74:F74"/>
    <mergeCell ref="B75:F75"/>
    <mergeCell ref="G76:G77"/>
    <mergeCell ref="B85:F85"/>
    <mergeCell ref="A88:F88"/>
    <mergeCell ref="B89:F89"/>
    <mergeCell ref="H109:M109"/>
    <mergeCell ref="I110:M110"/>
  </mergeCells>
  <dataValidations>
    <dataValidation type="decimal" operator="greaterThanOrEqual" allowBlank="1" showDropDown="1" showErrorMessage="1" sqref="F41:F44 F48 F50 F56:F59 F64:F67">
      <formula1>0.0</formula1>
    </dataValidation>
    <dataValidation type="decimal" operator="greaterThanOrEqual" allowBlank="1" showDropDown="1" sqref="F76:F80 F82">
      <formula1>0.0</formula1>
    </dataValidation>
  </dataValidation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96" t="str">
        <f>'WEEK 6 MASTER SHEET'!A1</f>
        <v/>
      </c>
    </row>
    <row r="8">
      <c r="A8" s="11"/>
      <c r="B8" s="11"/>
      <c r="C8" s="11"/>
      <c r="D8" s="11"/>
      <c r="E8" s="11"/>
      <c r="F8" s="11"/>
      <c r="G8" s="11"/>
      <c r="H8" s="11"/>
      <c r="I8" s="11"/>
      <c r="J8" s="11"/>
      <c r="K8" s="11"/>
      <c r="L8" s="11"/>
      <c r="M8" s="11"/>
      <c r="N8" s="11"/>
      <c r="O8" s="11"/>
      <c r="P8" s="11"/>
      <c r="Q8" s="11"/>
      <c r="R8" s="11"/>
      <c r="S8" s="11"/>
      <c r="T8" s="11"/>
    </row>
    <row r="9">
      <c r="A9" s="990" t="str">
        <f>'WEEK 6 MASTER SHEET'!A9</f>
        <v>Week 6</v>
      </c>
      <c r="B9" s="11"/>
      <c r="C9" s="11"/>
      <c r="D9" s="11"/>
      <c r="E9" s="11"/>
      <c r="F9" s="46"/>
      <c r="G9" s="1097"/>
      <c r="H9" s="24" t="s">
        <v>35</v>
      </c>
      <c r="I9" s="25"/>
      <c r="J9" s="25"/>
      <c r="K9" s="25"/>
      <c r="L9" s="25"/>
      <c r="M9" s="26"/>
      <c r="N9" s="1097"/>
    </row>
    <row r="10">
      <c r="A10" s="991" t="str">
        <f>'WEEK 6 MASTER SHEET'!A10</f>
        <v>PRESS TO RECORD BODY WEIGHT</v>
      </c>
      <c r="F10" s="28"/>
      <c r="H10" s="27" t="s">
        <v>185</v>
      </c>
      <c r="M10" s="28"/>
    </row>
    <row r="11">
      <c r="A11" s="336"/>
      <c r="B11" s="11"/>
      <c r="C11" s="11"/>
      <c r="D11" s="11"/>
      <c r="E11" s="11"/>
      <c r="F11" s="46"/>
      <c r="H11" s="29" t="s">
        <v>186</v>
      </c>
      <c r="I11" s="30"/>
      <c r="J11" s="30"/>
      <c r="K11" s="30"/>
      <c r="L11" s="30"/>
      <c r="M11" s="31"/>
    </row>
    <row r="12">
      <c r="A12" s="992" t="str">
        <f>'WEEK 6 MASTER SHEET'!A12</f>
        <v>This Weeks Goals</v>
      </c>
      <c r="B12" s="11"/>
      <c r="C12" s="11"/>
      <c r="D12" s="11"/>
      <c r="E12" s="11"/>
      <c r="F12" s="46"/>
      <c r="H12" s="1097"/>
    </row>
    <row r="13">
      <c r="A13" s="993" t="str">
        <f>'WEEK 6 MASTER SHEET'!A13</f>
        <v>Today is a continuation of the work you have already been building on. Keep up the great work and push for new hights!</v>
      </c>
      <c r="B13" s="11"/>
      <c r="C13" s="11"/>
      <c r="D13" s="11"/>
      <c r="E13" s="11"/>
      <c r="F13" s="46"/>
    </row>
    <row r="14">
      <c r="A14" s="994" t="str">
        <f>'WEEK 6 MASTER SHEET'!A14</f>
        <v/>
      </c>
      <c r="B14" s="994" t="str">
        <f>'WEEK 6 MASTER SHEET'!B14</f>
        <v/>
      </c>
      <c r="C14" s="994" t="str">
        <f>'WEEK 6 MASTER SHEET'!C14</f>
        <v/>
      </c>
      <c r="D14" s="994" t="str">
        <f>'WEEK 6 MASTER SHEET'!D14</f>
        <v/>
      </c>
      <c r="E14" s="994" t="str">
        <f>'WEEK 6 MASTER SHEET'!E14</f>
        <v/>
      </c>
      <c r="F14" s="995" t="str">
        <f>'WEEK 6 MASTER SHEET'!F14</f>
        <v/>
      </c>
    </row>
    <row r="15">
      <c r="A15" s="996" t="str">
        <f>'WEEK 6 MASTER SHEET'!A15</f>
        <v>DAY 1 </v>
      </c>
      <c r="B15" s="11"/>
      <c r="C15" s="11"/>
      <c r="D15" s="11"/>
      <c r="E15" s="11"/>
      <c r="F15" s="46"/>
      <c r="G15" s="997" t="str">
        <f>'WEEK 6 MASTER SHEET'!G15</f>
        <v/>
      </c>
      <c r="H15" s="1098" t="str">
        <f>'WEEK 6 MASTER SHEET'!H15</f>
        <v>ALTERNATE WORKOUTS</v>
      </c>
      <c r="I15" s="36"/>
      <c r="J15" s="36"/>
      <c r="K15" s="36"/>
      <c r="L15" s="36"/>
      <c r="M15" s="37"/>
      <c r="N15" s="999" t="str">
        <f>'WEEK 6 MASTER SHEET'!N15</f>
        <v/>
      </c>
      <c r="O15" s="1098" t="str">
        <f>'WEEK 6 MASTER SHEET'!O15</f>
        <v>ALTERNATE WORKOUTS</v>
      </c>
      <c r="P15" s="36"/>
      <c r="Q15" s="36"/>
      <c r="R15" s="36"/>
      <c r="S15" s="36"/>
      <c r="T15" s="37"/>
    </row>
    <row r="16">
      <c r="A16" s="987" t="str">
        <f>'WEEK 6 MASTER SHEET'!A16</f>
        <v/>
      </c>
    </row>
    <row r="18">
      <c r="A18" s="51" t="str">
        <f>'WEEK 6 MASTER SHEET'!A18</f>
        <v>CHEST &amp; BACK </v>
      </c>
      <c r="B18" s="36"/>
      <c r="C18" s="36"/>
      <c r="D18" s="36"/>
      <c r="E18" s="36"/>
      <c r="F18" s="37"/>
      <c r="G18" s="987" t="str">
        <f>'WEEK 6 MASTER SHEET'!G18</f>
        <v/>
      </c>
      <c r="H18" s="1099" t="str">
        <f>'WEEK 6 MASTER SHEET'!H18</f>
        <v>CHEST &amp; BACK </v>
      </c>
      <c r="I18" s="36"/>
      <c r="J18" s="36"/>
      <c r="K18" s="36"/>
      <c r="L18" s="36"/>
      <c r="M18" s="37"/>
      <c r="N18" s="623" t="str">
        <f>'WEEK 6 MASTER SHEET'!N18</f>
        <v/>
      </c>
      <c r="O18" s="1099" t="str">
        <f>'WEEK 6 MASTER SHEET'!H18</f>
        <v>CHEST &amp; BACK </v>
      </c>
      <c r="P18" s="36"/>
      <c r="Q18" s="36"/>
      <c r="R18" s="36"/>
      <c r="S18" s="36"/>
      <c r="T18" s="37"/>
    </row>
    <row r="19">
      <c r="A19" s="93" t="str">
        <f>'WEEK 6 MASTER SHEET'!A19</f>
        <v>1. BENCH PRESS</v>
      </c>
      <c r="B19" s="53"/>
      <c r="C19" s="53"/>
      <c r="D19" s="53"/>
      <c r="E19" s="53"/>
      <c r="F19" s="54"/>
      <c r="H19" s="1100" t="str">
        <f>'WEEK 6 MASTER SHEET'!H19</f>
        <v>1. DUMBBELL INCLINE PRESS</v>
      </c>
      <c r="I19" s="13"/>
      <c r="J19" s="13"/>
      <c r="K19" s="13"/>
      <c r="L19" s="13"/>
      <c r="M19" s="57"/>
      <c r="O19" s="93" t="str">
        <f>'WEEK 6 MASTER SHEET'!O19</f>
        <v>1. MACHINE PRESS</v>
      </c>
      <c r="P19" s="53"/>
      <c r="Q19" s="53"/>
      <c r="R19" s="53"/>
      <c r="S19" s="53"/>
      <c r="T19" s="54"/>
    </row>
    <row r="20">
      <c r="A20" s="226" t="str">
        <f>'WEEK 6 MASTER SHEET'!A20</f>
        <v>CURRENT MAX</v>
      </c>
      <c r="B20" s="691">
        <f>'WEEK 6 MASTER SHEET'!B20</f>
        <v>100</v>
      </c>
      <c r="C20" s="13"/>
      <c r="D20" s="13"/>
      <c r="E20" s="13"/>
      <c r="F20" s="57"/>
      <c r="H20" s="961" t="str">
        <f>'WEEK 6 MASTER SHEET'!H20</f>
        <v>CURRENT MAX</v>
      </c>
      <c r="I20" s="76" t="str">
        <f>'WEEK 6 MASTER SHEET'!I20</f>
        <v/>
      </c>
      <c r="J20" s="13"/>
      <c r="K20" s="13"/>
      <c r="L20" s="13"/>
      <c r="M20" s="57"/>
      <c r="O20" s="226" t="str">
        <f>'WEEK 6 MASTER SHEET'!O20</f>
        <v>CURRENT MAX</v>
      </c>
      <c r="P20" s="691" t="str">
        <f>'WEEK 6 MASTER SHEET'!P20</f>
        <v/>
      </c>
      <c r="Q20" s="13"/>
      <c r="R20" s="13"/>
      <c r="S20" s="13"/>
      <c r="T20" s="57"/>
    </row>
    <row r="21">
      <c r="A21" s="96" t="str">
        <f>'WEEK 6 MASTER SHEET'!A21</f>
        <v>SET</v>
      </c>
      <c r="B21" s="97" t="str">
        <f>'WEEK 6 MASTER SHEET'!B21</f>
        <v>WEIGHT</v>
      </c>
      <c r="C21" s="97" t="str">
        <f>'WEEK 6 MASTER SHEET'!C21</f>
        <v>REPS</v>
      </c>
      <c r="D21" s="97" t="str">
        <f>'WEEK 6 MASTER SHEET'!D21</f>
        <v>REST</v>
      </c>
      <c r="E21" s="341" t="str">
        <f>'WEEK 6 MASTER SHEET'!E21</f>
        <v>PREVIOUS</v>
      </c>
      <c r="F21" s="1003" t="str">
        <f>'WEEK 6 MASTER SHEET'!F21</f>
        <v>REP LOG</v>
      </c>
      <c r="H21" s="962" t="str">
        <f>'WEEK 6 MASTER SHEET'!H21</f>
        <v>SET</v>
      </c>
      <c r="I21" s="963" t="str">
        <f>'WEEK 6 MASTER SHEET'!I21</f>
        <v>WEIGHT</v>
      </c>
      <c r="J21" s="963" t="str">
        <f>'WEEK 6 MASTER SHEET'!J21</f>
        <v>REPS</v>
      </c>
      <c r="K21" s="963" t="str">
        <f>'WEEK 6 MASTER SHEET'!K21</f>
        <v>REST</v>
      </c>
      <c r="L21" s="1005" t="str">
        <f>'WEEK 6 MASTER SHEET'!L21</f>
        <v>PREVIOUS</v>
      </c>
      <c r="M21" s="1006" t="str">
        <f>'WEEK 6 MASTER SHEET'!M21</f>
        <v>REP LOG</v>
      </c>
      <c r="O21" s="96" t="str">
        <f>'WEEK 6 MASTER SHEET'!O21</f>
        <v>SET</v>
      </c>
      <c r="P21" s="97" t="str">
        <f>'WEEK 6 MASTER SHEET'!P21</f>
        <v>WEIGHT</v>
      </c>
      <c r="Q21" s="97" t="str">
        <f>'WEEK 6 MASTER SHEET'!Q21</f>
        <v>REPS</v>
      </c>
      <c r="R21" s="97" t="str">
        <f>'WEEK 6 MASTER SHEET'!R21</f>
        <v>REST</v>
      </c>
      <c r="S21" s="341" t="str">
        <f>'WEEK 6 MASTER SHEET'!S21</f>
        <v>PREVIOUS</v>
      </c>
      <c r="T21" s="235" t="str">
        <f>'WEEK 6 MASTER SHEET'!T21</f>
        <v>REP LOG</v>
      </c>
    </row>
    <row r="22">
      <c r="A22" s="725">
        <f>'WEEK 6 MASTER SHEET'!A22</f>
        <v>1</v>
      </c>
      <c r="B22" s="344">
        <f>'WEEK 6 MASTER SHEET'!B22</f>
        <v>45</v>
      </c>
      <c r="C22" s="344">
        <f>'WEEK 6 MASTER SHEET'!C22</f>
        <v>6</v>
      </c>
      <c r="D22" s="343" t="str">
        <f>'WEEK 6 MASTER SHEET'!D22</f>
        <v>30 sec</v>
      </c>
      <c r="E22" s="727" t="str">
        <f>'WEEK 6 MASTER SHEET'!E22</f>
        <v/>
      </c>
      <c r="F22" s="85"/>
      <c r="H22" s="967">
        <f>'WEEK 6 MASTER SHEET'!H22</f>
        <v>1</v>
      </c>
      <c r="I22" s="968">
        <f>'WEEK 6 MASTER SHEET'!I22</f>
        <v>0</v>
      </c>
      <c r="J22" s="968">
        <f>'WEEK 6 MASTER SHEET'!J22</f>
        <v>6</v>
      </c>
      <c r="K22" s="968" t="str">
        <f>'WEEK 6 MASTER SHEET'!K22</f>
        <v>1-3 MIN</v>
      </c>
      <c r="L22" s="1010" t="str">
        <f>'WEEK 6 MASTER SHEET'!L22</f>
        <v/>
      </c>
      <c r="M22" s="1011"/>
      <c r="O22" s="725">
        <f>'WEEK 6 MASTER SHEET'!O22</f>
        <v>1</v>
      </c>
      <c r="P22" s="344">
        <f>'WEEK 6 MASTER SHEET'!P22</f>
        <v>0</v>
      </c>
      <c r="Q22" s="344">
        <f>'WEEK 6 MASTER SHEET'!Q22</f>
        <v>6</v>
      </c>
      <c r="R22" s="343" t="str">
        <f>'WEEK 6 MASTER SHEET'!R22</f>
        <v>30 sec</v>
      </c>
      <c r="S22" s="727" t="str">
        <f>'WEEK 6 MASTER SHEET'!S22</f>
        <v/>
      </c>
      <c r="T22" s="85"/>
    </row>
    <row r="23">
      <c r="A23" s="725">
        <f>'WEEK 6 MASTER SHEET'!A23</f>
        <v>2</v>
      </c>
      <c r="B23" s="344">
        <f>'WEEK 6 MASTER SHEET'!B23</f>
        <v>65</v>
      </c>
      <c r="C23" s="344">
        <f>'WEEK 6 MASTER SHEET'!C23</f>
        <v>1</v>
      </c>
      <c r="D23" s="343" t="str">
        <f>'WEEK 6 MASTER SHEET'!D23</f>
        <v>45 sec</v>
      </c>
      <c r="E23" s="727" t="str">
        <f>'WEEK 6 MASTER SHEET'!E23</f>
        <v/>
      </c>
      <c r="F23" s="85"/>
      <c r="G23" s="1101" t="str">
        <f>'WEEK 6 MASTER SHEET'!G23</f>
        <v>ALTERNATE</v>
      </c>
      <c r="H23" s="967">
        <f>'WEEK 6 MASTER SHEET'!H23</f>
        <v>2</v>
      </c>
      <c r="I23" s="968">
        <f>'WEEK 6 MASTER SHEET'!I23</f>
        <v>0</v>
      </c>
      <c r="J23" s="968">
        <f>'WEEK 6 MASTER SHEET'!J23</f>
        <v>1</v>
      </c>
      <c r="K23" s="968" t="str">
        <f>'WEEK 6 MASTER SHEET'!K23</f>
        <v>1-3 MIN</v>
      </c>
      <c r="L23" s="1010" t="str">
        <f>'WEEK 6 MASTER SHEET'!L23</f>
        <v/>
      </c>
      <c r="M23" s="1017"/>
      <c r="O23" s="725">
        <f>'WEEK 6 MASTER SHEET'!O23</f>
        <v>2</v>
      </c>
      <c r="P23" s="344">
        <f>'WEEK 6 MASTER SHEET'!P23</f>
        <v>0</v>
      </c>
      <c r="Q23" s="344">
        <f>'WEEK 6 MASTER SHEET'!Q23</f>
        <v>1</v>
      </c>
      <c r="R23" s="343" t="str">
        <f>'WEEK 6 MASTER SHEET'!R23</f>
        <v>45 sec</v>
      </c>
      <c r="S23" s="727" t="str">
        <f>'WEEK 6 MASTER SHEET'!S23</f>
        <v/>
      </c>
      <c r="T23" s="85"/>
    </row>
    <row r="24">
      <c r="A24" s="725">
        <f>'WEEK 6 MASTER SHEET'!A24</f>
        <v>3</v>
      </c>
      <c r="B24" s="344">
        <f>'WEEK 6 MASTER SHEET'!B24</f>
        <v>80</v>
      </c>
      <c r="C24" s="344">
        <f>'WEEK 6 MASTER SHEET'!C24</f>
        <v>1</v>
      </c>
      <c r="D24" s="343" t="str">
        <f>'WEEK 6 MASTER SHEET'!D24</f>
        <v>1 MIN</v>
      </c>
      <c r="E24" s="727" t="str">
        <f>'WEEK 6 MASTER SHEET'!E24</f>
        <v/>
      </c>
      <c r="F24" s="85"/>
      <c r="G24" s="28"/>
      <c r="H24" s="967">
        <f>'WEEK 6 MASTER SHEET'!H24</f>
        <v>3</v>
      </c>
      <c r="I24" s="968">
        <f>'WEEK 6 MASTER SHEET'!I24</f>
        <v>0</v>
      </c>
      <c r="J24" s="968">
        <f>'WEEK 6 MASTER SHEET'!J24</f>
        <v>1</v>
      </c>
      <c r="K24" s="968" t="str">
        <f>'WEEK 6 MASTER SHEET'!K24</f>
        <v>1-3 MIN</v>
      </c>
      <c r="L24" s="1010" t="str">
        <f>'WEEK 6 MASTER SHEET'!L24</f>
        <v/>
      </c>
      <c r="M24" s="1017"/>
      <c r="O24" s="725">
        <f>'WEEK 6 MASTER SHEET'!O24</f>
        <v>3</v>
      </c>
      <c r="P24" s="344">
        <f>'WEEK 6 MASTER SHEET'!P24</f>
        <v>0</v>
      </c>
      <c r="Q24" s="344">
        <f>'WEEK 6 MASTER SHEET'!Q24</f>
        <v>1</v>
      </c>
      <c r="R24" s="343" t="str">
        <f>'WEEK 6 MASTER SHEET'!R24</f>
        <v>1 MIN</v>
      </c>
      <c r="S24" s="727" t="str">
        <f>'WEEK 6 MASTER SHEET'!S24</f>
        <v/>
      </c>
      <c r="T24" s="85"/>
    </row>
    <row r="25">
      <c r="A25" s="730" t="str">
        <f>'WEEK 6 MASTER SHEET'!A25</f>
        <v>Working Set</v>
      </c>
      <c r="B25" s="13"/>
      <c r="C25" s="13"/>
      <c r="D25" s="13"/>
      <c r="E25" s="13"/>
      <c r="F25" s="57"/>
      <c r="G25" s="999" t="str">
        <f>'WEEK 6 MASTER SHEET'!G25</f>
        <v/>
      </c>
      <c r="H25" s="1102" t="str">
        <f>'WEEK 6 MASTER SHEET'!H25</f>
        <v>WORKING SETS</v>
      </c>
      <c r="I25" s="13"/>
      <c r="J25" s="13"/>
      <c r="K25" s="13"/>
      <c r="L25" s="13"/>
      <c r="M25" s="57"/>
      <c r="O25" s="730" t="str">
        <f>'WEEK 6 MASTER SHEET'!O25</f>
        <v>Working Set</v>
      </c>
      <c r="P25" s="13"/>
      <c r="Q25" s="13"/>
      <c r="R25" s="13"/>
      <c r="S25" s="13"/>
      <c r="T25" s="57"/>
    </row>
    <row r="26">
      <c r="A26" s="96" t="str">
        <f>'WEEK 6 MASTER SHEET'!A26</f>
        <v>SET</v>
      </c>
      <c r="B26" s="97" t="str">
        <f>'WEEK 6 MASTER SHEET'!B26</f>
        <v>WEIGHT</v>
      </c>
      <c r="C26" s="97" t="str">
        <f>'WEEK 6 MASTER SHEET'!C26</f>
        <v>REPS</v>
      </c>
      <c r="D26" s="97" t="str">
        <f>'WEEK 6 MASTER SHEET'!D26</f>
        <v>REST</v>
      </c>
      <c r="E26" s="341" t="str">
        <f>'WEEK 6 MASTER SHEET'!E26</f>
        <v>PREVIOUS</v>
      </c>
      <c r="F26" s="1003" t="str">
        <f>'WEEK 6 MASTER SHEET'!F26</f>
        <v>REP LOG</v>
      </c>
      <c r="G26" s="28"/>
      <c r="H26" s="962" t="str">
        <f>'WEEK 6 MASTER SHEET'!H26</f>
        <v>SET</v>
      </c>
      <c r="I26" s="963" t="str">
        <f>'WEEK 6 MASTER SHEET'!I26</f>
        <v>WEIGHT</v>
      </c>
      <c r="J26" s="963" t="str">
        <f>'WEEK 6 MASTER SHEET'!J26</f>
        <v>REPS</v>
      </c>
      <c r="K26" s="963" t="str">
        <f>'WEEK 6 MASTER SHEET'!K26</f>
        <v>REST</v>
      </c>
      <c r="L26" s="1005" t="str">
        <f>'WEEK 6 MASTER SHEET'!L26</f>
        <v>PREVIOUS</v>
      </c>
      <c r="M26" s="1006" t="str">
        <f>'WEEK 6 MASTER SHEET'!M26</f>
        <v>REP LOG</v>
      </c>
      <c r="O26" s="96" t="str">
        <f>'WEEK 6 MASTER SHEET'!O26</f>
        <v>SET</v>
      </c>
      <c r="P26" s="97" t="str">
        <f>'WEEK 6 MASTER SHEET'!P26</f>
        <v>WEIGHT</v>
      </c>
      <c r="Q26" s="97" t="str">
        <f>'WEEK 6 MASTER SHEET'!Q26</f>
        <v>REPS</v>
      </c>
      <c r="R26" s="97" t="str">
        <f>'WEEK 6 MASTER SHEET'!R26</f>
        <v>REST</v>
      </c>
      <c r="S26" s="341" t="str">
        <f>'WEEK 6 MASTER SHEET'!S26</f>
        <v>PREVIOUS</v>
      </c>
      <c r="T26" s="235" t="str">
        <f>'WEEK 6 MASTER SHEET'!T26</f>
        <v>REP LOG</v>
      </c>
    </row>
    <row r="27">
      <c r="A27" s="342">
        <f>'WEEK 6 MASTER SHEET'!A27</f>
        <v>1</v>
      </c>
      <c r="B27" s="348">
        <f>'WEEK 6 MASTER SHEET'!B27</f>
        <v>90</v>
      </c>
      <c r="C27" s="437" t="str">
        <f>'WEEK 6 MASTER SHEET'!C27</f>
        <v>REP OUT</v>
      </c>
      <c r="D27" s="343" t="str">
        <f>'WEEK 6 MASTER SHEET'!D27</f>
        <v>1-5 MIN</v>
      </c>
      <c r="E27" s="727" t="str">
        <f>'WEEK 6 MASTER SHEET'!E27</f>
        <v/>
      </c>
      <c r="F27" s="85"/>
      <c r="G27" s="28"/>
      <c r="H27" s="967">
        <f>'WEEK 6 MASTER SHEET'!H27</f>
        <v>1</v>
      </c>
      <c r="I27" s="1015">
        <f>'WEEK 6 MASTER SHEET'!I27</f>
        <v>0</v>
      </c>
      <c r="J27" s="1016" t="str">
        <f>'WEEK 6 MASTER SHEET'!J27</f>
        <v>REP OUT</v>
      </c>
      <c r="K27" s="968" t="str">
        <f>'WEEK 6 MASTER SHEET'!K27</f>
        <v>1-3 MIN</v>
      </c>
      <c r="L27" s="1010" t="str">
        <f>'WEEK 6 MASTER SHEET'!L27</f>
        <v/>
      </c>
      <c r="M27" s="1011"/>
      <c r="O27" s="725">
        <f>'WEEK 6 MASTER SHEET'!O27</f>
        <v>1</v>
      </c>
      <c r="P27" s="348">
        <f>'WEEK 6 MASTER SHEET'!P27</f>
        <v>0</v>
      </c>
      <c r="Q27" s="437" t="str">
        <f>'WEEK 6 MASTER SHEET'!Q27</f>
        <v>REP OUT</v>
      </c>
      <c r="R27" s="343" t="str">
        <f>'WEEK 6 MASTER SHEET'!R27</f>
        <v>1-5 MIN</v>
      </c>
      <c r="S27" s="727" t="str">
        <f>'WEEK 6 MASTER SHEET'!S27</f>
        <v/>
      </c>
      <c r="T27" s="85"/>
    </row>
    <row r="28">
      <c r="A28" s="725">
        <f>'WEEK 6 MASTER SHEET'!A28</f>
        <v>2</v>
      </c>
      <c r="B28" s="348">
        <f>'WEEK 6 MASTER SHEET'!B28</f>
        <v>70</v>
      </c>
      <c r="C28" s="437" t="str">
        <f>'WEEK 6 MASTER SHEET'!C28</f>
        <v>REP OUT</v>
      </c>
      <c r="D28" s="343" t="str">
        <f>'WEEK 6 MASTER SHEET'!D28</f>
        <v>1-5 MIN</v>
      </c>
      <c r="E28" s="727" t="str">
        <f>'WEEK 6 MASTER SHEET'!E28</f>
        <v/>
      </c>
      <c r="F28" s="85"/>
      <c r="G28" s="28"/>
      <c r="H28" s="967">
        <f>'WEEK 6 MASTER SHEET'!H28</f>
        <v>2</v>
      </c>
      <c r="I28" s="1015">
        <f>'WEEK 6 MASTER SHEET'!I28</f>
        <v>0</v>
      </c>
      <c r="J28" s="1016" t="str">
        <f>'WEEK 6 MASTER SHEET'!J28</f>
        <v>REP OUT</v>
      </c>
      <c r="K28" s="968" t="str">
        <f>'WEEK 6 MASTER SHEET'!K28</f>
        <v>1-3 MIN</v>
      </c>
      <c r="L28" s="1010" t="str">
        <f>'WEEK 6 MASTER SHEET'!L28</f>
        <v/>
      </c>
      <c r="M28" s="1011"/>
      <c r="O28" s="725">
        <f>'WEEK 6 MASTER SHEET'!O28</f>
        <v>2</v>
      </c>
      <c r="P28" s="348">
        <f>'WEEK 6 MASTER SHEET'!P28</f>
        <v>0</v>
      </c>
      <c r="Q28" s="437" t="str">
        <f>'WEEK 6 MASTER SHEET'!Q28</f>
        <v>REP OUT</v>
      </c>
      <c r="R28" s="343" t="str">
        <f>'WEEK 6 MASTER SHEET'!R28</f>
        <v>1-5 MIN</v>
      </c>
      <c r="S28" s="727" t="str">
        <f>'WEEK 6 MASTER SHEET'!S28</f>
        <v/>
      </c>
      <c r="T28" s="85"/>
    </row>
    <row r="29">
      <c r="A29" s="485">
        <f>'WEEK 6 MASTER SHEET'!A29</f>
        <v>3</v>
      </c>
      <c r="B29" s="732">
        <f>'WEEK 6 MASTER SHEET'!B29</f>
        <v>55</v>
      </c>
      <c r="C29" s="733" t="str">
        <f>'WEEK 6 MASTER SHEET'!C29</f>
        <v>REP OUT</v>
      </c>
      <c r="D29" s="486" t="str">
        <f>'WEEK 6 MASTER SHEET'!D29</f>
        <v>1-5 MIN</v>
      </c>
      <c r="E29" s="734" t="str">
        <f>'WEEK 6 MASTER SHEET'!E29</f>
        <v/>
      </c>
      <c r="F29" s="85"/>
      <c r="G29" s="28"/>
      <c r="H29" s="971">
        <f>'WEEK 6 MASTER SHEET'!H29</f>
        <v>3</v>
      </c>
      <c r="I29" s="1019">
        <f>'WEEK 6 MASTER SHEET'!I29</f>
        <v>0</v>
      </c>
      <c r="J29" s="1020" t="str">
        <f>'WEEK 6 MASTER SHEET'!J29</f>
        <v>REP OUT</v>
      </c>
      <c r="K29" s="972" t="str">
        <f>'WEEK 6 MASTER SHEET'!K29</f>
        <v>1-3 MIN</v>
      </c>
      <c r="L29" s="1021" t="str">
        <f>'WEEK 6 MASTER SHEET'!L29</f>
        <v/>
      </c>
      <c r="M29" s="1011"/>
      <c r="O29" s="753">
        <f>'WEEK 6 MASTER SHEET'!O29</f>
        <v>3</v>
      </c>
      <c r="P29" s="732">
        <f>'WEEK 6 MASTER SHEET'!P29</f>
        <v>0</v>
      </c>
      <c r="Q29" s="733" t="str">
        <f>'WEEK 6 MASTER SHEET'!Q29</f>
        <v>REP OUT</v>
      </c>
      <c r="R29" s="486" t="str">
        <f>'WEEK 6 MASTER SHEET'!R29</f>
        <v>1-5 MIN</v>
      </c>
      <c r="S29" s="734" t="str">
        <f>'WEEK 6 MASTER SHEET'!S29</f>
        <v/>
      </c>
      <c r="T29" s="85"/>
    </row>
    <row r="30">
      <c r="A30" s="1103" t="str">
        <f>'WEEK 6 MASTER SHEET'!A31</f>
        <v/>
      </c>
      <c r="G30" s="623" t="str">
        <f>'WEEK 6 MASTER SHEET'!G30</f>
        <v/>
      </c>
      <c r="H30" s="623"/>
      <c r="N30" s="623"/>
    </row>
    <row r="31">
      <c r="A31" s="11"/>
      <c r="B31" s="11"/>
      <c r="C31" s="11"/>
      <c r="D31" s="11"/>
      <c r="E31" s="11"/>
      <c r="F31" s="11"/>
    </row>
    <row r="32">
      <c r="A32" s="1023" t="str">
        <f>'WEEK 6 MASTER SHEET'!A32</f>
        <v>2. DB CHEST FLY</v>
      </c>
      <c r="B32" s="13"/>
      <c r="C32" s="13"/>
      <c r="D32" s="13"/>
      <c r="E32" s="13"/>
      <c r="F32" s="57"/>
      <c r="H32" s="1023" t="str">
        <f>'WEEK 6 MASTER SHEET'!H32</f>
        <v>2. MACHINE CHEST FLY</v>
      </c>
      <c r="I32" s="13"/>
      <c r="J32" s="13"/>
      <c r="K32" s="13"/>
      <c r="L32" s="13"/>
      <c r="M32" s="57"/>
    </row>
    <row r="33">
      <c r="A33" s="961" t="str">
        <f>'WEEK 6 MASTER SHEET'!A33</f>
        <v>DB INCL MAX</v>
      </c>
      <c r="B33" s="76">
        <f>'WEEK 6 MASTER SHEET'!B33</f>
        <v>105</v>
      </c>
      <c r="C33" s="13"/>
      <c r="D33" s="13"/>
      <c r="E33" s="13"/>
      <c r="F33" s="57"/>
      <c r="H33" s="961" t="str">
        <f>'WEEK 6 MASTER SHEET'!H33</f>
        <v>CURRENT MAX</v>
      </c>
      <c r="I33" s="76">
        <f>'WEEK 6 MASTER SHEET'!I33</f>
        <v>105</v>
      </c>
      <c r="J33" s="13"/>
      <c r="K33" s="13"/>
      <c r="L33" s="13"/>
      <c r="M33" s="57"/>
    </row>
    <row r="34">
      <c r="A34" s="1024" t="str">
        <f>'WEEK 6 MASTER SHEET'!A34</f>
        <v>SET</v>
      </c>
      <c r="B34" s="1025" t="str">
        <f>'WEEK 6 MASTER SHEET'!B34</f>
        <v>WEIGHT</v>
      </c>
      <c r="C34" s="1025" t="str">
        <f>'WEEK 6 MASTER SHEET'!C34</f>
        <v>REPS</v>
      </c>
      <c r="D34" s="1025" t="str">
        <f>'WEEK 6 MASTER SHEET'!D34</f>
        <v>REST</v>
      </c>
      <c r="E34" s="1026" t="str">
        <f>'WEEK 6 MASTER SHEET'!E34</f>
        <v>PREVIOUS</v>
      </c>
      <c r="F34" s="1027" t="str">
        <f>'WEEK 6 MASTER SHEET'!F34</f>
        <v>REP LOG</v>
      </c>
      <c r="H34" s="1024" t="str">
        <f>'WEEK 6 MASTER SHEET'!H34</f>
        <v>SET</v>
      </c>
      <c r="I34" s="1025" t="str">
        <f>'WEEK 6 MASTER SHEET'!I34</f>
        <v>WEIGHT</v>
      </c>
      <c r="J34" s="1025" t="str">
        <f>'WEEK 6 MASTER SHEET'!J34</f>
        <v>REPS</v>
      </c>
      <c r="K34" s="1025" t="str">
        <f>'WEEK 6 MASTER SHEET'!K34</f>
        <v>REST</v>
      </c>
      <c r="L34" s="1026" t="str">
        <f>'WEEK 6 MASTER SHEET'!L34</f>
        <v>PREVIOUS</v>
      </c>
      <c r="M34" s="1027" t="str">
        <f>'WEEK 6 MASTER SHEET'!M34</f>
        <v>REP LOG</v>
      </c>
    </row>
    <row r="35">
      <c r="A35" s="967">
        <f>'WEEK 6 MASTER SHEET'!A35</f>
        <v>1</v>
      </c>
      <c r="B35" s="1028">
        <f>'WEEK 6 MASTER SHEET'!B35</f>
        <v>30</v>
      </c>
      <c r="C35" s="968">
        <f>'WEEK 6 MASTER SHEET'!C35</f>
        <v>15</v>
      </c>
      <c r="D35" s="968" t="str">
        <f>'WEEK 6 MASTER SHEET'!D35</f>
        <v>1-3 MIN</v>
      </c>
      <c r="E35" s="1010" t="str">
        <f>'WEEK 6 MASTER SHEET'!E35</f>
        <v/>
      </c>
      <c r="F35" s="1017"/>
      <c r="H35" s="967">
        <f>'WEEK 6 MASTER SHEET'!H35</f>
        <v>1</v>
      </c>
      <c r="I35" s="1028">
        <f>'WEEK 6 MASTER SHEET'!I35</f>
        <v>160</v>
      </c>
      <c r="J35" s="968">
        <f>'WEEK 6 MASTER SHEET'!J35</f>
        <v>15</v>
      </c>
      <c r="K35" s="968" t="str">
        <f>'WEEK 6 MASTER SHEET'!K35</f>
        <v>1-3 MIN</v>
      </c>
      <c r="L35" s="1104" t="str">
        <f>'WEEK 6 MASTER SHEET'!L35</f>
        <v/>
      </c>
      <c r="M35" s="1017" t="str">
        <f>'WEEK 6 MASTER SHEET'!M35</f>
        <v/>
      </c>
    </row>
    <row r="36">
      <c r="A36" s="971">
        <f>'WEEK 6 MASTER SHEET'!A36</f>
        <v>2</v>
      </c>
      <c r="B36" s="972">
        <f>'WEEK 6 MASTER SHEET'!B36</f>
        <v>30</v>
      </c>
      <c r="C36" s="972">
        <f>'WEEK 6 MASTER SHEET'!C36</f>
        <v>15</v>
      </c>
      <c r="D36" s="972" t="str">
        <f>'WEEK 6 MASTER SHEET'!D36</f>
        <v>1-3 MIN</v>
      </c>
      <c r="E36" s="1021" t="str">
        <f>'WEEK 6 MASTER SHEET'!E36</f>
        <v/>
      </c>
      <c r="F36" s="1017"/>
      <c r="H36" s="971">
        <f>'WEEK 6 MASTER SHEET'!H36</f>
        <v>2</v>
      </c>
      <c r="I36" s="972">
        <f>'WEEK 6 MASTER SHEET'!I36</f>
        <v>160</v>
      </c>
      <c r="J36" s="972">
        <f>'WEEK 6 MASTER SHEET'!J36</f>
        <v>15</v>
      </c>
      <c r="K36" s="972" t="str">
        <f>'WEEK 6 MASTER SHEET'!K36</f>
        <v>1-3 MIN</v>
      </c>
      <c r="L36" s="1105" t="str">
        <f>'WEEK 6 MASTER SHEET'!L36</f>
        <v/>
      </c>
      <c r="M36" s="1017" t="str">
        <f>'WEEK 6 MASTER SHEET'!M36</f>
        <v/>
      </c>
    </row>
    <row r="37">
      <c r="A37" s="987" t="str">
        <f>'WEEK 6 MASTER SHEET'!A37</f>
        <v/>
      </c>
      <c r="G37" s="623"/>
    </row>
    <row r="39">
      <c r="A39" s="73" t="str">
        <f>'WEEK 6 MASTER SHEET'!A39</f>
        <v>3. MACHINE LOW ROW </v>
      </c>
      <c r="B39" s="53"/>
      <c r="C39" s="53"/>
      <c r="D39" s="53"/>
      <c r="E39" s="53"/>
      <c r="F39" s="54"/>
    </row>
    <row r="40">
      <c r="A40" s="226" t="str">
        <f>'WEEK 6 MASTER SHEET'!A40</f>
        <v>CURRENT MAX</v>
      </c>
      <c r="B40" s="227">
        <f>'WEEK 6 MASTER SHEET'!B40</f>
        <v>205</v>
      </c>
      <c r="C40" s="20"/>
      <c r="D40" s="20"/>
      <c r="E40" s="20"/>
      <c r="F40" s="95"/>
    </row>
    <row r="41">
      <c r="A41" s="231" t="str">
        <f>'WEEK 6 MASTER SHEET'!A41</f>
        <v>SET</v>
      </c>
      <c r="B41" s="232" t="str">
        <f>'WEEK 6 MASTER SHEET'!B41</f>
        <v>WEIGHT</v>
      </c>
      <c r="C41" s="232" t="str">
        <f>'WEEK 6 MASTER SHEET'!C41</f>
        <v>REPS</v>
      </c>
      <c r="D41" s="232" t="str">
        <f>'WEEK 6 MASTER SHEET'!D41</f>
        <v>REST</v>
      </c>
      <c r="E41" s="233" t="str">
        <f>'WEEK 6 MASTER SHEET'!E41</f>
        <v>PREVIOUS</v>
      </c>
      <c r="F41" s="61" t="str">
        <f>'WEEK 6 MASTER SHEET'!F41</f>
        <v>REP LOG</v>
      </c>
    </row>
    <row r="42">
      <c r="A42" s="236">
        <f>'WEEK 6 MASTER SHEET'!A42</f>
        <v>1</v>
      </c>
      <c r="B42" s="237">
        <f>'WEEK 6 MASTER SHEET'!B42</f>
        <v>70</v>
      </c>
      <c r="C42" s="237">
        <f>'WEEK 6 MASTER SHEET'!C42</f>
        <v>6</v>
      </c>
      <c r="D42" s="238" t="str">
        <f>'WEEK 6 MASTER SHEET'!D42</f>
        <v>30s</v>
      </c>
      <c r="E42" s="66" t="str">
        <f>'WEEK 6 MASTER SHEET'!E42</f>
        <v/>
      </c>
      <c r="F42" s="67"/>
    </row>
    <row r="43">
      <c r="A43" s="236">
        <f>'WEEK 6 MASTER SHEET'!A43</f>
        <v>2</v>
      </c>
      <c r="B43" s="237">
        <f>'WEEK 6 MASTER SHEET'!B43</f>
        <v>135</v>
      </c>
      <c r="C43" s="238">
        <f>'WEEK 6 MASTER SHEET'!C43</f>
        <v>3</v>
      </c>
      <c r="D43" s="238" t="str">
        <f>'WEEK 6 MASTER SHEET'!D43</f>
        <v>1-2 MIN</v>
      </c>
      <c r="E43" s="66" t="str">
        <f>'WEEK 6 MASTER SHEET'!E43</f>
        <v/>
      </c>
      <c r="F43" s="67"/>
    </row>
    <row r="44">
      <c r="A44" s="242">
        <f>'WEEK 6 MASTER SHEET'!A44</f>
        <v>3</v>
      </c>
      <c r="B44" s="237">
        <f>'WEEK 6 MASTER SHEET'!B44</f>
        <v>185</v>
      </c>
      <c r="C44" s="63">
        <f>'WEEK 6 MASTER SHEET'!C44</f>
        <v>2</v>
      </c>
      <c r="D44" s="238" t="str">
        <f>'WEEK 6 MASTER SHEET'!D44</f>
        <v>1-2 MIN</v>
      </c>
      <c r="E44" s="66" t="str">
        <f>'WEEK 6 MASTER SHEET'!E44</f>
        <v/>
      </c>
      <c r="F44" s="67"/>
    </row>
    <row r="45">
      <c r="A45" s="243">
        <f>'WEEK 6 MASTER SHEET'!A45</f>
        <v>4</v>
      </c>
      <c r="B45" s="237">
        <f>'WEEK 6 MASTER SHEET'!B45</f>
        <v>205</v>
      </c>
      <c r="C45" s="257">
        <f>'WEEK 6 MASTER SHEET'!C45</f>
        <v>3</v>
      </c>
      <c r="D45" s="238" t="str">
        <f>'WEEK 6 MASTER SHEET'!D45</f>
        <v>1-5 MIN</v>
      </c>
      <c r="E45" s="66" t="str">
        <f>'WEEK 6 MASTER SHEET'!E45</f>
        <v/>
      </c>
      <c r="F45" s="67"/>
    </row>
    <row r="46">
      <c r="A46" s="246" t="str">
        <f>'WEEK 6 MASTER SHEET'!A46</f>
        <v>PROCEED TO DOWN SETS</v>
      </c>
      <c r="B46" s="20"/>
      <c r="C46" s="20"/>
      <c r="D46" s="20"/>
      <c r="E46" s="20"/>
      <c r="F46" s="95"/>
    </row>
    <row r="47">
      <c r="A47" s="249" t="str">
        <f>'WEEK 6 MASTER SHEET'!A47</f>
        <v/>
      </c>
      <c r="B47" s="175" t="str">
        <f>'WEEK 6 MASTER SHEET'!B47</f>
        <v/>
      </c>
      <c r="C47" s="238" t="str">
        <f>'WEEK 6 MASTER SHEET'!C47</f>
        <v/>
      </c>
      <c r="D47" s="238" t="str">
        <f>'WEEK 6 MASTER SHEET'!D47</f>
        <v/>
      </c>
      <c r="E47" s="250" t="str">
        <f>'WEEK 6 MASTER SHEET'!E47</f>
        <v/>
      </c>
      <c r="F47" s="67"/>
    </row>
    <row r="48">
      <c r="A48" s="259" t="str">
        <f>'WEEK 6 MASTER SHEET'!A48</f>
        <v/>
      </c>
      <c r="B48" s="237" t="str">
        <f>'WEEK 6 MASTER SHEET'!B48</f>
        <v/>
      </c>
      <c r="C48" s="257" t="str">
        <f>'WEEK 6 MASTER SHEET'!C48</f>
        <v/>
      </c>
      <c r="D48" s="257" t="str">
        <f>'WEEK 6 MASTER SHEET'!D48</f>
        <v/>
      </c>
      <c r="E48" s="258" t="str">
        <f>'WEEK 6 MASTER SHEET'!E48</f>
        <v/>
      </c>
      <c r="F48" s="67"/>
    </row>
    <row r="49">
      <c r="A49" s="246" t="str">
        <f>'WEEK 6 MASTER SHEET'!A49</f>
        <v>DOWN SETS</v>
      </c>
      <c r="B49" s="20"/>
      <c r="C49" s="20"/>
      <c r="D49" s="20"/>
      <c r="E49" s="20"/>
      <c r="F49" s="95"/>
    </row>
    <row r="50">
      <c r="A50" s="264" t="str">
        <f>'WEEK 6 MASTER SHEET'!A50</f>
        <v/>
      </c>
      <c r="B50" s="265">
        <f>'WEEK 6 MASTER SHEET'!B50</f>
        <v>0</v>
      </c>
      <c r="C50" s="1106" t="str">
        <f>'WEEK 6 MASTER SHEET'!C50</f>
        <v>REP OUT</v>
      </c>
      <c r="D50" s="265" t="str">
        <f>'WEEK 6 MASTER SHEET'!D50</f>
        <v>1-3 MIN</v>
      </c>
      <c r="E50" s="265" t="str">
        <f>'WEEK 6 MASTER SHEET'!E50</f>
        <v/>
      </c>
      <c r="F50" s="67"/>
    </row>
    <row r="51">
      <c r="A51" s="264" t="str">
        <f>'WEEK 6 MASTER SHEET'!A51</f>
        <v/>
      </c>
      <c r="B51" s="265">
        <f>'WEEK 6 MASTER SHEET'!B51</f>
        <v>0</v>
      </c>
      <c r="C51" s="1106" t="str">
        <f>'WEEK 6 MASTER SHEET'!C51</f>
        <v>REP OUT</v>
      </c>
      <c r="D51" s="265" t="str">
        <f>'WEEK 6 MASTER SHEET'!D51</f>
        <v>1-3 MIN</v>
      </c>
      <c r="E51" s="258"/>
      <c r="F51" s="271"/>
    </row>
    <row r="52">
      <c r="A52" s="272" t="str">
        <f>'WEEK 6 MASTER SHEET'!A52</f>
        <v>FINAL MAX</v>
      </c>
      <c r="B52" s="273" t="str">
        <f>'WEEK 6 MASTER SHEET'!B52</f>
        <v/>
      </c>
      <c r="C52" s="11"/>
      <c r="D52" s="11"/>
      <c r="E52" s="11"/>
      <c r="F52" s="46"/>
    </row>
    <row r="53">
      <c r="A53" s="292"/>
      <c r="B53" s="292"/>
      <c r="C53" s="292"/>
      <c r="D53" s="292"/>
      <c r="E53" s="292"/>
      <c r="F53" s="292"/>
    </row>
    <row r="54">
      <c r="A54" s="73" t="str">
        <f>'WEEK 6 MASTER SHEET'!A54</f>
        <v>4. HIGH ROW</v>
      </c>
      <c r="B54" s="53"/>
      <c r="C54" s="53"/>
      <c r="D54" s="53"/>
      <c r="E54" s="53"/>
      <c r="F54" s="54"/>
    </row>
    <row r="55">
      <c r="A55" s="282" t="str">
        <f>'WEEK 6 MASTER SHEET'!A55</f>
        <v>CURRENT MAX</v>
      </c>
      <c r="B55" s="56">
        <f>'WEEK 6 MASTER SHEET'!B55</f>
        <v>60</v>
      </c>
      <c r="C55" s="13"/>
      <c r="D55" s="13"/>
      <c r="E55" s="13"/>
      <c r="F55" s="57"/>
    </row>
    <row r="56">
      <c r="A56" s="96" t="s">
        <v>50</v>
      </c>
      <c r="B56" s="97" t="s">
        <v>51</v>
      </c>
      <c r="C56" s="97" t="s">
        <v>52</v>
      </c>
      <c r="D56" s="97" t="s">
        <v>53</v>
      </c>
      <c r="E56" s="341" t="s">
        <v>54</v>
      </c>
      <c r="F56" s="235" t="s">
        <v>55</v>
      </c>
    </row>
    <row r="57">
      <c r="A57" s="725">
        <v>1.0</v>
      </c>
      <c r="B57" s="344">
        <f> mround('WEEK 10'!B55*0.9,5)</f>
        <v>0</v>
      </c>
      <c r="C57" s="437" t="s">
        <v>65</v>
      </c>
      <c r="D57" s="343" t="s">
        <v>57</v>
      </c>
      <c r="E57" s="752"/>
      <c r="F57" s="85"/>
    </row>
    <row r="58">
      <c r="A58" s="725">
        <v>2.0</v>
      </c>
      <c r="B58" s="344">
        <f>IF('WEEK 10'!F57&lt;6,MROUND('WEEK 10'!B55*0.75,5),IF('WEEK 10'!F57&lt;=11,MROUND('WEEK 10'!B55*0.85,5),'WEEK 10'!B57))</f>
        <v>0</v>
      </c>
      <c r="C58" s="437" t="s">
        <v>65</v>
      </c>
      <c r="D58" s="343" t="s">
        <v>57</v>
      </c>
      <c r="E58" s="752"/>
      <c r="F58" s="85"/>
    </row>
    <row r="59">
      <c r="A59" s="753">
        <v>3.0</v>
      </c>
      <c r="B59" s="754">
        <f>IF('WEEK 10'!F58&lt;6,MROUND('WEEK 10'!B55*0.75,5),IF('WEEK 10'!F58&lt;=11,MROUND('WEEK 10'!B55*0.85,5),'WEEK 10'!B58))</f>
        <v>0</v>
      </c>
      <c r="C59" s="733" t="s">
        <v>65</v>
      </c>
      <c r="D59" s="486" t="s">
        <v>57</v>
      </c>
      <c r="E59" s="755"/>
      <c r="F59" s="85"/>
    </row>
    <row r="60">
      <c r="A60" t="str">
        <f>'WEEK 6 MASTER SHEET'!A60</f>
        <v/>
      </c>
    </row>
    <row r="62">
      <c r="A62" s="440" t="str">
        <f>'WEEK 6 MASTER SHEET'!A62</f>
        <v>5. LAT PULL DOWN</v>
      </c>
      <c r="B62" s="53"/>
      <c r="C62" s="53"/>
      <c r="D62" s="53"/>
      <c r="E62" s="53"/>
      <c r="F62" s="54"/>
    </row>
    <row r="63">
      <c r="A63" s="282" t="str">
        <f>'WEEK 6 MASTER SHEET'!A63</f>
        <v>CURRENT MAX</v>
      </c>
      <c r="B63" s="56">
        <f>'WEEK 6 MASTER SHEET'!B63</f>
        <v>270</v>
      </c>
      <c r="C63" s="13"/>
      <c r="D63" s="13"/>
      <c r="E63" s="13"/>
      <c r="F63" s="57"/>
    </row>
    <row r="64">
      <c r="A64" s="96" t="s">
        <v>50</v>
      </c>
      <c r="B64" s="97" t="s">
        <v>51</v>
      </c>
      <c r="C64" s="97" t="s">
        <v>52</v>
      </c>
      <c r="D64" s="97" t="s">
        <v>53</v>
      </c>
      <c r="E64" s="341" t="s">
        <v>54</v>
      </c>
      <c r="F64" s="235" t="s">
        <v>55</v>
      </c>
    </row>
    <row r="65">
      <c r="A65" s="725">
        <v>1.0</v>
      </c>
      <c r="B65" s="344">
        <f> mround('WEEK 10'!B63*0.9,5)</f>
        <v>0</v>
      </c>
      <c r="C65" s="437" t="s">
        <v>65</v>
      </c>
      <c r="D65" s="343" t="s">
        <v>57</v>
      </c>
      <c r="E65" s="752"/>
      <c r="F65" s="85"/>
    </row>
    <row r="66">
      <c r="A66" s="725">
        <v>2.0</v>
      </c>
      <c r="B66" s="344">
        <f>IF('WEEK 10'!F65&lt;6,MROUND('WEEK 10'!B63*0.75,5),IF('WEEK 10'!F65&lt;=11,MROUND('WEEK 10'!B63*0.85,5),'WEEK 10'!B65))</f>
        <v>0</v>
      </c>
      <c r="C66" s="437" t="s">
        <v>65</v>
      </c>
      <c r="D66" s="343" t="s">
        <v>57</v>
      </c>
      <c r="E66" s="752"/>
      <c r="F66" s="85"/>
    </row>
    <row r="67">
      <c r="A67" s="753">
        <v>3.0</v>
      </c>
      <c r="B67" s="754">
        <f>IF('WEEK 10'!F66&lt;6,MROUND('WEEK 10'!B63*0.75,5),IF('WEEK 10'!F66&lt;=11,MROUND('WEEK 10'!B63*0.85,5),'WEEK 10'!B66))</f>
        <v>0</v>
      </c>
      <c r="C67" s="733" t="s">
        <v>65</v>
      </c>
      <c r="D67" s="486" t="s">
        <v>57</v>
      </c>
      <c r="E67" s="755"/>
      <c r="F67" s="85"/>
    </row>
    <row r="68">
      <c r="A68" s="1107" t="str">
        <f>'WEEK 6 MASTER SHEET'!A68</f>
        <v/>
      </c>
      <c r="B68" s="1107" t="str">
        <f>'WEEK 6 MASTER SHEET'!B68</f>
        <v/>
      </c>
      <c r="C68" s="1107" t="str">
        <f>'WEEK 6 MASTER SHEET'!C68</f>
        <v/>
      </c>
      <c r="D68" s="1107" t="str">
        <f>'WEEK 6 MASTER SHEET'!D68</f>
        <v/>
      </c>
      <c r="E68" s="1107" t="str">
        <f>'WEEK 6 MASTER SHEET'!E68</f>
        <v/>
      </c>
      <c r="F68" s="1107" t="str">
        <f>'WEEK 6 MASTER SHEET'!F68</f>
        <v/>
      </c>
    </row>
    <row r="69">
      <c r="A69" s="989" t="str">
        <f>'WEEK 6 MASTER SHEET'!A68</f>
        <v/>
      </c>
      <c r="B69" s="989" t="str">
        <f>'WEEK 6 MASTER SHEET'!B68</f>
        <v/>
      </c>
      <c r="C69" s="989" t="str">
        <f>'WEEK 6 MASTER SHEET'!C68</f>
        <v/>
      </c>
      <c r="D69" s="989" t="str">
        <f>'WEEK 6 MASTER SHEET'!D68</f>
        <v/>
      </c>
      <c r="E69" s="989" t="str">
        <f>'WEEK 6 MASTER SHEET'!E68</f>
        <v/>
      </c>
      <c r="F69" s="989" t="str">
        <f>'WEEK 6 MASTER SHEET'!F68</f>
        <v/>
      </c>
    </row>
    <row r="70">
      <c r="A70" s="996" t="str">
        <f>'WEEK 6 MASTER SHEET'!A70</f>
        <v>DAY 2 </v>
      </c>
      <c r="B70" s="11"/>
      <c r="C70" s="11"/>
      <c r="D70" s="11"/>
      <c r="E70" s="11"/>
      <c r="F70" s="46"/>
    </row>
    <row r="71">
      <c r="A71" s="1012"/>
      <c r="B71" s="1012"/>
      <c r="C71" s="1012"/>
      <c r="D71" s="1012"/>
      <c r="E71" s="1012"/>
      <c r="F71" s="1012"/>
    </row>
    <row r="72">
      <c r="A72" s="30" t="str">
        <f>'WEEK 6 MASTER SHEET'!A71</f>
        <v/>
      </c>
      <c r="B72" s="30" t="str">
        <f>'WEEK 6 MASTER SHEET'!B71</f>
        <v/>
      </c>
      <c r="C72" s="30" t="str">
        <f>'WEEK 6 MASTER SHEET'!C71</f>
        <v/>
      </c>
      <c r="D72" s="30" t="str">
        <f>'WEEK 6 MASTER SHEET'!D71</f>
        <v/>
      </c>
      <c r="E72" s="30" t="str">
        <f>'WEEK 6 MASTER SHEET'!E71</f>
        <v/>
      </c>
      <c r="F72" s="30" t="str">
        <f>'WEEK 6 MASTER SHEET'!F71</f>
        <v/>
      </c>
    </row>
    <row r="73">
      <c r="A73" s="1099" t="str">
        <f>'WEEK 6 MASTER SHEET'!A73</f>
        <v>LEGS </v>
      </c>
      <c r="B73" s="36"/>
      <c r="C73" s="36"/>
      <c r="D73" s="36"/>
      <c r="E73" s="36"/>
      <c r="F73" s="37"/>
    </row>
    <row r="74">
      <c r="A74" s="960" t="str">
        <f>'WEEK 6 MASTER SHEET'!A74</f>
        <v>2. LEG PRESS</v>
      </c>
      <c r="B74" s="53"/>
      <c r="C74" s="53"/>
      <c r="D74" s="53"/>
      <c r="E74" s="53"/>
      <c r="F74" s="54"/>
    </row>
    <row r="75">
      <c r="A75" s="961" t="str">
        <f>'WEEK 6 MASTER SHEET'!A75</f>
        <v>CURRENT MAX</v>
      </c>
      <c r="B75" s="1035">
        <f>'WEEK 6 MASTER SHEET'!B75</f>
        <v>250</v>
      </c>
      <c r="C75" s="13"/>
      <c r="D75" s="13"/>
      <c r="E75" s="13"/>
      <c r="F75" s="57"/>
    </row>
    <row r="76">
      <c r="A76" s="231" t="str">
        <f>'WEEK 6 MASTER SHEET'!A76</f>
        <v>SET</v>
      </c>
      <c r="B76" s="232" t="str">
        <f>'WEEK 6 MASTER SHEET'!B76</f>
        <v>WEIGHT</v>
      </c>
      <c r="C76" s="232" t="str">
        <f>'WEEK 6 MASTER SHEET'!C76</f>
        <v>REPS</v>
      </c>
      <c r="D76" s="232" t="str">
        <f>'WEEK 6 MASTER SHEET'!D76</f>
        <v>REST</v>
      </c>
      <c r="E76" s="233" t="str">
        <f>'WEEK 6 MASTER SHEET'!E76</f>
        <v>PREVIOUS</v>
      </c>
      <c r="F76" s="61" t="str">
        <f>'WEEK 6 MASTER SHEET'!F76</f>
        <v>REP LOG</v>
      </c>
    </row>
    <row r="77">
      <c r="A77" s="236">
        <f>'WEEK 6 MASTER SHEET'!A77</f>
        <v>1</v>
      </c>
      <c r="B77" s="237">
        <f>'WEEK 6 MASTER SHEET'!B77</f>
        <v>90</v>
      </c>
      <c r="C77" s="238">
        <f>'WEEK 6 MASTER SHEET'!C77</f>
        <v>20</v>
      </c>
      <c r="D77" s="238" t="str">
        <f>'WEEK 6 MASTER SHEET'!D77</f>
        <v>30s</v>
      </c>
      <c r="E77" s="66" t="str">
        <f>'WEEK 6 MASTER SHEET'!E77</f>
        <v/>
      </c>
      <c r="F77" s="67"/>
    </row>
    <row r="78">
      <c r="A78" s="236">
        <f>'WEEK 6 MASTER SHEET'!A78</f>
        <v>2</v>
      </c>
      <c r="B78" s="237">
        <f>'WEEK 6 MASTER SHEET'!B78</f>
        <v>165</v>
      </c>
      <c r="C78" s="238">
        <f>'WEEK 6 MASTER SHEET'!C78</f>
        <v>20</v>
      </c>
      <c r="D78" s="238" t="str">
        <f>'WEEK 6 MASTER SHEET'!D78</f>
        <v>1-2 MIN</v>
      </c>
      <c r="E78" s="66" t="str">
        <f>'WEEK 6 MASTER SHEET'!E78</f>
        <v/>
      </c>
      <c r="F78" s="67"/>
    </row>
    <row r="79">
      <c r="A79" s="242">
        <f>'WEEK 6 MASTER SHEET'!A79</f>
        <v>3</v>
      </c>
      <c r="B79" s="237">
        <f>'WEEK 6 MASTER SHEET'!B79</f>
        <v>225</v>
      </c>
      <c r="C79" s="238">
        <f>'WEEK 6 MASTER SHEET'!C79</f>
        <v>20</v>
      </c>
      <c r="D79" s="238" t="str">
        <f>'WEEK 6 MASTER SHEET'!D79</f>
        <v>1-2 MIN</v>
      </c>
      <c r="E79" s="66" t="str">
        <f>'WEEK 6 MASTER SHEET'!E79</f>
        <v/>
      </c>
      <c r="F79" s="67"/>
    </row>
    <row r="80">
      <c r="A80" s="249">
        <f>'WEEK 6 MASTER SHEET'!A80</f>
        <v>4</v>
      </c>
      <c r="B80" s="175">
        <f>'WEEK 6 MASTER SHEET'!B80</f>
        <v>220</v>
      </c>
      <c r="C80" s="238">
        <f>'WEEK 6 MASTER SHEET'!C80</f>
        <v>20</v>
      </c>
      <c r="D80" s="238" t="str">
        <f>'WEEK 6 MASTER SHEET'!D80</f>
        <v>1-5 MIN</v>
      </c>
      <c r="E80" s="66" t="str">
        <f>'WEEK 6 MASTER SHEET'!E80</f>
        <v/>
      </c>
      <c r="F80" s="67"/>
    </row>
    <row r="81">
      <c r="A81" s="249">
        <f>'WEEK 6 MASTER SHEET'!A81</f>
        <v>5</v>
      </c>
      <c r="B81" s="175">
        <f>'WEEK 6 MASTER SHEET'!B81</f>
        <v>215</v>
      </c>
      <c r="C81" s="238">
        <f>'WEEK 6 MASTER SHEET'!C81</f>
        <v>20</v>
      </c>
      <c r="D81" s="238" t="str">
        <f>'WEEK 6 MASTER SHEET'!D81</f>
        <v>1-5 MIN</v>
      </c>
      <c r="E81" s="1108"/>
      <c r="F81" s="1037"/>
    </row>
    <row r="82">
      <c r="A82" s="249">
        <f>'WEEK 6 MASTER SHEET'!A82</f>
        <v>6</v>
      </c>
      <c r="B82" s="175">
        <f>'WEEK 6 MASTER SHEET'!B82</f>
        <v>210</v>
      </c>
      <c r="C82" s="238">
        <f>'WEEK 6 MASTER SHEET'!C82</f>
        <v>20</v>
      </c>
      <c r="D82" s="238" t="str">
        <f>'WEEK 6 MASTER SHEET'!D82</f>
        <v>1-5 MIN</v>
      </c>
      <c r="E82" s="1108" t="str">
        <f>'WEEK 6 MASTER SHEET'!E82</f>
        <v/>
      </c>
      <c r="F82" s="67"/>
    </row>
    <row r="83">
      <c r="A83" s="1038">
        <f>'WEEK 6 MASTER SHEET'!A83</f>
        <v>7</v>
      </c>
      <c r="B83" s="175">
        <f>'WEEK 6 MASTER SHEET'!B83</f>
        <v>205</v>
      </c>
      <c r="C83" s="238">
        <f>'WEEK 6 MASTER SHEET'!C83</f>
        <v>20</v>
      </c>
      <c r="D83" s="238" t="str">
        <f>'WEEK 6 MASTER SHEET'!D83</f>
        <v>1-5 MIN</v>
      </c>
      <c r="E83" s="1108" t="str">
        <f>'WEEK 6 MASTER SHEET'!E83</f>
        <v/>
      </c>
      <c r="F83" s="67"/>
    </row>
    <row r="84">
      <c r="A84" s="249">
        <f>'WEEK 6 MASTER SHEET'!A84</f>
        <v>8</v>
      </c>
      <c r="B84" s="175">
        <f>'WEEK 6 MASTER SHEET'!B84</f>
        <v>200</v>
      </c>
      <c r="C84" s="238">
        <f>'WEEK 6 MASTER SHEET'!C84</f>
        <v>20</v>
      </c>
      <c r="D84" s="238" t="str">
        <f>'WEEK 6 MASTER SHEET'!D84</f>
        <v>1-5 MIN</v>
      </c>
      <c r="E84" s="1108" t="str">
        <f>'WEEK 6 MASTER SHEET'!E84</f>
        <v/>
      </c>
      <c r="F84" s="67"/>
    </row>
    <row r="85">
      <c r="A85" s="272" t="str">
        <f>'WEEK 6 MASTER SHEET'!A85</f>
        <v>20 REP MAX</v>
      </c>
      <c r="B85" s="1109">
        <f>'WEEK 6 MASTER SHEET'!B85</f>
        <v>250</v>
      </c>
      <c r="C85" s="11"/>
      <c r="D85" s="11"/>
      <c r="E85" s="11"/>
      <c r="F85" s="46"/>
    </row>
    <row r="86">
      <c r="A86" s="1042"/>
      <c r="B86" s="1043"/>
      <c r="C86" s="1043"/>
      <c r="D86" s="1043"/>
      <c r="E86" s="1043"/>
      <c r="F86" s="1043"/>
    </row>
    <row r="87">
      <c r="A87" s="1044" t="str">
        <f>'WEEK 6 MASTER SHEET'!A88</f>
        <v>2. LEG EXTENSION</v>
      </c>
      <c r="B87" s="13"/>
      <c r="C87" s="13"/>
      <c r="D87" s="13"/>
      <c r="E87" s="13"/>
      <c r="F87" s="57"/>
    </row>
    <row r="88">
      <c r="A88" s="1045" t="str">
        <f>'WEEK 6 MASTER SHEET'!A89</f>
        <v>CURRENT MAX</v>
      </c>
      <c r="B88" s="1046">
        <f>'WEEK 6 MASTER SHEET'!B89</f>
        <v>75</v>
      </c>
      <c r="C88" s="13"/>
      <c r="D88" s="13"/>
      <c r="E88" s="13"/>
      <c r="F88" s="57"/>
    </row>
    <row r="89">
      <c r="A89" s="567" t="str">
        <f>'WEEK 6 MASTER SHEET'!A90</f>
        <v>SET</v>
      </c>
      <c r="B89" s="568" t="str">
        <f>'WEEK 6 MASTER SHEET'!B90</f>
        <v>WEIGHT</v>
      </c>
      <c r="C89" s="568" t="str">
        <f>'WEEK 6 MASTER SHEET'!C90</f>
        <v>REPS</v>
      </c>
      <c r="D89" s="568" t="str">
        <f>'WEEK 6 MASTER SHEET'!D90</f>
        <v>REST</v>
      </c>
      <c r="E89" s="1047" t="str">
        <f>'WEEK 6 MASTER SHEET'!E90</f>
        <v>PREVIOUS</v>
      </c>
      <c r="F89" s="1048" t="str">
        <f>'WEEK 6 MASTER SHEET'!F90</f>
        <v>REP LOG</v>
      </c>
    </row>
    <row r="90">
      <c r="A90" s="1049">
        <f>'WEEK 6 MASTER SHEET'!A91</f>
        <v>1</v>
      </c>
      <c r="B90" s="1050">
        <f>'WEEK 6 MASTER SHEET'!B91</f>
        <v>75</v>
      </c>
      <c r="C90" s="1110" t="s">
        <v>144</v>
      </c>
      <c r="D90" s="1052" t="str">
        <f>'WEEK 6 MASTER SHEET'!D91</f>
        <v>1 MIN</v>
      </c>
      <c r="E90" s="1010" t="str">
        <f>'WEEK 6 MASTER SHEET'!E91</f>
        <v/>
      </c>
      <c r="F90" s="1111"/>
    </row>
    <row r="91">
      <c r="A91" s="1049">
        <f>'WEEK 6 MASTER SHEET'!A92</f>
        <v>2</v>
      </c>
      <c r="B91" s="1050">
        <f>'WEEK 6 MASTER SHEET'!B92</f>
        <v>60</v>
      </c>
      <c r="C91" s="1110" t="s">
        <v>144</v>
      </c>
      <c r="D91" s="1052" t="str">
        <f>'WEEK 6 MASTER SHEET'!D92</f>
        <v>1 MIN</v>
      </c>
      <c r="E91" s="1010" t="str">
        <f>'WEEK 6 MASTER SHEET'!E92</f>
        <v/>
      </c>
      <c r="F91" s="1111"/>
    </row>
    <row r="92">
      <c r="A92" s="1053">
        <f>'WEEK 6 MASTER SHEET'!A93</f>
        <v>3</v>
      </c>
      <c r="B92" s="1054">
        <f>'WEEK 6 MASTER SHEET'!B93</f>
        <v>50</v>
      </c>
      <c r="C92" s="1112" t="s">
        <v>144</v>
      </c>
      <c r="D92" s="1056" t="str">
        <f>'WEEK 6 MASTER SHEET'!D93</f>
        <v>1 MIN</v>
      </c>
      <c r="E92" s="1021" t="str">
        <f>'WEEK 6 MASTER SHEET'!E93</f>
        <v/>
      </c>
      <c r="F92" s="1113"/>
    </row>
    <row r="93">
      <c r="A93" s="1057" t="str">
        <f>'WEEK 6 MASTER SHEET'!A94</f>
        <v/>
      </c>
      <c r="B93" s="1057" t="str">
        <f>'WEEK 6 MASTER SHEET'!B94</f>
        <v/>
      </c>
      <c r="C93" s="1057" t="str">
        <f>'WEEK 6 MASTER SHEET'!C94</f>
        <v/>
      </c>
      <c r="D93" s="1057" t="str">
        <f>'WEEK 6 MASTER SHEET'!D94</f>
        <v/>
      </c>
      <c r="E93" s="1057" t="str">
        <f>'WEEK 6 MASTER SHEET'!E94</f>
        <v/>
      </c>
      <c r="F93" s="1057" t="str">
        <f>'WEEK 6 MASTER SHEET'!F94</f>
        <v/>
      </c>
    </row>
    <row r="94">
      <c r="A94" s="1058" t="str">
        <f>'WEEK 6 MASTER SHEET'!A95</f>
        <v/>
      </c>
      <c r="B94" s="1058" t="str">
        <f>'WEEK 6 MASTER SHEET'!B95</f>
        <v/>
      </c>
      <c r="C94" s="1058" t="str">
        <f>'WEEK 6 MASTER SHEET'!C95</f>
        <v/>
      </c>
      <c r="D94" s="1058" t="str">
        <f>'WEEK 6 MASTER SHEET'!D95</f>
        <v/>
      </c>
      <c r="E94" s="1058" t="str">
        <f>'WEEK 6 MASTER SHEET'!E95</f>
        <v/>
      </c>
      <c r="F94" s="1058" t="str">
        <f>'WEEK 6 MASTER SHEET'!F95</f>
        <v/>
      </c>
    </row>
    <row r="95">
      <c r="A95" s="1058" t="str">
        <f>'WEEK 6 MASTER SHEET'!A96</f>
        <v/>
      </c>
      <c r="B95" s="1058" t="str">
        <f>'WEEK 6 MASTER SHEET'!B96</f>
        <v/>
      </c>
      <c r="C95" s="1058" t="str">
        <f>'WEEK 6 MASTER SHEET'!C96</f>
        <v/>
      </c>
      <c r="D95" s="1058" t="str">
        <f>'WEEK 6 MASTER SHEET'!D96</f>
        <v/>
      </c>
      <c r="E95" s="1058" t="str">
        <f>'WEEK 6 MASTER SHEET'!E96</f>
        <v/>
      </c>
      <c r="F95" s="1058" t="str">
        <f>'WEEK 6 MASTER SHEET'!F96</f>
        <v/>
      </c>
    </row>
    <row r="96">
      <c r="A96" s="1114" t="str">
        <f>'WEEK 6 MASTER SHEET'!A97</f>
        <v>3.MACHINE LEG CURL</v>
      </c>
      <c r="B96" s="53"/>
      <c r="C96" s="53"/>
      <c r="D96" s="53"/>
      <c r="E96" s="53"/>
      <c r="F96" s="54"/>
      <c r="G96" s="997" t="str">
        <f>'WEEK 6 MASTER SHEET'!G97</f>
        <v/>
      </c>
      <c r="H96" s="1115" t="str">
        <f>'WEEK 6 MASTER SHEET'!H97</f>
        <v>3.PRONE LEG CURL</v>
      </c>
      <c r="I96" s="20"/>
      <c r="J96" s="20"/>
      <c r="K96" s="20"/>
      <c r="L96" s="20"/>
      <c r="M96" s="95"/>
      <c r="N96" s="987" t="str">
        <f>'WEEK 6 MASTER SHEET'!N97</f>
        <v/>
      </c>
    </row>
    <row r="97">
      <c r="A97" s="1045" t="str">
        <f>'WEEK 6 MASTER SHEET'!A98</f>
        <v>CURRENT MAX</v>
      </c>
      <c r="B97" s="1061">
        <f>'WEEK 6 MASTER SHEET'!B98</f>
        <v>90</v>
      </c>
      <c r="C97" s="13"/>
      <c r="D97" s="13"/>
      <c r="E97" s="13"/>
      <c r="F97" s="57"/>
      <c r="G97" s="997" t="str">
        <f>'WEEK 6 MASTER SHEET'!G98</f>
        <v/>
      </c>
      <c r="H97" s="1116" t="str">
        <f>'WEEK 6 MASTER SHEET'!H98</f>
        <v>CURRENT MAX</v>
      </c>
      <c r="I97" s="1061">
        <f>'WEEK 6 MASTER SHEET'!I98</f>
        <v>90</v>
      </c>
      <c r="J97" s="13"/>
      <c r="K97" s="13"/>
      <c r="L97" s="13"/>
      <c r="M97" s="57"/>
    </row>
    <row r="98">
      <c r="A98" s="567" t="str">
        <f>'WEEK 6 MASTER SHEET'!A99</f>
        <v>SET</v>
      </c>
      <c r="B98" s="568" t="str">
        <f>'WEEK 6 MASTER SHEET'!B99</f>
        <v>WEIGHT</v>
      </c>
      <c r="C98" s="568" t="str">
        <f>'WEEK 6 MASTER SHEET'!C99</f>
        <v>REPS</v>
      </c>
      <c r="D98" s="568" t="str">
        <f>'WEEK 6 MASTER SHEET'!D99</f>
        <v>REST</v>
      </c>
      <c r="E98" s="1047" t="str">
        <f>'WEEK 6 MASTER SHEET'!E99</f>
        <v>PREVIOUS</v>
      </c>
      <c r="F98" s="1048" t="str">
        <f>'WEEK 6 MASTER SHEET'!F99</f>
        <v>REP LOG</v>
      </c>
      <c r="G98" s="997" t="str">
        <f>'WEEK 6 MASTER SHEET'!G99</f>
        <v/>
      </c>
      <c r="H98" s="568" t="str">
        <f>'WEEK 6 MASTER SHEET'!H99</f>
        <v>SET</v>
      </c>
      <c r="I98" s="568" t="str">
        <f>'WEEK 6 MASTER SHEET'!I99</f>
        <v>WEIGHT</v>
      </c>
      <c r="J98" s="568" t="str">
        <f>'WEEK 6 MASTER SHEET'!J99</f>
        <v>REPS</v>
      </c>
      <c r="K98" s="568" t="str">
        <f>'WEEK 6 MASTER SHEET'!K99</f>
        <v>REST</v>
      </c>
      <c r="L98" s="1047" t="str">
        <f>'WEEK 6 MASTER SHEET'!L99</f>
        <v>PREVIOUS</v>
      </c>
      <c r="M98" s="1048" t="str">
        <f>'WEEK 6 MASTER SHEET'!M99</f>
        <v>REP LOG</v>
      </c>
    </row>
    <row r="99">
      <c r="A99" s="1049">
        <f>'WEEK 6 MASTER SHEET'!A100</f>
        <v>1</v>
      </c>
      <c r="B99" s="1050">
        <f>'WEEK 6 MASTER SHEET'!B100</f>
        <v>90</v>
      </c>
      <c r="C99" s="1110" t="s">
        <v>144</v>
      </c>
      <c r="D99" s="1052" t="str">
        <f>'WEEK 6 MASTER SHEET'!D100</f>
        <v>1 MIN</v>
      </c>
      <c r="E99" s="1010" t="str">
        <f>'WEEK 6 MASTER SHEET'!E100</f>
        <v/>
      </c>
      <c r="F99" s="1017" t="str">
        <f>'WEEK 6 MASTER SHEET'!F100</f>
        <v/>
      </c>
      <c r="G99" s="1117" t="str">
        <f>'WEEK 6 MASTER SHEET'!G100</f>
        <v>ALTERNATE</v>
      </c>
      <c r="H99" s="1118">
        <f>'WEEK 6 MASTER SHEET'!H100</f>
        <v>1</v>
      </c>
      <c r="I99" s="1050">
        <f>'WEEK 6 MASTER SHEET'!I100</f>
        <v>90</v>
      </c>
      <c r="J99" s="1110" t="s">
        <v>144</v>
      </c>
      <c r="K99" s="1052" t="str">
        <f>'WEEK 6 MASTER SHEET'!K100</f>
        <v>1 MIN</v>
      </c>
      <c r="L99" s="1010" t="str">
        <f>'WEEK 6 MASTER SHEET'!L100</f>
        <v/>
      </c>
      <c r="M99" s="1017" t="str">
        <f>'WEEK 6 MASTER SHEET'!M100</f>
        <v/>
      </c>
    </row>
    <row r="100">
      <c r="A100" s="1049">
        <f>'WEEK 6 MASTER SHEET'!A101</f>
        <v>2</v>
      </c>
      <c r="B100" s="1050">
        <f>'WEEK 6 MASTER SHEET'!B101</f>
        <v>70</v>
      </c>
      <c r="C100" s="1110" t="s">
        <v>144</v>
      </c>
      <c r="D100" s="1052" t="str">
        <f>'WEEK 6 MASTER SHEET'!D101</f>
        <v>1 MIN</v>
      </c>
      <c r="E100" s="1010" t="str">
        <f>'WEEK 6 MASTER SHEET'!E101</f>
        <v/>
      </c>
      <c r="F100" s="1017" t="str">
        <f>'WEEK 6 MASTER SHEET'!F101</f>
        <v/>
      </c>
      <c r="G100" s="28"/>
      <c r="H100" s="1118">
        <f>'WEEK 6 MASTER SHEET'!H101</f>
        <v>2</v>
      </c>
      <c r="I100" s="1050">
        <f>'WEEK 6 MASTER SHEET'!I101</f>
        <v>70</v>
      </c>
      <c r="J100" s="1110" t="s">
        <v>144</v>
      </c>
      <c r="K100" s="1052" t="str">
        <f>'WEEK 6 MASTER SHEET'!K101</f>
        <v>1 MIN</v>
      </c>
      <c r="L100" s="1010" t="str">
        <f>'WEEK 6 MASTER SHEET'!L101</f>
        <v/>
      </c>
      <c r="M100" s="1017" t="str">
        <f>'WEEK 6 MASTER SHEET'!M101</f>
        <v/>
      </c>
    </row>
    <row r="101">
      <c r="A101" s="1053">
        <f>'WEEK 6 MASTER SHEET'!A102</f>
        <v>3</v>
      </c>
      <c r="B101" s="1054">
        <f>'WEEK 6 MASTER SHEET'!B102</f>
        <v>55</v>
      </c>
      <c r="C101" s="1112" t="s">
        <v>144</v>
      </c>
      <c r="D101" s="1056" t="str">
        <f>'WEEK 6 MASTER SHEET'!D102</f>
        <v>1 MIN</v>
      </c>
      <c r="E101" s="1021" t="str">
        <f>'WEEK 6 MASTER SHEET'!E102</f>
        <v/>
      </c>
      <c r="F101" s="1017" t="str">
        <f>'WEEK 6 MASTER SHEET'!F102</f>
        <v/>
      </c>
      <c r="G101" s="1065" t="str">
        <f>'WEEK 6 MASTER SHEET'!G102</f>
        <v/>
      </c>
      <c r="H101" s="1119">
        <f>'WEEK 6 MASTER SHEET'!H102</f>
        <v>3</v>
      </c>
      <c r="I101" s="1054">
        <f>'WEEK 6 MASTER SHEET'!I102</f>
        <v>55</v>
      </c>
      <c r="J101" s="1112" t="s">
        <v>144</v>
      </c>
      <c r="K101" s="1056" t="str">
        <f>'WEEK 6 MASTER SHEET'!K102</f>
        <v>1 MIN</v>
      </c>
      <c r="L101" s="1021" t="str">
        <f>'WEEK 6 MASTER SHEET'!L102</f>
        <v/>
      </c>
      <c r="M101" s="1017" t="str">
        <f>'WEEK 6 MASTER SHEET'!M102</f>
        <v/>
      </c>
    </row>
    <row r="102">
      <c r="A102" s="1057" t="str">
        <f>'WEEK 6 MASTER SHEET'!A103</f>
        <v/>
      </c>
      <c r="B102" s="1057" t="str">
        <f>'WEEK 6 MASTER SHEET'!B103</f>
        <v/>
      </c>
      <c r="C102" s="1057" t="str">
        <f>'WEEK 6 MASTER SHEET'!C103</f>
        <v/>
      </c>
      <c r="D102" s="1057" t="str">
        <f>'WEEK 6 MASTER SHEET'!D103</f>
        <v/>
      </c>
      <c r="E102" s="1057" t="str">
        <f>'WEEK 6 MASTER SHEET'!E103</f>
        <v/>
      </c>
      <c r="F102" s="1057" t="str">
        <f>'WEEK 6 MASTER SHEET'!F103</f>
        <v/>
      </c>
      <c r="G102" s="623" t="str">
        <f>'WEEK 6 MASTER SHEET'!G103</f>
        <v/>
      </c>
    </row>
    <row r="103">
      <c r="A103" s="987" t="str">
        <f>'WEEK 6 MASTER SHEET'!A104</f>
        <v/>
      </c>
      <c r="B103" s="987" t="str">
        <f>'WEEK 6 MASTER SHEET'!B104</f>
        <v/>
      </c>
      <c r="C103" s="987" t="str">
        <f>'WEEK 6 MASTER SHEET'!C104</f>
        <v/>
      </c>
      <c r="D103" s="987" t="str">
        <f>'WEEK 6 MASTER SHEET'!D104</f>
        <v/>
      </c>
      <c r="E103" s="987" t="str">
        <f>'WEEK 6 MASTER SHEET'!E104</f>
        <v/>
      </c>
      <c r="F103" s="987" t="str">
        <f>'WEEK 6 MASTER SHEET'!F104</f>
        <v/>
      </c>
    </row>
    <row r="104">
      <c r="A104" s="1120" t="str">
        <f>'WEEK 6 MASTER SHEET'!A105</f>
        <v>DAY 3</v>
      </c>
      <c r="B104" s="36"/>
      <c r="C104" s="36"/>
      <c r="D104" s="36"/>
      <c r="E104" s="36"/>
      <c r="F104" s="37"/>
    </row>
    <row r="105">
      <c r="A105" s="987" t="str">
        <f>'WEEK 6 MASTER SHEET'!A106</f>
        <v/>
      </c>
      <c r="B105" s="987" t="str">
        <f>'WEEK 6 MASTER SHEET'!B106</f>
        <v/>
      </c>
      <c r="C105" s="987" t="str">
        <f>'WEEK 6 MASTER SHEET'!C106</f>
        <v/>
      </c>
      <c r="D105" s="987" t="str">
        <f>'WEEK 6 MASTER SHEET'!D106</f>
        <v/>
      </c>
      <c r="E105" s="987" t="str">
        <f>'WEEK 6 MASTER SHEET'!E106</f>
        <v/>
      </c>
      <c r="F105" s="987" t="str">
        <f>'WEEK 6 MASTER SHEET'!F106</f>
        <v/>
      </c>
    </row>
    <row r="106">
      <c r="A106" s="989" t="str">
        <f>'WEEK 6 MASTER SHEET'!A107</f>
        <v/>
      </c>
      <c r="B106" s="989" t="str">
        <f>'WEEK 6 MASTER SHEET'!B107</f>
        <v/>
      </c>
      <c r="C106" s="989" t="str">
        <f>'WEEK 6 MASTER SHEET'!C107</f>
        <v/>
      </c>
      <c r="D106" s="989" t="str">
        <f>'WEEK 6 MASTER SHEET'!D107</f>
        <v/>
      </c>
      <c r="E106" s="989" t="str">
        <f>'WEEK 6 MASTER SHEET'!E107</f>
        <v/>
      </c>
      <c r="F106" s="989" t="str">
        <f>'WEEK 6 MASTER SHEET'!F107</f>
        <v/>
      </c>
    </row>
    <row r="107">
      <c r="A107" s="51" t="str">
        <f>'WEEK 6 MASTER SHEET'!A108</f>
        <v>SHOULDERS &amp; ARMS</v>
      </c>
      <c r="B107" s="36"/>
      <c r="C107" s="36"/>
      <c r="D107" s="36"/>
      <c r="E107" s="36"/>
      <c r="F107" s="37"/>
      <c r="G107" s="987" t="str">
        <f>'WEEK 6 MASTER SHEET'!G108</f>
        <v/>
      </c>
      <c r="H107" s="51" t="str">
        <f>'WEEK 6 MASTER SHEET'!H108</f>
        <v>SHOULDERS &amp; ARMS</v>
      </c>
      <c r="I107" s="36"/>
      <c r="J107" s="36"/>
      <c r="K107" s="36"/>
      <c r="L107" s="36"/>
      <c r="M107" s="37"/>
    </row>
    <row r="108">
      <c r="A108" s="504" t="str">
        <f>'WEEK 6 MASTER SHEET'!A109</f>
        <v>1. SHOULDER PRESS</v>
      </c>
      <c r="B108" s="53"/>
      <c r="C108" s="53"/>
      <c r="D108" s="53"/>
      <c r="E108" s="53"/>
      <c r="F108" s="54"/>
      <c r="H108" s="778" t="str">
        <f>'WEEK 6 MASTER SHEET'!H109</f>
        <v>1. MACHINE SHOULDER PRESS</v>
      </c>
      <c r="I108" s="53"/>
      <c r="J108" s="53"/>
      <c r="K108" s="53"/>
      <c r="L108" s="53"/>
      <c r="M108" s="54"/>
    </row>
    <row r="109">
      <c r="A109" s="589" t="str">
        <f>'WEEK 6 MASTER SHEET'!A110</f>
        <v>CURRENT MAX</v>
      </c>
      <c r="B109" s="227">
        <f>'WEEK 6 MASTER SHEET'!B110</f>
        <v>85</v>
      </c>
      <c r="C109" s="20"/>
      <c r="D109" s="20"/>
      <c r="E109" s="20"/>
      <c r="F109" s="95"/>
      <c r="H109" s="589" t="str">
        <f>'WEEK 6 MASTER SHEET'!H110</f>
        <v>CURRENT MAX</v>
      </c>
      <c r="I109" s="227">
        <f>'WEEK 6 MASTER SHEET'!I110</f>
        <v>150</v>
      </c>
      <c r="J109" s="20"/>
      <c r="K109" s="20"/>
      <c r="L109" s="20"/>
      <c r="M109" s="95"/>
    </row>
    <row r="110">
      <c r="A110" s="364" t="str">
        <f>'WEEK 6 MASTER SHEET'!A111</f>
        <v>SET</v>
      </c>
      <c r="B110" s="365" t="str">
        <f>'WEEK 6 MASTER SHEET'!B111</f>
        <v>WEIGHT</v>
      </c>
      <c r="C110" s="365" t="str">
        <f>'WEEK 6 MASTER SHEET'!C111</f>
        <v>REPS</v>
      </c>
      <c r="D110" s="365" t="str">
        <f>'WEEK 6 MASTER SHEET'!D111</f>
        <v>REST</v>
      </c>
      <c r="E110" s="609" t="str">
        <f>'WEEK 6 MASTER SHEET'!E111</f>
        <v>PREVIOUS</v>
      </c>
      <c r="F110" s="61" t="str">
        <f>'WEEK 6 MASTER SHEET'!F111</f>
        <v>REP LOG</v>
      </c>
      <c r="H110" s="364" t="str">
        <f>'WEEK 6 MASTER SHEET'!H111</f>
        <v>SET</v>
      </c>
      <c r="I110" s="365" t="str">
        <f>'WEEK 6 MASTER SHEET'!I111</f>
        <v>WEIGHT</v>
      </c>
      <c r="J110" s="365" t="str">
        <f>'WEEK 6 MASTER SHEET'!J111</f>
        <v>REPS</v>
      </c>
      <c r="K110" s="365" t="str">
        <f>'WEEK 6 MASTER SHEET'!K111</f>
        <v>REST</v>
      </c>
      <c r="L110" s="609" t="str">
        <f>'WEEK 6 MASTER SHEET'!L111</f>
        <v>PREVIOUS</v>
      </c>
      <c r="M110" s="61" t="str">
        <f>'WEEK 6 MASTER SHEET'!M111</f>
        <v>REP LOG</v>
      </c>
    </row>
    <row r="111">
      <c r="A111" s="236">
        <f>'WEEK 6 MASTER SHEET'!A112</f>
        <v>1</v>
      </c>
      <c r="B111" s="237">
        <f>'WEEK 6 MASTER SHEET'!B112</f>
        <v>30</v>
      </c>
      <c r="C111" s="237">
        <f>'WEEK 6 MASTER SHEET'!C112</f>
        <v>6</v>
      </c>
      <c r="D111" s="238" t="str">
        <f>'WEEK 6 MASTER SHEET'!D112</f>
        <v>30s</v>
      </c>
      <c r="E111" s="66" t="str">
        <f>'WEEK 6 MASTER SHEET'!E112</f>
        <v/>
      </c>
      <c r="F111" s="67"/>
      <c r="H111" s="236">
        <f>'WEEK 6 MASTER SHEET'!H112</f>
        <v>1</v>
      </c>
      <c r="I111" s="237">
        <f>'WEEK 6 MASTER SHEET'!I112</f>
        <v>15</v>
      </c>
      <c r="J111" s="237">
        <f>'WEEK 6 MASTER SHEET'!J112</f>
        <v>6</v>
      </c>
      <c r="K111" s="238" t="str">
        <f>'WEEK 6 MASTER SHEET'!K112</f>
        <v>30s</v>
      </c>
      <c r="L111" s="66" t="str">
        <f>'WEEK 6 MASTER SHEET'!L112</f>
        <v/>
      </c>
      <c r="M111" s="67"/>
    </row>
    <row r="112">
      <c r="A112" s="236">
        <f>'WEEK 6 MASTER SHEET'!A113</f>
        <v>2</v>
      </c>
      <c r="B112" s="237">
        <f>'WEEK 6 MASTER SHEET'!B113</f>
        <v>55</v>
      </c>
      <c r="C112" s="237">
        <f>'WEEK 6 MASTER SHEET'!C113</f>
        <v>1</v>
      </c>
      <c r="D112" s="238" t="str">
        <f>'WEEK 6 MASTER SHEET'!D113</f>
        <v>1 MIN</v>
      </c>
      <c r="E112" s="66" t="str">
        <f>'WEEK 6 MASTER SHEET'!E113</f>
        <v/>
      </c>
      <c r="F112" s="67"/>
      <c r="H112" s="236">
        <f>'WEEK 6 MASTER SHEET'!H113</f>
        <v>2</v>
      </c>
      <c r="I112" s="237">
        <f>'WEEK 6 MASTER SHEET'!I113</f>
        <v>100</v>
      </c>
      <c r="J112" s="237">
        <f>'WEEK 6 MASTER SHEET'!J113</f>
        <v>1</v>
      </c>
      <c r="K112" s="238" t="str">
        <f>'WEEK 6 MASTER SHEET'!K113</f>
        <v>1 MIN</v>
      </c>
      <c r="L112" s="66" t="str">
        <f>'WEEK 6 MASTER SHEET'!L113</f>
        <v/>
      </c>
      <c r="M112" s="67"/>
    </row>
    <row r="113">
      <c r="A113" s="779">
        <f>'WEEK 6 MASTER SHEET'!A114</f>
        <v>3</v>
      </c>
      <c r="B113" s="780">
        <f>'WEEK 6 MASTER SHEET'!B114</f>
        <v>75</v>
      </c>
      <c r="C113" s="781" t="str">
        <f>'WEEK 6 MASTER SHEET'!C114</f>
        <v>REP OUT</v>
      </c>
      <c r="D113" s="782" t="str">
        <f>'WEEK 6 MASTER SHEET'!D114</f>
        <v>1 MIN</v>
      </c>
      <c r="E113" s="783" t="str">
        <f>'WEEK 6 MASTER SHEET'!E114</f>
        <v/>
      </c>
      <c r="F113" s="1121"/>
      <c r="H113" s="779">
        <f>'WEEK 6 MASTER SHEET'!H114</f>
        <v>3</v>
      </c>
      <c r="I113" s="780">
        <f>'WEEK 6 MASTER SHEET'!I114</f>
        <v>135</v>
      </c>
      <c r="J113" s="781" t="str">
        <f>'WEEK 6 MASTER SHEET'!J114</f>
        <v>REP OUT</v>
      </c>
      <c r="K113" s="782" t="str">
        <f>'WEEK 6 MASTER SHEET'!K114</f>
        <v>1 MIN</v>
      </c>
      <c r="L113" s="783" t="str">
        <f>'WEEK 6 MASTER SHEET'!L114</f>
        <v/>
      </c>
      <c r="M113" s="784"/>
    </row>
    <row r="114">
      <c r="A114" s="785">
        <f>'WEEK 6 MASTER SHEET'!A115</f>
        <v>4</v>
      </c>
      <c r="B114" s="388">
        <f>'WEEK 6 MASTER SHEET'!B115</f>
        <v>65</v>
      </c>
      <c r="C114" s="781" t="str">
        <f>'WEEK 6 MASTER SHEET'!C115</f>
        <v>REP OUT</v>
      </c>
      <c r="D114" s="390" t="str">
        <f>'WEEK 6 MASTER SHEET'!D115</f>
        <v>1 MIN</v>
      </c>
      <c r="E114" s="786" t="str">
        <f>'WEEK 6 MASTER SHEET'!E115</f>
        <v/>
      </c>
      <c r="F114" s="1122"/>
      <c r="H114" s="785">
        <f>'WEEK 6 MASTER SHEET'!H115</f>
        <v>4</v>
      </c>
      <c r="I114" s="388">
        <f>'WEEK 6 MASTER SHEET'!I115</f>
        <v>115</v>
      </c>
      <c r="J114" s="781" t="str">
        <f>'WEEK 6 MASTER SHEET'!J115</f>
        <v>REP OUT</v>
      </c>
      <c r="K114" s="390" t="str">
        <f>'WEEK 6 MASTER SHEET'!K115</f>
        <v>1 MIN</v>
      </c>
      <c r="L114" s="786" t="str">
        <f>'WEEK 6 MASTER SHEET'!L115</f>
        <v/>
      </c>
      <c r="M114" s="392"/>
    </row>
    <row r="115">
      <c r="A115" s="787">
        <f>'WEEK 6 MASTER SHEET'!A116</f>
        <v>5</v>
      </c>
      <c r="B115" s="395">
        <f>'WEEK 6 MASTER SHEET'!B116</f>
        <v>55</v>
      </c>
      <c r="C115" s="789" t="str">
        <f>'WEEK 6 MASTER SHEET'!C116</f>
        <v>REP OUT</v>
      </c>
      <c r="D115" s="397" t="str">
        <f>'WEEK 6 MASTER SHEET'!D116</f>
        <v>1 MIN</v>
      </c>
      <c r="E115" s="790" t="str">
        <f>'WEEK 6 MASTER SHEET'!E116</f>
        <v/>
      </c>
      <c r="F115" s="1122"/>
      <c r="H115" s="787">
        <f>'WEEK 6 MASTER SHEET'!H116</f>
        <v>5</v>
      </c>
      <c r="I115" s="788">
        <f>'WEEK 6 MASTER SHEET'!I116</f>
        <v>100</v>
      </c>
      <c r="J115" s="789" t="str">
        <f>'WEEK 6 MASTER SHEET'!J116</f>
        <v>REP OUT</v>
      </c>
      <c r="K115" s="397" t="str">
        <f>'WEEK 6 MASTER SHEET'!K116</f>
        <v>1 MIN</v>
      </c>
      <c r="L115" s="790" t="str">
        <f>'WEEK 6 MASTER SHEET'!L116</f>
        <v/>
      </c>
      <c r="M115" s="392"/>
    </row>
    <row r="116">
      <c r="A116" s="623" t="str">
        <f>'WEEK 6 MASTER SHEET'!A117</f>
        <v/>
      </c>
      <c r="B116" s="623" t="str">
        <f>'WEEK 6 MASTER SHEET'!B117</f>
        <v/>
      </c>
      <c r="C116" s="623" t="str">
        <f>'WEEK 6 MASTER SHEET'!C117</f>
        <v/>
      </c>
      <c r="D116" s="623" t="str">
        <f>'WEEK 6 MASTER SHEET'!D117</f>
        <v/>
      </c>
      <c r="E116" s="1058" t="str">
        <f>'WEEK 6 MASTER SHEET'!E117</f>
        <v/>
      </c>
      <c r="F116" s="623" t="str">
        <f>'WEEK 6 MASTER SHEET'!F117</f>
        <v/>
      </c>
      <c r="G116" s="987" t="str">
        <f>'WEEK 6 MASTER SHEET'!G117</f>
        <v/>
      </c>
    </row>
    <row r="117">
      <c r="A117" s="995" t="str">
        <f>'WEEK 6 MASTER SHEET'!A118</f>
        <v/>
      </c>
      <c r="B117" s="995" t="str">
        <f>'WEEK 6 MASTER SHEET'!B118</f>
        <v/>
      </c>
      <c r="C117" s="995" t="str">
        <f>'WEEK 6 MASTER SHEET'!C118</f>
        <v/>
      </c>
      <c r="D117" s="995" t="str">
        <f>'WEEK 6 MASTER SHEET'!D118</f>
        <v/>
      </c>
      <c r="E117" s="1066" t="str">
        <f>'WEEK 6 MASTER SHEET'!E118</f>
        <v/>
      </c>
      <c r="F117" s="995" t="str">
        <f>'WEEK 6 MASTER SHEET'!F118</f>
        <v/>
      </c>
    </row>
    <row r="118">
      <c r="A118" s="361" t="str">
        <f>'WEEK 6 MASTER SHEET'!A119</f>
        <v>2.  CABLE HIGH PULLEY ROW</v>
      </c>
      <c r="B118" s="53"/>
      <c r="C118" s="53"/>
      <c r="D118" s="53"/>
      <c r="E118" s="53"/>
      <c r="F118" s="54"/>
    </row>
    <row r="119">
      <c r="A119" s="961" t="str">
        <f>'WEEK 6 MASTER SHEET'!A120</f>
        <v>CURRENT MAX</v>
      </c>
      <c r="B119" s="76">
        <f>'WEEK 6 MASTER SHEET'!B120</f>
        <v>60</v>
      </c>
      <c r="C119" s="13"/>
      <c r="D119" s="13"/>
      <c r="E119" s="13"/>
      <c r="F119" s="57"/>
    </row>
    <row r="120">
      <c r="A120" s="962" t="str">
        <f>'WEEK 6 MASTER SHEET'!A121</f>
        <v>SET</v>
      </c>
      <c r="B120" s="963" t="str">
        <f>'WEEK 6 MASTER SHEET'!B121</f>
        <v>WEIGHT</v>
      </c>
      <c r="C120" s="963" t="str">
        <f>'WEEK 6 MASTER SHEET'!C121</f>
        <v>REPS</v>
      </c>
      <c r="D120" s="963" t="str">
        <f>'WEEK 6 MASTER SHEET'!D121</f>
        <v>REST</v>
      </c>
      <c r="E120" s="1005" t="str">
        <f>'WEEK 6 MASTER SHEET'!E121</f>
        <v>PREVIOUS</v>
      </c>
      <c r="F120" s="1006" t="str">
        <f>'WEEK 6 MASTER SHEET'!F121</f>
        <v>REP LOG</v>
      </c>
    </row>
    <row r="121">
      <c r="A121" s="967">
        <f>'WEEK 6 MASTER SHEET'!A122</f>
        <v>1</v>
      </c>
      <c r="B121" s="1028">
        <f>'WEEK 6 MASTER SHEET'!B122</f>
        <v>60</v>
      </c>
      <c r="C121" s="968" t="str">
        <f>'WEEK 6 MASTER SHEET'!C122</f>
        <v>10 - 15</v>
      </c>
      <c r="D121" s="968" t="str">
        <f>'WEEK 6 MASTER SHEET'!D122</f>
        <v>1-2 MIN</v>
      </c>
      <c r="E121" s="1010" t="str">
        <f>'WEEK 6 MASTER SHEET'!E122</f>
        <v/>
      </c>
      <c r="F121" s="1011"/>
    </row>
    <row r="122">
      <c r="A122" s="967">
        <f>'WEEK 6 MASTER SHEET'!A123</f>
        <v>2</v>
      </c>
      <c r="B122" s="1028">
        <f>'WEEK 6 MASTER SHEET'!B123</f>
        <v>50</v>
      </c>
      <c r="C122" s="968" t="str">
        <f>'WEEK 6 MASTER SHEET'!C123</f>
        <v>10 - 15</v>
      </c>
      <c r="D122" s="968" t="str">
        <f>'WEEK 6 MASTER SHEET'!D123</f>
        <v>1-2 MIN</v>
      </c>
      <c r="E122" s="1010" t="str">
        <f>'WEEK 6 MASTER SHEET'!E123</f>
        <v/>
      </c>
      <c r="F122" s="1017" t="str">
        <f>'WEEK 6 MASTER SHEET'!F123</f>
        <v/>
      </c>
    </row>
    <row r="123">
      <c r="A123" s="971">
        <f>'WEEK 6 MASTER SHEET'!A124</f>
        <v>3</v>
      </c>
      <c r="B123" s="1123">
        <f>'WEEK 6 MASTER SHEET'!B124</f>
        <v>40</v>
      </c>
      <c r="C123" s="972" t="str">
        <f>'WEEK 6 MASTER SHEET'!C124</f>
        <v>10 - 15</v>
      </c>
      <c r="D123" s="972" t="str">
        <f>'WEEK 6 MASTER SHEET'!D124</f>
        <v>1-2 MIN</v>
      </c>
      <c r="E123" s="1021" t="str">
        <f>'WEEK 6 MASTER SHEET'!E124</f>
        <v/>
      </c>
      <c r="F123" s="1017" t="str">
        <f>'WEEK 6 MASTER SHEET'!F124</f>
        <v/>
      </c>
    </row>
    <row r="124">
      <c r="A124" s="1068" t="str">
        <f>'WEEK 6 MASTER SHEET'!A125</f>
        <v/>
      </c>
      <c r="B124" s="1068" t="str">
        <f>'WEEK 6 MASTER SHEET'!B125</f>
        <v/>
      </c>
      <c r="C124" s="1068" t="str">
        <f>'WEEK 6 MASTER SHEET'!C125</f>
        <v/>
      </c>
      <c r="D124" s="623" t="str">
        <f>'WEEK 6 MASTER SHEET'!D125</f>
        <v/>
      </c>
      <c r="E124" s="1058" t="str">
        <f>'WEEK 6 MASTER SHEET'!E125</f>
        <v/>
      </c>
      <c r="F124" s="623" t="str">
        <f>'WEEK 6 MASTER SHEET'!F125</f>
        <v/>
      </c>
    </row>
    <row r="125">
      <c r="A125" s="1069" t="str">
        <f>'WEEK 6 MASTER SHEET'!A126</f>
        <v/>
      </c>
      <c r="B125" s="1069" t="str">
        <f>'WEEK 6 MASTER SHEET'!B126</f>
        <v/>
      </c>
      <c r="C125" s="1069" t="str">
        <f>'WEEK 6 MASTER SHEET'!C126</f>
        <v/>
      </c>
      <c r="D125" s="995" t="str">
        <f>'WEEK 6 MASTER SHEET'!D126</f>
        <v/>
      </c>
      <c r="E125" s="1066" t="str">
        <f>'WEEK 6 MASTER SHEET'!E126</f>
        <v/>
      </c>
      <c r="F125" s="995" t="str">
        <f>'WEEK 6 MASTER SHEET'!F126</f>
        <v/>
      </c>
    </row>
    <row r="126">
      <c r="A126" s="1070" t="str">
        <f>'WEEK 6 MASTER SHEET'!A127</f>
        <v>3. DUMBBELL SIDE LATERAL RAISE</v>
      </c>
      <c r="B126" s="13"/>
      <c r="C126" s="13"/>
      <c r="D126" s="13"/>
      <c r="E126" s="13"/>
      <c r="F126" s="57"/>
    </row>
    <row r="127">
      <c r="A127" s="961" t="str">
        <f>'WEEK 6 MASTER SHEET'!A128</f>
        <v>SHLDR PRSS MAX</v>
      </c>
      <c r="B127" s="76">
        <f>'WEEK 6 MASTER SHEET'!B128</f>
        <v>85</v>
      </c>
      <c r="C127" s="13"/>
      <c r="D127" s="13"/>
      <c r="E127" s="13"/>
      <c r="F127" s="57"/>
    </row>
    <row r="128">
      <c r="A128" s="1071" t="str">
        <f>'WEEK 6 MASTER SHEET'!A129</f>
        <v>SET</v>
      </c>
      <c r="B128" s="1072" t="str">
        <f>'WEEK 6 MASTER SHEET'!B129</f>
        <v>WEIGHT</v>
      </c>
      <c r="C128" s="1072" t="str">
        <f>'WEEK 6 MASTER SHEET'!C129</f>
        <v>REPS</v>
      </c>
      <c r="D128" s="1072" t="str">
        <f>'WEEK 6 MASTER SHEET'!D129</f>
        <v>REST</v>
      </c>
      <c r="E128" s="1073" t="str">
        <f>'WEEK 6 MASTER SHEET'!E129</f>
        <v>PREVIOUS</v>
      </c>
      <c r="F128" s="1006" t="str">
        <f>'WEEK 6 MASTER SHEET'!F129</f>
        <v>REP LOG</v>
      </c>
    </row>
    <row r="129">
      <c r="A129" s="1074">
        <f>'WEEK 6 MASTER SHEET'!A130</f>
        <v>1</v>
      </c>
      <c r="B129" s="968">
        <f>'WEEK 6 MASTER SHEET'!B130</f>
        <v>15</v>
      </c>
      <c r="C129" s="1015" t="str">
        <f>'WEEK 6 MASTER SHEET'!C130</f>
        <v>10 - 15</v>
      </c>
      <c r="D129" s="1076" t="str">
        <f>'WEEK 6 MASTER SHEET'!D130</f>
        <v>1 MIN</v>
      </c>
      <c r="E129" s="1077" t="str">
        <f>'WEEK 6 MASTER SHEET'!E130</f>
        <v/>
      </c>
      <c r="F129" s="1011"/>
    </row>
    <row r="130">
      <c r="A130" s="1074">
        <f>'WEEK 6 MASTER SHEET'!A131</f>
        <v>2</v>
      </c>
      <c r="B130" s="968">
        <f>'WEEK 6 MASTER SHEET'!B131</f>
        <v>12.5</v>
      </c>
      <c r="C130" s="1015" t="str">
        <f>'WEEK 6 MASTER SHEET'!C131</f>
        <v>10 - 15</v>
      </c>
      <c r="D130" s="1076" t="str">
        <f>'WEEK 6 MASTER SHEET'!D131</f>
        <v>1 MIN</v>
      </c>
      <c r="E130" s="1077" t="str">
        <f>'WEEK 6 MASTER SHEET'!E131</f>
        <v/>
      </c>
      <c r="F130" s="1017" t="str">
        <f>'WEEK 6 MASTER SHEET'!F131</f>
        <v/>
      </c>
    </row>
    <row r="131">
      <c r="A131" s="1078">
        <f>'WEEK 6 MASTER SHEET'!A132</f>
        <v>3</v>
      </c>
      <c r="B131" s="972">
        <f>'WEEK 6 MASTER SHEET'!B132</f>
        <v>7.5</v>
      </c>
      <c r="C131" s="1019" t="str">
        <f>'WEEK 6 MASTER SHEET'!C132</f>
        <v>10 - 15</v>
      </c>
      <c r="D131" s="1080" t="str">
        <f>'WEEK 6 MASTER SHEET'!D132</f>
        <v>1 MIN</v>
      </c>
      <c r="E131" s="31" t="str">
        <f>'WEEK 6 MASTER SHEET'!E132</f>
        <v/>
      </c>
      <c r="F131" s="1017" t="str">
        <f>'WEEK 6 MASTER SHEET'!F132</f>
        <v/>
      </c>
    </row>
    <row r="132">
      <c r="A132" s="1068" t="str">
        <f>'WEEK 6 MASTER SHEET'!A133</f>
        <v/>
      </c>
      <c r="B132" s="1068" t="str">
        <f>'WEEK 6 MASTER SHEET'!B133</f>
        <v/>
      </c>
      <c r="C132" s="1068" t="str">
        <f>'WEEK 6 MASTER SHEET'!C133</f>
        <v/>
      </c>
      <c r="D132" s="623" t="str">
        <f>'WEEK 6 MASTER SHEET'!D133</f>
        <v/>
      </c>
      <c r="E132" s="1058" t="str">
        <f>'WEEK 6 MASTER SHEET'!E133</f>
        <v/>
      </c>
      <c r="F132" s="623" t="str">
        <f>'WEEK 6 MASTER SHEET'!F133</f>
        <v/>
      </c>
    </row>
    <row r="133">
      <c r="A133" s="1069" t="str">
        <f>'WEEK 6 MASTER SHEET'!A134</f>
        <v/>
      </c>
      <c r="B133" s="1069" t="str">
        <f>'WEEK 6 MASTER SHEET'!B134</f>
        <v/>
      </c>
      <c r="C133" s="1069" t="str">
        <f>'WEEK 6 MASTER SHEET'!C134</f>
        <v/>
      </c>
      <c r="D133" s="995" t="str">
        <f>'WEEK 6 MASTER SHEET'!D134</f>
        <v/>
      </c>
      <c r="E133" s="1066" t="str">
        <f>'WEEK 6 MASTER SHEET'!E134</f>
        <v/>
      </c>
      <c r="F133" s="995" t="str">
        <f>'WEEK 6 MASTER SHEET'!F134</f>
        <v/>
      </c>
    </row>
    <row r="134">
      <c r="A134" s="1081" t="str">
        <f>'WEEK 6 MASTER SHEET'!A135</f>
        <v>4. DB LYING TRICEP EXTENSIONS</v>
      </c>
      <c r="B134" s="11"/>
      <c r="C134" s="11"/>
      <c r="D134" s="11"/>
      <c r="E134" s="11"/>
      <c r="F134" s="46"/>
    </row>
    <row r="135">
      <c r="A135" s="1082" t="str">
        <f>'WEEK 6 MASTER SHEET'!A136</f>
        <v>HOW TO MAX PROPERLY</v>
      </c>
      <c r="F135" s="28"/>
    </row>
    <row r="136">
      <c r="A136" s="336"/>
      <c r="B136" s="11"/>
      <c r="C136" s="11"/>
      <c r="D136" s="11"/>
      <c r="E136" s="11"/>
      <c r="F136" s="46"/>
    </row>
    <row r="137">
      <c r="A137" s="962" t="str">
        <f>'WEEK 6 MASTER SHEET'!A138</f>
        <v>SET</v>
      </c>
      <c r="B137" s="963" t="str">
        <f>'WEEK 6 MASTER SHEET'!B138</f>
        <v>WEIGHT</v>
      </c>
      <c r="C137" s="963" t="str">
        <f>'WEEK 6 MASTER SHEET'!C138</f>
        <v>REPS</v>
      </c>
      <c r="D137" s="963" t="str">
        <f>'WEEK 6 MASTER SHEET'!D138</f>
        <v>REST</v>
      </c>
      <c r="E137" s="1005" t="str">
        <f>'WEEK 6 MASTER SHEET'!E138</f>
        <v>PREVIOUS</v>
      </c>
      <c r="F137" s="1006" t="str">
        <f>'WEEK 6 MASTER SHEET'!F138</f>
        <v>REP LOG</v>
      </c>
    </row>
    <row r="138">
      <c r="A138" s="967">
        <f>'WEEK 6 MASTER SHEET'!A139</f>
        <v>1</v>
      </c>
      <c r="B138" s="968">
        <f>'WEEK 6 MASTER SHEET'!B139</f>
        <v>5</v>
      </c>
      <c r="C138" s="968">
        <f>'WEEK 6 MASTER SHEET'!C139</f>
        <v>8</v>
      </c>
      <c r="D138" s="968" t="str">
        <f>'WEEK 6 MASTER SHEET'!D139</f>
        <v>1-5 MIN</v>
      </c>
      <c r="E138" s="1010" t="str">
        <f>'WEEK 6 MASTER SHEET'!E139</f>
        <v/>
      </c>
      <c r="F138" s="1017" t="str">
        <f>'WEEK 6 MASTER SHEET'!F139</f>
        <v/>
      </c>
    </row>
    <row r="139">
      <c r="A139" s="967">
        <f>'WEEK 6 MASTER SHEET'!A140</f>
        <v>2</v>
      </c>
      <c r="B139" s="1015">
        <f>'WEEK 6 MASTER SHEET'!B140</f>
        <v>15</v>
      </c>
      <c r="C139" s="968">
        <f>'WEEK 6 MASTER SHEET'!C140</f>
        <v>8</v>
      </c>
      <c r="D139" s="968" t="str">
        <f>'WEEK 6 MASTER SHEET'!D140</f>
        <v>1-5 MIN</v>
      </c>
      <c r="E139" s="1010" t="str">
        <f>'WEEK 6 MASTER SHEET'!E140</f>
        <v/>
      </c>
      <c r="F139" s="1017" t="str">
        <f>'WEEK 6 MASTER SHEET'!F140</f>
        <v/>
      </c>
    </row>
    <row r="140">
      <c r="A140" s="967">
        <f>'WEEK 6 MASTER SHEET'!A141</f>
        <v>3</v>
      </c>
      <c r="B140" s="1015">
        <f>'WEEK 6 MASTER SHEET'!B141</f>
        <v>25</v>
      </c>
      <c r="C140" s="968">
        <f>'WEEK 6 MASTER SHEET'!C141</f>
        <v>8</v>
      </c>
      <c r="D140" s="968" t="str">
        <f>'WEEK 6 MASTER SHEET'!D141</f>
        <v>1-5 MIN</v>
      </c>
      <c r="E140" s="1010" t="str">
        <f>'WEEK 6 MASTER SHEET'!E141</f>
        <v/>
      </c>
      <c r="F140" s="1017" t="str">
        <f>'WEEK 6 MASTER SHEET'!F141</f>
        <v/>
      </c>
    </row>
    <row r="141">
      <c r="A141" s="967">
        <f>'WEEK 6 MASTER SHEET'!A142</f>
        <v>4</v>
      </c>
      <c r="B141" s="1015">
        <f>'WEEK 6 MASTER SHEET'!B142</f>
        <v>35</v>
      </c>
      <c r="C141" s="968">
        <f>'WEEK 6 MASTER SHEET'!C142</f>
        <v>8</v>
      </c>
      <c r="D141" s="968" t="str">
        <f>'WEEK 6 MASTER SHEET'!D142</f>
        <v>1-5 MIN</v>
      </c>
      <c r="E141" s="1010" t="str">
        <f>'WEEK 6 MASTER SHEET'!E142</f>
        <v/>
      </c>
      <c r="F141" s="1017" t="str">
        <f>'WEEK 6 MASTER SHEET'!F142</f>
        <v/>
      </c>
    </row>
    <row r="142">
      <c r="A142" s="967">
        <f>'WEEK 6 MASTER SHEET'!A143</f>
        <v>5</v>
      </c>
      <c r="B142" s="1015">
        <f>'WEEK 6 MASTER SHEET'!B143</f>
        <v>45</v>
      </c>
      <c r="C142" s="968">
        <f>'WEEK 6 MASTER SHEET'!C143</f>
        <v>8</v>
      </c>
      <c r="D142" s="968" t="str">
        <f>'WEEK 6 MASTER SHEET'!D143</f>
        <v>1-5 MIN</v>
      </c>
      <c r="E142" s="1010" t="str">
        <f>'WEEK 6 MASTER SHEET'!E143</f>
        <v/>
      </c>
      <c r="F142" s="1017" t="str">
        <f>'WEEK 6 MASTER SHEET'!F143</f>
        <v/>
      </c>
    </row>
    <row r="143">
      <c r="A143" s="967">
        <f>'WEEK 6 MASTER SHEET'!A144</f>
        <v>6</v>
      </c>
      <c r="B143" s="1015">
        <f>'WEEK 6 MASTER SHEET'!B144</f>
        <v>55</v>
      </c>
      <c r="C143" s="968">
        <f>'WEEK 6 MASTER SHEET'!C144</f>
        <v>8</v>
      </c>
      <c r="D143" s="968" t="str">
        <f>'WEEK 6 MASTER SHEET'!D144</f>
        <v>1-5 MIN</v>
      </c>
      <c r="E143" s="1010" t="str">
        <f>'WEEK 6 MASTER SHEET'!E144</f>
        <v/>
      </c>
      <c r="F143" s="1017" t="str">
        <f>'WEEK 6 MASTER SHEET'!F144</f>
        <v/>
      </c>
    </row>
    <row r="144">
      <c r="A144" s="971">
        <f>'WEEK 6 MASTER SHEET'!A145</f>
        <v>7</v>
      </c>
      <c r="B144" s="1019">
        <f>'WEEK 6 MASTER SHEET'!B145</f>
        <v>65</v>
      </c>
      <c r="C144" s="972">
        <f>'WEEK 6 MASTER SHEET'!C145</f>
        <v>8</v>
      </c>
      <c r="D144" s="972" t="str">
        <f>'WEEK 6 MASTER SHEET'!D145</f>
        <v>1-5 MIN</v>
      </c>
      <c r="E144" s="1021" t="str">
        <f>'WEEK 6 MASTER SHEET'!E145</f>
        <v/>
      </c>
      <c r="F144" s="1017" t="str">
        <f>'WEEK 6 MASTER SHEET'!F145</f>
        <v/>
      </c>
    </row>
    <row r="145">
      <c r="A145" s="1124" t="str">
        <f>'WEEK 6 MASTER SHEET'!A146</f>
        <v>INSERT MAX</v>
      </c>
      <c r="B145" s="1125">
        <f>'WEEK 6 MASTER SHEET'!B146</f>
        <v>30</v>
      </c>
      <c r="C145" s="36"/>
      <c r="D145" s="36"/>
      <c r="E145" s="36"/>
      <c r="F145" s="37"/>
    </row>
    <row r="146">
      <c r="A146" s="623" t="str">
        <f>'WEEK 6 MASTER SHEET'!A147</f>
        <v/>
      </c>
      <c r="B146" s="623" t="str">
        <f>'WEEK 6 MASTER SHEET'!B147</f>
        <v/>
      </c>
      <c r="C146" s="623" t="str">
        <f>'WEEK 6 MASTER SHEET'!C147</f>
        <v/>
      </c>
      <c r="D146" s="623" t="str">
        <f>'WEEK 6 MASTER SHEET'!D147</f>
        <v/>
      </c>
      <c r="E146" s="623" t="str">
        <f>'WEEK 6 MASTER SHEET'!E147</f>
        <v/>
      </c>
      <c r="F146" s="623" t="str">
        <f>'WEEK 6 MASTER SHEET'!F147</f>
        <v/>
      </c>
    </row>
    <row r="147">
      <c r="A147" s="995" t="str">
        <f>'WEEK 6 MASTER SHEET'!A148</f>
        <v/>
      </c>
      <c r="B147" s="995" t="str">
        <f>'WEEK 6 MASTER SHEET'!B148</f>
        <v/>
      </c>
      <c r="C147" s="995" t="str">
        <f>'WEEK 6 MASTER SHEET'!C148</f>
        <v/>
      </c>
      <c r="D147" s="995" t="str">
        <f>'WEEK 6 MASTER SHEET'!D148</f>
        <v/>
      </c>
      <c r="E147" s="995" t="str">
        <f>'WEEK 6 MASTER SHEET'!E148</f>
        <v/>
      </c>
      <c r="F147" s="995" t="str">
        <f>'WEEK 6 MASTER SHEET'!F148</f>
        <v/>
      </c>
    </row>
    <row r="148">
      <c r="A148" s="944" t="str">
        <f>'WEEK 6 MASTER SHEET'!A149</f>
        <v>5. ALTERNATING BICEP CURLS </v>
      </c>
      <c r="B148" s="53"/>
      <c r="C148" s="53"/>
      <c r="D148" s="53"/>
      <c r="E148" s="53"/>
      <c r="F148" s="54"/>
    </row>
    <row r="149">
      <c r="A149" s="226" t="str">
        <f>'WEEK 6 MASTER SHEET'!A150</f>
        <v>CURRENT MAX</v>
      </c>
      <c r="B149" s="76">
        <f>'WEEK 6 MASTER SHEET'!B150</f>
        <v>40</v>
      </c>
      <c r="C149" s="13"/>
      <c r="D149" s="13"/>
      <c r="E149" s="13"/>
      <c r="F149" s="57"/>
    </row>
    <row r="150">
      <c r="A150" s="77" t="str">
        <f>'WEEK 6 MASTER SHEET'!A151</f>
        <v>SET</v>
      </c>
      <c r="B150" s="78" t="str">
        <f>'WEEK 6 MASTER SHEET'!B151</f>
        <v>WEIGHT</v>
      </c>
      <c r="C150" s="78" t="str">
        <f>'WEEK 6 MASTER SHEET'!C151</f>
        <v>REPS</v>
      </c>
      <c r="D150" s="78" t="str">
        <f>'WEEK 6 MASTER SHEET'!D151</f>
        <v>REST</v>
      </c>
      <c r="E150" s="80" t="str">
        <f>'WEEK 6 MASTER SHEET'!E151</f>
        <v>PREVIOUS</v>
      </c>
      <c r="F150" s="235" t="str">
        <f>'WEEK 6 MASTER SHEET'!F151</f>
        <v>REP LOG</v>
      </c>
    </row>
    <row r="151">
      <c r="A151" s="81">
        <f>'WEEK 6 MASTER SHEET'!A152</f>
        <v>1</v>
      </c>
      <c r="B151" s="82">
        <f>'WEEK 6 MASTER SHEET'!B152</f>
        <v>40</v>
      </c>
      <c r="C151" s="65" t="str">
        <f>'WEEK 6 MASTER SHEET'!C152</f>
        <v>10 - 15</v>
      </c>
      <c r="D151" s="83" t="str">
        <f>'WEEK 6 MASTER SHEET'!D152</f>
        <v>1MIN</v>
      </c>
      <c r="E151" s="84">
        <f>'WEEK 6 MASTER SHEET'!E152</f>
        <v>14</v>
      </c>
      <c r="F151" s="85" t="str">
        <f>'WEEK 6 MASTER SHEET'!F152</f>
        <v/>
      </c>
    </row>
    <row r="152">
      <c r="A152" s="81">
        <f>'WEEK 6 MASTER SHEET'!A153</f>
        <v>2</v>
      </c>
      <c r="B152" s="82">
        <f>'WEEK 6 MASTER SHEET'!B153</f>
        <v>30</v>
      </c>
      <c r="C152" s="65" t="str">
        <f>'WEEK 6 MASTER SHEET'!C153</f>
        <v>10 - 15</v>
      </c>
      <c r="D152" s="83" t="str">
        <f>'WEEK 6 MASTER SHEET'!D153</f>
        <v>1MIN</v>
      </c>
      <c r="E152" s="84" t="str">
        <f>'WEEK 6 MASTER SHEET'!E153</f>
        <v/>
      </c>
      <c r="F152" s="85"/>
    </row>
    <row r="153">
      <c r="A153" s="86">
        <f>'WEEK 6 MASTER SHEET'!A154</f>
        <v>3</v>
      </c>
      <c r="B153" s="87">
        <f>'WEEK 6 MASTER SHEET'!B154</f>
        <v>25</v>
      </c>
      <c r="C153" s="71" t="str">
        <f>'WEEK 6 MASTER SHEET'!C154</f>
        <v>10 - 15</v>
      </c>
      <c r="D153" s="88" t="str">
        <f>'WEEK 6 MASTER SHEET'!D154</f>
        <v>1MIN</v>
      </c>
      <c r="E153" s="89" t="str">
        <f>'WEEK 6 MASTER SHEET'!E154</f>
        <v/>
      </c>
      <c r="F153" s="85" t="str">
        <f>'WEEK 6 MASTER SHEET'!F154</f>
        <v/>
      </c>
    </row>
    <row r="154">
      <c r="A154" s="1126"/>
      <c r="B154" s="1057"/>
      <c r="C154" s="1057"/>
      <c r="D154" s="1057"/>
      <c r="E154" s="1057"/>
      <c r="F154" s="1057"/>
    </row>
    <row r="155">
      <c r="A155" s="1090" t="str">
        <f>'WEEK 6 MASTER SHEET'!A155</f>
        <v/>
      </c>
      <c r="B155" s="1091" t="str">
        <f>'WEEK 6 MASTER SHEET'!B155</f>
        <v/>
      </c>
      <c r="C155" s="1091" t="str">
        <f>'WEEK 6 MASTER SHEET'!C155</f>
        <v/>
      </c>
      <c r="D155" s="1091" t="str">
        <f>'WEEK 6 MASTER SHEET'!D155</f>
        <v/>
      </c>
      <c r="E155" s="1091" t="str">
        <f>'WEEK 6 MASTER SHEET'!E155</f>
        <v/>
      </c>
      <c r="F155" s="1091" t="str">
        <f>'WEEK 6 MASTER SHEET'!F155</f>
        <v/>
      </c>
    </row>
    <row r="156">
      <c r="A156" s="1092" t="str">
        <f>'WEEK 6 MASTER SHEET'!A157</f>
        <v>WORKOUT COMPLETE!</v>
      </c>
      <c r="B156" s="11"/>
      <c r="C156" s="11"/>
      <c r="D156" s="11"/>
      <c r="E156" s="11"/>
      <c r="F156" s="46"/>
    </row>
    <row r="157">
      <c r="A157" s="1093" t="str">
        <f>'WEEK 6 MASTER SHEET'!A158</f>
        <v/>
      </c>
      <c r="B157" s="1093" t="str">
        <f>'WEEK 6 MASTER SHEET'!B158</f>
        <v/>
      </c>
      <c r="C157" s="1093" t="str">
        <f>'WEEK 6 MASTER SHEET'!C158</f>
        <v/>
      </c>
      <c r="D157" s="1093" t="str">
        <f>'WEEK 6 MASTER SHEET'!D158</f>
        <v/>
      </c>
      <c r="E157" s="1093" t="str">
        <f>'WEEK 6 MASTER SHEET'!E158</f>
        <v/>
      </c>
      <c r="F157" s="1093" t="str">
        <f>'WEEK 6 MASTER SHEET'!F158</f>
        <v/>
      </c>
    </row>
    <row r="158">
      <c r="A158" s="1094" t="str">
        <f>'WEEK 6 MASTER SHEET'!A159</f>
        <v>WANT TO LEARN MORE?</v>
      </c>
      <c r="F158" s="39"/>
    </row>
    <row r="159">
      <c r="A159" s="18"/>
      <c r="B159" s="13"/>
      <c r="C159" s="13"/>
      <c r="D159" s="13"/>
      <c r="E159" s="13"/>
      <c r="F159" s="14"/>
    </row>
    <row r="160">
      <c r="A160" s="987" t="str">
        <f>'WEEK 6 MASTER SHEET'!A161</f>
        <v/>
      </c>
      <c r="B160" s="999" t="str">
        <f>'WEEK 6 MASTER SHEET'!B161</f>
        <v/>
      </c>
      <c r="C160" s="1095" t="str">
        <f>'WEEK 6 MASTER SHEET'!C161</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60" s="28"/>
    </row>
    <row r="161">
      <c r="A161" s="987" t="str">
        <f>'WEEK 6 MASTER SHEET'!A162</f>
        <v/>
      </c>
      <c r="B161" s="999" t="str">
        <f>'WEEK 6 MASTER SHEET'!B162</f>
        <v/>
      </c>
      <c r="F161" s="28"/>
    </row>
    <row r="162">
      <c r="A162" s="987" t="str">
        <f>'WEEK 6 MASTER SHEET'!A163</f>
        <v/>
      </c>
      <c r="B162" s="999" t="str">
        <f>'WEEK 6 MASTER SHEET'!B163</f>
        <v/>
      </c>
      <c r="F162" s="28"/>
    </row>
    <row r="163">
      <c r="A163" s="987" t="str">
        <f>'WEEK 6 MASTER SHEET'!A164</f>
        <v/>
      </c>
      <c r="B163" s="999" t="str">
        <f>'WEEK 6 MASTER SHEET'!B164</f>
        <v/>
      </c>
      <c r="F163" s="28"/>
    </row>
    <row r="164">
      <c r="A164" s="987" t="str">
        <f>'WEEK 6 MASTER SHEET'!A165</f>
        <v/>
      </c>
      <c r="B164" s="999" t="str">
        <f>'WEEK 6 MASTER SHEET'!B165</f>
        <v/>
      </c>
      <c r="F164" s="28"/>
    </row>
    <row r="165">
      <c r="A165" s="987" t="str">
        <f>'WEEK 6 MASTER SHEET'!A166</f>
        <v/>
      </c>
      <c r="B165" s="999" t="str">
        <f>'WEEK 6 MASTER SHEET'!B166</f>
        <v/>
      </c>
      <c r="F165" s="28"/>
    </row>
    <row r="166">
      <c r="A166" s="623" t="str">
        <f>'WEEK 6 MASTER SHEET'!A167</f>
        <v/>
      </c>
      <c r="B166" s="999" t="str">
        <f>'WEEK 6 MASTER SHEET'!B167</f>
        <v/>
      </c>
      <c r="F166" s="28"/>
    </row>
    <row r="167">
      <c r="A167" s="987" t="str">
        <f>'WEEK 6 MASTER SHEET'!A168</f>
        <v/>
      </c>
      <c r="B167" s="999" t="str">
        <f>'WEEK 6 MASTER SHEET'!B168</f>
        <v/>
      </c>
      <c r="F167" s="28"/>
    </row>
    <row r="168">
      <c r="A168" s="987" t="str">
        <f>'WEEK 6 MASTER SHEET'!A169</f>
        <v/>
      </c>
      <c r="B168" s="999" t="str">
        <f>'WEEK 6 MASTER SHEET'!B169</f>
        <v/>
      </c>
      <c r="F168" s="28"/>
    </row>
    <row r="169">
      <c r="A169" s="1034" t="str">
        <f>'WEEK 6 MASTER SHEET'!A170</f>
        <v/>
      </c>
      <c r="B169" s="999" t="str">
        <f>'WEEK 6 MASTER SHEET'!B170</f>
        <v/>
      </c>
      <c r="F169" s="28"/>
    </row>
    <row r="170">
      <c r="A170" s="987" t="str">
        <f>'WEEK 6 MASTER SHEET'!A171</f>
        <v/>
      </c>
      <c r="B170" s="999" t="str">
        <f>'WEEK 6 MASTER SHEET'!B171</f>
        <v/>
      </c>
      <c r="F170" s="28"/>
    </row>
    <row r="171">
      <c r="A171" s="987" t="str">
        <f>'WEEK 6 MASTER SHEET'!A172</f>
        <v/>
      </c>
      <c r="B171" s="999" t="str">
        <f>'WEEK 6 MASTER SHEET'!B172</f>
        <v/>
      </c>
      <c r="F171" s="28"/>
    </row>
    <row r="172">
      <c r="A172" s="987" t="str">
        <f>'WEEK 6 MASTER SHEET'!A173</f>
        <v/>
      </c>
      <c r="B172" s="999" t="str">
        <f>'WEEK 6 MASTER SHEET'!B173</f>
        <v/>
      </c>
      <c r="F172" s="28"/>
    </row>
    <row r="173">
      <c r="A173" s="987" t="str">
        <f>'WEEK 6 MASTER SHEET'!A174</f>
        <v/>
      </c>
      <c r="B173" s="999" t="str">
        <f>'WEEK 6 MASTER SHEET'!B174</f>
        <v/>
      </c>
      <c r="F173" s="28"/>
    </row>
    <row r="174">
      <c r="A174" s="987" t="str">
        <f>'WEEK 6 MASTER SHEET'!A175</f>
        <v/>
      </c>
      <c r="B174" s="999" t="str">
        <f>'WEEK 6 MASTER SHEET'!B175</f>
        <v/>
      </c>
      <c r="C174" s="11"/>
      <c r="D174" s="11"/>
      <c r="E174" s="11"/>
      <c r="F174" s="46"/>
    </row>
  </sheetData>
  <mergeCells count="85">
    <mergeCell ref="B40:F40"/>
    <mergeCell ref="A46:F46"/>
    <mergeCell ref="A49:F49"/>
    <mergeCell ref="B52:F52"/>
    <mergeCell ref="A54:F54"/>
    <mergeCell ref="B55:F55"/>
    <mergeCell ref="A60:F61"/>
    <mergeCell ref="A62:F62"/>
    <mergeCell ref="B63:F63"/>
    <mergeCell ref="A70:F70"/>
    <mergeCell ref="A73:F73"/>
    <mergeCell ref="A74:F74"/>
    <mergeCell ref="B75:F75"/>
    <mergeCell ref="B85:F85"/>
    <mergeCell ref="H108:M108"/>
    <mergeCell ref="I109:M109"/>
    <mergeCell ref="H96:M96"/>
    <mergeCell ref="N96:T115"/>
    <mergeCell ref="I97:M97"/>
    <mergeCell ref="G99:G100"/>
    <mergeCell ref="G102:M106"/>
    <mergeCell ref="G107:G115"/>
    <mergeCell ref="H107:M107"/>
    <mergeCell ref="G116:T174"/>
    <mergeCell ref="A87:F87"/>
    <mergeCell ref="B88:F88"/>
    <mergeCell ref="A96:F96"/>
    <mergeCell ref="B97:F97"/>
    <mergeCell ref="A104:F104"/>
    <mergeCell ref="A107:F107"/>
    <mergeCell ref="A108:F108"/>
    <mergeCell ref="A156:F156"/>
    <mergeCell ref="A158:F159"/>
    <mergeCell ref="C160:F174"/>
    <mergeCell ref="B109:F109"/>
    <mergeCell ref="A118:F118"/>
    <mergeCell ref="B119:F119"/>
    <mergeCell ref="A126:F126"/>
    <mergeCell ref="B127:F127"/>
    <mergeCell ref="A134:F134"/>
    <mergeCell ref="A135:F136"/>
    <mergeCell ref="O15:T15"/>
    <mergeCell ref="A16:T17"/>
    <mergeCell ref="O18:T18"/>
    <mergeCell ref="O19:T19"/>
    <mergeCell ref="P20:T20"/>
    <mergeCell ref="A1:T8"/>
    <mergeCell ref="A9:F9"/>
    <mergeCell ref="G9:G14"/>
    <mergeCell ref="H9:M9"/>
    <mergeCell ref="N9:T14"/>
    <mergeCell ref="A10:F11"/>
    <mergeCell ref="A12:F12"/>
    <mergeCell ref="H10:M10"/>
    <mergeCell ref="H12:M14"/>
    <mergeCell ref="H15:M15"/>
    <mergeCell ref="H18:M18"/>
    <mergeCell ref="N18:N29"/>
    <mergeCell ref="H19:M19"/>
    <mergeCell ref="I20:M20"/>
    <mergeCell ref="H30:M31"/>
    <mergeCell ref="A13:F13"/>
    <mergeCell ref="A15:F15"/>
    <mergeCell ref="A18:F18"/>
    <mergeCell ref="G18:G22"/>
    <mergeCell ref="A19:F19"/>
    <mergeCell ref="B20:F20"/>
    <mergeCell ref="G23:G24"/>
    <mergeCell ref="A25:F25"/>
    <mergeCell ref="A30:F31"/>
    <mergeCell ref="G30:G36"/>
    <mergeCell ref="A32:F32"/>
    <mergeCell ref="B33:F33"/>
    <mergeCell ref="A37:F38"/>
    <mergeCell ref="A39:F39"/>
    <mergeCell ref="G25:G29"/>
    <mergeCell ref="H25:M25"/>
    <mergeCell ref="O25:T25"/>
    <mergeCell ref="N30:T36"/>
    <mergeCell ref="H32:M32"/>
    <mergeCell ref="I33:M33"/>
    <mergeCell ref="G37:T95"/>
    <mergeCell ref="B145:F145"/>
    <mergeCell ref="A148:F148"/>
    <mergeCell ref="B149:F149"/>
  </mergeCells>
  <dataValidations>
    <dataValidation type="decimal" allowBlank="1" showDropDown="1" showInputMessage="1" showErrorMessage="1" prompt="Enter a number between 0 and 30" sqref="F14 F21:F24 M21:M24 T21:T24 F26:F29 M26:M29 T26:T29 F34:F36 M34:M36 F41:F45 F47:F48 F50:F51 F53 F56:F59 F64:F69 F71:F72 F76:F84 F86 F89:F95 M98:M101 F98:F103 F105:F106 M110:M115 F110:F117 F120:F125 F128:F133 F137:F144 F146:F147 F150:F155 F157">
      <formula1>0.0</formula1>
      <formula2>30.0</formula2>
    </dataValidation>
    <dataValidation type="decimal" operator="greaterThan" allowBlank="1" showDropDown="1" showErrorMessage="1" sqref="M11">
      <formula1>0.0</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127" t="s">
        <v>187</v>
      </c>
      <c r="B9" s="36"/>
      <c r="C9" s="36"/>
      <c r="D9" s="36"/>
      <c r="E9" s="36"/>
      <c r="F9" s="37"/>
      <c r="G9" s="987"/>
      <c r="H9" s="24" t="s">
        <v>35</v>
      </c>
      <c r="I9" s="25"/>
      <c r="J9" s="25"/>
      <c r="K9" s="25"/>
      <c r="L9" s="25"/>
      <c r="M9" s="26"/>
    </row>
    <row r="10">
      <c r="A10" s="991" t="str">
        <f>HYPERLINK("https://goo.gl/forms/3ibooB993Hi7SS2d2","PRESS TO RECORD BODY WEIGHT")</f>
        <v>PRESS TO RECORD BODY WEIGHT</v>
      </c>
      <c r="F10" s="28"/>
      <c r="G10" s="987"/>
      <c r="H10" s="147" t="s">
        <v>188</v>
      </c>
      <c r="M10" s="28"/>
    </row>
    <row r="11">
      <c r="A11" s="336"/>
      <c r="B11" s="11"/>
      <c r="C11" s="11"/>
      <c r="D11" s="11"/>
      <c r="E11" s="11"/>
      <c r="F11" s="46"/>
      <c r="G11" s="987"/>
      <c r="H11" s="29" t="s">
        <v>189</v>
      </c>
      <c r="I11" s="30"/>
      <c r="J11" s="30"/>
      <c r="K11" s="30"/>
      <c r="L11" s="30"/>
      <c r="M11" s="31"/>
    </row>
    <row r="12">
      <c r="A12" s="992" t="s">
        <v>69</v>
      </c>
      <c r="B12" s="11"/>
      <c r="C12" s="11"/>
      <c r="D12" s="11"/>
      <c r="E12" s="11"/>
      <c r="F12" s="46"/>
      <c r="G12" s="987"/>
      <c r="H12" s="987"/>
      <c r="I12" s="987"/>
      <c r="J12" s="987"/>
      <c r="K12" s="987"/>
      <c r="L12" s="987"/>
      <c r="M12" s="987"/>
    </row>
    <row r="13">
      <c r="A13" s="1128" t="s">
        <v>190</v>
      </c>
      <c r="B13" s="11"/>
      <c r="C13" s="11"/>
      <c r="D13" s="11"/>
      <c r="E13" s="11"/>
      <c r="F13" s="46"/>
      <c r="G13" s="987"/>
      <c r="H13" s="987"/>
      <c r="I13" s="987"/>
      <c r="J13" s="987"/>
      <c r="K13" s="987"/>
      <c r="L13" s="987"/>
      <c r="M13" s="987"/>
    </row>
    <row r="14">
      <c r="A14" s="994"/>
      <c r="B14" s="994"/>
      <c r="C14" s="994"/>
      <c r="D14" s="994"/>
      <c r="E14" s="994"/>
      <c r="F14" s="995"/>
      <c r="G14" s="987"/>
      <c r="H14" s="989"/>
      <c r="I14" s="989"/>
      <c r="J14" s="989"/>
      <c r="K14" s="989"/>
      <c r="L14" s="989"/>
      <c r="M14" s="989"/>
    </row>
    <row r="15">
      <c r="A15" s="996" t="s">
        <v>47</v>
      </c>
      <c r="B15" s="11"/>
      <c r="C15" s="11"/>
      <c r="D15" s="11"/>
      <c r="E15" s="11"/>
      <c r="F15" s="46"/>
      <c r="G15" s="997"/>
      <c r="H15" s="998" t="s">
        <v>118</v>
      </c>
      <c r="I15" s="11"/>
      <c r="J15" s="11"/>
      <c r="K15" s="11"/>
      <c r="L15" s="11"/>
      <c r="M15" s="46"/>
    </row>
    <row r="16">
      <c r="A16" s="987"/>
      <c r="B16" s="987"/>
      <c r="C16" s="987"/>
      <c r="D16" s="987"/>
      <c r="E16" s="987"/>
      <c r="F16" s="987"/>
      <c r="G16" s="623"/>
      <c r="H16" s="987"/>
      <c r="I16" s="987"/>
      <c r="J16" s="987"/>
      <c r="K16" s="987"/>
      <c r="L16" s="987"/>
      <c r="M16" s="987"/>
    </row>
    <row r="19">
      <c r="A19" s="51" t="s">
        <v>48</v>
      </c>
      <c r="B19" s="36"/>
      <c r="C19" s="36"/>
      <c r="D19" s="36"/>
      <c r="E19" s="36"/>
      <c r="F19" s="37"/>
      <c r="H19" s="51" t="s">
        <v>48</v>
      </c>
      <c r="I19" s="36"/>
      <c r="J19" s="36"/>
      <c r="K19" s="36"/>
      <c r="L19" s="36"/>
      <c r="M19" s="37"/>
      <c r="N19" s="141"/>
      <c r="O19" s="51" t="s">
        <v>48</v>
      </c>
      <c r="P19" s="36"/>
      <c r="Q19" s="36"/>
      <c r="R19" s="36"/>
      <c r="S19" s="36"/>
      <c r="T19" s="37"/>
    </row>
    <row r="20">
      <c r="A20" s="225" t="str">
        <f>HYPERLINK("https://www.youtube.com/watch?v=iLgUDezDMbU","1. BENCH PRESS")</f>
        <v>1. BENCH PRESS</v>
      </c>
      <c r="B20" s="13"/>
      <c r="C20" s="13"/>
      <c r="D20" s="13"/>
      <c r="E20" s="13"/>
      <c r="F20" s="57"/>
      <c r="H20" s="52" t="str">
        <f>HYPERLINK("https://youtu.be/ujVN-A0Z-ic","1. DUMBBELL INCLINE PRESS")</f>
        <v>1. DUMBBELL INCLINE PRESS</v>
      </c>
      <c r="I20" s="53"/>
      <c r="J20" s="53"/>
      <c r="K20" s="53"/>
      <c r="L20" s="53"/>
      <c r="M20" s="54"/>
      <c r="O20" s="52" t="str">
        <f>HYPERLINK("https://youtu.be/75e_H9Vq_Lw","1. MACHINE PRESS")</f>
        <v>1. MACHINE PRESS</v>
      </c>
      <c r="P20" s="53"/>
      <c r="Q20" s="53"/>
      <c r="R20" s="53"/>
      <c r="S20" s="53"/>
      <c r="T20" s="54"/>
    </row>
    <row r="21">
      <c r="A21" s="226" t="s">
        <v>119</v>
      </c>
      <c r="B21" s="227">
        <f>'WEEK 6'!B20</f>
        <v>100</v>
      </c>
      <c r="C21" s="20"/>
      <c r="D21" s="20"/>
      <c r="E21" s="20"/>
      <c r="F21" s="95"/>
      <c r="H21" s="228" t="s">
        <v>119</v>
      </c>
      <c r="I21" s="229" t="str">
        <f>'WEEK 5 MASTER SHEET'!B34</f>
        <v/>
      </c>
      <c r="J21" s="16"/>
      <c r="K21" s="16"/>
      <c r="L21" s="16"/>
      <c r="M21" s="230"/>
      <c r="O21" s="228" t="s">
        <v>119</v>
      </c>
      <c r="P21" s="229" t="str">
        <f>'WEEK 1 '!I32</f>
        <v/>
      </c>
      <c r="Q21" s="16"/>
      <c r="R21" s="16"/>
      <c r="S21" s="16"/>
      <c r="T21" s="230"/>
    </row>
    <row r="22">
      <c r="A22" s="231" t="s">
        <v>50</v>
      </c>
      <c r="B22" s="232" t="s">
        <v>51</v>
      </c>
      <c r="C22" s="232" t="s">
        <v>52</v>
      </c>
      <c r="D22" s="232" t="s">
        <v>53</v>
      </c>
      <c r="E22" s="233" t="s">
        <v>54</v>
      </c>
      <c r="F22" s="61" t="s">
        <v>55</v>
      </c>
      <c r="H22" s="96" t="s">
        <v>50</v>
      </c>
      <c r="I22" s="97" t="s">
        <v>51</v>
      </c>
      <c r="J22" s="97" t="s">
        <v>52</v>
      </c>
      <c r="K22" s="97" t="s">
        <v>53</v>
      </c>
      <c r="L22" s="98" t="s">
        <v>54</v>
      </c>
      <c r="M22" s="235" t="s">
        <v>55</v>
      </c>
      <c r="O22" s="96" t="s">
        <v>50</v>
      </c>
      <c r="P22" s="97" t="s">
        <v>51</v>
      </c>
      <c r="Q22" s="97" t="s">
        <v>52</v>
      </c>
      <c r="R22" s="97" t="s">
        <v>53</v>
      </c>
      <c r="S22" s="98" t="s">
        <v>54</v>
      </c>
      <c r="T22" s="235" t="s">
        <v>55</v>
      </c>
    </row>
    <row r="23">
      <c r="A23" s="236">
        <v>1.0</v>
      </c>
      <c r="B23" s="237">
        <f>IF( 'WEEK 7'!B21&lt;125,45,mround('WEEK 7'!B21*0.35,5))</f>
        <v>45</v>
      </c>
      <c r="C23" s="237">
        <v>6.0</v>
      </c>
      <c r="D23" s="238" t="s">
        <v>120</v>
      </c>
      <c r="E23" s="84">
        <f>IF('WEEK 4 '!B22='WEEK 7'!B23,'WEEK 4 '!F22,"")</f>
        <v>6</v>
      </c>
      <c r="F23" s="67">
        <v>6.0</v>
      </c>
      <c r="H23" s="244">
        <v>1.0</v>
      </c>
      <c r="I23" s="241">
        <f>mround('WEEK 7'!I21*0.35,5)</f>
        <v>0</v>
      </c>
      <c r="J23" s="63">
        <v>6.0</v>
      </c>
      <c r="K23" s="83" t="s">
        <v>127</v>
      </c>
      <c r="L23" s="84" t="str">
        <f>IF('WEEK 4 '!I22='WEEK 7'!I23,'WEEK 4 '!M22,"")</f>
        <v/>
      </c>
      <c r="M23" s="85"/>
      <c r="O23" s="244">
        <v>1.0</v>
      </c>
      <c r="P23" s="241">
        <f>mround('WEEK 7'!P21*0.35,5)</f>
        <v>0</v>
      </c>
      <c r="Q23" s="63">
        <v>6.0</v>
      </c>
      <c r="R23" s="83" t="s">
        <v>127</v>
      </c>
      <c r="S23" s="84" t="str">
        <f>IF('WEEK 4 '!P22='WEEK 7'!P23,'WEEK 4 '!T22,"")</f>
        <v/>
      </c>
      <c r="T23" s="85">
        <v>6.0</v>
      </c>
    </row>
    <row r="24">
      <c r="A24" s="236">
        <v>2.0</v>
      </c>
      <c r="B24" s="237">
        <f>mround('WEEK 7'!B21*0.8,5)</f>
        <v>80</v>
      </c>
      <c r="C24" s="237">
        <v>1.0</v>
      </c>
      <c r="D24" s="238" t="s">
        <v>121</v>
      </c>
      <c r="E24" s="84" t="str">
        <f>IF('WEEK 4 '!B23='WEEK 7'!B24,'WEEK 4 '!F23,"")</f>
        <v/>
      </c>
      <c r="F24" s="67">
        <v>1.0</v>
      </c>
      <c r="G24" s="1129" t="s">
        <v>191</v>
      </c>
      <c r="H24" s="240">
        <v>2.0</v>
      </c>
      <c r="I24" s="241">
        <f>mround('WEEK 7'!I21*0.65,5)</f>
        <v>0</v>
      </c>
      <c r="J24" s="241">
        <v>1.0</v>
      </c>
      <c r="K24" s="83" t="s">
        <v>127</v>
      </c>
      <c r="L24" s="84" t="str">
        <f>IF('WEEK 4 '!I23='WEEK 7'!I24,'WEEK 4 '!M23,"")</f>
        <v/>
      </c>
      <c r="M24" s="85"/>
      <c r="O24" s="240">
        <v>2.0</v>
      </c>
      <c r="P24" s="241">
        <f>mround('WEEK 7'!P21*0.65,5)</f>
        <v>0</v>
      </c>
      <c r="Q24" s="241">
        <v>1.0</v>
      </c>
      <c r="R24" s="83" t="s">
        <v>127</v>
      </c>
      <c r="S24" s="84" t="str">
        <f>IF('WEEK 4 '!P23='WEEK 7'!P24,'WEEK 4 '!T23,"")</f>
        <v/>
      </c>
      <c r="T24" s="85">
        <v>1.0</v>
      </c>
    </row>
    <row r="25">
      <c r="A25" s="242">
        <v>3.0</v>
      </c>
      <c r="B25" s="237">
        <f>mround('WEEK 7'!B21*0.9,5)</f>
        <v>90</v>
      </c>
      <c r="C25" s="82">
        <v>1.0</v>
      </c>
      <c r="D25" s="238" t="s">
        <v>121</v>
      </c>
      <c r="E25" s="84" t="str">
        <f>IF('WEEK 4 '!B24='WEEK 7'!B25,'WEEK 4 '!F24,"")</f>
        <v/>
      </c>
      <c r="F25" s="67">
        <v>1.0</v>
      </c>
      <c r="H25" s="240">
        <v>3.0</v>
      </c>
      <c r="I25" s="241">
        <f>mround('WEEK 7'!I21*0.85,5)</f>
        <v>0</v>
      </c>
      <c r="J25" s="63">
        <v>1.0</v>
      </c>
      <c r="K25" s="83" t="s">
        <v>127</v>
      </c>
      <c r="L25" s="84" t="str">
        <f>IF('WEEK 4 '!I24='WEEK 7'!I25,'WEEK 4 '!M24,"")</f>
        <v/>
      </c>
      <c r="M25" s="85"/>
      <c r="O25" s="240">
        <v>3.0</v>
      </c>
      <c r="P25" s="241">
        <f>mround('WEEK 7'!P21*0.85,5)</f>
        <v>0</v>
      </c>
      <c r="Q25" s="241">
        <v>1.0</v>
      </c>
      <c r="R25" s="83" t="s">
        <v>127</v>
      </c>
      <c r="S25" s="84" t="str">
        <f>IF('WEEK 4 '!P24='WEEK 7'!P25,'WEEK 4 '!T24,"")</f>
        <v/>
      </c>
      <c r="T25" s="85">
        <v>1.0</v>
      </c>
    </row>
    <row r="26">
      <c r="A26" s="243">
        <v>4.0</v>
      </c>
      <c r="B26" s="237">
        <f>'WEEK 7'!B21</f>
        <v>100</v>
      </c>
      <c r="C26" s="175">
        <v>1.0</v>
      </c>
      <c r="D26" s="238" t="s">
        <v>122</v>
      </c>
      <c r="E26" s="84" t="str">
        <f>IF('WEEK 4 '!B25='WEEK 7'!B26,'WEEK 4 '!F25,"")</f>
        <v/>
      </c>
      <c r="F26" s="67">
        <v>1.0</v>
      </c>
      <c r="H26" s="240">
        <v>4.0</v>
      </c>
      <c r="I26" s="241">
        <f>mround('WEEK 7'!I21*1,5)</f>
        <v>0</v>
      </c>
      <c r="J26" s="245" t="s">
        <v>65</v>
      </c>
      <c r="K26" s="83" t="s">
        <v>127</v>
      </c>
      <c r="L26" s="84" t="str">
        <f>IF('WEEK 4 '!I25='WEEK 7'!I26,'WEEK 4 '!M25,"")</f>
        <v/>
      </c>
      <c r="M26" s="85"/>
      <c r="O26" s="240">
        <v>4.0</v>
      </c>
      <c r="P26" s="241">
        <f>mround('WEEK 7'!P21*1,5)</f>
        <v>0</v>
      </c>
      <c r="Q26" s="245" t="s">
        <v>65</v>
      </c>
      <c r="R26" s="83" t="s">
        <v>127</v>
      </c>
      <c r="S26" s="84" t="str">
        <f>IF('WEEK 4 '!P25='WEEK 7'!P26,'WEEK 4 '!T25,"")</f>
        <v/>
      </c>
      <c r="T26" s="85">
        <v>1.0</v>
      </c>
    </row>
    <row r="27">
      <c r="A27" s="246" t="str">
        <f>IF('WEEK 7'!F26&lt;1,"PROCEED TO DOWN SETS","NEW 1 REP MAX ATTEMPT")</f>
        <v>PROCEED TO DOWN SETS</v>
      </c>
      <c r="B27" s="20"/>
      <c r="C27" s="20"/>
      <c r="D27" s="20"/>
      <c r="E27" s="20"/>
      <c r="F27" s="95"/>
      <c r="H27" s="248" t="str">
        <f>IF(OR(ISBLANK('WEEK 7'!M26),ISBLANK('WEEK 7'!M25),ISBLANK('WEEK 7'!M24)),"PROCEED TO DOWNSETS",if('WEEK 7'!M26&gt;=6,"NEW 4 REP MAX ATTEMPT","PROCEED TO DOWN SETS"))</f>
        <v>PROCEED TO DOWNSETS</v>
      </c>
      <c r="M27" s="28"/>
      <c r="N27" s="247" t="s">
        <v>123</v>
      </c>
      <c r="O27" s="248" t="str">
        <f>IF(OR(ISBLANK('WEEK 7'!T26),ISBLANK('WEEK 7'!T25),ISBLANK('WEEK 7'!T24)),"PROCEED TO DOWNSETS",if('WEEK 7'!T26&gt;=6,"NEW 4 REP MAX ATTEMPT","PROCEED TO DOWN SETS"))</f>
        <v>PROCEED TO DOWNSETS</v>
      </c>
      <c r="T27" s="28"/>
    </row>
    <row r="28">
      <c r="A28" s="249" t="str">
        <f>if('WEEK 7'!F26&lt;1,"",5)</f>
        <v/>
      </c>
      <c r="B28" s="175" t="str">
        <f>IF('WEEK 7'!F26&lt;1,"",'WEEK 7'!B26+5)</f>
        <v/>
      </c>
      <c r="C28" s="238" t="str">
        <f>if('WEEK 7'!F26&lt;1,"",1)</f>
        <v/>
      </c>
      <c r="D28" s="238" t="str">
        <f>if('WEEK 7'!F26&lt;1,"","1-5 MIN")</f>
        <v/>
      </c>
      <c r="E28" s="84" t="str">
        <f>IF('WEEK 4 '!B27='WEEK 7'!B28,'WEEK 4 '!F27,"")</f>
        <v/>
      </c>
      <c r="F28" s="67">
        <v>0.0</v>
      </c>
      <c r="H28" s="251" t="str">
        <f>IF(OR(ISBLANK('WEEK 7'!M26),ISBLANK('WEEK 7'!M25),ISBLANK('WEEK 7'!M24)),"",IF('WEEK 7'!M26&gt;=6,5,""))</f>
        <v/>
      </c>
      <c r="I28" s="252" t="str">
        <f>IF(OR(ISBLANK('WEEK 7'!M26),ISBLANK('WEEK 7'!M25),ISBLANK('WEEK 7'!M24)),"",IF('WEEK 7'!M26&gt;=6,'WEEK 7'!I21+5,""))</f>
        <v/>
      </c>
      <c r="J28" s="253" t="str">
        <f>IF(OR(ISBLANK('WEEK 7'!M26),ISBLANK('WEEK 7'!M25),ISBLANK('WEEK 7'!M24)),"",IF('WEEK 7'!M26&gt;=6,"REP OUT",""))</f>
        <v/>
      </c>
      <c r="K28" s="254" t="str">
        <f>IF(OR(ISBLANK('WEEK 7'!M26),ISBLANK('WEEK 7'!M25),ISBLANK('WEEK 7'!M24)),"",IF('WEEK 7'!M26&gt;5,"1-3 MIN",""))</f>
        <v/>
      </c>
      <c r="L28" s="84" t="str">
        <f>IF('WEEK 4 '!I27='WEEK 7'!I28,'WEEK 4 '!M27,"")</f>
        <v/>
      </c>
      <c r="M28" s="67"/>
      <c r="O28" s="251" t="str">
        <f>IF(OR(ISBLANK('WEEK 7'!T26),ISBLANK('WEEK 7'!T25),ISBLANK('WEEK 7'!T24)),"",IF('WEEK 7'!T26&gt;=6,5,""))</f>
        <v/>
      </c>
      <c r="P28" s="252" t="str">
        <f>IF(OR(ISBLANK('WEEK 7'!T26),ISBLANK('WEEK 7'!T25),ISBLANK('WEEK 7'!T24)),"",IF('WEEK 7'!T26&gt;=6,'WEEK 7'!P21+5,""))</f>
        <v/>
      </c>
      <c r="Q28" s="253" t="str">
        <f>IF(OR(ISBLANK('WEEK 7'!T26),ISBLANK('WEEK 7'!T25),ISBLANK('WEEK 7'!T24)),"",IF('WEEK 7'!T26&gt;=6,"REP OUT",""))</f>
        <v/>
      </c>
      <c r="R28" s="254" t="str">
        <f>IF(OR(ISBLANK('WEEK 7'!T26),ISBLANK('WEEK 7'!T25),ISBLANK('WEEK 7'!T24)),"",IF('WEEK 7'!T26&gt;5,"1-3 MIN",""))</f>
        <v/>
      </c>
      <c r="S28" s="84" t="str">
        <f>IF('WEEK 4 '!P27='WEEK 7'!P28,'WEEK 4 '!T27,"")</f>
        <v/>
      </c>
      <c r="T28" s="665">
        <v>5.0</v>
      </c>
    </row>
    <row r="29">
      <c r="A29" s="256" t="str">
        <f>IF('WEEK 7'!F28&lt;1,"","6")</f>
        <v/>
      </c>
      <c r="B29" s="237" t="str">
        <f>IF('WEEK 7'!F28&lt;1,"",'WEEK 7'!B28+5)</f>
        <v/>
      </c>
      <c r="C29" s="257" t="str">
        <f>IF('WEEK 7'!F28&lt;1,"","1")</f>
        <v/>
      </c>
      <c r="D29" s="257" t="str">
        <f>IF('WEEK 7'!F28&lt;1,"","1-5 MIN")</f>
        <v/>
      </c>
      <c r="E29" s="84" t="str">
        <f>IF('WEEK 4 '!B28='WEEK 7'!B29,'WEEK 4 '!F28,"")</f>
        <v/>
      </c>
      <c r="F29" s="67"/>
      <c r="H29" s="260" t="str">
        <f>IF(OR(ISBLANK('WEEK 7'!M26),ISBLANK('WEEK 7'!M25),ISBLANK('WEEK 7'!M24)),"FILL OUT REP LOG FIRST","DOWN SETS")</f>
        <v>DOWN SETS</v>
      </c>
      <c r="I29" s="16"/>
      <c r="J29" s="16"/>
      <c r="K29" s="16"/>
      <c r="L29" s="16"/>
      <c r="M29" s="230"/>
      <c r="N29" s="141"/>
      <c r="O29" s="260" t="str">
        <f>IF(OR(ISBLANK('WEEK 7'!T26),ISBLANK('WEEK 7'!T25),ISBLANK('WEEK 7'!T24)),"FILL OUT REP LOG FIRST","DOWN SETS")</f>
        <v>FILL OUT REP LOG FIRST</v>
      </c>
      <c r="P29" s="16"/>
      <c r="Q29" s="16"/>
      <c r="R29" s="16"/>
      <c r="S29" s="16"/>
      <c r="T29" s="230"/>
    </row>
    <row r="30">
      <c r="A30" s="246" t="str">
        <f>IF(OR(ISBLANK('WEEK 7'!F26),ISBLANK('WEEK 7'!F25),ISBLANK('WEEK 7'!F24)),"FILL OUT REP LOG FOR DOWN SETS","DOWN SETS")</f>
        <v>FILL OUT REP LOG FOR DOWN SETS</v>
      </c>
      <c r="B30" s="20"/>
      <c r="C30" s="20"/>
      <c r="D30" s="20"/>
      <c r="E30" s="20"/>
      <c r="F30" s="95"/>
      <c r="H30" s="91" t="str">
        <f>IF('WEEK 7'!M28&gt;=4,"",IF(OR(ISBLANK('WEEK 7'!M26),ISBLANK('WEEK 7'!M25),ISBLANK('WEEK 7'!M24)),"",IF('WEEK 7'!M26&gt;5,6,5)))</f>
        <v/>
      </c>
      <c r="I30" s="261" t="str">
        <f>IF('WEEK 7'!M28&gt;=4,"",IF(OR(ISBLANK('WEEK 7'!M26),ISBLANK('WEEK 7'!M25),ISBLANK('WEEK 7'!M24)),"",IF('WEEK 7'!M26&lt;6,mround('WEEK 7'!I21*0.8,5),IF('WEEK 7'!M26&lt;10,mround('WEEK 7'!I21*0.93,5),mround('WEEK 7'!I21*0.7,5)))))</f>
        <v/>
      </c>
      <c r="J30" s="262" t="str">
        <f>IF('WEEK 7'!M28&gt;=4,"",IF(OR(ISBLANK('WEEK 7'!M26),ISBLANK('WEEK 7'!M25),ISBLANK('WEEK 7'!M24)),"","REP OUT"))</f>
        <v/>
      </c>
      <c r="K30" s="65" t="str">
        <f>IF('WEEK 7'!M28&gt;=4,"",IF(OR(ISBLANK('WEEK 7'!M26),ISBLANK('WEEK 7'!M25),ISBLANK('WEEK 7'!M24)),"","1-3 MIN"))</f>
        <v/>
      </c>
      <c r="L30" s="84" t="str">
        <f>IF('WEEK 4 '!I29='WEEK 7'!I30,'WEEK 4 '!M29,"")</f>
        <v/>
      </c>
      <c r="M30" s="263"/>
      <c r="O30" s="91" t="str">
        <f>IF('WEEK 7'!T28&gt;=4,"",IF(OR(ISBLANK('WEEK 7'!T26),ISBLANK('WEEK 7'!T25),ISBLANK('WEEK 7'!T24)),"",IF('WEEK 7'!T26&gt;5,6,5)))</f>
        <v/>
      </c>
      <c r="P30" s="261" t="str">
        <f>IF('WEEK 7'!T28&gt;=4,"",IF(OR(ISBLANK('WEEK 7'!T26),ISBLANK('WEEK 7'!T25),ISBLANK('WEEK 7'!T24)),"",IF('WEEK 7'!T26&lt;6,mround('WEEK 7'!P21*0.8,5),IF('WEEK 7'!T26&lt;10,mround('WEEK 7'!P21*0.93,5),mround('WEEK 7'!P21*0.7,5)))))</f>
        <v/>
      </c>
      <c r="Q30" s="262" t="str">
        <f>IF('WEEK 7'!T28&gt;=4,"",IF(OR(ISBLANK('WEEK 7'!T26),ISBLANK('WEEK 7'!T25),ISBLANK('WEEK 7'!T24)),"","REP OUT"))</f>
        <v/>
      </c>
      <c r="R30" s="65" t="str">
        <f>IF('WEEK 7'!T28&gt;=4,"",IF(OR(ISBLANK('WEEK 7'!T26),ISBLANK('WEEK 7'!T25),ISBLANK('WEEK 7'!T24)),"","1-3 MIN"))</f>
        <v/>
      </c>
      <c r="S30" s="84" t="str">
        <f>IF('WEEK 4 '!P29='WEEK 7'!P30,'WEEK 4 '!T29,"")</f>
        <v/>
      </c>
      <c r="T30" s="263"/>
    </row>
    <row r="31">
      <c r="A31" s="264" t="str">
        <f>IF(OR(ISBLANK('WEEK 7'!F26),ISBLANK('WEEK 7'!F25),ISBLANK('WEEK 7'!F24)),"",IF((AND('WEEK 7'!A28="",'WEEK 7'!A29="")),5,IF((AND('WEEK 7'!A28&gt;1,'WEEK 7'!A29="")),6,7)))</f>
        <v/>
      </c>
      <c r="B31" s="265" t="str">
        <f>IF(OR(ISBLANK('WEEK 7'!F26),ISBLANK('WEEK 7'!F25),ISBLANK('WEEK 7'!F24)),"",MROUND('WEEK 7'!B33*0.9,5))</f>
        <v/>
      </c>
      <c r="C31" s="266" t="str">
        <f>IF(OR(ISBLANK('WEEK 7'!F26),ISBLANK('WEEK 7'!F25),ISBLANK('WEEK 7'!F24)),"","REP OUT")</f>
        <v/>
      </c>
      <c r="D31" s="267" t="str">
        <f>IF(OR(ISBLANK('WEEK 7'!F26),ISBLANK('WEEK 7'!F25),ISBLANK('WEEK 7'!F24)),"","1-3 MIN")</f>
        <v/>
      </c>
      <c r="E31" s="84" t="str">
        <f>IF('WEEK 4 '!B30='WEEK 7'!B31,'WEEK 4 '!F30,"")</f>
        <v/>
      </c>
      <c r="F31" s="67"/>
      <c r="H31" s="269" t="str">
        <f>IF('WEEK 7'!M28&gt;=4,"",IF(OR(ISBLANK('WEEK 7'!M26),ISBLANK('WEEK 7'!M25),ISBLANK('WEEK 7'!M24)),"",IF('WEEK 7'!M26&gt;5,7,6)))</f>
        <v/>
      </c>
      <c r="I31" s="254" t="str">
        <f>IF('WEEK 7'!M28&gt;=4,"",IF(OR(ISBLANK('WEEK 7'!M26),ISBLANK('WEEK 7'!M25),ISBLANK('WEEK 7'!M24)),"",IF('WEEK 7'!M26&lt;6,mround('WEEK 7'!I21*0.65,5),IF('WEEK 7'!M26&lt;10,mround('WEEK 7'!I21*0.7,5),mround('WEEK 7'!I21*0.65,5)))))</f>
        <v/>
      </c>
      <c r="J31" s="253" t="str">
        <f>IF('WEEK 7'!M28&gt;=4,"",IF(OR(ISBLANK('WEEK 7'!M26),ISBLANK('WEEK 7'!M25),ISBLANK('WEEK 7'!M24)),"","REP OUT"))</f>
        <v/>
      </c>
      <c r="K31" s="65" t="str">
        <f>IF('WEEK 7'!M28&gt;=4,"",IF(OR(ISBLANK('WEEK 7'!M26),ISBLANK('WEEK 7'!M25),ISBLANK('WEEK 7'!M24)),"","1-3 MIN"))</f>
        <v/>
      </c>
      <c r="L31" s="84" t="str">
        <f>IF('WEEK 4 '!I30='WEEK 7'!I31,'WEEK 4 '!M30,"")</f>
        <v/>
      </c>
      <c r="M31" s="270"/>
      <c r="O31" s="269" t="str">
        <f>IF('WEEK 7'!T28&gt;=4,"",IF(OR(ISBLANK('WEEK 7'!T26),ISBLANK('WEEK 7'!T25),ISBLANK('WEEK 7'!T24)),"",IF('WEEK 7'!T26&gt;5,7,6)))</f>
        <v/>
      </c>
      <c r="P31" s="254" t="str">
        <f>IF('WEEK 7'!T28&gt;=4,"",IF(OR(ISBLANK('WEEK 7'!T26),ISBLANK('WEEK 7'!T25),ISBLANK('WEEK 7'!T24)),"",IF('WEEK 7'!T26&lt;6,mround('WEEK 7'!P21*0.65,5),IF('WEEK 7'!T26&lt;10,mround('WEEK 7'!P21*0.7,5),mround('WEEK 7'!P21*0.65,5)))))</f>
        <v/>
      </c>
      <c r="Q31" s="253" t="str">
        <f>IF('WEEK 7'!T28&gt;=4,"",IF(OR(ISBLANK('WEEK 7'!T26),ISBLANK('WEEK 7'!T25),ISBLANK('WEEK 7'!T24)),"","REP OUT"))</f>
        <v/>
      </c>
      <c r="R31" s="65" t="str">
        <f>IF('WEEK 7'!T28&gt;=4,"",IF(OR(ISBLANK('WEEK 7'!T26),ISBLANK('WEEK 7'!T25),ISBLANK('WEEK 7'!T24)),"","1 MIN"))</f>
        <v/>
      </c>
      <c r="S31" s="84" t="str">
        <f>IF('WEEK 4 '!P30='WEEK 7'!P31,'WEEK 4 '!T30,"")</f>
        <v/>
      </c>
      <c r="T31" s="270"/>
    </row>
    <row r="32">
      <c r="A32" s="243" t="str">
        <f>IF(OR(ISBLANK('WEEK 7'!F26),ISBLANK('WEEK 7'!F25),ISBLANK('WEEK 7'!F24)),"",IF((AND('WEEK 7'!A28="",'WEEK 7'!A29="")),6,IF((AND('WEEK 7'!A28&gt;1,'WEEK 7'!A29="")),7,8)))</f>
        <v/>
      </c>
      <c r="B32" s="237" t="str">
        <f>IF(OR(ISBLANK('WEEK 7'!F26),ISBLANK('WEEK 7'!F25),ISBLANK('WEEK 7'!F24)),"",mround('WEEK 7'!B33*0.78,5))</f>
        <v/>
      </c>
      <c r="C32" s="245" t="str">
        <f>IF(OR(ISBLANK('WEEK 7'!F26),ISBLANK('WEEK 7'!F25),ISBLANK('WEEK 7'!F24)),"","REP OUT")</f>
        <v/>
      </c>
      <c r="D32" s="65" t="str">
        <f>IF(OR(ISBLANK('WEEK 7'!F26),ISBLANK('WEEK 7'!F25),ISBLANK('WEEK 7'!F24)),"","1-3 MIN")</f>
        <v/>
      </c>
      <c r="E32" s="84" t="str">
        <f>IF('WEEK 4 '!B31='WEEK 7'!B32,'WEEK 4 '!F31,"")</f>
        <v/>
      </c>
      <c r="F32" s="271"/>
      <c r="H32" s="269" t="str">
        <f>IF('WEEK 7'!M28&lt;4,"",IF(OR(ISBLANK('WEEK 7'!M26),ISBLANK('WEEK 7'!M25),ISBLANK('WEEK 7'!M24)),"",IF('WEEK 7'!M28&gt;3,6,5)))</f>
        <v/>
      </c>
      <c r="I32" s="254" t="str">
        <f>IF('WEEK 7'!M28&lt;4,"",IF(OR(ISBLANK('WEEK 7'!M26),ISBLANK('WEEK 7'!M25),ISBLANK('WEEK 7'!M24)),"",IF('WEEK 7'!M28&lt;6,mround('WEEK 7'!I34*0.7,5),IF('WEEK 7'!M28&lt;10,mround('WEEK 7'!I34*0.8,5),mround(I34*0.93,5)))))</f>
        <v/>
      </c>
      <c r="J32" s="253" t="str">
        <f>IF('WEEK 7'!M28&lt;4,"",IF(OR(ISBLANK('WEEK 7'!M26),ISBLANK('WEEK 7'!M25),ISBLANK('WEEK 7'!M24)),"","REP OUT"))</f>
        <v/>
      </c>
      <c r="K32" s="65" t="str">
        <f>IF('WEEK 7'!M28&lt;4,"",IF(OR(ISBLANK('WEEK 7'!M26),ISBLANK('WEEK 7'!M25),ISBLANK('WEEK 7'!M24)),"","1-3 MIN"))</f>
        <v/>
      </c>
      <c r="L32" s="84" t="str">
        <f>IF('WEEK 4 '!I31='WEEK 7'!I32,'WEEK 4 '!M31,"")</f>
        <v/>
      </c>
      <c r="M32" s="270"/>
      <c r="N32" s="141"/>
      <c r="O32" s="269" t="str">
        <f>IF('WEEK 7'!T28&lt;4,"",IF(OR(ISBLANK('WEEK 7'!T26),ISBLANK('WEEK 7'!T25),ISBLANK('WEEK 7'!T24)),"",IF('WEEK 7'!T28&gt;3,6,5)))</f>
        <v/>
      </c>
      <c r="P32" s="254" t="str">
        <f>IF('WEEK 7'!T28&lt;4,"",IF(OR(ISBLANK('WEEK 7'!T26),ISBLANK('WEEK 7'!T25),ISBLANK('WEEK 7'!T24)),"",IF('WEEK 7'!T28&lt;6,mround('WEEK 7'!P34*0.7,5),IF('WEEK 7'!T28&lt;10,mround('WEEK 7'!P34*0.8,5),mround(P34*0.93,5)))))</f>
        <v/>
      </c>
      <c r="Q32" s="253" t="str">
        <f>IF('WEEK 7'!T28&lt;4,"",IF(OR(ISBLANK('WEEK 7'!T26),ISBLANK('WEEK 7'!T25),ISBLANK('WEEK 7'!T24)),"","REP OUT"))</f>
        <v/>
      </c>
      <c r="R32" s="65" t="str">
        <f>IF('WEEK 7'!T28&lt;4,"",IF(OR(ISBLANK('WEEK 7'!T26),ISBLANK('WEEK 7'!T25),ISBLANK('WEEK 7'!T24)),"","1-3 MIN"))</f>
        <v/>
      </c>
      <c r="S32" s="84" t="str">
        <f>IF('WEEK 4 '!P31='WEEK 7'!P32,'WEEK 4 '!T31,"")</f>
        <v/>
      </c>
      <c r="T32" s="263">
        <v>15.0</v>
      </c>
    </row>
    <row r="33">
      <c r="A33" s="272" t="s">
        <v>124</v>
      </c>
      <c r="B33" s="273" t="str">
        <f>IF(OR(ISBLANK('WEEK 7'!F26),ISBLANK('WEEK 7'!F25),ISBLANK('WEEK 7'!F24)),"",IF('WEEK 7'!F29&gt;=1,'WEEK 7'!B29,IF('WEEK 7'!F28&gt;=1,'WEEK 7'!B28,IF('WEEK 7'!F26&lt;1,'WEEK 7'!B26-5,'WEEK 7'!B26))))</f>
        <v/>
      </c>
      <c r="C33" s="11"/>
      <c r="D33" s="11"/>
      <c r="E33" s="11"/>
      <c r="F33" s="46"/>
      <c r="H33" s="269" t="str">
        <f>IF('WEEK 7'!M28&lt;4,"",IF(OR(ISBLANK('WEEK 7'!M26),ISBLANK('WEEK 7'!M25),ISBLANK('WEEK 7'!M24)),"",IF('WEEK 7'!M28&gt;3,7,"")))</f>
        <v/>
      </c>
      <c r="I33" s="254" t="str">
        <f>IF('WEEK 7'!M28&lt;4,"",IF(OR(ISBLANK('WEEK 7'!M26),ISBLANK('WEEK 7'!M25),ISBLANK('WEEK 7'!M24)),"",IF('WEEK 7'!M28&lt;6,mround('WEEK 7'!I34*0.65,5),IF('WEEK 7'!M28&lt;10,mround('WEEK 7'!I34*0.7,5),mround(I34*0.75,5)))))</f>
        <v/>
      </c>
      <c r="J33" s="253" t="str">
        <f>IF('WEEK 7'!M28&lt;4,"",IF(OR(ISBLANK('WEEK 7'!M26),ISBLANK('WEEK 7'!M25),ISBLANK('WEEK 7'!M24)),"","REP OUT"))</f>
        <v/>
      </c>
      <c r="K33" s="65" t="str">
        <f>IF('WEEK 7'!M28&lt;4,"",IF(OR(ISBLANK('WEEK 7'!M26),ISBLANK('WEEK 7'!M25),ISBLANK('WEEK 7'!M24)),"","1-3 MIN"))</f>
        <v/>
      </c>
      <c r="L33" s="84" t="str">
        <f>IF('WEEK 4 '!I32='WEEK 7'!I33,'WEEK 4 '!M32,"")</f>
        <v/>
      </c>
      <c r="M33" s="270"/>
      <c r="N33" s="141"/>
      <c r="O33" s="269" t="str">
        <f>IF('WEEK 7'!T28&lt;4,"",IF(OR(ISBLANK('WEEK 7'!T26),ISBLANK('WEEK 7'!T25),ISBLANK('WEEK 7'!T24)),"",IF('WEEK 7'!T28&gt;3,7,"")))</f>
        <v/>
      </c>
      <c r="P33" s="254" t="str">
        <f>IF('WEEK 7'!T28&lt;4,"",IF(OR(ISBLANK('WEEK 7'!T26),ISBLANK('WEEK 7'!T25),ISBLANK('WEEK 7'!T24)),"",IF('WEEK 7'!T28&lt;6,mround('WEEK 7'!P34*0.65,5),IF('WEEK 7'!T28&lt;10,mround('WEEK 7'!P34*0.7,5),mround(P34*0.75,5)))))</f>
        <v/>
      </c>
      <c r="Q33" s="253" t="str">
        <f>IF('WEEK 7'!T28&lt;4,"",IF(OR(ISBLANK('WEEK 7'!T26),ISBLANK('WEEK 7'!T25),ISBLANK('WEEK 7'!T24)),"","REP OUT"))</f>
        <v/>
      </c>
      <c r="R33" s="65" t="str">
        <f>IF('WEEK 7'!T28&lt;4,"",IF(OR(ISBLANK('WEEK 7'!T26),ISBLANK('WEEK 7'!T25),ISBLANK('WEEK 7'!T24)),"","1-3 MIN"))</f>
        <v/>
      </c>
      <c r="S33" s="84" t="str">
        <f>IF('WEEK 4 '!P32='WEEK 7'!P33,'WEEK 4 '!T32,"")</f>
        <v/>
      </c>
      <c r="T33" s="263">
        <v>15.0</v>
      </c>
    </row>
    <row r="34">
      <c r="H34" s="280" t="s">
        <v>124</v>
      </c>
      <c r="I34" s="273" t="str">
        <f>IF(OR(ISBLANK('WEEK 7'!M24),ISBLANK('WEEK 7'!M25),ISBLANK('WEEK 7'!M26)),"",IF('WEEK 7'!M28&gt;=4,'WEEK 7'!I28,IF('WEEK 7'!M26&lt;=3,'WEEK 7'!I26-5,'WEEK 7'!I26)))</f>
        <v/>
      </c>
      <c r="J34" s="11"/>
      <c r="K34" s="11"/>
      <c r="L34" s="11"/>
      <c r="M34" s="46"/>
      <c r="N34" s="141"/>
      <c r="O34" s="280" t="s">
        <v>124</v>
      </c>
      <c r="P34" s="273" t="str">
        <f>IF(OR(ISBLANK('WEEK 7'!T24),ISBLANK('WEEK 7'!T25),ISBLANK('WEEK 7'!T26)),"",IF('WEEK 7'!T28&gt;=4,'WEEK 7'!P28,IF('WEEK 7'!T26&lt;=3,'WEEK 7'!P26-5,'WEEK 7'!P26)))</f>
        <v/>
      </c>
      <c r="Q34" s="11"/>
      <c r="R34" s="11"/>
      <c r="S34" s="11"/>
      <c r="T34" s="46"/>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153</v>
      </c>
      <c r="B38" s="548" t="str">
        <f>IF('WEEK 7'!I34="",'WEEK 5 MASTER SHEET'!B34,'WEEK 7'!I34)</f>
        <v/>
      </c>
      <c r="C38" s="13"/>
      <c r="D38" s="13"/>
      <c r="E38" s="13"/>
      <c r="F38" s="57"/>
      <c r="H38" s="226" t="s">
        <v>119</v>
      </c>
      <c r="I38" s="548" t="str">
        <f>'WEEK 7'!B38</f>
        <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7'!B38*0.29,2.5)</f>
        <v>0</v>
      </c>
      <c r="C40" s="241">
        <v>15.0</v>
      </c>
      <c r="D40" s="83" t="s">
        <v>127</v>
      </c>
      <c r="E40" s="84" t="str">
        <f>IF('WEEK 6'!P35='WEEK 7'!B40,'WEEK 6'!F35,"")</f>
        <v/>
      </c>
      <c r="F40" s="85"/>
      <c r="H40" s="240">
        <v>1.0</v>
      </c>
      <c r="I40" s="254">
        <f>mround('WEEK 7'!I38*2*0.75,10)</f>
        <v>0</v>
      </c>
      <c r="J40" s="241">
        <v>15.0</v>
      </c>
      <c r="K40" s="83" t="s">
        <v>127</v>
      </c>
      <c r="L40" s="84" t="str">
        <f>IF('WEEK 6'!I35='WEEK 7'!I40,'WEEK 6'!M35,"")</f>
        <v/>
      </c>
      <c r="M40" s="85"/>
    </row>
    <row r="41">
      <c r="A41" s="661">
        <v>2.0</v>
      </c>
      <c r="B41" s="662">
        <f>mround('WEEK 7'!B38*0.29,2.5)</f>
        <v>0</v>
      </c>
      <c r="C41" s="662">
        <v>15.0</v>
      </c>
      <c r="D41" s="88" t="s">
        <v>127</v>
      </c>
      <c r="E41" s="89" t="str">
        <f>IF('WEEK 6'!P36='WEEK 7'!B41,'WEEK 6'!F36,"")</f>
        <v/>
      </c>
      <c r="F41" s="85"/>
      <c r="H41" s="661">
        <v>2.0</v>
      </c>
      <c r="I41" s="662">
        <f>mround('WEEK 7'!I38*2*0.75,10)</f>
        <v>0</v>
      </c>
      <c r="J41" s="662">
        <v>15.0</v>
      </c>
      <c r="K41" s="88" t="s">
        <v>127</v>
      </c>
      <c r="L41" s="84" t="str">
        <f>IF('WEEK 6'!I36='WEEK 7'!I41,'WEEK 6'!M36,"")</f>
        <v/>
      </c>
      <c r="M41" s="85"/>
    </row>
    <row r="44">
      <c r="A44" s="73" t="str">
        <f>HYPERLINK("https://youtu.be/hMUUvL3FlkE","3. MACHINE HIGH ROW")</f>
        <v>3. MACHINE HIGH ROW</v>
      </c>
      <c r="B44" s="53"/>
      <c r="C44" s="53"/>
      <c r="D44" s="53"/>
      <c r="E44" s="53"/>
      <c r="F44" s="54"/>
    </row>
    <row r="45">
      <c r="A45" s="226" t="s">
        <v>119</v>
      </c>
      <c r="B45" s="227">
        <f>'WEEK 6'!B55</f>
        <v>60</v>
      </c>
      <c r="C45" s="20"/>
      <c r="D45" s="20"/>
      <c r="E45" s="20"/>
      <c r="F45" s="95"/>
    </row>
    <row r="46">
      <c r="A46" s="231" t="s">
        <v>50</v>
      </c>
      <c r="B46" s="232" t="s">
        <v>51</v>
      </c>
      <c r="C46" s="232" t="s">
        <v>52</v>
      </c>
      <c r="D46" s="232" t="s">
        <v>53</v>
      </c>
      <c r="E46" s="233" t="s">
        <v>54</v>
      </c>
      <c r="F46" s="61" t="s">
        <v>55</v>
      </c>
    </row>
    <row r="47">
      <c r="A47" s="236">
        <v>1.0</v>
      </c>
      <c r="B47" s="237">
        <f>mround('WEEK 7'!B45*0.35,5)</f>
        <v>20</v>
      </c>
      <c r="C47" s="237">
        <v>6.0</v>
      </c>
      <c r="D47" s="238" t="s">
        <v>120</v>
      </c>
      <c r="E47" s="84">
        <f>IF('WEEK 3 '!B42='WEEK 7'!B47,'WEEK 3 '!F42,"")</f>
        <v>6</v>
      </c>
      <c r="F47" s="67"/>
    </row>
    <row r="48">
      <c r="A48" s="236">
        <v>2.0</v>
      </c>
      <c r="B48" s="237">
        <f>mround('WEEK 7'!B45*0.65,5)</f>
        <v>40</v>
      </c>
      <c r="C48" s="238">
        <v>3.0</v>
      </c>
      <c r="D48" s="238" t="s">
        <v>121</v>
      </c>
      <c r="E48" s="84">
        <f>IF('WEEK 3 '!B43='WEEK 7'!B48,'WEEK 3 '!F43,"")</f>
        <v>3</v>
      </c>
      <c r="F48" s="67"/>
    </row>
    <row r="49">
      <c r="A49" s="242">
        <v>3.0</v>
      </c>
      <c r="B49" s="237">
        <f>mround('WEEK 7'!B45*0.9,5)</f>
        <v>55</v>
      </c>
      <c r="C49" s="63">
        <v>2.0</v>
      </c>
      <c r="D49" s="238" t="s">
        <v>121</v>
      </c>
      <c r="E49" s="84">
        <f>IF('WEEK 3 '!B44='WEEK 7'!B49,'WEEK 3 '!F44,"")</f>
        <v>2</v>
      </c>
      <c r="F49" s="67"/>
    </row>
    <row r="50">
      <c r="A50" s="243">
        <v>4.0</v>
      </c>
      <c r="B50" s="237">
        <f>'WEEK 7'!B45</f>
        <v>60</v>
      </c>
      <c r="C50" s="257">
        <v>3.0</v>
      </c>
      <c r="D50" s="238" t="s">
        <v>122</v>
      </c>
      <c r="E50" s="84">
        <f>IF('WEEK 3 '!B45='WEEK 7'!B50,'WEEK 3 '!F45,"")</f>
        <v>3</v>
      </c>
      <c r="F50" s="67"/>
    </row>
    <row r="51">
      <c r="A51" s="246" t="str">
        <f>IF('WEEK 7'!F50&lt;3,"PROCEED TO DOWN SETS","NEW 4 REP MAX ATTEMPT")</f>
        <v>PROCEED TO DOWN SETS</v>
      </c>
      <c r="B51" s="20"/>
      <c r="C51" s="20"/>
      <c r="D51" s="20"/>
      <c r="E51" s="20"/>
      <c r="F51" s="95"/>
    </row>
    <row r="52">
      <c r="A52" s="249" t="str">
        <f>if('WEEK 7'!F50&lt;=2,"",5)</f>
        <v/>
      </c>
      <c r="B52" s="175" t="str">
        <f>IF('WEEK 7'!F50&lt;=2,"",'WEEK 7'!B50+5)</f>
        <v/>
      </c>
      <c r="C52" s="238" t="str">
        <f>if('WEEK 7'!F50&lt;=2,"",4)</f>
        <v/>
      </c>
      <c r="D52" s="238" t="str">
        <f>if('WEEK 7'!F50&lt;=2,"","1-5 MIN")</f>
        <v/>
      </c>
      <c r="E52" s="84" t="str">
        <f>IF('WEEK 3 '!B47='WEEK 7'!B52,'WEEK 3 '!F47,"")</f>
        <v/>
      </c>
      <c r="F52" s="67"/>
    </row>
    <row r="53">
      <c r="A53" s="259" t="str">
        <f>IF('WEEK 7'!F52&lt;4,"","6")</f>
        <v/>
      </c>
      <c r="B53" s="237" t="str">
        <f>IF('WEEK 7'!F52&lt;4,"",'WEEK 7'!B52+5)</f>
        <v/>
      </c>
      <c r="C53" s="257" t="str">
        <f>IF('WEEK 7'!F52&lt;4,"","4")</f>
        <v/>
      </c>
      <c r="D53" s="257" t="str">
        <f>IF('WEEK 7'!F52&lt;4,"","1-5 MIN")</f>
        <v/>
      </c>
      <c r="E53" s="84" t="str">
        <f>IF('WEEK 3 '!B48='WEEK 7'!B53,'WEEK 3 '!F48,"")</f>
        <v/>
      </c>
      <c r="F53" s="67"/>
    </row>
    <row r="54">
      <c r="A54" s="246" t="s">
        <v>133</v>
      </c>
      <c r="B54" s="20"/>
      <c r="C54" s="20"/>
      <c r="D54" s="20"/>
      <c r="E54" s="20"/>
      <c r="F54" s="95"/>
    </row>
    <row r="55">
      <c r="A55" s="264">
        <f>IF('WEEK 7'!F52&gt;=1,7,IF('WEEK 7'!F50&lt;1,5,6))</f>
        <v>5</v>
      </c>
      <c r="B55" s="265">
        <f>MROUND('WEEK 7'!B57*0.8,5)</f>
        <v>0</v>
      </c>
      <c r="C55" s="266" t="s">
        <v>65</v>
      </c>
      <c r="D55" s="267" t="s">
        <v>127</v>
      </c>
      <c r="E55" s="84" t="str">
        <f>IF('WEEK 3 '!B50='WEEK 7'!B55,'WEEK 3 '!F50,"")</f>
        <v/>
      </c>
      <c r="F55" s="67"/>
    </row>
    <row r="56">
      <c r="A56" s="243">
        <f>IF('WEEK 7'!F52&gt;=1,8,IF('WEEK 7'!F50&lt;1,6,7))</f>
        <v>6</v>
      </c>
      <c r="B56" s="237">
        <f>mround('WEEK 7'!B57*0.7,5)</f>
        <v>0</v>
      </c>
      <c r="C56" s="245" t="s">
        <v>65</v>
      </c>
      <c r="D56" s="65" t="s">
        <v>127</v>
      </c>
      <c r="E56" s="84" t="str">
        <f>IF('WEEK 3 '!B51='WEEK 7'!B56,'WEEK 3 '!F51,"")</f>
        <v/>
      </c>
      <c r="F56" s="271"/>
    </row>
    <row r="57">
      <c r="A57" s="228" t="s">
        <v>124</v>
      </c>
      <c r="B57" s="549" t="str">
        <f>IF(OR(ISBLANK('WEEK 7'!F50),ISBLANK('WEEK 7'!F49),ISBLANK('WEEK 7'!F48)),"",IF('WEEK 7'!F53&gt;=4,'WEEK 7'!B53,IF('WEEK 7'!F52&gt;=1,'WEEK 7'!B52,IF('WEEK 7'!F50&lt;3,'WEEK 7'!B50-5,'WEEK 7'!B50))))</f>
        <v/>
      </c>
      <c r="F57" s="28"/>
    </row>
    <row r="58">
      <c r="A58" s="750"/>
      <c r="B58" s="750"/>
      <c r="C58" s="750"/>
      <c r="D58" s="750"/>
      <c r="E58" s="750"/>
      <c r="F58" s="750"/>
    </row>
    <row r="59">
      <c r="A59" s="751" t="str">
        <f>HYPERLINK("https://www.youtube.com/watch?v=PnaDzYh2axA","4. LAT PULL DOWN")</f>
        <v>4. LAT PULL DOWN</v>
      </c>
      <c r="B59" s="13"/>
      <c r="C59" s="13"/>
      <c r="D59" s="13"/>
      <c r="E59" s="13"/>
      <c r="F59" s="57"/>
    </row>
    <row r="60">
      <c r="A60" s="226" t="s">
        <v>119</v>
      </c>
      <c r="B60" s="691">
        <f>'WEEK 6'!B63</f>
        <v>270</v>
      </c>
      <c r="C60" s="13"/>
      <c r="D60" s="13"/>
      <c r="E60" s="13"/>
      <c r="F60" s="57"/>
    </row>
    <row r="61">
      <c r="A61" s="96" t="s">
        <v>50</v>
      </c>
      <c r="B61" s="97" t="s">
        <v>51</v>
      </c>
      <c r="C61" s="97" t="s">
        <v>52</v>
      </c>
      <c r="D61" s="97" t="s">
        <v>53</v>
      </c>
      <c r="E61" s="341" t="s">
        <v>54</v>
      </c>
      <c r="F61" s="235" t="s">
        <v>55</v>
      </c>
    </row>
    <row r="62">
      <c r="A62" s="725">
        <v>1.0</v>
      </c>
      <c r="B62" s="344">
        <f> mround('WEEK 7'!B60*0.85,5)</f>
        <v>230</v>
      </c>
      <c r="C62" s="437" t="s">
        <v>65</v>
      </c>
      <c r="D62" s="343" t="s">
        <v>57</v>
      </c>
      <c r="E62" s="84" t="str">
        <f>IF('WEEK 3 '!B57='WEEK 7'!B62,'WEEK 3 '!F57,"")</f>
        <v/>
      </c>
      <c r="F62" s="85">
        <v>3.0</v>
      </c>
    </row>
    <row r="63">
      <c r="A63" s="725">
        <v>2.0</v>
      </c>
      <c r="B63" s="344">
        <f>IF('WEEK 7'!F62&lt;6,MROUND('WEEK 7'!B62*0.8,5),IF('WEEK 7'!F62&lt;=11,MROUND('WEEK 7'!B62*0.8,5),'WEEK 7'!B62))</f>
        <v>185</v>
      </c>
      <c r="C63" s="437" t="s">
        <v>65</v>
      </c>
      <c r="D63" s="343" t="s">
        <v>57</v>
      </c>
      <c r="E63" s="84" t="str">
        <f>IF('WEEK 3 '!B58='WEEK 7'!B63,'WEEK 3 '!F58,"")</f>
        <v/>
      </c>
      <c r="F63" s="85">
        <v>3.0</v>
      </c>
    </row>
    <row r="64">
      <c r="A64" s="753">
        <v>3.0</v>
      </c>
      <c r="B64" s="754">
        <f>IF('WEEK 7'!F63&lt;6,MROUND('WEEK 7'!B63*0.75,5),IF('WEEK 7'!F63&lt;=11,MROUND('WEEK 7'!B63*0.85,5),'WEEK 7'!B63))</f>
        <v>140</v>
      </c>
      <c r="C64" s="733" t="s">
        <v>65</v>
      </c>
      <c r="D64" s="486" t="s">
        <v>57</v>
      </c>
      <c r="E64" s="89" t="str">
        <f>IF('WEEK 3 '!B59='WEEK 7'!B64,'WEEK 3 '!F59,"")</f>
        <v/>
      </c>
      <c r="F64" s="85"/>
    </row>
    <row r="65">
      <c r="A65" s="756"/>
      <c r="B65" s="756"/>
      <c r="C65" s="756"/>
      <c r="D65" s="756"/>
      <c r="E65" s="757"/>
      <c r="F65" s="419"/>
    </row>
    <row r="66">
      <c r="A66" s="756"/>
      <c r="B66" s="756"/>
      <c r="C66" s="756"/>
      <c r="D66" s="756"/>
      <c r="E66" s="757"/>
      <c r="F66" s="419"/>
    </row>
    <row r="67">
      <c r="A67" s="73" t="str">
        <f>HYPERLINK("https://youtu.be/9YH1YvZbiY0","5. LOW ROW ")</f>
        <v>5. LOW ROW </v>
      </c>
      <c r="B67" s="53"/>
      <c r="C67" s="53"/>
      <c r="D67" s="53"/>
      <c r="E67" s="53"/>
      <c r="F67" s="54"/>
    </row>
    <row r="68">
      <c r="A68" s="226" t="s">
        <v>119</v>
      </c>
      <c r="B68" s="691">
        <f>'WEEK 6'!B63</f>
        <v>270</v>
      </c>
      <c r="C68" s="13"/>
      <c r="D68" s="13"/>
      <c r="E68" s="13"/>
      <c r="F68" s="57"/>
    </row>
    <row r="69">
      <c r="A69" s="96" t="s">
        <v>50</v>
      </c>
      <c r="B69" s="97" t="s">
        <v>51</v>
      </c>
      <c r="C69" s="97" t="s">
        <v>52</v>
      </c>
      <c r="D69" s="97" t="s">
        <v>53</v>
      </c>
      <c r="E69" s="341" t="s">
        <v>54</v>
      </c>
      <c r="F69" s="235" t="s">
        <v>55</v>
      </c>
    </row>
    <row r="70">
      <c r="A70" s="725">
        <v>1.0</v>
      </c>
      <c r="B70" s="344">
        <f>mround('WEEK 7'!B68*0.8,5)</f>
        <v>215</v>
      </c>
      <c r="C70" s="437" t="s">
        <v>65</v>
      </c>
      <c r="D70" s="343" t="s">
        <v>127</v>
      </c>
      <c r="E70" s="84" t="str">
        <f>IF('WEEK 3 '!B65='WEEK 7'!B70,'WEEK 3 '!F65,"")</f>
        <v/>
      </c>
      <c r="F70" s="85"/>
    </row>
    <row r="71">
      <c r="A71" s="725">
        <v>2.0</v>
      </c>
      <c r="B71" s="344">
        <f>IF('WEEK 7'!F70&lt;6,MROUND('WEEK 7'!B70*0.75,5),IF('WEEK 7'!F70&lt;=11,MROUND('WEEK 7'!B70*0.75,5),'WEEK 7'!B70))</f>
        <v>160</v>
      </c>
      <c r="C71" s="437" t="s">
        <v>65</v>
      </c>
      <c r="D71" s="343" t="s">
        <v>127</v>
      </c>
      <c r="E71" s="84" t="str">
        <f>IF('WEEK 3 '!B66='WEEK 7'!B71,'WEEK 3 '!F66,"")</f>
        <v/>
      </c>
      <c r="F71" s="85"/>
    </row>
    <row r="72">
      <c r="A72" s="753">
        <v>3.0</v>
      </c>
      <c r="B72" s="754">
        <f>IF('WEEK 7'!F71&lt;6,MROUND('WEEK 7'!B71*0.8,5),IF('WEEK 7'!F71&lt;=11,MROUND('WEEK 7'!B68*0.75,5),'WEEK 7'!B71))</f>
        <v>130</v>
      </c>
      <c r="C72" s="733" t="s">
        <v>65</v>
      </c>
      <c r="D72" s="486" t="s">
        <v>127</v>
      </c>
      <c r="E72" s="84" t="str">
        <f>IF('WEEK 3 '!B67='WEEK 7'!B72,'WEEK 3 '!F67,"")</f>
        <v/>
      </c>
      <c r="F72" s="85"/>
    </row>
    <row r="73">
      <c r="A73" s="758"/>
      <c r="B73" s="736"/>
      <c r="C73" s="759"/>
      <c r="D73" s="760"/>
      <c r="E73" s="761"/>
      <c r="F73" s="762"/>
    </row>
    <row r="74">
      <c r="A74" s="310" t="str">
        <f>HYPERLINK("https://docs.google.com/a/fitnessresults.com/forms/d/e/1FAIpQLSd7MoczESe8Yjv6BKpmwAZGn9Aiymrs9-UdgfYIUpbr9t5NXg/viewform?usp=pp_url&amp;entry.93370101","CLICK TO COMPLETE WORKOUT")</f>
        <v>CLICK TO COMPLETE WORKOUT</v>
      </c>
      <c r="B74" s="36"/>
      <c r="C74" s="36"/>
      <c r="D74" s="36"/>
      <c r="E74" s="36"/>
      <c r="F74" s="37"/>
    </row>
    <row r="75">
      <c r="A75" s="763"/>
      <c r="B75" s="764"/>
      <c r="C75" s="764"/>
      <c r="D75" s="764"/>
      <c r="E75" s="764"/>
      <c r="F75" s="764"/>
    </row>
    <row r="76">
      <c r="A76" s="50" t="s">
        <v>128</v>
      </c>
      <c r="B76" s="36"/>
      <c r="C76" s="36"/>
      <c r="D76" s="36"/>
      <c r="E76" s="36"/>
      <c r="F76" s="37"/>
    </row>
    <row r="78">
      <c r="A78" s="960" t="str">
        <f>HYPERLINK("https://www.youtube.com/watch?v=dVterVQksD4","2. LEG PRESS")</f>
        <v>2. LEG PRESS</v>
      </c>
      <c r="B78" s="53"/>
      <c r="C78" s="53"/>
      <c r="D78" s="53"/>
      <c r="E78" s="53"/>
      <c r="F78" s="54"/>
    </row>
    <row r="79">
      <c r="A79" s="961" t="s">
        <v>119</v>
      </c>
      <c r="B79" s="1035">
        <f>'WEEK 6'!B85</f>
        <v>250</v>
      </c>
      <c r="C79" s="13"/>
      <c r="D79" s="13"/>
      <c r="E79" s="13"/>
      <c r="F79" s="57"/>
    </row>
    <row r="80">
      <c r="A80" s="231" t="s">
        <v>50</v>
      </c>
      <c r="B80" s="232" t="s">
        <v>51</v>
      </c>
      <c r="C80" s="232" t="s">
        <v>52</v>
      </c>
      <c r="D80" s="232" t="s">
        <v>53</v>
      </c>
      <c r="E80" s="1073" t="s">
        <v>54</v>
      </c>
      <c r="F80" s="1006" t="s">
        <v>55</v>
      </c>
    </row>
    <row r="81">
      <c r="A81" s="236">
        <v>1.0</v>
      </c>
      <c r="B81" s="237">
        <f>mround('WEEK 7'!B79*0.35,5)</f>
        <v>90</v>
      </c>
      <c r="C81" s="238">
        <v>10.0</v>
      </c>
      <c r="D81" s="238" t="s">
        <v>120</v>
      </c>
      <c r="E81" s="1130" t="str">
        <f>IF('WEEK 6'!B77='WEEK 7'!B81,'WEEK 6'!F77,"")</f>
        <v/>
      </c>
      <c r="F81" s="1131"/>
    </row>
    <row r="82">
      <c r="A82" s="236">
        <v>2.0</v>
      </c>
      <c r="B82" s="237">
        <f>mround('WEEK 7'!B79*0.65,5)</f>
        <v>165</v>
      </c>
      <c r="C82" s="238">
        <v>10.0</v>
      </c>
      <c r="D82" s="238" t="s">
        <v>121</v>
      </c>
      <c r="E82" s="1130" t="str">
        <f>IF('WEEK 6'!B78='WEEK 7'!B82,'WEEK 6'!F78,"")</f>
        <v/>
      </c>
      <c r="F82" s="1017"/>
    </row>
    <row r="83">
      <c r="A83" s="242">
        <v>3.0</v>
      </c>
      <c r="B83" s="237">
        <f>mround('WEEK 7'!B79*0.9,5)</f>
        <v>225</v>
      </c>
      <c r="C83" s="238">
        <v>10.0</v>
      </c>
      <c r="D83" s="238" t="s">
        <v>121</v>
      </c>
      <c r="E83" s="1130" t="str">
        <f>IF('WEEK 6'!B79='WEEK 7'!B83,'WEEK 6'!F79,"")</f>
        <v/>
      </c>
      <c r="F83" s="1017"/>
    </row>
    <row r="84">
      <c r="A84" s="249">
        <v>4.0</v>
      </c>
      <c r="B84" s="175">
        <f>if('WEEK 7'!F83&lt;10,MROUND('WEEK 7'!B83-('WEEK 7'!B83*3%),5),'WEEK 7'!B79)</f>
        <v>220</v>
      </c>
      <c r="C84" s="238">
        <v>10.0</v>
      </c>
      <c r="D84" s="238" t="s">
        <v>122</v>
      </c>
      <c r="E84" s="1130" t="str">
        <f>IF('WEEK 6'!B80='WEEK 7'!B84,'WEEK 6'!F80,"")</f>
        <v/>
      </c>
      <c r="F84" s="1132"/>
    </row>
    <row r="85">
      <c r="A85" s="249">
        <v>5.0</v>
      </c>
      <c r="B85" s="175">
        <f>IF((AND('WEEK 7'!B84&lt;='WEEK 7'!B83,'WEEK 7'!F84&gt;=10)),'WEEK 7'!B84,IF('WEEK 7'!F84&lt;10,MROUND('WEEK 7'!B84-('WEEK 7'!B84*3%),5),if( 'WEEK 7'!F84&lt;10,MROUND('WEEK 7'!B84-('WEEK 7'!B84*1.5%),5),MROUND('WEEK 7'!B84+('WEEK 7'!B84*1.5%),5))))</f>
        <v>215</v>
      </c>
      <c r="C85" s="238">
        <v>10.0</v>
      </c>
      <c r="D85" s="238" t="s">
        <v>122</v>
      </c>
      <c r="E85" s="1130" t="str">
        <f>IF('WEEK 6'!B81='WEEK 7'!B85,'WEEK 6'!F81,"")</f>
        <v/>
      </c>
      <c r="F85" s="1017"/>
    </row>
    <row r="86">
      <c r="A86" s="249">
        <f>if(F84&lt;10,6,6)</f>
        <v>6</v>
      </c>
      <c r="B86" s="175">
        <f>IF((AND('WEEK 7'!B85&lt;='WEEK 7'!B84,'WEEK 7'!F85&gt;=10)),'WEEK 7'!B85,IF('WEEK 7'!F85&lt;10,MROUND('WEEK 7'!B85-('WEEK 7'!B85*3%),5),if( 'WEEK 7'!F85&lt;10,MROUND('WEEK 7'!B85-('WEEK 7'!B85*1.5%),5),MROUND('WEEK 7'!B85+('WEEK 7'!B85*1.5%),5))))</f>
        <v>210</v>
      </c>
      <c r="C86" s="238">
        <v>10.0</v>
      </c>
      <c r="D86" s="238" t="s">
        <v>122</v>
      </c>
      <c r="E86" s="1130" t="str">
        <f>IF('WEEK 6'!B82='WEEK 7'!B86,'WEEK 6'!F82,"")</f>
        <v/>
      </c>
      <c r="F86" s="1017"/>
    </row>
    <row r="87">
      <c r="A87" s="1038">
        <f>IF(F86&lt;10,7,"7")</f>
        <v>7</v>
      </c>
      <c r="B87" s="175">
        <f>IF((AND('WEEK 7'!B86&lt;='WEEK 7'!B85,'WEEK 7'!F86&gt;=10)),'WEEK 7'!B86,IF('WEEK 7'!F86&lt;10,MROUND('WEEK 7'!B86-('WEEK 7'!B86*3%),5),if( 'WEEK 7'!F86&lt;10,MROUND('WEEK 7'!B86-('WEEK 7'!B86*1.5%),5),MROUND('WEEK 7'!B86+('WEEK 7'!B86*1.5%),5))))</f>
        <v>205</v>
      </c>
      <c r="C87" s="238">
        <v>10.0</v>
      </c>
      <c r="D87" s="238" t="s">
        <v>122</v>
      </c>
      <c r="E87" s="1130" t="str">
        <f>IF('WEEK 6'!B83='WEEK 7'!B87,'WEEK 6'!F83,"")</f>
        <v/>
      </c>
      <c r="F87" s="1133"/>
    </row>
    <row r="88">
      <c r="A88" s="249">
        <f>IF(F87&lt;10,8,"8")</f>
        <v>8</v>
      </c>
      <c r="B88" s="175">
        <f>IF((AND('WEEK 7'!B87&lt;='WEEK 7'!B86,'WEEK 7'!F87&gt;=10)),'WEEK 7'!B87,IF('WEEK 7'!F87&lt;10,MROUND('WEEK 7'!B87-('WEEK 7'!B87*3%),5),if( 'WEEK 7'!F87&lt;10,MROUND('WEEK 7'!B87-('WEEK 7'!B87*1.5%),5),MROUND('WEEK 7'!B87+('WEEK 7'!B87*1.5%),5))))</f>
        <v>200</v>
      </c>
      <c r="C88" s="238">
        <v>10.0</v>
      </c>
      <c r="D88" s="238" t="s">
        <v>122</v>
      </c>
      <c r="E88" s="1130" t="str">
        <f>IF('WEEK 6'!B84='WEEK 7'!B88,'WEEK 6'!F84,"")</f>
        <v/>
      </c>
      <c r="F88" s="1134"/>
    </row>
    <row r="89">
      <c r="A89" s="1038">
        <f>IF(F88&lt;10,9,"9")</f>
        <v>9</v>
      </c>
      <c r="B89" s="175">
        <f>IF((AND('WEEK 7'!B88&lt;='WEEK 7'!B87,'WEEK 7'!F88&gt;=10)),'WEEK 7'!B88,IF('WEEK 7'!F88&lt;10,MROUND('WEEK 7'!B88-('WEEK 7'!B88*3%),5),if( 'WEEK 7'!F88&lt;10,MROUND('WEEK 7'!B88-('WEEK 7'!B88*1.5%),5),MROUND('WEEK 7'!B88+('WEEK 7'!B88*1.5%),5))))</f>
        <v>195</v>
      </c>
      <c r="C89" s="238">
        <v>10.0</v>
      </c>
      <c r="D89" s="238" t="s">
        <v>122</v>
      </c>
      <c r="E89" s="1130" t="str">
        <f>IF('WEEK 14'!B100='WEEK 7'!B89,'WEEK 14'!F100,"")</f>
        <v/>
      </c>
      <c r="F89" s="1134"/>
    </row>
    <row r="90">
      <c r="A90" s="272" t="s">
        <v>192</v>
      </c>
      <c r="B90" s="1109">
        <f>IF((AND('WEEK 7'!F89&gt;=10,'WEEK 7'!B89&gt;'WEEK 7'!B88)),'WEEK 7'!B89,IF((AND('WEEK 7'!F88&gt;=10,'WEEK 7'!B88&gt;'WEEK 7'!B87)),'WEEK 7'!B88,IF((AND('WEEK 7'!F87&gt;=10,'WEEK 7'!B87&gt;'WEEK 7'!B86)),'WEEK 7'!B87,IF((AND('WEEK 7'!F86&gt;=10,'WEEK 7'!B86&gt;'WEEK 7'!B85)),'WEEK 7'!B86,IF((AND('WEEK 7'!F85&gt;=10,'WEEK 7'!B85&gt;'WEEK 7'!B84)),'WEEK 7'!B85,IF((AND('WEEK 7'!F84&gt;=10,'WEEK 7'!B84&gt;'WEEK 7'!B83)),'WEEK 7'!B84,IF((AND('WEEK 7'!F83&gt;=10,'WEEK 7'!B83&gt;'WEEK 7'!B82)),'WEEK 7'!B83,IF((AND('WEEK 7'!F82&gt;=10,'WEEK 7'!B82&gt;'WEEK 7'!B81)),'WEEK 7'!B82,'WEEK 7'!B79))))))))</f>
        <v>250</v>
      </c>
      <c r="C90" s="11"/>
      <c r="D90" s="11"/>
      <c r="E90" s="11"/>
      <c r="F90" s="46"/>
    </row>
    <row r="93">
      <c r="A93" s="1044" t="str">
        <f>HYPERLINK("https://www.youtube.com/watch?v=NZ9KiFtbiMs","2. LEG EXTENSION")</f>
        <v>2. LEG EXTENSION</v>
      </c>
      <c r="B93" s="13"/>
      <c r="C93" s="13"/>
      <c r="D93" s="13"/>
      <c r="E93" s="13"/>
      <c r="F93" s="57"/>
      <c r="G93" s="141"/>
      <c r="H93" s="141"/>
      <c r="I93" s="141"/>
      <c r="J93" s="141"/>
      <c r="K93" s="141"/>
      <c r="L93" s="141"/>
      <c r="M93" s="141"/>
    </row>
    <row r="94">
      <c r="A94" s="1045" t="s">
        <v>119</v>
      </c>
      <c r="B94" s="1046">
        <f>IF('WEEK 6'!B90='WEEK 6'!B92,'WEEK 6'!B90+5,IF('WEEK 6'!F90&lt;=9,MROUND('WEEK 6'!B88*0.95,5),'WEEK 6'!B90))</f>
        <v>70</v>
      </c>
      <c r="C94" s="13"/>
      <c r="D94" s="13"/>
      <c r="E94" s="13"/>
      <c r="F94" s="57"/>
      <c r="G94" s="141"/>
      <c r="H94" s="141"/>
      <c r="I94" s="141"/>
      <c r="J94" s="141"/>
      <c r="K94" s="141"/>
      <c r="L94" s="141"/>
      <c r="M94" s="141"/>
    </row>
    <row r="95">
      <c r="A95" s="567" t="s">
        <v>50</v>
      </c>
      <c r="B95" s="568" t="s">
        <v>51</v>
      </c>
      <c r="C95" s="568" t="s">
        <v>52</v>
      </c>
      <c r="D95" s="568" t="s">
        <v>53</v>
      </c>
      <c r="E95" s="1047" t="s">
        <v>54</v>
      </c>
      <c r="F95" s="1048" t="s">
        <v>55</v>
      </c>
      <c r="G95" s="141"/>
      <c r="H95" s="141"/>
      <c r="I95" s="141"/>
      <c r="J95" s="141"/>
      <c r="K95" s="141"/>
      <c r="L95" s="141"/>
      <c r="M95" s="141"/>
    </row>
    <row r="96">
      <c r="A96" s="1049">
        <v>1.0</v>
      </c>
      <c r="B96" s="1050">
        <f>'WEEK 7'!B94</f>
        <v>70</v>
      </c>
      <c r="C96" s="1051" t="s">
        <v>61</v>
      </c>
      <c r="D96" s="1052" t="s">
        <v>57</v>
      </c>
      <c r="E96" s="84" t="str">
        <f>IF('WEEK 6'!B90='WEEK 7'!B96,'WEEK 6'!F90,"")</f>
        <v/>
      </c>
      <c r="F96" s="1017"/>
      <c r="G96" s="141"/>
      <c r="H96" s="141"/>
      <c r="I96" s="141"/>
      <c r="J96" s="141"/>
      <c r="K96" s="141"/>
      <c r="L96" s="141"/>
      <c r="M96" s="141"/>
    </row>
    <row r="97">
      <c r="A97" s="1049">
        <v>2.0</v>
      </c>
      <c r="B97" s="1050">
        <f>if('WEEK 7'!F96&lt;8,mround('WEEK 7'!B96*0.8,5),IF('WEEK 7'!F96&lt;=14,MROUND('WEEK 7'!B96*0.95,5),'WEEK 7'!B96))</f>
        <v>55</v>
      </c>
      <c r="C97" s="1051" t="s">
        <v>61</v>
      </c>
      <c r="D97" s="1052" t="s">
        <v>57</v>
      </c>
      <c r="E97" s="84" t="str">
        <f>IF('WEEK 6'!B91='WEEK 7'!B97,'WEEK 6'!F91,"")</f>
        <v/>
      </c>
      <c r="F97" s="1017"/>
      <c r="G97" s="141"/>
      <c r="H97" s="141"/>
      <c r="I97" s="141"/>
      <c r="J97" s="141"/>
      <c r="K97" s="141"/>
      <c r="L97" s="141"/>
      <c r="M97" s="141"/>
    </row>
    <row r="98">
      <c r="A98" s="1135">
        <v>3.0</v>
      </c>
      <c r="B98" s="1136">
        <f>if('WEEK 7'!F97&lt;8,mround('WEEK 7'!B97*0.8,5),IF('WEEK 7'!F97&lt;=14,MROUND('WEEK 7'!B97*0.95,5),'WEEK 7'!B97))</f>
        <v>45</v>
      </c>
      <c r="C98" s="1051" t="s">
        <v>61</v>
      </c>
      <c r="D98" s="1137" t="s">
        <v>57</v>
      </c>
      <c r="E98" s="84" t="str">
        <f>IF('WEEK 6'!B92='WEEK 7'!B98,'WEEK 6'!F92,"")</f>
        <v/>
      </c>
      <c r="F98" s="1085"/>
      <c r="G98" s="141"/>
      <c r="H98" s="141"/>
      <c r="I98" s="141"/>
      <c r="J98" s="141"/>
      <c r="K98" s="141"/>
      <c r="L98" s="141"/>
      <c r="M98" s="141"/>
    </row>
    <row r="99">
      <c r="A99" s="869"/>
      <c r="B99" s="334"/>
      <c r="C99" s="25"/>
      <c r="D99" s="25"/>
      <c r="E99" s="25"/>
      <c r="F99" s="25"/>
      <c r="G99" s="141"/>
      <c r="H99" s="141"/>
      <c r="I99" s="141"/>
      <c r="J99" s="141"/>
      <c r="K99" s="141"/>
      <c r="L99" s="141"/>
      <c r="M99" s="141"/>
    </row>
    <row r="100">
      <c r="A100" s="1138"/>
      <c r="G100" s="141"/>
      <c r="H100" s="141"/>
      <c r="I100" s="141"/>
      <c r="J100" s="141"/>
      <c r="K100" s="141"/>
      <c r="L100" s="141"/>
      <c r="M100" s="141"/>
    </row>
    <row r="101">
      <c r="G101" s="141"/>
      <c r="H101" s="141"/>
      <c r="I101" s="141"/>
      <c r="J101" s="141"/>
      <c r="K101" s="141"/>
      <c r="L101" s="141"/>
      <c r="M101" s="141"/>
    </row>
    <row r="102">
      <c r="A102" s="323" t="str">
        <f>HYPERLINK("https://www.youtube.com/watch?v=XepOfsnGFJg","4. MACHINE LEG CURL")</f>
        <v>4. MACHINE LEG CURL</v>
      </c>
      <c r="B102" s="53"/>
      <c r="C102" s="53"/>
      <c r="D102" s="53"/>
      <c r="E102" s="53"/>
      <c r="F102" s="54"/>
      <c r="G102" s="141"/>
      <c r="H102" s="323" t="str">
        <f>HYPERLINK("https://youtu.be/kmN9cJ79PDE","4. PRONE LEG CURL")</f>
        <v>4. PRONE LEG CURL</v>
      </c>
      <c r="I102" s="53"/>
      <c r="J102" s="53"/>
      <c r="K102" s="53"/>
      <c r="L102" s="53"/>
      <c r="M102" s="54"/>
    </row>
    <row r="103">
      <c r="A103" s="226" t="s">
        <v>119</v>
      </c>
      <c r="B103" s="90">
        <f>IF('WEEK 6'!B99='WEEK 6'!B101,'WEEK 6'!B99+5,IF('WEEK 6'!F99&lt;=9,MROUND('WEEK 6'!B99*0.95,5),'WEEK 6'!B99))</f>
        <v>85</v>
      </c>
      <c r="C103" s="13"/>
      <c r="D103" s="13"/>
      <c r="E103" s="13"/>
      <c r="F103" s="57"/>
      <c r="H103" s="226" t="s">
        <v>119</v>
      </c>
      <c r="I103" s="316">
        <f>B103</f>
        <v>85</v>
      </c>
      <c r="J103" s="20"/>
      <c r="K103" s="20"/>
      <c r="L103" s="20"/>
      <c r="M103" s="95"/>
    </row>
    <row r="104">
      <c r="A104" s="96" t="s">
        <v>50</v>
      </c>
      <c r="B104" s="97" t="s">
        <v>51</v>
      </c>
      <c r="C104" s="97" t="s">
        <v>52</v>
      </c>
      <c r="D104" s="97" t="s">
        <v>53</v>
      </c>
      <c r="E104" s="98" t="s">
        <v>54</v>
      </c>
      <c r="F104" s="235" t="s">
        <v>55</v>
      </c>
      <c r="H104" s="96" t="s">
        <v>50</v>
      </c>
      <c r="I104" s="97" t="s">
        <v>51</v>
      </c>
      <c r="J104" s="97" t="s">
        <v>52</v>
      </c>
      <c r="K104" s="97" t="s">
        <v>53</v>
      </c>
      <c r="L104" s="341" t="s">
        <v>54</v>
      </c>
      <c r="M104" s="235" t="s">
        <v>55</v>
      </c>
    </row>
    <row r="105">
      <c r="A105" s="352">
        <v>1.0</v>
      </c>
      <c r="B105" s="237">
        <f>'WEEK 7'!B103</f>
        <v>85</v>
      </c>
      <c r="C105" s="1051" t="s">
        <v>61</v>
      </c>
      <c r="D105" s="350" t="s">
        <v>57</v>
      </c>
      <c r="E105" s="84" t="str">
        <f>IF('WEEK 6'!B99='WEEK 7'!B105,'WEEK 6'!F99,"")</f>
        <v/>
      </c>
      <c r="F105" s="85"/>
      <c r="G105" s="434" t="s">
        <v>123</v>
      </c>
      <c r="H105" s="352">
        <v>1.0</v>
      </c>
      <c r="I105" s="237">
        <f>'WEEK 7'!I103</f>
        <v>85</v>
      </c>
      <c r="J105" s="1051" t="s">
        <v>61</v>
      </c>
      <c r="K105" s="350" t="s">
        <v>57</v>
      </c>
      <c r="L105" s="84" t="str">
        <f>IF('WEEK 6'!I99='WEEK 7'!I105,'WEEK 6'!M99,"")</f>
        <v/>
      </c>
      <c r="M105" s="85"/>
    </row>
    <row r="106">
      <c r="A106" s="352">
        <v>2.0</v>
      </c>
      <c r="B106" s="237">
        <f>if('WEEK 7'!F105&lt;8,mround('WEEK 7'!B105*0.8,5),IF('WEEK 7'!F105&lt;=14,MROUND('WEEK 7'!B105*0.95,5),'WEEK 7'!B105))</f>
        <v>70</v>
      </c>
      <c r="C106" s="1051" t="s">
        <v>61</v>
      </c>
      <c r="D106" s="515" t="s">
        <v>57</v>
      </c>
      <c r="E106" s="84" t="str">
        <f>IF('WEEK 6'!B100='WEEK 7'!B106,'WEEK 6'!F100,"")</f>
        <v/>
      </c>
      <c r="F106" s="628"/>
      <c r="H106" s="352">
        <v>2.0</v>
      </c>
      <c r="I106" s="237">
        <f>if('WEEK 7'!M105&lt;8,mround('WEEK 7'!I105*0.8,5),IF('WEEK 7'!M105&lt;=14,MROUND('WEEK 7'!I105*0.95,5),'WEEK 7'!I105))</f>
        <v>70</v>
      </c>
      <c r="J106" s="1051" t="s">
        <v>61</v>
      </c>
      <c r="K106" s="515" t="s">
        <v>57</v>
      </c>
      <c r="L106" s="84" t="str">
        <f>IF('WEEK 6'!I100='WEEK 7'!I106,'WEEK 6'!M100,"")</f>
        <v/>
      </c>
      <c r="M106" s="85"/>
    </row>
    <row r="107">
      <c r="A107" s="494">
        <v>3.0</v>
      </c>
      <c r="B107" s="371">
        <f>if('WEEK 7'!F106&lt;8,mround('WEEK 7'!B106*0.8,5),IF('WEEK 7'!F106&lt;=14,MROUND('WEEK 7'!B106*0.95,5),'WEEK 7'!B106))</f>
        <v>55</v>
      </c>
      <c r="C107" s="1055" t="s">
        <v>61</v>
      </c>
      <c r="D107" s="518" t="s">
        <v>57</v>
      </c>
      <c r="E107" s="89" t="str">
        <f>IF('WEEK 6'!B101='WEEK 7'!B107,'WEEK 6'!F101,"")</f>
        <v/>
      </c>
      <c r="F107" s="628"/>
      <c r="G107" s="682"/>
      <c r="H107" s="494">
        <v>3.0</v>
      </c>
      <c r="I107" s="371">
        <f>if('WEEK 7'!M106&lt;8,mround('WEEK 7'!I106*0.8,5),IF('WEEK 7'!M106&lt;=14,MROUND('WEEK 7'!I106*0.95,5),'WEEK 7'!I106))</f>
        <v>55</v>
      </c>
      <c r="J107" s="1055" t="s">
        <v>61</v>
      </c>
      <c r="K107" s="518" t="s">
        <v>57</v>
      </c>
      <c r="L107" s="89" t="str">
        <f>IF('WEEK 6'!I101='WEEK 7'!I107,'WEEK 6'!M101,"")</f>
        <v/>
      </c>
      <c r="M107" s="85"/>
    </row>
    <row r="108">
      <c r="A108" s="849"/>
      <c r="B108" s="850"/>
      <c r="H108" s="849"/>
      <c r="I108" s="850"/>
      <c r="N108" s="635"/>
      <c r="O108" s="635"/>
      <c r="P108" s="635"/>
      <c r="Q108" s="635"/>
      <c r="R108" s="635"/>
      <c r="S108" s="635"/>
      <c r="T108" s="635"/>
      <c r="U108" s="635"/>
    </row>
    <row r="110">
      <c r="A110" s="1120" t="s">
        <v>62</v>
      </c>
      <c r="B110" s="36"/>
      <c r="C110" s="36"/>
      <c r="D110" s="36"/>
      <c r="E110" s="36"/>
      <c r="F110" s="37"/>
    </row>
    <row r="113">
      <c r="A113" s="44" t="s">
        <v>131</v>
      </c>
      <c r="B113" s="36"/>
      <c r="C113" s="36"/>
      <c r="D113" s="36"/>
      <c r="E113" s="36"/>
      <c r="F113" s="37"/>
      <c r="H113" s="44" t="s">
        <v>131</v>
      </c>
      <c r="I113" s="36"/>
      <c r="J113" s="36"/>
      <c r="K113" s="36"/>
      <c r="L113" s="36"/>
      <c r="M113" s="37"/>
    </row>
    <row r="114">
      <c r="A114" s="112" t="str">
        <f>HYPERLINK("https://www.youtube.com/watch?v=rmxOkkd2hUk","1. SHOULDER PRESS")</f>
        <v>1. SHOULDER PRESS</v>
      </c>
      <c r="B114" s="13"/>
      <c r="C114" s="13"/>
      <c r="D114" s="13"/>
      <c r="E114" s="13"/>
      <c r="F114" s="57"/>
      <c r="H114" s="1139" t="str">
        <f>HYPERLINK("https://www.youtube.com/watch?v=-cSBPE-y38M","1. MACHINE SHOULDER PRESS")</f>
        <v>1. MACHINE SHOULDER PRESS</v>
      </c>
      <c r="I114" s="13"/>
      <c r="J114" s="13"/>
      <c r="K114" s="13"/>
      <c r="L114" s="13"/>
      <c r="M114" s="57"/>
    </row>
    <row r="115">
      <c r="A115" s="226" t="s">
        <v>119</v>
      </c>
      <c r="B115" s="227">
        <f>'Week 1 MASTER SHEET'!B126</f>
        <v>65</v>
      </c>
      <c r="C115" s="20"/>
      <c r="D115" s="20"/>
      <c r="E115" s="20"/>
      <c r="F115" s="95"/>
      <c r="H115" s="226" t="s">
        <v>119</v>
      </c>
      <c r="I115" s="227">
        <f>'WEEK 4 Master Sheet '!B116</f>
        <v>150</v>
      </c>
      <c r="J115" s="20"/>
      <c r="K115" s="20"/>
      <c r="L115" s="20"/>
      <c r="M115" s="95"/>
    </row>
    <row r="116">
      <c r="A116" s="231" t="s">
        <v>50</v>
      </c>
      <c r="B116" s="232" t="s">
        <v>51</v>
      </c>
      <c r="C116" s="232" t="s">
        <v>52</v>
      </c>
      <c r="D116" s="232" t="s">
        <v>53</v>
      </c>
      <c r="E116" s="233" t="s">
        <v>54</v>
      </c>
      <c r="F116" s="61" t="s">
        <v>55</v>
      </c>
      <c r="H116" s="231" t="s">
        <v>50</v>
      </c>
      <c r="I116" s="232" t="s">
        <v>51</v>
      </c>
      <c r="J116" s="232" t="s">
        <v>52</v>
      </c>
      <c r="K116" s="232" t="s">
        <v>53</v>
      </c>
      <c r="L116" s="233" t="s">
        <v>54</v>
      </c>
      <c r="M116" s="61" t="s">
        <v>55</v>
      </c>
    </row>
    <row r="117">
      <c r="A117" s="1140">
        <v>1.0</v>
      </c>
      <c r="B117" s="237">
        <f>mround('WEEK 7'!B115*0.35,5)</f>
        <v>25</v>
      </c>
      <c r="C117" s="237">
        <v>6.0</v>
      </c>
      <c r="D117" s="238" t="s">
        <v>120</v>
      </c>
      <c r="E117" s="84">
        <f>IF('WEEK 1 '!B116='WEEK 7'!B117,'WEEK 1 '!F116,"")</f>
        <v>0</v>
      </c>
      <c r="F117" s="67"/>
      <c r="H117" s="1140">
        <v>1.0</v>
      </c>
      <c r="I117" s="237">
        <f>mround('WEEK 7'!I115*0.35,5)</f>
        <v>55</v>
      </c>
      <c r="J117" s="237">
        <v>6.0</v>
      </c>
      <c r="K117" s="238" t="s">
        <v>120</v>
      </c>
      <c r="L117" s="84" t="str">
        <f>IF('WEEK 1 '!I116='WEEK 7'!I117,'WEEK 1 '!M116,"")</f>
        <v/>
      </c>
      <c r="M117" s="67"/>
    </row>
    <row r="118">
      <c r="A118" s="236">
        <v>2.0</v>
      </c>
      <c r="B118" s="237">
        <f>mround('WEEK 7'!B115*0.65,5)</f>
        <v>40</v>
      </c>
      <c r="C118" s="237">
        <v>1.0</v>
      </c>
      <c r="D118" s="238" t="s">
        <v>121</v>
      </c>
      <c r="E118" s="84" t="str">
        <f>IF('WEEK 1 '!B117='WEEK 7'!B118,'WEEK 1 '!F117,"")</f>
        <v/>
      </c>
      <c r="F118" s="67"/>
      <c r="H118" s="236">
        <v>2.0</v>
      </c>
      <c r="I118" s="237">
        <f>mround('WEEK 7'!I115*0.65,5)</f>
        <v>100</v>
      </c>
      <c r="J118" s="237">
        <v>1.0</v>
      </c>
      <c r="K118" s="238" t="s">
        <v>121</v>
      </c>
      <c r="L118" s="84" t="str">
        <f>IF('WEEK 1 '!I117='WEEK 7'!I118,'WEEK 1 '!M117,"")</f>
        <v/>
      </c>
      <c r="M118" s="67"/>
    </row>
    <row r="119">
      <c r="A119" s="242">
        <v>3.0</v>
      </c>
      <c r="B119" s="237">
        <f>mround('WEEK 7'!B115*0.9,5)</f>
        <v>60</v>
      </c>
      <c r="C119" s="82">
        <v>1.0</v>
      </c>
      <c r="D119" s="238" t="s">
        <v>121</v>
      </c>
      <c r="E119" s="84" t="str">
        <f>IF('WEEK 1 '!B118='WEEK 7'!B119,'WEEK 1 '!F118,"")</f>
        <v/>
      </c>
      <c r="F119" s="67"/>
      <c r="H119" s="242">
        <v>3.0</v>
      </c>
      <c r="I119" s="237">
        <f>mround('WEEK 7'!I115*0.9,5)</f>
        <v>135</v>
      </c>
      <c r="J119" s="82">
        <v>1.0</v>
      </c>
      <c r="K119" s="238" t="s">
        <v>121</v>
      </c>
      <c r="L119" s="84" t="str">
        <f>IF('WEEK 1 '!I118='WEEK 7'!I119,'WEEK 1 '!M118,"")</f>
        <v/>
      </c>
      <c r="M119" s="67"/>
    </row>
    <row r="120">
      <c r="A120" s="243">
        <v>4.0</v>
      </c>
      <c r="B120" s="237">
        <f>'WEEK 7'!B115</f>
        <v>65</v>
      </c>
      <c r="C120" s="257">
        <v>1.0</v>
      </c>
      <c r="D120" s="238" t="s">
        <v>122</v>
      </c>
      <c r="E120" s="84" t="str">
        <f>IF('WEEK 1 '!B119='WEEK 7'!B120,'WEEK 1 '!F119,"")</f>
        <v/>
      </c>
      <c r="F120" s="67"/>
      <c r="H120" s="243">
        <v>4.0</v>
      </c>
      <c r="I120" s="237">
        <f>'WEEK 7'!I115</f>
        <v>150</v>
      </c>
      <c r="J120" s="257">
        <v>1.0</v>
      </c>
      <c r="K120" s="238" t="s">
        <v>122</v>
      </c>
      <c r="L120" s="84" t="str">
        <f>IF('WEEK 1 '!I119='WEEK 7'!I120,'WEEK 1 '!M119,"")</f>
        <v/>
      </c>
      <c r="M120" s="67"/>
    </row>
    <row r="121">
      <c r="A121" s="246" t="str">
        <f>IF('WEEK 7'!F120&lt;1,"PROCEED TO DOWN SETS","NEW 4 REP MAX ATTEMPT")</f>
        <v>PROCEED TO DOWN SETS</v>
      </c>
      <c r="B121" s="20"/>
      <c r="C121" s="20"/>
      <c r="D121" s="20"/>
      <c r="E121" s="20"/>
      <c r="F121" s="95"/>
      <c r="H121" s="246" t="str">
        <f>IF('WEEK 7'!M120&lt;1,"PROCEED TO DOWN SETS","NEW 4 REP MAX ATTEMPT")</f>
        <v>PROCEED TO DOWN SETS</v>
      </c>
      <c r="I121" s="20"/>
      <c r="J121" s="20"/>
      <c r="K121" s="20"/>
      <c r="L121" s="20"/>
      <c r="M121" s="95"/>
    </row>
    <row r="122">
      <c r="A122" s="249" t="str">
        <f>IF(OR(ISBLANK('WEEK 7'!F120),ISBLANK('WEEK 7'!F119),ISBLANK('WEEK 7'!F118)), "",if('WEEK 7'!F120&lt;1,"",5))</f>
        <v/>
      </c>
      <c r="B122" s="175" t="str">
        <f>IF('WEEK 7'!F120&lt;1,"",'WEEK 7'!B120+5)</f>
        <v/>
      </c>
      <c r="C122" s="238" t="str">
        <f>if('WEEK 7'!F120&lt;1,"",4)</f>
        <v/>
      </c>
      <c r="D122" s="238" t="str">
        <f>if('WEEK 7'!F120&lt;1,"","1-5 MIN")</f>
        <v/>
      </c>
      <c r="E122" s="84" t="str">
        <f>IF('WEEK 1 '!B121='WEEK 7'!B122,'WEEK 1 '!F121,"")</f>
        <v/>
      </c>
      <c r="F122" s="67"/>
      <c r="H122" s="249" t="str">
        <f>IF(OR(ISBLANK('WEEK 7'!M120),ISBLANK('WEEK 7'!M119),ISBLANK('WEEK 7'!M118)), "",if('WEEK 7'!M120&lt;1,"",5))</f>
        <v/>
      </c>
      <c r="I122" s="175" t="str">
        <f>IF('WEEK 7'!M120&lt;1,"",'WEEK 7'!I120+5)</f>
        <v/>
      </c>
      <c r="J122" s="238" t="str">
        <f>if('WEEK 7'!M120&lt;1,"",4)</f>
        <v/>
      </c>
      <c r="K122" s="238" t="str">
        <f>if('WEEK 7'!M120&lt;1,"","1-5 MIN")</f>
        <v/>
      </c>
      <c r="L122" s="84" t="str">
        <f>IF('WEEK 1 '!I121='WEEK 7'!I122,'WEEK 1 '!M121,"")</f>
        <v/>
      </c>
      <c r="M122" s="67"/>
    </row>
    <row r="123">
      <c r="A123" s="259" t="str">
        <f>IF(OR(ISBLANK('WEEK 7'!F119),ISBLANK('WEEK 7'!F120),ISBLANK('WEEK 7'!F122)), "",IF('WEEK 7'!F122&lt;4,"","6"))</f>
        <v/>
      </c>
      <c r="B123" s="237" t="str">
        <f>IF(OR(ISBLANK('WEEK 7'!F119),ISBLANK('WEEK 7'!F120),ISBLANK('WEEK 7'!F122)), "",IF('WEEK 7'!F122&lt;4,"",'WEEK 7'!B122+5))</f>
        <v/>
      </c>
      <c r="C123" s="257" t="str">
        <f>IF(OR(ISBLANK('WEEK 7'!F119),ISBLANK('WEEK 7'!F120),ISBLANK('WEEK 7'!F122)), "",IF('WEEK 7'!F122&lt;4,"","4"))</f>
        <v/>
      </c>
      <c r="D123" s="257" t="str">
        <f>IF(OR(ISBLANK('WEEK 7'!F119),ISBLANK('WEEK 7'!F120),ISBLANK('WEEK 7'!F122)), "",IF('WEEK 7'!F122&lt;4,"","1-5 MIN"))</f>
        <v/>
      </c>
      <c r="E123" s="84" t="str">
        <f>IF('WEEK 1 '!B122='WEEK 7'!B123,'WEEK 1 '!F122,"")</f>
        <v/>
      </c>
      <c r="F123" s="67"/>
      <c r="H123" s="259" t="str">
        <f>IF(OR(ISBLANK('WEEK 7'!M119),ISBLANK('WEEK 7'!M120),ISBLANK('WEEK 7'!M122)), "",IF('WEEK 7'!M122&lt;4,"","6"))</f>
        <v/>
      </c>
      <c r="I123" s="237" t="str">
        <f>IF(OR(ISBLANK('WEEK 7'!M119),ISBLANK('WEEK 7'!M120),ISBLANK('WEEK 7'!M122)), "",IF('WEEK 7'!M122&lt;4,"",'WEEK 7'!I122+5))</f>
        <v/>
      </c>
      <c r="J123" s="257" t="str">
        <f>IF(OR(ISBLANK('WEEK 7'!M119),ISBLANK('WEEK 7'!M120),ISBLANK('WEEK 7'!M122)), "",IF('WEEK 7'!M122&lt;4,"","4"))</f>
        <v/>
      </c>
      <c r="K123" s="257" t="str">
        <f>IF(OR(ISBLANK('WEEK 7'!M119),ISBLANK('WEEK 7'!M120),ISBLANK('WEEK 7'!M122)), "",IF('WEEK 7'!M122&lt;4,"","1-5 MIN"))</f>
        <v/>
      </c>
      <c r="L123" s="84" t="str">
        <f>IF('WEEK 1 '!I122='WEEK 7'!I123,'WEEK 1 '!M122,"")</f>
        <v/>
      </c>
      <c r="M123" s="67"/>
    </row>
    <row r="124">
      <c r="A124" s="246" t="s">
        <v>133</v>
      </c>
      <c r="B124" s="20"/>
      <c r="C124" s="20"/>
      <c r="D124" s="20"/>
      <c r="E124" s="20"/>
      <c r="F124" s="95"/>
      <c r="H124" s="246" t="s">
        <v>133</v>
      </c>
      <c r="I124" s="20"/>
      <c r="J124" s="20"/>
      <c r="K124" s="20"/>
      <c r="L124" s="20"/>
      <c r="M124" s="95"/>
    </row>
    <row r="125">
      <c r="A125" s="264" t="str">
        <f>IF(OR(ISBLANK('WEEK 7'!F120),ISBLANK('WEEK 7'!F119),ISBLANK('WEEK 7'!F118)),"",IF((AND(A122="",A123="")),5,IF((AND(A122&gt;1,A123="")),6,7)))</f>
        <v/>
      </c>
      <c r="B125" s="265">
        <f>MROUND('WEEK 7'!B127*0.9,5)</f>
        <v>0</v>
      </c>
      <c r="C125" s="266" t="s">
        <v>65</v>
      </c>
      <c r="D125" s="267" t="s">
        <v>127</v>
      </c>
      <c r="E125" s="84" t="str">
        <f>IF('WEEK 1 '!B124='WEEK 7'!B125,'WEEK 1 '!F124,"")</f>
        <v/>
      </c>
      <c r="F125" s="67"/>
      <c r="H125" s="264" t="str">
        <f>IF(OR(ISBLANK('WEEK 7'!M120),ISBLANK('WEEK 7'!M119),ISBLANK('WEEK 7'!M118)),"",IF((AND(H122="",H123="")),5,IF((AND(H122&gt;1,H123="")),6,7)))</f>
        <v/>
      </c>
      <c r="I125" s="265">
        <f>MROUND('WEEK 7'!I127*0.9,5)</f>
        <v>0</v>
      </c>
      <c r="J125" s="266" t="s">
        <v>65</v>
      </c>
      <c r="K125" s="267" t="s">
        <v>127</v>
      </c>
      <c r="L125" s="84" t="str">
        <f>IF('WEEK 1 '!I124='WEEK 7'!I125,'WEEK 1 '!M124,"")</f>
        <v/>
      </c>
      <c r="M125" s="67"/>
    </row>
    <row r="126">
      <c r="A126" s="243" t="str">
        <f>IF(OR(ISBLANK('WEEK 7'!F120),ISBLANK('WEEK 7'!F119),ISBLANK('WEEK 7'!F118)),"",IF((AND(A122="",A123="")),6,IF((AND(A122&gt;1,A123="")),7,8)))</f>
        <v/>
      </c>
      <c r="B126" s="237">
        <f>mround('WEEK 7'!B127*0.78,5)</f>
        <v>0</v>
      </c>
      <c r="C126" s="245" t="s">
        <v>65</v>
      </c>
      <c r="D126" s="65" t="s">
        <v>127</v>
      </c>
      <c r="E126" s="84" t="str">
        <f>IF('WEEK 1 '!B125='WEEK 7'!B126,'WEEK 1 '!F125,"")</f>
        <v/>
      </c>
      <c r="F126" s="271"/>
      <c r="H126" s="243" t="str">
        <f>IF(OR(ISBLANK('WEEK 7'!M120),ISBLANK('WEEK 7'!M119),ISBLANK('WEEK 7'!M118)),"",IF((AND(H122="",H123="")),6,IF((AND(H122&gt;1,H123="")),7,8)))</f>
        <v/>
      </c>
      <c r="I126" s="237">
        <f>mround('WEEK 7'!I127*0.78,5)</f>
        <v>0</v>
      </c>
      <c r="J126" s="245" t="s">
        <v>65</v>
      </c>
      <c r="K126" s="65" t="s">
        <v>127</v>
      </c>
      <c r="L126" s="84" t="str">
        <f>IF('WEEK 1 '!I125='WEEK 7'!I126,'WEEK 1 '!M125,"")</f>
        <v/>
      </c>
      <c r="M126" s="271"/>
    </row>
    <row r="127">
      <c r="A127" s="272" t="s">
        <v>124</v>
      </c>
      <c r="B127" s="273" t="str">
        <f>IF(OR(ISBLANK('WEEK 7'!F120),ISBLANK('WEEK 7'!F119),ISBLANK('WEEK 7'!F118)),"",IF('WEEK 7'!F123&gt;=1,'WEEK 7'!B123,IF('WEEK 7'!F122&gt;=4,'WEEK 7'!B122,IF('WEEK 7'!F120&lt;1,'WEEK 7'!B120-5,'WEEK 7'!B120))))</f>
        <v/>
      </c>
      <c r="C127" s="11"/>
      <c r="D127" s="11"/>
      <c r="E127" s="11"/>
      <c r="F127" s="46"/>
      <c r="H127" s="272" t="s">
        <v>124</v>
      </c>
      <c r="I127" s="273" t="str">
        <f>IF(OR(ISBLANK('WEEK 7'!M120),ISBLANK('WEEK 7'!M119),ISBLANK('WEEK 7'!M118)),"",IF('WEEK 7'!M123&gt;=1,'WEEK 7'!I123,IF('WEEK 7'!M122&gt;=4,'WEEK 7'!I122,IF('WEEK 7'!M120&lt;1,'WEEK 7'!I120-5,'WEEK 7'!I120))))</f>
        <v/>
      </c>
      <c r="J127" s="11"/>
      <c r="K127" s="11"/>
      <c r="L127" s="11"/>
      <c r="M127" s="46"/>
    </row>
    <row r="130">
      <c r="A130" s="361" t="str">
        <f>HYPERLINK("https://www.youtube.com/watch?v=gxWVN6F_uxo","2.  CABLE HIGH PULLEY ROW")</f>
        <v>2.  CABLE HIGH PULLEY ROW</v>
      </c>
      <c r="B130" s="53"/>
      <c r="C130" s="53"/>
      <c r="D130" s="53"/>
      <c r="E130" s="53"/>
      <c r="F130" s="54"/>
    </row>
    <row r="131">
      <c r="A131" s="226" t="s">
        <v>119</v>
      </c>
      <c r="B131" s="94">
        <f>IF('WEEK 6'!B121='WEEK 1 '!B129,'WEEK 6'!B121+5,IF('WEEK 6'!F123&lt;=14,MROUND('WEEK 6'!B119*0.95,5),'WEEK 6'!B121))</f>
        <v>55</v>
      </c>
      <c r="C131" s="20"/>
      <c r="D131" s="20"/>
      <c r="E131" s="20"/>
      <c r="F131" s="95"/>
    </row>
    <row r="132">
      <c r="A132" s="77" t="s">
        <v>50</v>
      </c>
      <c r="B132" s="78" t="s">
        <v>51</v>
      </c>
      <c r="C132" s="78" t="s">
        <v>52</v>
      </c>
      <c r="D132" s="78" t="s">
        <v>53</v>
      </c>
      <c r="E132" s="80" t="s">
        <v>54</v>
      </c>
      <c r="F132" s="235" t="s">
        <v>55</v>
      </c>
    </row>
    <row r="133">
      <c r="A133" s="81">
        <v>1.0</v>
      </c>
      <c r="B133" s="82">
        <f>'WEEK 7'!B131</f>
        <v>55</v>
      </c>
      <c r="C133" s="65" t="s">
        <v>168</v>
      </c>
      <c r="D133" s="83" t="s">
        <v>58</v>
      </c>
      <c r="E133" s="84" t="str">
        <f>IF('WEEK 6'!B121='WEEK 7'!B133,'WEEK 6'!F121,"")</f>
        <v/>
      </c>
      <c r="F133" s="85"/>
    </row>
    <row r="134">
      <c r="A134" s="81">
        <v>2.0</v>
      </c>
      <c r="B134" s="82">
        <f>if('WEEK 7'!F133&lt;10,mround(B133*0.8,10),IF('WEEK 7'!F133&lt;=14,MROUND('WEEK 7'!B133*0.95,10),'WEEK 7'!B133))</f>
        <v>40</v>
      </c>
      <c r="C134" s="65" t="s">
        <v>168</v>
      </c>
      <c r="D134" s="83" t="s">
        <v>58</v>
      </c>
      <c r="E134" s="84" t="str">
        <f>IF('WEEK 6'!B122='WEEK 7'!B134,'WEEK 6'!F122,"")</f>
        <v/>
      </c>
      <c r="F134" s="85"/>
    </row>
    <row r="135">
      <c r="A135" s="86">
        <v>3.0</v>
      </c>
      <c r="B135" s="87">
        <f>if('WEEK 7'!F134&lt;8,mround('WEEK 7'!B134*0.8,10),IF('WEEK 7'!F134&lt;=14,MROUND('WEEK 7'!B134*0.95,10),'WEEK 7'!B134))</f>
        <v>30</v>
      </c>
      <c r="C135" s="71" t="s">
        <v>168</v>
      </c>
      <c r="D135" s="88" t="s">
        <v>58</v>
      </c>
      <c r="E135" s="89" t="str">
        <f>IF('WEEK 6'!B123='WEEK 7'!B135,'WEEK 6'!F123,"")</f>
        <v/>
      </c>
      <c r="F135" s="85"/>
    </row>
    <row r="137">
      <c r="A137" s="513" t="str">
        <f>HYPERLINK("https://youtu.be/QUNZvtb6mnY","3. DUMBBELL SIDE LATERAL RAISE")</f>
        <v>3. DUMBBELL SIDE LATERAL RAISE</v>
      </c>
      <c r="B137" s="53"/>
      <c r="C137" s="53"/>
      <c r="D137" s="53"/>
      <c r="E137" s="53"/>
      <c r="F137" s="54"/>
    </row>
    <row r="138">
      <c r="A138" s="226" t="s">
        <v>119</v>
      </c>
      <c r="B138" s="90" t="str">
        <f>'WEEK 7'!B127</f>
        <v/>
      </c>
      <c r="C138" s="13"/>
      <c r="D138" s="13"/>
      <c r="E138" s="13"/>
      <c r="F138" s="57"/>
    </row>
    <row r="139">
      <c r="A139" s="376" t="s">
        <v>50</v>
      </c>
      <c r="B139" s="79" t="s">
        <v>51</v>
      </c>
      <c r="C139" s="79" t="s">
        <v>52</v>
      </c>
      <c r="D139" s="79" t="s">
        <v>53</v>
      </c>
      <c r="E139" s="98" t="s">
        <v>54</v>
      </c>
      <c r="F139" s="377" t="s">
        <v>55</v>
      </c>
    </row>
    <row r="140">
      <c r="A140" s="81">
        <v>1.0</v>
      </c>
      <c r="B140" s="82">
        <f>mround('WEEK 7'!B138*0.2,5)</f>
        <v>0</v>
      </c>
      <c r="C140" s="65" t="s">
        <v>61</v>
      </c>
      <c r="D140" s="83" t="s">
        <v>57</v>
      </c>
      <c r="E140" s="84" t="str">
        <f>IF('WEEK 6'!B129='WEEK 7'!B140,'WEEK 6'!F129,"")</f>
        <v/>
      </c>
      <c r="F140" s="796"/>
    </row>
    <row r="141">
      <c r="A141" s="81">
        <v>2.0</v>
      </c>
      <c r="B141" s="82">
        <f>if('WEEK 7'!F140&lt;15,mround('WEEK 7'!B138*0.15,2.5),'WEEK 7'!B140)</f>
        <v>0</v>
      </c>
      <c r="C141" s="65" t="s">
        <v>61</v>
      </c>
      <c r="D141" s="83" t="s">
        <v>57</v>
      </c>
      <c r="E141" s="84" t="str">
        <f>IF('WEEK 6'!B130='WEEK 7'!B141,'WEEK 6'!F130,"")</f>
        <v/>
      </c>
      <c r="F141" s="330"/>
    </row>
    <row r="142">
      <c r="A142" s="86">
        <v>3.0</v>
      </c>
      <c r="B142" s="87">
        <f>if('WEEK 7'!F141&lt;15,mround('WEEK 7'!B138*0.1,2.5),'WEEK 7'!B141)</f>
        <v>0</v>
      </c>
      <c r="C142" s="71" t="s">
        <v>61</v>
      </c>
      <c r="D142" s="88" t="s">
        <v>57</v>
      </c>
      <c r="E142" s="89" t="str">
        <f>IF('WEEK 6'!B131='WEEK 7'!B142,'WEEK 6'!F131,"")</f>
        <v/>
      </c>
      <c r="F142" s="85"/>
    </row>
    <row r="144">
      <c r="A144" s="361" t="str">
        <f>HYPERLINK("https://www.youtube.com/watch?v=Zt0LwrUdpNs","2.  TRICEP OVERHEAD ROPE EXTENSION")</f>
        <v>2.  TRICEP OVERHEAD ROPE EXTENSION</v>
      </c>
      <c r="B144" s="53"/>
      <c r="C144" s="53"/>
      <c r="D144" s="53"/>
      <c r="E144" s="53"/>
      <c r="F144" s="54"/>
    </row>
    <row r="145">
      <c r="A145" s="226" t="s">
        <v>155</v>
      </c>
      <c r="B145" s="76">
        <f>IF('WEEK 4 '!B139='WEEK 4 '!B141,'WEEK 4 '!B139+5,IF(F135&lt;=15,MROUND('WEEK 4 '!B137*0.35,5),'WEEK 4 '!B139))</f>
        <v>85</v>
      </c>
      <c r="C145" s="13"/>
      <c r="D145" s="13"/>
      <c r="E145" s="13"/>
      <c r="F145" s="57"/>
    </row>
    <row r="146">
      <c r="A146" s="77" t="s">
        <v>50</v>
      </c>
      <c r="B146" s="78" t="s">
        <v>51</v>
      </c>
      <c r="C146" s="78" t="s">
        <v>52</v>
      </c>
      <c r="D146" s="78" t="s">
        <v>53</v>
      </c>
      <c r="E146" s="80" t="s">
        <v>54</v>
      </c>
      <c r="F146" s="235" t="s">
        <v>55</v>
      </c>
    </row>
    <row r="147">
      <c r="A147" s="81">
        <v>1.0</v>
      </c>
      <c r="B147" s="82">
        <f>B145</f>
        <v>85</v>
      </c>
      <c r="C147" s="65" t="s">
        <v>61</v>
      </c>
      <c r="D147" s="83" t="s">
        <v>58</v>
      </c>
      <c r="E147" s="84" t="str">
        <f>IF('WEEK 4 '!B139='WEEK 7'!B147,'WEEK 4 '!B139,"")</f>
        <v/>
      </c>
      <c r="F147" s="85"/>
    </row>
    <row r="148">
      <c r="A148" s="81">
        <v>2.0</v>
      </c>
      <c r="B148" s="82">
        <f>if('WEEK 7'!F147&lt;10,mround('WEEK 7'!B147*0.8,5),IF('WEEK 7'!F147&lt;=14,MROUND('WEEK 7'!B145*0.95,5),'WEEK 7'!B147))</f>
        <v>70</v>
      </c>
      <c r="C148" s="65" t="s">
        <v>61</v>
      </c>
      <c r="D148" s="83" t="s">
        <v>58</v>
      </c>
      <c r="E148" s="84" t="str">
        <f>IF('WEEK 4 '!B140='WEEK 7'!B148,'WEEK 4 '!B140,"")</f>
        <v/>
      </c>
      <c r="F148" s="85"/>
    </row>
    <row r="149">
      <c r="A149" s="86">
        <v>3.0</v>
      </c>
      <c r="B149" s="87">
        <f>if('WEEK 7'!F148&lt;10,mround('WEEK 7'!B148*0.8,5),IF('WEEK 7'!F148&lt;=14,MROUND('WEEK 7'!B146*0.95,5),'WEEK 7'!B148))</f>
        <v>55</v>
      </c>
      <c r="C149" s="71" t="s">
        <v>61</v>
      </c>
      <c r="D149" s="88" t="s">
        <v>58</v>
      </c>
      <c r="E149" s="89" t="str">
        <f>IF('WEEK 4 '!B141='WEEK 7'!B149,'WEEK 4 '!B141,"")</f>
        <v/>
      </c>
      <c r="F149" s="85"/>
    </row>
    <row r="152">
      <c r="A152" s="399" t="str">
        <f>HYPERLINK("https://www.youtube.com/watch?v=Bi6Do6QIlpQ","4. BICEP EZ BAR CURL")</f>
        <v>4. BICEP EZ BAR CURL</v>
      </c>
      <c r="B152" s="25"/>
      <c r="C152" s="25"/>
      <c r="D152" s="25"/>
      <c r="E152" s="26"/>
      <c r="F152" s="699"/>
      <c r="H152" s="75" t="str">
        <f>HYPERLINK("https://www.youtube.com/watch?v=Bi6Do6QIlpQ","4. BICEP EZ BAR CURL")</f>
        <v>4. BICEP EZ BAR CURL</v>
      </c>
      <c r="I152" s="53"/>
      <c r="J152" s="53"/>
      <c r="K152" s="53"/>
      <c r="L152" s="53"/>
      <c r="M152" s="54"/>
    </row>
    <row r="153">
      <c r="A153" s="1141" t="s">
        <v>147</v>
      </c>
      <c r="B153" s="25"/>
      <c r="C153" s="25"/>
      <c r="D153" s="25"/>
      <c r="E153" s="26"/>
      <c r="F153" s="1142"/>
      <c r="H153" s="282" t="s">
        <v>119</v>
      </c>
      <c r="I153" s="852" t="str">
        <f>'WEEK 2'!I162</f>
        <v/>
      </c>
      <c r="J153" s="16"/>
      <c r="K153" s="16"/>
      <c r="L153" s="16"/>
      <c r="M153" s="230"/>
    </row>
    <row r="154">
      <c r="A154" s="336"/>
      <c r="B154" s="11"/>
      <c r="C154" s="11"/>
      <c r="D154" s="11"/>
      <c r="E154" s="46"/>
      <c r="F154" s="1142"/>
      <c r="H154" s="364" t="s">
        <v>50</v>
      </c>
      <c r="I154" s="365" t="s">
        <v>51</v>
      </c>
      <c r="J154" s="365" t="s">
        <v>52</v>
      </c>
      <c r="K154" s="365" t="s">
        <v>53</v>
      </c>
      <c r="L154" s="367" t="s">
        <v>54</v>
      </c>
      <c r="M154" s="61" t="s">
        <v>55</v>
      </c>
    </row>
    <row r="155">
      <c r="A155" s="364" t="s">
        <v>50</v>
      </c>
      <c r="B155" s="365" t="s">
        <v>51</v>
      </c>
      <c r="C155" s="365" t="s">
        <v>52</v>
      </c>
      <c r="D155" s="365" t="s">
        <v>53</v>
      </c>
      <c r="E155" s="365" t="s">
        <v>55</v>
      </c>
      <c r="F155" s="1142"/>
      <c r="H155" s="308">
        <v>1.0</v>
      </c>
      <c r="I155" s="237">
        <f>mround('WEEK 7'!I153*0.5,5)</f>
        <v>0</v>
      </c>
      <c r="J155" s="64" t="s">
        <v>193</v>
      </c>
      <c r="K155" s="238" t="s">
        <v>57</v>
      </c>
      <c r="L155" s="1143"/>
      <c r="M155" s="67"/>
    </row>
    <row r="156">
      <c r="A156" s="169">
        <v>1.0</v>
      </c>
      <c r="B156" s="191">
        <v>25.0</v>
      </c>
      <c r="C156" s="185">
        <v>4.0</v>
      </c>
      <c r="D156" s="172" t="s">
        <v>89</v>
      </c>
      <c r="E156" s="703"/>
      <c r="F156" s="701"/>
      <c r="H156" s="1144" t="s">
        <v>194</v>
      </c>
      <c r="I156" s="20"/>
      <c r="J156" s="20"/>
      <c r="K156" s="20"/>
      <c r="L156" s="20"/>
      <c r="M156" s="95"/>
    </row>
    <row r="157">
      <c r="A157" s="174">
        <v>2.0</v>
      </c>
      <c r="B157" s="191">
        <f t="shared" ref="B157:B162" si="1">B156+10</f>
        <v>35</v>
      </c>
      <c r="C157" s="175">
        <v>4.0</v>
      </c>
      <c r="D157" s="172" t="s">
        <v>89</v>
      </c>
      <c r="E157" s="703"/>
      <c r="F157" s="704"/>
      <c r="H157" s="244">
        <v>2.0</v>
      </c>
      <c r="I157" s="237">
        <f>mround('WEEK 7'!I153*1.05,5)</f>
        <v>0</v>
      </c>
      <c r="J157" s="64" t="s">
        <v>193</v>
      </c>
      <c r="K157" s="238" t="s">
        <v>57</v>
      </c>
      <c r="L157" s="66"/>
      <c r="M157" s="67"/>
    </row>
    <row r="158">
      <c r="A158" s="174">
        <v>3.0</v>
      </c>
      <c r="B158" s="191">
        <f t="shared" si="1"/>
        <v>45</v>
      </c>
      <c r="C158" s="175">
        <v>4.0</v>
      </c>
      <c r="D158" s="172" t="s">
        <v>89</v>
      </c>
      <c r="E158" s="703"/>
      <c r="F158" s="701"/>
      <c r="H158" s="1145" t="str">
        <f>IF('WEEK 7'!M157&gt;=10,"ATTEMPT NEW 4 MAX AGAIN","DOWN SET")</f>
        <v>DOWN SET</v>
      </c>
      <c r="I158" s="20"/>
      <c r="J158" s="20"/>
      <c r="K158" s="20"/>
      <c r="L158" s="20"/>
      <c r="M158" s="95"/>
    </row>
    <row r="159">
      <c r="A159" s="174">
        <v>4.0</v>
      </c>
      <c r="B159" s="191">
        <f t="shared" si="1"/>
        <v>55</v>
      </c>
      <c r="C159" s="175">
        <v>4.0</v>
      </c>
      <c r="D159" s="172" t="s">
        <v>89</v>
      </c>
      <c r="E159" s="703"/>
      <c r="F159" s="704"/>
      <c r="H159" s="62" t="str">
        <f>IF(OR(ISBLANK('WEEK 7'!M155),ISBLANK('WEEK 7'!M157)),"","1")</f>
        <v/>
      </c>
      <c r="I159" s="237" t="str">
        <f>IF(OR(ISBLANK('WEEK 7'!M155),ISBLANK('WEEK 7'!M157)),"",IF('WEEK 7'!M157&gt;=10,'WEEK 7'!I157+5,mround('WEEK 7'!I157*0.9,5)))</f>
        <v/>
      </c>
      <c r="J159" s="437" t="str">
        <f>IF(OR(ISBLANK('WEEK 7'!M155),ISBLANK('WEEK 7'!M157)),"",if('WEEK 7'!M157&gt;=10,"REP OUT",10))</f>
        <v/>
      </c>
      <c r="K159" s="65" t="str">
        <f>IF(OR(ISBLANK('WEEK 7'!M155),ISBLANK('WEEK 7'!M157)),"","1 MIN")</f>
        <v/>
      </c>
      <c r="L159" s="66"/>
      <c r="M159" s="665"/>
    </row>
    <row r="160">
      <c r="A160" s="174">
        <v>5.0</v>
      </c>
      <c r="B160" s="191">
        <f t="shared" si="1"/>
        <v>65</v>
      </c>
      <c r="C160" s="175">
        <v>4.0</v>
      </c>
      <c r="D160" s="172" t="s">
        <v>89</v>
      </c>
      <c r="E160" s="703"/>
      <c r="F160" s="709"/>
      <c r="H160" s="62" t="str">
        <f>IF(OR(ISBLANK('WEEK 7'!M155),ISBLANK('WEEK 7'!M157),ISBLANK('WEEK 7'!M159)),"","2")</f>
        <v/>
      </c>
      <c r="I160" s="82" t="str">
        <f>IF(OR(ISBLANK('WEEK 7'!M155),ISBLANK('WEEK 7'!M157),ISBLANK('WEEK 7'!M159)),"",IF('WEEK 7'!M157&lt;10,mround('WEEK 7'!I159*0.85,5),mround('WEEK 7'!I159*0.9,5)))</f>
        <v/>
      </c>
      <c r="J160" s="1146" t="str">
        <f>IF(OR(ISBLANK('WEEK 7'!M155),ISBLANK('WEEK 7'!M157),ISBLANK('WEEK 7'!M159)),"","REP OUT")</f>
        <v/>
      </c>
      <c r="K160" s="63" t="str">
        <f>IF(OR(ISBLANK('WEEK 7'!M155),ISBLANK('WEEK 7'!M157),ISBLANK('WEEK 7'!M159)),"","1 MIN")</f>
        <v/>
      </c>
      <c r="L160" s="66"/>
      <c r="M160" s="67"/>
    </row>
    <row r="161">
      <c r="A161" s="174">
        <v>6.0</v>
      </c>
      <c r="B161" s="191">
        <f t="shared" si="1"/>
        <v>75</v>
      </c>
      <c r="C161" s="175">
        <v>4.0</v>
      </c>
      <c r="D161" s="172" t="s">
        <v>89</v>
      </c>
      <c r="E161" s="703"/>
      <c r="F161" s="704"/>
      <c r="H161" s="1147" t="s">
        <v>124</v>
      </c>
      <c r="I161" s="925" t="str">
        <f>IF('WEEK 7'!M157&lt;10,'WEEK 7'!I153,IF('WEEK 7'!M159&lt;10,'WEEK 7'!I157,IF((AND('WEEK 7'!M157&lt;=9,'WEEK 7'!M159&gt;=10)),'WEEK 7'!I153,'WEEK 7'!I159)))</f>
        <v/>
      </c>
      <c r="J161" s="33"/>
      <c r="K161" s="33"/>
      <c r="L161" s="33"/>
      <c r="M161" s="34"/>
    </row>
    <row r="162">
      <c r="A162" s="174">
        <v>7.0</v>
      </c>
      <c r="B162" s="408">
        <f t="shared" si="1"/>
        <v>85</v>
      </c>
      <c r="C162" s="634">
        <v>4.0</v>
      </c>
      <c r="D162" s="416" t="s">
        <v>89</v>
      </c>
      <c r="E162" s="1148"/>
      <c r="F162" s="704"/>
    </row>
    <row r="163">
      <c r="A163" s="637" t="s">
        <v>124</v>
      </c>
      <c r="B163" s="41">
        <v>100.0</v>
      </c>
      <c r="C163" s="36"/>
      <c r="D163" s="36"/>
      <c r="E163" s="37"/>
      <c r="F163" s="711"/>
    </row>
    <row r="166">
      <c r="A166" s="1149" t="s">
        <v>135</v>
      </c>
      <c r="B166" s="36"/>
      <c r="C166" s="36"/>
      <c r="D166" s="36"/>
      <c r="E166" s="36"/>
      <c r="F166" s="37"/>
    </row>
    <row r="167">
      <c r="A167" s="1093"/>
      <c r="B167" s="1093"/>
      <c r="C167" s="1093"/>
      <c r="D167" s="1093"/>
      <c r="E167" s="1093"/>
      <c r="F167" s="1093"/>
    </row>
    <row r="168">
      <c r="A168" s="1094" t="str">
        <f>HYPERLINK("https://www.amazon.com/30-Minute-Body-Investment-Champion/dp/0692791892/ref=sr_1_1?ie=UTF8&amp;qid=1490447969&amp;sr=8-1&amp;keywords=30+minute+body","WANT TO LEARN MORE?")</f>
        <v>WANT TO LEARN MORE?</v>
      </c>
      <c r="F168" s="39"/>
    </row>
    <row r="169">
      <c r="A169" s="18"/>
      <c r="B169" s="13"/>
      <c r="C169" s="13"/>
      <c r="D169" s="13"/>
      <c r="E169" s="13"/>
      <c r="F169" s="14"/>
    </row>
    <row r="170">
      <c r="A170" s="987"/>
      <c r="B170" s="999"/>
      <c r="C170" s="1150" t="s">
        <v>67</v>
      </c>
      <c r="F170" s="28"/>
    </row>
    <row r="171">
      <c r="A171" s="987"/>
      <c r="B171" s="999"/>
      <c r="F171" s="28"/>
    </row>
    <row r="172">
      <c r="A172" s="987"/>
      <c r="B172" s="999"/>
      <c r="F172" s="28"/>
    </row>
    <row r="173">
      <c r="A173" s="987"/>
      <c r="B173" s="999"/>
      <c r="F173" s="28"/>
    </row>
    <row r="174">
      <c r="A174" s="987"/>
      <c r="B174" s="999"/>
      <c r="F174" s="28"/>
    </row>
    <row r="175">
      <c r="A175" s="987"/>
      <c r="B175" s="999"/>
      <c r="F175" s="28"/>
    </row>
    <row r="176">
      <c r="A176" s="623"/>
      <c r="B176" s="999"/>
      <c r="F176" s="28"/>
    </row>
    <row r="177">
      <c r="A177" s="987"/>
      <c r="B177" s="999"/>
      <c r="F177" s="28"/>
    </row>
    <row r="178">
      <c r="A178" s="987"/>
      <c r="B178" s="999"/>
      <c r="F178" s="28"/>
    </row>
    <row r="179">
      <c r="A179" s="1034"/>
      <c r="B179" s="999"/>
      <c r="F179" s="28"/>
    </row>
    <row r="180">
      <c r="A180" s="987"/>
      <c r="B180" s="999"/>
      <c r="F180" s="28"/>
    </row>
    <row r="181">
      <c r="A181" s="987"/>
      <c r="B181" s="999"/>
      <c r="F181" s="28"/>
    </row>
    <row r="182">
      <c r="A182" s="987"/>
      <c r="B182" s="999"/>
      <c r="F182" s="28"/>
    </row>
    <row r="183">
      <c r="A183" s="987"/>
      <c r="B183" s="999"/>
      <c r="F183" s="28"/>
    </row>
    <row r="184">
      <c r="A184" s="987"/>
      <c r="B184" s="999"/>
      <c r="C184" s="11"/>
      <c r="D184" s="11"/>
      <c r="E184" s="11"/>
      <c r="F184" s="46"/>
    </row>
  </sheetData>
  <mergeCells count="94">
    <mergeCell ref="A9:F9"/>
    <mergeCell ref="H9:M9"/>
    <mergeCell ref="A10:F11"/>
    <mergeCell ref="H10:M10"/>
    <mergeCell ref="A12:F12"/>
    <mergeCell ref="A13:F13"/>
    <mergeCell ref="H15:M15"/>
    <mergeCell ref="A20:F20"/>
    <mergeCell ref="B21:F21"/>
    <mergeCell ref="O20:T20"/>
    <mergeCell ref="P21:T21"/>
    <mergeCell ref="N19:N26"/>
    <mergeCell ref="N27:N28"/>
    <mergeCell ref="N29:N31"/>
    <mergeCell ref="N38:N41"/>
    <mergeCell ref="A15:F15"/>
    <mergeCell ref="A19:F19"/>
    <mergeCell ref="H19:M19"/>
    <mergeCell ref="O19:T19"/>
    <mergeCell ref="H20:M20"/>
    <mergeCell ref="I21:M21"/>
    <mergeCell ref="O27:T27"/>
    <mergeCell ref="H37:M37"/>
    <mergeCell ref="I38:M38"/>
    <mergeCell ref="H27:M27"/>
    <mergeCell ref="H29:M29"/>
    <mergeCell ref="O29:T29"/>
    <mergeCell ref="I34:M34"/>
    <mergeCell ref="P34:T34"/>
    <mergeCell ref="A35:N36"/>
    <mergeCell ref="A37:F37"/>
    <mergeCell ref="H156:M156"/>
    <mergeCell ref="H158:M158"/>
    <mergeCell ref="I161:M161"/>
    <mergeCell ref="H114:M114"/>
    <mergeCell ref="I115:M115"/>
    <mergeCell ref="H121:M121"/>
    <mergeCell ref="H124:M124"/>
    <mergeCell ref="I127:M127"/>
    <mergeCell ref="H152:M152"/>
    <mergeCell ref="I153:M153"/>
    <mergeCell ref="G24:G25"/>
    <mergeCell ref="A27:F27"/>
    <mergeCell ref="A30:F30"/>
    <mergeCell ref="B33:F33"/>
    <mergeCell ref="G37:G41"/>
    <mergeCell ref="B38:F38"/>
    <mergeCell ref="A44:F44"/>
    <mergeCell ref="B45:F45"/>
    <mergeCell ref="A51:F51"/>
    <mergeCell ref="A54:F54"/>
    <mergeCell ref="B57:F57"/>
    <mergeCell ref="A59:F59"/>
    <mergeCell ref="B60:F60"/>
    <mergeCell ref="A67:F67"/>
    <mergeCell ref="B68:F68"/>
    <mergeCell ref="A74:F74"/>
    <mergeCell ref="A76:F76"/>
    <mergeCell ref="A78:F78"/>
    <mergeCell ref="B79:F79"/>
    <mergeCell ref="B90:F90"/>
    <mergeCell ref="A93:F93"/>
    <mergeCell ref="B94:F94"/>
    <mergeCell ref="B99:F99"/>
    <mergeCell ref="A100:F101"/>
    <mergeCell ref="A102:F102"/>
    <mergeCell ref="H102:M102"/>
    <mergeCell ref="B103:F103"/>
    <mergeCell ref="I103:M103"/>
    <mergeCell ref="G102:G104"/>
    <mergeCell ref="G105:G106"/>
    <mergeCell ref="G107:G108"/>
    <mergeCell ref="B108:F108"/>
    <mergeCell ref="I108:M108"/>
    <mergeCell ref="A110:F110"/>
    <mergeCell ref="H113:M113"/>
    <mergeCell ref="A113:F113"/>
    <mergeCell ref="A114:F114"/>
    <mergeCell ref="B115:F115"/>
    <mergeCell ref="A121:F121"/>
    <mergeCell ref="A124:F124"/>
    <mergeCell ref="B127:F127"/>
    <mergeCell ref="A130:F130"/>
    <mergeCell ref="B163:E163"/>
    <mergeCell ref="A166:F166"/>
    <mergeCell ref="A168:F169"/>
    <mergeCell ref="C170:F184"/>
    <mergeCell ref="B131:F131"/>
    <mergeCell ref="A137:F137"/>
    <mergeCell ref="B138:F138"/>
    <mergeCell ref="A144:F144"/>
    <mergeCell ref="B145:F145"/>
    <mergeCell ref="A152:E152"/>
    <mergeCell ref="A153:E154"/>
  </mergeCells>
  <dataValidations>
    <dataValidation type="decimal" operator="greaterThanOrEqual" allowBlank="1" showDropDown="1" showErrorMessage="1" sqref="M22:M26 F39:F41 F104:F107 F139:F142 M154:M155 F156:F157 M157 F159">
      <formula1>0.0</formula1>
    </dataValidation>
    <dataValidation type="decimal" allowBlank="1" showDropDown="1" showErrorMessage="1" sqref="E156:E162">
      <formula1>0.0</formula1>
      <formula2>500.0</formula2>
    </dataValidation>
    <dataValidation type="decimal" operator="greaterThanOrEqual" allowBlank="1" showDropDown="1" sqref="F22:F26 F28 F31">
      <formula1>0.0</formula1>
    </dataValidation>
  </dataValidation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51" t="str">
        <f>'WEEK 7 MASTER SHEET'!A1</f>
        <v/>
      </c>
    </row>
    <row r="8">
      <c r="A8" s="11"/>
      <c r="B8" s="11"/>
      <c r="C8" s="11"/>
      <c r="D8" s="11"/>
      <c r="E8" s="11"/>
      <c r="F8" s="11"/>
      <c r="G8" s="11"/>
      <c r="H8" s="11"/>
      <c r="I8" s="11"/>
      <c r="J8" s="11"/>
      <c r="K8" s="11"/>
      <c r="L8" s="11"/>
      <c r="M8" s="11"/>
      <c r="N8" s="11"/>
      <c r="O8" s="11"/>
      <c r="P8" s="11"/>
      <c r="Q8" s="11"/>
      <c r="R8" s="11"/>
      <c r="S8" s="11"/>
      <c r="T8" s="11"/>
    </row>
    <row r="9">
      <c r="A9" s="1127" t="str">
        <f>'WEEK 7 MASTER SHEET'!A9</f>
        <v>Week 7</v>
      </c>
      <c r="B9" s="36"/>
      <c r="C9" s="36"/>
      <c r="D9" s="36"/>
      <c r="E9" s="36"/>
      <c r="F9" s="37"/>
      <c r="G9" s="1151"/>
      <c r="H9" s="24" t="s">
        <v>35</v>
      </c>
      <c r="I9" s="25"/>
      <c r="J9" s="25"/>
      <c r="K9" s="25"/>
      <c r="L9" s="25"/>
      <c r="M9" s="26"/>
      <c r="N9" s="1151"/>
    </row>
    <row r="10">
      <c r="A10" s="991" t="str">
        <f>'WEEK 7 MASTER SHEET'!A10</f>
        <v>PRESS TO RECORD BODY WEIGHT</v>
      </c>
      <c r="F10" s="28"/>
      <c r="H10" s="27" t="s">
        <v>195</v>
      </c>
      <c r="M10" s="28"/>
    </row>
    <row r="11">
      <c r="A11" s="336"/>
      <c r="B11" s="11"/>
      <c r="C11" s="11"/>
      <c r="D11" s="11"/>
      <c r="E11" s="11"/>
      <c r="F11" s="46"/>
      <c r="H11" s="29" t="s">
        <v>196</v>
      </c>
      <c r="I11" s="30"/>
      <c r="J11" s="30"/>
      <c r="K11" s="30"/>
      <c r="L11" s="30"/>
      <c r="M11" s="31"/>
    </row>
    <row r="12">
      <c r="A12" s="992" t="str">
        <f>'WEEK 7 MASTER SHEET'!A12</f>
        <v>This Weeks Goals</v>
      </c>
      <c r="B12" s="11"/>
      <c r="C12" s="11"/>
      <c r="D12" s="11"/>
      <c r="E12" s="11"/>
      <c r="F12" s="46"/>
      <c r="H12" s="1151" t="str">
        <f>'WEEK 7 MASTER SHEET'!H12</f>
        <v/>
      </c>
    </row>
    <row r="13">
      <c r="A13" s="1128" t="str">
        <f>'WEEK 7 MASTER SHEET'!A13</f>
        <v>This week you will be attempting new max weights as well as experiencing high reps on leg day. Stay focused and remember rest and recovery are key to your results. Good luck!</v>
      </c>
      <c r="B13" s="11"/>
      <c r="C13" s="11"/>
      <c r="D13" s="11"/>
      <c r="E13" s="11"/>
      <c r="F13" s="46"/>
    </row>
    <row r="14">
      <c r="A14" s="1152" t="str">
        <f>'WEEK 7 MASTER SHEET'!A14</f>
        <v/>
      </c>
      <c r="B14" s="11"/>
      <c r="C14" s="11"/>
      <c r="D14" s="11"/>
      <c r="E14" s="11"/>
      <c r="F14" s="11"/>
    </row>
    <row r="15">
      <c r="A15" s="996" t="str">
        <f>'WEEK 7 MASTER SHEET'!A15</f>
        <v>DAY 1 </v>
      </c>
      <c r="B15" s="11"/>
      <c r="C15" s="11"/>
      <c r="D15" s="11"/>
      <c r="E15" s="11"/>
      <c r="F15" s="46"/>
      <c r="G15" s="1153" t="str">
        <f>'WEEK 7 MASTER SHEET'!G15</f>
        <v/>
      </c>
      <c r="H15" s="1098" t="str">
        <f>'WEEK 7 MASTER SHEET'!H15</f>
        <v>ALTERNATE WORKOUTS</v>
      </c>
      <c r="I15" s="36"/>
      <c r="J15" s="36"/>
      <c r="K15" s="36"/>
      <c r="L15" s="36"/>
      <c r="M15" s="37"/>
      <c r="N15" s="1151" t="str">
        <f>'WEEK 7 MASTER SHEET'!N15</f>
        <v/>
      </c>
    </row>
    <row r="16">
      <c r="A16" s="1151" t="str">
        <f>'WEEK 7 MASTER SHEET'!A16</f>
        <v/>
      </c>
    </row>
    <row r="19">
      <c r="A19" s="51" t="str">
        <f>'WEEK 7 MASTER SHEET'!A19</f>
        <v>CHEST &amp; BACK </v>
      </c>
      <c r="B19" s="36"/>
      <c r="C19" s="36"/>
      <c r="D19" s="36"/>
      <c r="E19" s="36"/>
      <c r="F19" s="37"/>
      <c r="G19" s="1151"/>
      <c r="H19" s="51" t="str">
        <f>'WEEK 7 MASTER SHEET'!H19</f>
        <v>CHEST &amp; BACK </v>
      </c>
      <c r="I19" s="36"/>
      <c r="J19" s="36"/>
      <c r="K19" s="36"/>
      <c r="L19" s="36"/>
      <c r="M19" s="37"/>
      <c r="N19" s="141" t="str">
        <f>'WEEK 7 MASTER SHEET'!N19</f>
        <v/>
      </c>
      <c r="O19" s="51" t="str">
        <f>'WEEK 7 MASTER SHEET'!O19</f>
        <v>CHEST &amp; BACK </v>
      </c>
      <c r="P19" s="36"/>
      <c r="Q19" s="36"/>
      <c r="R19" s="36"/>
      <c r="S19" s="36"/>
      <c r="T19" s="37"/>
    </row>
    <row r="20">
      <c r="A20" s="225" t="str">
        <f>'WEEK 7 MASTER SHEET'!A20</f>
        <v>1. BENCH PRESS</v>
      </c>
      <c r="B20" s="13"/>
      <c r="C20" s="13"/>
      <c r="D20" s="13"/>
      <c r="E20" s="13"/>
      <c r="F20" s="57"/>
      <c r="H20" s="52" t="str">
        <f>'WEEK 7 MASTER SHEET'!H20</f>
        <v>1. DUMBBELL INCLINE PRESS</v>
      </c>
      <c r="I20" s="53"/>
      <c r="J20" s="53"/>
      <c r="K20" s="53"/>
      <c r="L20" s="53"/>
      <c r="M20" s="54"/>
      <c r="O20" s="52" t="str">
        <f>'WEEK 7 MASTER SHEET'!O20</f>
        <v>1. MACHINE PRESS</v>
      </c>
      <c r="P20" s="53"/>
      <c r="Q20" s="53"/>
      <c r="R20" s="53"/>
      <c r="S20" s="53"/>
      <c r="T20" s="53"/>
    </row>
    <row r="21">
      <c r="A21" s="226" t="str">
        <f>'WEEK 7 MASTER SHEET'!A21</f>
        <v>CURRENT MAX</v>
      </c>
      <c r="B21" s="227">
        <f>'WEEK 7 MASTER SHEET'!B21</f>
        <v>100</v>
      </c>
      <c r="C21" s="20"/>
      <c r="D21" s="20"/>
      <c r="E21" s="20"/>
      <c r="F21" s="95"/>
      <c r="H21" s="228" t="str">
        <f>'WEEK 7 MASTER SHEET'!H21</f>
        <v>CURRENT MAX</v>
      </c>
      <c r="I21" s="229" t="str">
        <f>'WEEK 7 MASTER SHEET'!I21</f>
        <v/>
      </c>
      <c r="J21" s="16"/>
      <c r="K21" s="16"/>
      <c r="L21" s="16"/>
      <c r="M21" s="230"/>
      <c r="O21" s="228" t="str">
        <f>'WEEK 7 MASTER SHEET'!O21</f>
        <v>CURRENT MAX</v>
      </c>
      <c r="P21" s="229" t="str">
        <f>'WEEK 7 MASTER SHEET'!P21</f>
        <v/>
      </c>
      <c r="Q21" s="16"/>
      <c r="R21" s="16"/>
      <c r="S21" s="16"/>
      <c r="T21" s="16"/>
    </row>
    <row r="22">
      <c r="A22" s="231" t="str">
        <f>'WEEK 7 MASTER SHEET'!A22</f>
        <v>SET</v>
      </c>
      <c r="B22" s="232" t="str">
        <f>'WEEK 7 MASTER SHEET'!B22</f>
        <v>WEIGHT</v>
      </c>
      <c r="C22" s="232" t="str">
        <f>'WEEK 7 MASTER SHEET'!C22</f>
        <v>REPS</v>
      </c>
      <c r="D22" s="232" t="str">
        <f>'WEEK 7 MASTER SHEET'!D22</f>
        <v>REST</v>
      </c>
      <c r="E22" s="233" t="str">
        <f>'WEEK 7 MASTER SHEET'!E22</f>
        <v>PREVIOUS</v>
      </c>
      <c r="F22" s="61" t="str">
        <f>'WEEK 7 MASTER SHEET'!F22</f>
        <v>REP LOG</v>
      </c>
      <c r="H22" s="96" t="str">
        <f>'WEEK 7 MASTER SHEET'!H22</f>
        <v>SET</v>
      </c>
      <c r="I22" s="97" t="str">
        <f>'WEEK 7 MASTER SHEET'!I22</f>
        <v>WEIGHT</v>
      </c>
      <c r="J22" s="97" t="str">
        <f>'WEEK 7 MASTER SHEET'!J22</f>
        <v>REPS</v>
      </c>
      <c r="K22" s="97" t="str">
        <f>'WEEK 7 MASTER SHEET'!K22</f>
        <v>REST</v>
      </c>
      <c r="L22" s="98" t="str">
        <f>'WEEK 7 MASTER SHEET'!L22</f>
        <v>PREVIOUS</v>
      </c>
      <c r="M22" s="235" t="str">
        <f>'WEEK 7 MASTER SHEET'!M22</f>
        <v>REP LOG</v>
      </c>
      <c r="O22" s="96" t="str">
        <f>'WEEK 7 MASTER SHEET'!O22</f>
        <v>SET</v>
      </c>
      <c r="P22" s="97" t="str">
        <f>'WEEK 7 MASTER SHEET'!P22</f>
        <v>WEIGHT</v>
      </c>
      <c r="Q22" s="97" t="str">
        <f>'WEEK 7 MASTER SHEET'!Q22</f>
        <v>REPS</v>
      </c>
      <c r="R22" s="97" t="str">
        <f>'WEEK 7 MASTER SHEET'!R22</f>
        <v>REST</v>
      </c>
      <c r="S22" s="98" t="str">
        <f>'WEEK 7 MASTER SHEET'!S22</f>
        <v>PREVIOUS</v>
      </c>
      <c r="T22" s="235" t="str">
        <f>'WEEK 7 MASTER SHEET'!T22</f>
        <v>REP LOG</v>
      </c>
    </row>
    <row r="23">
      <c r="A23" s="236">
        <f>'WEEK 7 MASTER SHEET'!A23</f>
        <v>1</v>
      </c>
      <c r="B23" s="237">
        <f>'WEEK 7 MASTER SHEET'!B23</f>
        <v>45</v>
      </c>
      <c r="C23" s="237">
        <f>'WEEK 7 MASTER SHEET'!C23</f>
        <v>6</v>
      </c>
      <c r="D23" s="238" t="str">
        <f>'WEEK 7 MASTER SHEET'!D23</f>
        <v>30s</v>
      </c>
      <c r="E23" s="66">
        <f>'WEEK 7 MASTER SHEET'!E23</f>
        <v>6</v>
      </c>
      <c r="F23" s="67"/>
      <c r="H23" s="244">
        <f>'WEEK 7 MASTER SHEET'!H23</f>
        <v>1</v>
      </c>
      <c r="I23" s="241">
        <f>'WEEK 7 MASTER SHEET'!I23</f>
        <v>0</v>
      </c>
      <c r="J23" s="63">
        <f>'WEEK 7 MASTER SHEET'!J23</f>
        <v>6</v>
      </c>
      <c r="K23" s="83" t="str">
        <f>'WEEK 7 MASTER SHEET'!K23</f>
        <v>1-3 MIN</v>
      </c>
      <c r="L23" s="84" t="str">
        <f>'WEEK 7 MASTER SHEET'!L23</f>
        <v/>
      </c>
      <c r="M23" s="85"/>
      <c r="O23" s="244">
        <f>'WEEK 7 MASTER SHEET'!O23</f>
        <v>1</v>
      </c>
      <c r="P23" s="241">
        <f>'WEEK 7 MASTER SHEET'!P23</f>
        <v>0</v>
      </c>
      <c r="Q23" s="63">
        <f>'WEEK 7 MASTER SHEET'!Q23</f>
        <v>6</v>
      </c>
      <c r="R23" s="83" t="str">
        <f>'WEEK 7 MASTER SHEET'!R23</f>
        <v>1-3 MIN</v>
      </c>
      <c r="S23" s="84" t="str">
        <f>'WEEK 7 MASTER SHEET'!S23</f>
        <v/>
      </c>
      <c r="T23" s="85"/>
    </row>
    <row r="24">
      <c r="A24" s="236">
        <f>'WEEK 7 MASTER SHEET'!A24</f>
        <v>2</v>
      </c>
      <c r="B24" s="237">
        <f>'WEEK 7 MASTER SHEET'!B24</f>
        <v>80</v>
      </c>
      <c r="C24" s="237">
        <f>'WEEK 7 MASTER SHEET'!C24</f>
        <v>1</v>
      </c>
      <c r="D24" s="238" t="str">
        <f>'WEEK 7 MASTER SHEET'!D24</f>
        <v>1-2 MIN</v>
      </c>
      <c r="E24" s="66" t="str">
        <f>'WEEK 7 MASTER SHEET'!E24</f>
        <v/>
      </c>
      <c r="F24" s="67"/>
      <c r="G24" s="1154" t="str">
        <f>'WEEK 7 MASTER SHEET'!G24</f>
        <v>Alternate</v>
      </c>
      <c r="H24" s="240">
        <f>'WEEK 7 MASTER SHEET'!H24</f>
        <v>2</v>
      </c>
      <c r="I24" s="241">
        <f>'WEEK 7 MASTER SHEET'!I24</f>
        <v>0</v>
      </c>
      <c r="J24" s="241">
        <f>'WEEK 7 MASTER SHEET'!J24</f>
        <v>1</v>
      </c>
      <c r="K24" s="83" t="str">
        <f>'WEEK 7 MASTER SHEET'!K24</f>
        <v>1-3 MIN</v>
      </c>
      <c r="L24" s="84" t="str">
        <f>'WEEK 7 MASTER SHEET'!L24</f>
        <v/>
      </c>
      <c r="M24" s="85"/>
      <c r="O24" s="240">
        <f>'WEEK 7 MASTER SHEET'!O24</f>
        <v>2</v>
      </c>
      <c r="P24" s="241">
        <f>'WEEK 7 MASTER SHEET'!P24</f>
        <v>0</v>
      </c>
      <c r="Q24" s="241">
        <f>'WEEK 7 MASTER SHEET'!Q24</f>
        <v>1</v>
      </c>
      <c r="R24" s="83" t="str">
        <f>'WEEK 7 MASTER SHEET'!R24</f>
        <v>1-3 MIN</v>
      </c>
      <c r="S24" s="84" t="str">
        <f>'WEEK 7 MASTER SHEET'!S24</f>
        <v/>
      </c>
      <c r="T24" s="85"/>
    </row>
    <row r="25">
      <c r="A25" s="242">
        <f>'WEEK 7 MASTER SHEET'!A25</f>
        <v>3</v>
      </c>
      <c r="B25" s="237">
        <f>'WEEK 7 MASTER SHEET'!B25</f>
        <v>90</v>
      </c>
      <c r="C25" s="82">
        <f>'WEEK 7 MASTER SHEET'!C25</f>
        <v>1</v>
      </c>
      <c r="D25" s="238" t="str">
        <f>'WEEK 7 MASTER SHEET'!D25</f>
        <v>1-2 MIN</v>
      </c>
      <c r="E25" s="66" t="str">
        <f>'WEEK 7 MASTER SHEET'!E25</f>
        <v/>
      </c>
      <c r="F25" s="67"/>
      <c r="H25" s="240">
        <f>'WEEK 7 MASTER SHEET'!H25</f>
        <v>3</v>
      </c>
      <c r="I25" s="241">
        <f>'WEEK 7 MASTER SHEET'!I25</f>
        <v>0</v>
      </c>
      <c r="J25" s="63">
        <f>'WEEK 7 MASTER SHEET'!J25</f>
        <v>1</v>
      </c>
      <c r="K25" s="83" t="str">
        <f>'WEEK 7 MASTER SHEET'!K25</f>
        <v>1-3 MIN</v>
      </c>
      <c r="L25" s="84" t="str">
        <f>'WEEK 7 MASTER SHEET'!L25</f>
        <v/>
      </c>
      <c r="M25" s="85"/>
      <c r="O25" s="240">
        <f>'WEEK 7 MASTER SHEET'!O25</f>
        <v>3</v>
      </c>
      <c r="P25" s="241">
        <f>'WEEK 7 MASTER SHEET'!P25</f>
        <v>0</v>
      </c>
      <c r="Q25" s="241">
        <f>'WEEK 7 MASTER SHEET'!Q25</f>
        <v>1</v>
      </c>
      <c r="R25" s="83" t="str">
        <f>'WEEK 7 MASTER SHEET'!R25</f>
        <v>1-3 MIN</v>
      </c>
      <c r="S25" s="84" t="str">
        <f>'WEEK 7 MASTER SHEET'!S25</f>
        <v/>
      </c>
      <c r="T25" s="85"/>
    </row>
    <row r="26">
      <c r="A26" s="243">
        <f>'WEEK 7 MASTER SHEET'!A26</f>
        <v>4</v>
      </c>
      <c r="B26" s="237">
        <f>'WEEK 7 MASTER SHEET'!B26</f>
        <v>100</v>
      </c>
      <c r="C26" s="175">
        <f>'WEEK 7 MASTER SHEET'!C26</f>
        <v>1</v>
      </c>
      <c r="D26" s="238" t="str">
        <f>'WEEK 7 MASTER SHEET'!D26</f>
        <v>1-5 MIN</v>
      </c>
      <c r="E26" s="66" t="str">
        <f>'WEEK 7 MASTER SHEET'!E26</f>
        <v/>
      </c>
      <c r="F26" s="67"/>
      <c r="G26" s="1151"/>
      <c r="H26" s="240">
        <f>'WEEK 7 MASTER SHEET'!H26</f>
        <v>4</v>
      </c>
      <c r="I26" s="241">
        <f>'WEEK 7 MASTER SHEET'!I26</f>
        <v>0</v>
      </c>
      <c r="J26" s="245" t="str">
        <f>'WEEK 7 MASTER SHEET'!J26</f>
        <v>REP OUT</v>
      </c>
      <c r="K26" s="83" t="str">
        <f>'WEEK 7 MASTER SHEET'!K26</f>
        <v>1-3 MIN</v>
      </c>
      <c r="L26" s="84" t="str">
        <f>'WEEK 7 MASTER SHEET'!L26</f>
        <v/>
      </c>
      <c r="M26" s="85"/>
      <c r="O26" s="240">
        <f>'WEEK 7 MASTER SHEET'!O26</f>
        <v>4</v>
      </c>
      <c r="P26" s="241">
        <f>'WEEK 7 MASTER SHEET'!P26</f>
        <v>0</v>
      </c>
      <c r="Q26" s="245" t="str">
        <f>'WEEK 7 MASTER SHEET'!Q26</f>
        <v>REP OUT</v>
      </c>
      <c r="R26" s="83" t="str">
        <f>'WEEK 7 MASTER SHEET'!R26</f>
        <v>1-3 MIN</v>
      </c>
      <c r="S26" s="84" t="str">
        <f>'WEEK 7 MASTER SHEET'!S26</f>
        <v/>
      </c>
      <c r="T26" s="85"/>
    </row>
    <row r="27">
      <c r="A27" s="246" t="str">
        <f>'WEEK 7 MASTER SHEET'!A27</f>
        <v>PROCEED TO DOWN SETS</v>
      </c>
      <c r="B27" s="20"/>
      <c r="C27" s="20"/>
      <c r="D27" s="20"/>
      <c r="E27" s="20"/>
      <c r="F27" s="95"/>
      <c r="H27" s="248" t="str">
        <f>'WEEK 7 MASTER SHEET'!H27</f>
        <v>PROCEED TO DOWNSETS</v>
      </c>
      <c r="M27" s="28"/>
      <c r="N27" s="247" t="str">
        <f>'WEEK 7 MASTER SHEET'!N27</f>
        <v>ALTERNATE</v>
      </c>
      <c r="O27" s="248" t="str">
        <f>'WEEK 7 MASTER SHEET'!O27</f>
        <v>PROCEED TO DOWNSETS</v>
      </c>
    </row>
    <row r="28">
      <c r="A28" s="249" t="str">
        <f>'WEEK 7 MASTER SHEET'!A28</f>
        <v/>
      </c>
      <c r="B28" s="175" t="str">
        <f>'WEEK 7 MASTER SHEET'!B28</f>
        <v/>
      </c>
      <c r="C28" s="238" t="str">
        <f>'WEEK 7 MASTER SHEET'!C28</f>
        <v/>
      </c>
      <c r="D28" s="238" t="str">
        <f>'WEEK 7 MASTER SHEET'!D28</f>
        <v/>
      </c>
      <c r="E28" s="250" t="str">
        <f>'WEEK 7 MASTER SHEET'!E28</f>
        <v/>
      </c>
      <c r="F28" s="67"/>
      <c r="H28" s="251" t="str">
        <f>'WEEK 7 MASTER SHEET'!H28</f>
        <v/>
      </c>
      <c r="I28" s="252" t="str">
        <f>'WEEK 7 MASTER SHEET'!I28</f>
        <v/>
      </c>
      <c r="J28" s="253" t="str">
        <f>'WEEK 7 MASTER SHEET'!J28</f>
        <v/>
      </c>
      <c r="K28" s="254" t="str">
        <f>'WEEK 7 MASTER SHEET'!K28</f>
        <v/>
      </c>
      <c r="L28" s="84" t="str">
        <f>'WEEK 7 MASTER SHEET'!L28</f>
        <v/>
      </c>
      <c r="M28" s="67"/>
      <c r="O28" s="251" t="str">
        <f>'WEEK 7 MASTER SHEET'!O28</f>
        <v/>
      </c>
      <c r="P28" s="252" t="str">
        <f>'WEEK 7 MASTER SHEET'!P28</f>
        <v/>
      </c>
      <c r="Q28" s="253" t="str">
        <f>'WEEK 7 MASTER SHEET'!Q28</f>
        <v/>
      </c>
      <c r="R28" s="254" t="str">
        <f>'WEEK 7 MASTER SHEET'!R28</f>
        <v/>
      </c>
      <c r="S28" s="84" t="str">
        <f>'WEEK 7 MASTER SHEET'!S28</f>
        <v/>
      </c>
      <c r="T28" s="665"/>
    </row>
    <row r="29">
      <c r="A29" s="256" t="str">
        <f>'WEEK 7 MASTER SHEET'!A29</f>
        <v/>
      </c>
      <c r="B29" s="175" t="str">
        <f>'WEEK 7 MASTER SHEET'!B29</f>
        <v/>
      </c>
      <c r="C29" s="238" t="str">
        <f>'WEEK 7 MASTER SHEET'!C29</f>
        <v/>
      </c>
      <c r="D29" s="238" t="str">
        <f>'WEEK 7 MASTER SHEET'!D29</f>
        <v/>
      </c>
      <c r="E29" s="258"/>
      <c r="F29" s="67"/>
      <c r="H29" s="260" t="str">
        <f>'WEEK 7 MASTER SHEET'!H29</f>
        <v>DOWN SETS</v>
      </c>
      <c r="I29" s="16"/>
      <c r="J29" s="16"/>
      <c r="K29" s="16"/>
      <c r="L29" s="16"/>
      <c r="M29" s="230"/>
      <c r="N29" s="141" t="str">
        <f>'WEEK 7 MASTER SHEET'!N29</f>
        <v/>
      </c>
      <c r="O29" s="260" t="str">
        <f>'WEEK 7 MASTER SHEET'!O29</f>
        <v>FILL OUT REP LOG FIRST</v>
      </c>
      <c r="P29" s="16"/>
      <c r="Q29" s="16"/>
      <c r="R29" s="16"/>
      <c r="S29" s="16"/>
      <c r="T29" s="16"/>
    </row>
    <row r="30">
      <c r="A30" s="246" t="str">
        <f>'WEEK 7 MASTER SHEET'!A30</f>
        <v>FILL OUT REP LOG FOR DOWN SETS</v>
      </c>
      <c r="B30" s="20"/>
      <c r="C30" s="20"/>
      <c r="D30" s="20"/>
      <c r="E30" s="20"/>
      <c r="F30" s="95"/>
      <c r="H30" s="91" t="str">
        <f>'WEEK 7 MASTER SHEET'!H30</f>
        <v/>
      </c>
      <c r="I30" s="261" t="str">
        <f>'WEEK 7 MASTER SHEET'!I30</f>
        <v/>
      </c>
      <c r="J30" s="262" t="str">
        <f>'WEEK 7 MASTER SHEET'!J30</f>
        <v/>
      </c>
      <c r="K30" s="65" t="str">
        <f>'WEEK 7 MASTER SHEET'!K30</f>
        <v/>
      </c>
      <c r="L30" s="84" t="str">
        <f>'WEEK 7 MASTER SHEET'!L30</f>
        <v/>
      </c>
      <c r="M30" s="263" t="str">
        <f>'WEEK 7 MASTER SHEET'!M30</f>
        <v/>
      </c>
      <c r="O30" s="91" t="str">
        <f>'WEEK 7 MASTER SHEET'!O30</f>
        <v/>
      </c>
      <c r="P30" s="261" t="str">
        <f>'WEEK 7 MASTER SHEET'!P30</f>
        <v/>
      </c>
      <c r="Q30" s="262" t="str">
        <f>'WEEK 7 MASTER SHEET'!Q30</f>
        <v/>
      </c>
      <c r="R30" s="65" t="str">
        <f>'WEEK 7 MASTER SHEET'!R30</f>
        <v/>
      </c>
      <c r="S30" s="84" t="str">
        <f>'WEEK 7 MASTER SHEET'!S30</f>
        <v/>
      </c>
      <c r="T30" s="263" t="str">
        <f>'WEEK 7 MASTER SHEET'!T30</f>
        <v/>
      </c>
    </row>
    <row r="31">
      <c r="A31" s="264" t="str">
        <f>'WEEK 7 MASTER SHEET'!A31</f>
        <v/>
      </c>
      <c r="B31" s="265" t="str">
        <f>'WEEK 7 MASTER SHEET'!B31</f>
        <v/>
      </c>
      <c r="C31" s="266" t="str">
        <f>'WEEK 7 MASTER SHEET'!C31</f>
        <v/>
      </c>
      <c r="D31" s="267" t="str">
        <f>'WEEK 7 MASTER SHEET'!D31</f>
        <v/>
      </c>
      <c r="E31" s="268" t="str">
        <f>'WEEK 7 MASTER SHEET'!E31</f>
        <v/>
      </c>
      <c r="F31" s="67"/>
      <c r="H31" s="269" t="str">
        <f>'WEEK 7 MASTER SHEET'!H31</f>
        <v/>
      </c>
      <c r="I31" s="254" t="str">
        <f>'WEEK 7 MASTER SHEET'!I31</f>
        <v/>
      </c>
      <c r="J31" s="253" t="str">
        <f>'WEEK 7 MASTER SHEET'!J31</f>
        <v/>
      </c>
      <c r="K31" s="65" t="str">
        <f>'WEEK 7 MASTER SHEET'!K31</f>
        <v/>
      </c>
      <c r="L31" s="84" t="str">
        <f>'WEEK 7 MASTER SHEET'!L31</f>
        <v/>
      </c>
      <c r="M31" s="270" t="str">
        <f>'WEEK 7 MASTER SHEET'!M31</f>
        <v/>
      </c>
      <c r="O31" s="269" t="str">
        <f>'WEEK 7 MASTER SHEET'!O31</f>
        <v/>
      </c>
      <c r="P31" s="254" t="str">
        <f>'WEEK 7 MASTER SHEET'!P31</f>
        <v/>
      </c>
      <c r="Q31" s="253" t="str">
        <f>'WEEK 7 MASTER SHEET'!Q31</f>
        <v/>
      </c>
      <c r="R31" s="65" t="str">
        <f>'WEEK 7 MASTER SHEET'!R31</f>
        <v/>
      </c>
      <c r="S31" s="84" t="str">
        <f>'WEEK 7 MASTER SHEET'!S31</f>
        <v/>
      </c>
      <c r="T31" s="270" t="str">
        <f>'WEEK 7 MASTER SHEET'!T31</f>
        <v/>
      </c>
    </row>
    <row r="32">
      <c r="A32" s="243" t="str">
        <f>'WEEK 7 MASTER SHEET'!A32</f>
        <v/>
      </c>
      <c r="B32" s="237" t="str">
        <f>'WEEK 7 MASTER SHEET'!B32</f>
        <v/>
      </c>
      <c r="C32" s="245" t="str">
        <f>'WEEK 7 MASTER SHEET'!C32</f>
        <v/>
      </c>
      <c r="D32" s="65" t="str">
        <f>'WEEK 7 MASTER SHEET'!D32</f>
        <v/>
      </c>
      <c r="E32" s="258" t="str">
        <f>'WEEK 7 MASTER SHEET'!E32</f>
        <v/>
      </c>
      <c r="F32" s="271"/>
      <c r="H32" s="269" t="str">
        <f>'WEEK 7 MASTER SHEET'!H32</f>
        <v/>
      </c>
      <c r="I32" s="254" t="str">
        <f>'WEEK 7 MASTER SHEET'!I32</f>
        <v/>
      </c>
      <c r="J32" s="253" t="str">
        <f>'WEEK 7 MASTER SHEET'!J32</f>
        <v/>
      </c>
      <c r="K32" s="65" t="str">
        <f>'WEEK 7 MASTER SHEET'!K32</f>
        <v/>
      </c>
      <c r="L32" s="84" t="str">
        <f>'WEEK 7 MASTER SHEET'!L32</f>
        <v/>
      </c>
      <c r="M32" s="263"/>
      <c r="O32" s="269" t="str">
        <f>'WEEK 7 MASTER SHEET'!O32</f>
        <v/>
      </c>
      <c r="P32" s="261" t="str">
        <f>'WEEK 7 MASTER SHEET'!P32</f>
        <v/>
      </c>
      <c r="Q32" s="1155" t="str">
        <f>'WEEK 7 MASTER SHEET'!Q32</f>
        <v/>
      </c>
      <c r="R32" s="261" t="str">
        <f>'WEEK 7 MASTER SHEET'!R32</f>
        <v/>
      </c>
      <c r="S32" s="1156" t="str">
        <f>'WEEK 7 MASTER SHEET'!S32</f>
        <v/>
      </c>
      <c r="T32" s="263"/>
    </row>
    <row r="33">
      <c r="A33" s="272" t="str">
        <f>'WEEK 7 MASTER SHEET'!A33</f>
        <v>FINAL MAX</v>
      </c>
      <c r="B33" s="273" t="str">
        <f>'WEEK 7 MASTER SHEET'!B33</f>
        <v/>
      </c>
      <c r="C33" s="11"/>
      <c r="D33" s="11"/>
      <c r="E33" s="11"/>
      <c r="F33" s="46"/>
      <c r="H33" s="269" t="str">
        <f>'WEEK 7 MASTER SHEET'!H33</f>
        <v/>
      </c>
      <c r="I33" s="254" t="str">
        <f>'WEEK 7 MASTER SHEET'!I33</f>
        <v/>
      </c>
      <c r="J33" s="253" t="str">
        <f>'WEEK 7 MASTER SHEET'!J33</f>
        <v/>
      </c>
      <c r="K33" s="65" t="str">
        <f>'WEEK 7 MASTER SHEET'!K33</f>
        <v/>
      </c>
      <c r="L33" s="84" t="str">
        <f>'WEEK 7 MASTER SHEET'!L33</f>
        <v/>
      </c>
      <c r="M33" s="263"/>
      <c r="O33" s="269" t="str">
        <f>'WEEK 7 MASTER SHEET'!O33</f>
        <v/>
      </c>
      <c r="P33" s="261" t="str">
        <f>'WEEK 7 MASTER SHEET'!P33</f>
        <v/>
      </c>
      <c r="Q33" s="1155" t="str">
        <f>'WEEK 7 MASTER SHEET'!Q33</f>
        <v/>
      </c>
      <c r="R33" s="261" t="str">
        <f>'WEEK 7 MASTER SHEET'!R33</f>
        <v/>
      </c>
      <c r="S33" s="1156" t="str">
        <f>'WEEK 7 MASTER SHEET'!S33</f>
        <v/>
      </c>
      <c r="T33" s="263"/>
    </row>
    <row r="34">
      <c r="A34" s="1151"/>
      <c r="H34" s="280" t="str">
        <f>'WEEK 7 MASTER SHEET'!H34</f>
        <v>FINAL MAX</v>
      </c>
      <c r="I34" s="273" t="str">
        <f>'WEEK 7 MASTER SHEET'!I34</f>
        <v/>
      </c>
      <c r="J34" s="11"/>
      <c r="K34" s="11"/>
      <c r="L34" s="11"/>
      <c r="M34" s="46"/>
      <c r="O34" s="280" t="str">
        <f>'WEEK 7 MASTER SHEET'!O34</f>
        <v>FINAL MAX</v>
      </c>
      <c r="P34" s="273" t="str">
        <f>'WEEK 7 MASTER SHEET'!P34</f>
        <v/>
      </c>
      <c r="Q34" s="11"/>
      <c r="R34" s="11"/>
      <c r="S34" s="11"/>
      <c r="T34" s="11"/>
    </row>
    <row r="35">
      <c r="A35" s="658" t="str">
        <f>'WEEK 7 MASTER SHEET'!A35</f>
        <v/>
      </c>
      <c r="O35" s="1151" t="str">
        <f>'WEEK 7 MASTER SHEET'!O35</f>
        <v/>
      </c>
    </row>
    <row r="37">
      <c r="A37" s="440" t="str">
        <f>'WEEK 7 MASTER SHEET'!A37</f>
        <v>2. DUMBBELL CHEST FLY</v>
      </c>
      <c r="B37" s="53"/>
      <c r="C37" s="53"/>
      <c r="D37" s="53"/>
      <c r="E37" s="53"/>
      <c r="F37" s="54"/>
      <c r="G37" s="659" t="str">
        <f>'WEEK 7 MASTER SHEET'!G37</f>
        <v/>
      </c>
      <c r="H37" s="504" t="str">
        <f>'WEEK 7 MASTER SHEET'!H37</f>
        <v>2. MACHINE CHEST FLY</v>
      </c>
      <c r="I37" s="53"/>
      <c r="J37" s="53"/>
      <c r="K37" s="53"/>
      <c r="L37" s="53"/>
      <c r="M37" s="54"/>
      <c r="N37" s="660" t="str">
        <f>'WEEK 7 MASTER SHEET'!N37</f>
        <v/>
      </c>
    </row>
    <row r="38">
      <c r="A38" s="226" t="str">
        <f>'WEEK 7 MASTER SHEET'!A38</f>
        <v>DB INCL MAX</v>
      </c>
      <c r="B38" s="548" t="str">
        <f>'WEEK 7 MASTER SHEET'!B38</f>
        <v/>
      </c>
      <c r="C38" s="13"/>
      <c r="D38" s="13"/>
      <c r="E38" s="13"/>
      <c r="F38" s="57"/>
      <c r="H38" s="226" t="str">
        <f>'WEEK 7 MASTER SHEET'!H38</f>
        <v>CURRENT MAX</v>
      </c>
      <c r="I38" s="548" t="str">
        <f>'WEEK 7 MASTER SHEET'!I38</f>
        <v/>
      </c>
      <c r="J38" s="13"/>
      <c r="K38" s="13"/>
      <c r="L38" s="13"/>
      <c r="M38" s="57"/>
    </row>
    <row r="39">
      <c r="A39" s="96" t="str">
        <f>'WEEK 7 MASTER SHEET'!A39</f>
        <v>SET</v>
      </c>
      <c r="B39" s="97" t="str">
        <f>'WEEK 7 MASTER SHEET'!B39</f>
        <v>WEIGHT</v>
      </c>
      <c r="C39" s="97" t="str">
        <f>'WEEK 7 MASTER SHEET'!C39</f>
        <v>REPS</v>
      </c>
      <c r="D39" s="97" t="str">
        <f>'WEEK 7 MASTER SHEET'!D39</f>
        <v>REST</v>
      </c>
      <c r="E39" s="98" t="str">
        <f>'WEEK 7 MASTER SHEET'!E39</f>
        <v>PREVIOUS</v>
      </c>
      <c r="F39" s="235" t="str">
        <f>'WEEK 7 MASTER SHEET'!F39</f>
        <v>REP LOG</v>
      </c>
      <c r="H39" s="96" t="str">
        <f>'WEEK 7 MASTER SHEET'!H39</f>
        <v>SET</v>
      </c>
      <c r="I39" s="97" t="str">
        <f>'WEEK 7 MASTER SHEET'!I39</f>
        <v>WEIGHT</v>
      </c>
      <c r="J39" s="97" t="str">
        <f>'WEEK 7 MASTER SHEET'!J39</f>
        <v>REPS</v>
      </c>
      <c r="K39" s="97" t="str">
        <f>'WEEK 7 MASTER SHEET'!K39</f>
        <v>REST</v>
      </c>
      <c r="L39" s="341" t="str">
        <f>'WEEK 7 MASTER SHEET'!L39</f>
        <v>PREVIOUS</v>
      </c>
      <c r="M39" s="235" t="str">
        <f>'WEEK 7 MASTER SHEET'!M39</f>
        <v>REP LOG</v>
      </c>
    </row>
    <row r="40">
      <c r="A40" s="240">
        <f>'WEEK 7 MASTER SHEET'!A40</f>
        <v>1</v>
      </c>
      <c r="B40" s="254">
        <f>'WEEK 7 MASTER SHEET'!B40</f>
        <v>0</v>
      </c>
      <c r="C40" s="241">
        <f>'WEEK 7 MASTER SHEET'!C40</f>
        <v>15</v>
      </c>
      <c r="D40" s="83" t="str">
        <f>'WEEK 7 MASTER SHEET'!D40</f>
        <v>1-3 MIN</v>
      </c>
      <c r="E40" s="84" t="str">
        <f>'WEEK 7 MASTER SHEET'!E40</f>
        <v/>
      </c>
      <c r="F40" s="85"/>
      <c r="H40" s="240">
        <f>'WEEK 7 MASTER SHEET'!H40</f>
        <v>1</v>
      </c>
      <c r="I40" s="254">
        <f>'WEEK 7 MASTER SHEET'!I40</f>
        <v>0</v>
      </c>
      <c r="J40" s="241">
        <f>'WEEK 7 MASTER SHEET'!J40</f>
        <v>15</v>
      </c>
      <c r="K40" s="83" t="str">
        <f>'WEEK 7 MASTER SHEET'!K40</f>
        <v>1-3 MIN</v>
      </c>
      <c r="L40" s="84" t="str">
        <f>'WEEK 7 MASTER SHEET'!L40</f>
        <v/>
      </c>
      <c r="M40" s="85"/>
    </row>
    <row r="41">
      <c r="A41" s="661">
        <f>'WEEK 7 MASTER SHEET'!A41</f>
        <v>2</v>
      </c>
      <c r="B41" s="662">
        <f>'WEEK 7 MASTER SHEET'!B41</f>
        <v>0</v>
      </c>
      <c r="C41" s="662">
        <f>'WEEK 7 MASTER SHEET'!C41</f>
        <v>15</v>
      </c>
      <c r="D41" s="88" t="str">
        <f>'WEEK 7 MASTER SHEET'!D41</f>
        <v>1-3 MIN</v>
      </c>
      <c r="E41" s="89" t="str">
        <f>'WEEK 7 MASTER SHEET'!E41</f>
        <v/>
      </c>
      <c r="F41" s="85"/>
      <c r="H41" s="661">
        <f>'WEEK 7 MASTER SHEET'!H41</f>
        <v>2</v>
      </c>
      <c r="I41" s="662">
        <f>'WEEK 7 MASTER SHEET'!I41</f>
        <v>0</v>
      </c>
      <c r="J41" s="662">
        <f>'WEEK 7 MASTER SHEET'!J41</f>
        <v>15</v>
      </c>
      <c r="K41" s="88" t="str">
        <f>'WEEK 7 MASTER SHEET'!K41</f>
        <v>1-3 MIN</v>
      </c>
      <c r="L41" s="89" t="str">
        <f>'WEEK 7 MASTER SHEET'!L41</f>
        <v/>
      </c>
      <c r="M41" s="85"/>
    </row>
    <row r="42">
      <c r="A42" s="1151" t="str">
        <f>'WEEK 7 MASTER SHEET'!A42</f>
        <v/>
      </c>
      <c r="G42" s="1151" t="str">
        <f>'WEEK 7 MASTER SHEET'!G42</f>
        <v/>
      </c>
    </row>
    <row r="44">
      <c r="A44" s="73" t="str">
        <f>'WEEK 7 MASTER SHEET'!A44</f>
        <v>3. MACHINE HIGH ROW</v>
      </c>
      <c r="B44" s="53"/>
      <c r="C44" s="53"/>
      <c r="D44" s="53"/>
      <c r="E44" s="53"/>
      <c r="F44" s="54"/>
    </row>
    <row r="45">
      <c r="A45" s="226" t="str">
        <f>'WEEK 7 MASTER SHEET'!A45</f>
        <v>CURRENT MAX</v>
      </c>
      <c r="B45" s="227">
        <f>'WEEK 7 MASTER SHEET'!B45</f>
        <v>60</v>
      </c>
      <c r="C45" s="20"/>
      <c r="D45" s="20"/>
      <c r="E45" s="20"/>
      <c r="F45" s="95"/>
    </row>
    <row r="46">
      <c r="A46" s="231" t="str">
        <f>'WEEK 7 MASTER SHEET'!A46</f>
        <v>SET</v>
      </c>
      <c r="B46" s="232" t="str">
        <f>'WEEK 7 MASTER SHEET'!B46</f>
        <v>WEIGHT</v>
      </c>
      <c r="C46" s="232" t="str">
        <f>'WEEK 7 MASTER SHEET'!C46</f>
        <v>REPS</v>
      </c>
      <c r="D46" s="232" t="str">
        <f>'WEEK 7 MASTER SHEET'!D46</f>
        <v>REST</v>
      </c>
      <c r="E46" s="233" t="str">
        <f>'WEEK 7 MASTER SHEET'!E46</f>
        <v>PREVIOUS</v>
      </c>
      <c r="F46" s="61" t="str">
        <f>'WEEK 7 MASTER SHEET'!F46</f>
        <v>REP LOG</v>
      </c>
    </row>
    <row r="47">
      <c r="A47" s="236">
        <f>'WEEK 7 MASTER SHEET'!A47</f>
        <v>1</v>
      </c>
      <c r="B47" s="237">
        <f>'WEEK 7 MASTER SHEET'!B47</f>
        <v>20</v>
      </c>
      <c r="C47" s="237">
        <f>'WEEK 7 MASTER SHEET'!C47</f>
        <v>6</v>
      </c>
      <c r="D47" s="238" t="str">
        <f>'WEEK 7 MASTER SHEET'!D47</f>
        <v>30s</v>
      </c>
      <c r="E47" s="66">
        <f>'WEEK 7 MASTER SHEET'!E47</f>
        <v>6</v>
      </c>
      <c r="F47" s="67"/>
    </row>
    <row r="48">
      <c r="A48" s="236">
        <f>'WEEK 7 MASTER SHEET'!A48</f>
        <v>2</v>
      </c>
      <c r="B48" s="237">
        <f>'WEEK 7 MASTER SHEET'!B48</f>
        <v>40</v>
      </c>
      <c r="C48" s="238">
        <f>'WEEK 7 MASTER SHEET'!C48</f>
        <v>3</v>
      </c>
      <c r="D48" s="238" t="str">
        <f>'WEEK 7 MASTER SHEET'!D48</f>
        <v>1-2 MIN</v>
      </c>
      <c r="E48" s="66">
        <f>'WEEK 7 MASTER SHEET'!E48</f>
        <v>3</v>
      </c>
      <c r="F48" s="67"/>
    </row>
    <row r="49">
      <c r="A49" s="242">
        <f>'WEEK 7 MASTER SHEET'!A49</f>
        <v>3</v>
      </c>
      <c r="B49" s="237">
        <f>'WEEK 7 MASTER SHEET'!B49</f>
        <v>55</v>
      </c>
      <c r="C49" s="63">
        <f>'WEEK 7 MASTER SHEET'!C49</f>
        <v>2</v>
      </c>
      <c r="D49" s="238" t="str">
        <f>'WEEK 7 MASTER SHEET'!D49</f>
        <v>1-2 MIN</v>
      </c>
      <c r="E49" s="66">
        <f>'WEEK 7 MASTER SHEET'!E49</f>
        <v>2</v>
      </c>
      <c r="F49" s="67"/>
    </row>
    <row r="50">
      <c r="A50" s="243">
        <f>'WEEK 7 MASTER SHEET'!A50</f>
        <v>4</v>
      </c>
      <c r="B50" s="237">
        <f>'WEEK 7 MASTER SHEET'!B50</f>
        <v>60</v>
      </c>
      <c r="C50" s="257">
        <f>'WEEK 7 MASTER SHEET'!C50</f>
        <v>3</v>
      </c>
      <c r="D50" s="238" t="str">
        <f>'WEEK 7 MASTER SHEET'!D50</f>
        <v>1-5 MIN</v>
      </c>
      <c r="E50" s="66">
        <f>'WEEK 7 MASTER SHEET'!E50</f>
        <v>3</v>
      </c>
      <c r="F50" s="67"/>
    </row>
    <row r="51">
      <c r="A51" s="246" t="str">
        <f>'WEEK 7 MASTER SHEET'!A51</f>
        <v>PROCEED TO DOWN SETS</v>
      </c>
      <c r="B51" s="20"/>
      <c r="C51" s="20"/>
      <c r="D51" s="20"/>
      <c r="E51" s="20"/>
      <c r="F51" s="95"/>
    </row>
    <row r="52">
      <c r="A52" s="249" t="str">
        <f>'WEEK 7 MASTER SHEET'!A52</f>
        <v/>
      </c>
      <c r="B52" s="175" t="str">
        <f>'WEEK 7 MASTER SHEET'!B52</f>
        <v/>
      </c>
      <c r="C52" s="238" t="str">
        <f>'WEEK 7 MASTER SHEET'!C52</f>
        <v/>
      </c>
      <c r="D52" s="238" t="str">
        <f>'WEEK 7 MASTER SHEET'!D52</f>
        <v/>
      </c>
      <c r="E52" s="250" t="str">
        <f>'WEEK 7 MASTER SHEET'!E52</f>
        <v/>
      </c>
      <c r="F52" s="67"/>
    </row>
    <row r="53">
      <c r="A53" s="259" t="str">
        <f>'WEEK 7 MASTER SHEET'!A53</f>
        <v/>
      </c>
      <c r="B53" s="237" t="str">
        <f>'WEEK 7 MASTER SHEET'!B53</f>
        <v/>
      </c>
      <c r="C53" s="257" t="str">
        <f>'WEEK 7 MASTER SHEET'!C53</f>
        <v/>
      </c>
      <c r="D53" s="257" t="str">
        <f>'WEEK 7 MASTER SHEET'!D53</f>
        <v/>
      </c>
      <c r="E53" s="258" t="str">
        <f>'WEEK 7 MASTER SHEET'!E53</f>
        <v/>
      </c>
      <c r="F53" s="67"/>
    </row>
    <row r="54">
      <c r="A54" s="246" t="str">
        <f>'WEEK 7 MASTER SHEET'!A54</f>
        <v>DOWN SETS</v>
      </c>
      <c r="B54" s="20"/>
      <c r="C54" s="20"/>
      <c r="D54" s="20"/>
      <c r="E54" s="20"/>
      <c r="F54" s="95"/>
    </row>
    <row r="55">
      <c r="A55" s="264">
        <f>'WEEK 7 MASTER SHEET'!A55</f>
        <v>5</v>
      </c>
      <c r="B55" s="265">
        <f>'WEEK 7 MASTER SHEET'!B55</f>
        <v>0</v>
      </c>
      <c r="C55" s="266" t="str">
        <f>'WEEK 7 MASTER SHEET'!C55</f>
        <v>REP OUT</v>
      </c>
      <c r="D55" s="267" t="str">
        <f>'WEEK 7 MASTER SHEET'!D55</f>
        <v>1-3 MIN</v>
      </c>
      <c r="E55" s="268" t="str">
        <f>'WEEK 7 MASTER SHEET'!E55</f>
        <v/>
      </c>
      <c r="F55" s="67"/>
    </row>
    <row r="56">
      <c r="A56" s="243">
        <f>'WEEK 7 MASTER SHEET'!A56</f>
        <v>6</v>
      </c>
      <c r="B56" s="237">
        <f>'WEEK 7 MASTER SHEET'!B56</f>
        <v>0</v>
      </c>
      <c r="C56" s="245" t="str">
        <f>'WEEK 7 MASTER SHEET'!C56</f>
        <v>REP OUT</v>
      </c>
      <c r="D56" s="65" t="str">
        <f>'WEEK 7 MASTER SHEET'!D56</f>
        <v>1-3 MIN</v>
      </c>
      <c r="E56" s="258" t="str">
        <f>'WEEK 7 MASTER SHEET'!E56</f>
        <v/>
      </c>
      <c r="F56" s="271"/>
    </row>
    <row r="57">
      <c r="A57" s="228" t="str">
        <f>'WEEK 7 MASTER SHEET'!A57</f>
        <v>FINAL MAX</v>
      </c>
      <c r="B57" s="549" t="str">
        <f>'WEEK 7 MASTER SHEET'!B57</f>
        <v/>
      </c>
      <c r="F57" s="28"/>
    </row>
    <row r="58">
      <c r="A58" s="750" t="str">
        <f>'WEEK 7 MASTER SHEET'!A58</f>
        <v/>
      </c>
      <c r="B58" s="36"/>
      <c r="C58" s="36"/>
      <c r="D58" s="36"/>
      <c r="E58" s="36"/>
      <c r="F58" s="36"/>
    </row>
    <row r="59">
      <c r="A59" s="751" t="str">
        <f>'WEEK 7 MASTER SHEET'!A59</f>
        <v>4. LAT PULL DOWN</v>
      </c>
      <c r="B59" s="13"/>
      <c r="C59" s="13"/>
      <c r="D59" s="13"/>
      <c r="E59" s="13"/>
      <c r="F59" s="57"/>
    </row>
    <row r="60">
      <c r="A60" s="226" t="str">
        <f>'WEEK 7 MASTER SHEET'!A60</f>
        <v>CURRENT MAX</v>
      </c>
      <c r="B60" s="691">
        <f>'WEEK 7 MASTER SHEET'!B60</f>
        <v>270</v>
      </c>
      <c r="C60" s="13"/>
      <c r="D60" s="13"/>
      <c r="E60" s="13"/>
      <c r="F60" s="57"/>
    </row>
    <row r="61">
      <c r="A61" s="96" t="str">
        <f>'WEEK 7 MASTER SHEET'!A61</f>
        <v>SET</v>
      </c>
      <c r="B61" s="97" t="str">
        <f>'WEEK 7 MASTER SHEET'!B61</f>
        <v>WEIGHT</v>
      </c>
      <c r="C61" s="97" t="str">
        <f>'WEEK 7 MASTER SHEET'!C61</f>
        <v>REPS</v>
      </c>
      <c r="D61" s="97" t="str">
        <f>'WEEK 7 MASTER SHEET'!D61</f>
        <v>REST</v>
      </c>
      <c r="E61" s="341" t="str">
        <f>'WEEK 7 MASTER SHEET'!E61</f>
        <v>PREVIOUS</v>
      </c>
      <c r="F61" s="235" t="str">
        <f>'WEEK 7 MASTER SHEET'!F61</f>
        <v>REP LOG</v>
      </c>
    </row>
    <row r="62">
      <c r="A62" s="725">
        <f>'WEEK 7 MASTER SHEET'!A62</f>
        <v>1</v>
      </c>
      <c r="B62" s="344">
        <f>'WEEK 7 MASTER SHEET'!B62</f>
        <v>230</v>
      </c>
      <c r="C62" s="437" t="str">
        <f>'WEEK 7 MASTER SHEET'!C62</f>
        <v>REP OUT</v>
      </c>
      <c r="D62" s="343" t="str">
        <f>'WEEK 7 MASTER SHEET'!D62</f>
        <v>1 MIN</v>
      </c>
      <c r="E62" s="752" t="str">
        <f>'WEEK 7 MASTER SHEET'!E62</f>
        <v/>
      </c>
      <c r="F62" s="85"/>
    </row>
    <row r="63">
      <c r="A63" s="725">
        <f>'WEEK 7 MASTER SHEET'!A63</f>
        <v>2</v>
      </c>
      <c r="B63" s="344">
        <f>'WEEK 7 MASTER SHEET'!B63</f>
        <v>185</v>
      </c>
      <c r="C63" s="437" t="str">
        <f>'WEEK 7 MASTER SHEET'!C63</f>
        <v>REP OUT</v>
      </c>
      <c r="D63" s="343" t="str">
        <f>'WEEK 7 MASTER SHEET'!D63</f>
        <v>1 MIN</v>
      </c>
      <c r="E63" s="752" t="str">
        <f>'WEEK 7 MASTER SHEET'!E63</f>
        <v/>
      </c>
      <c r="F63" s="85"/>
    </row>
    <row r="64">
      <c r="A64" s="753">
        <f>'WEEK 7 MASTER SHEET'!A64</f>
        <v>3</v>
      </c>
      <c r="B64" s="754">
        <f>'WEEK 7 MASTER SHEET'!B64</f>
        <v>140</v>
      </c>
      <c r="C64" s="733" t="str">
        <f>'WEEK 7 MASTER SHEET'!C64</f>
        <v>REP OUT</v>
      </c>
      <c r="D64" s="486" t="str">
        <f>'WEEK 7 MASTER SHEET'!D64</f>
        <v>1 MIN</v>
      </c>
      <c r="E64" s="755" t="str">
        <f>'WEEK 7 MASTER SHEET'!E64</f>
        <v/>
      </c>
      <c r="F64" s="85"/>
    </row>
    <row r="65">
      <c r="A65" s="756" t="str">
        <f>'WEEK 7 MASTER SHEET'!A65</f>
        <v/>
      </c>
    </row>
    <row r="67">
      <c r="A67" s="73" t="str">
        <f>'WEEK 7 MASTER SHEET'!A67</f>
        <v>5. LOW ROW </v>
      </c>
      <c r="B67" s="53"/>
      <c r="C67" s="53"/>
      <c r="D67" s="53"/>
      <c r="E67" s="53"/>
      <c r="F67" s="54"/>
    </row>
    <row r="68">
      <c r="A68" s="226" t="str">
        <f>'WEEK 7 MASTER SHEET'!A68</f>
        <v>CURRENT MAX</v>
      </c>
      <c r="B68" s="691">
        <f>'WEEK 7 MASTER SHEET'!B68</f>
        <v>270</v>
      </c>
      <c r="C68" s="13"/>
      <c r="D68" s="13"/>
      <c r="E68" s="13"/>
      <c r="F68" s="57"/>
    </row>
    <row r="69">
      <c r="A69" s="96" t="str">
        <f>'WEEK 7 MASTER SHEET'!A69</f>
        <v>SET</v>
      </c>
      <c r="B69" s="97" t="str">
        <f>'WEEK 7 MASTER SHEET'!B69</f>
        <v>WEIGHT</v>
      </c>
      <c r="C69" s="97" t="str">
        <f>'WEEK 7 MASTER SHEET'!C69</f>
        <v>REPS</v>
      </c>
      <c r="D69" s="97" t="str">
        <f>'WEEK 7 MASTER SHEET'!D69</f>
        <v>REST</v>
      </c>
      <c r="E69" s="341" t="str">
        <f>'WEEK 7 MASTER SHEET'!E69</f>
        <v>PREVIOUS</v>
      </c>
      <c r="F69" s="235" t="str">
        <f>'WEEK 7 MASTER SHEET'!F69</f>
        <v>REP LOG</v>
      </c>
    </row>
    <row r="70">
      <c r="A70" s="725">
        <f>'WEEK 7 MASTER SHEET'!A70</f>
        <v>1</v>
      </c>
      <c r="B70" s="344">
        <f>'WEEK 7 MASTER SHEET'!B70</f>
        <v>215</v>
      </c>
      <c r="C70" s="437" t="str">
        <f>'WEEK 7 MASTER SHEET'!C70</f>
        <v>REP OUT</v>
      </c>
      <c r="D70" s="343" t="str">
        <f>'WEEK 7 MASTER SHEET'!D70</f>
        <v>1-3 MIN</v>
      </c>
      <c r="E70" s="727" t="str">
        <f>'WEEK 7 MASTER SHEET'!E70</f>
        <v/>
      </c>
      <c r="F70" s="85"/>
    </row>
    <row r="71">
      <c r="A71" s="725">
        <f>'WEEK 7 MASTER SHEET'!A71</f>
        <v>2</v>
      </c>
      <c r="B71" s="344">
        <f>'WEEK 7 MASTER SHEET'!B71</f>
        <v>160</v>
      </c>
      <c r="C71" s="437" t="str">
        <f>'WEEK 7 MASTER SHEET'!C71</f>
        <v>REP OUT</v>
      </c>
      <c r="D71" s="343" t="str">
        <f>'WEEK 7 MASTER SHEET'!D71</f>
        <v>1-3 MIN</v>
      </c>
      <c r="E71" s="727" t="str">
        <f>'WEEK 7 MASTER SHEET'!E71</f>
        <v/>
      </c>
      <c r="F71" s="85"/>
    </row>
    <row r="72">
      <c r="A72" s="753">
        <f>'WEEK 7 MASTER SHEET'!A72</f>
        <v>3</v>
      </c>
      <c r="B72" s="754">
        <f>'WEEK 7 MASTER SHEET'!B72</f>
        <v>130</v>
      </c>
      <c r="C72" s="733" t="str">
        <f>'WEEK 7 MASTER SHEET'!C72</f>
        <v>REP OUT</v>
      </c>
      <c r="D72" s="486" t="str">
        <f>'WEEK 7 MASTER SHEET'!D72</f>
        <v>1-3 MIN</v>
      </c>
      <c r="E72" s="734" t="str">
        <f>'WEEK 7 MASTER SHEET'!E72</f>
        <v/>
      </c>
      <c r="F72" s="85"/>
    </row>
    <row r="73">
      <c r="A73" s="1157" t="str">
        <f>'WEEK 7 MASTER SHEET'!A73</f>
        <v/>
      </c>
      <c r="F73" s="39"/>
    </row>
    <row r="74">
      <c r="A74" s="310" t="str">
        <f>'WEEK 7 MASTER SHEET'!A74</f>
        <v>CLICK TO COMPLETE WORKOUT</v>
      </c>
      <c r="B74" s="36"/>
      <c r="C74" s="36"/>
      <c r="D74" s="36"/>
      <c r="E74" s="36"/>
      <c r="F74" s="37"/>
    </row>
    <row r="75">
      <c r="A75" s="763" t="str">
        <f>'WEEK 7 MASTER SHEET'!A75</f>
        <v/>
      </c>
      <c r="B75" s="11"/>
      <c r="C75" s="11"/>
      <c r="D75" s="11"/>
      <c r="E75" s="11"/>
      <c r="F75" s="11"/>
    </row>
    <row r="76">
      <c r="A76" s="50" t="str">
        <f>'WEEK 7 MASTER SHEET'!A76</f>
        <v>DAY 2 </v>
      </c>
      <c r="B76" s="36"/>
      <c r="C76" s="36"/>
      <c r="D76" s="36"/>
      <c r="E76" s="36"/>
      <c r="F76" s="37"/>
    </row>
    <row r="77">
      <c r="A77" s="1151" t="str">
        <f>'WEEK 7 MASTER SHEET'!A77</f>
        <v/>
      </c>
    </row>
    <row r="78">
      <c r="A78" s="960" t="str">
        <f>'WEEK 7 MASTER SHEET'!A78</f>
        <v>2. LEG PRESS</v>
      </c>
      <c r="B78" s="53"/>
      <c r="C78" s="53"/>
      <c r="D78" s="53"/>
      <c r="E78" s="53"/>
      <c r="F78" s="54"/>
    </row>
    <row r="79">
      <c r="A79" s="961" t="str">
        <f>'WEEK 7 MASTER SHEET'!A79</f>
        <v>CURRENT MAX</v>
      </c>
      <c r="B79" s="1035">
        <f>'WEEK 7 MASTER SHEET'!B79</f>
        <v>250</v>
      </c>
      <c r="C79" s="13"/>
      <c r="D79" s="13"/>
      <c r="E79" s="13"/>
      <c r="F79" s="57"/>
    </row>
    <row r="80">
      <c r="A80" s="231" t="str">
        <f>'WEEK 7 MASTER SHEET'!A80</f>
        <v>SET</v>
      </c>
      <c r="B80" s="232" t="str">
        <f>'WEEK 7 MASTER SHEET'!B80</f>
        <v>WEIGHT</v>
      </c>
      <c r="C80" s="232" t="str">
        <f>'WEEK 7 MASTER SHEET'!C80</f>
        <v>REPS</v>
      </c>
      <c r="D80" s="232" t="str">
        <f>'WEEK 7 MASTER SHEET'!D80</f>
        <v>REST</v>
      </c>
      <c r="E80" s="1073" t="str">
        <f>'WEEK 7 MASTER SHEET'!E80</f>
        <v>PREVIOUS</v>
      </c>
      <c r="F80" s="1006" t="str">
        <f>'WEEK 7 MASTER SHEET'!F80</f>
        <v>REP LOG</v>
      </c>
    </row>
    <row r="81">
      <c r="A81" s="236">
        <f>'WEEK 7 MASTER SHEET'!A81</f>
        <v>1</v>
      </c>
      <c r="B81" s="237">
        <f>'WEEK 7 MASTER SHEET'!B81</f>
        <v>90</v>
      </c>
      <c r="C81" s="238">
        <f>'WEEK 7 MASTER SHEET'!C81</f>
        <v>10</v>
      </c>
      <c r="D81" s="238" t="str">
        <f>'WEEK 7 MASTER SHEET'!D81</f>
        <v>30s</v>
      </c>
      <c r="E81" s="1130" t="str">
        <f>'WEEK 7 MASTER SHEET'!E81</f>
        <v/>
      </c>
      <c r="F81" s="1158"/>
    </row>
    <row r="82">
      <c r="A82" s="236">
        <f>'WEEK 7 MASTER SHEET'!A82</f>
        <v>2</v>
      </c>
      <c r="B82" s="237">
        <f>'WEEK 7 MASTER SHEET'!B82</f>
        <v>165</v>
      </c>
      <c r="C82" s="238">
        <f>'WEEK 7 MASTER SHEET'!C82</f>
        <v>10</v>
      </c>
      <c r="D82" s="238" t="str">
        <f>'WEEK 7 MASTER SHEET'!D82</f>
        <v>1-2 MIN</v>
      </c>
      <c r="E82" s="1130" t="str">
        <f>'WEEK 7 MASTER SHEET'!E82</f>
        <v/>
      </c>
      <c r="F82" s="1159"/>
    </row>
    <row r="83">
      <c r="A83" s="242">
        <f>'WEEK 7 MASTER SHEET'!A83</f>
        <v>3</v>
      </c>
      <c r="B83" s="237">
        <f>'WEEK 7 MASTER SHEET'!B83</f>
        <v>225</v>
      </c>
      <c r="C83" s="238">
        <f>'WEEK 7 MASTER SHEET'!C83</f>
        <v>10</v>
      </c>
      <c r="D83" s="238" t="str">
        <f>'WEEK 7 MASTER SHEET'!D83</f>
        <v>1-2 MIN</v>
      </c>
      <c r="E83" s="1130" t="str">
        <f>'WEEK 7 MASTER SHEET'!E83</f>
        <v/>
      </c>
      <c r="F83" s="1159"/>
    </row>
    <row r="84">
      <c r="A84" s="249">
        <f>'WEEK 7 MASTER SHEET'!A84</f>
        <v>4</v>
      </c>
      <c r="B84" s="175">
        <f>'WEEK 7 MASTER SHEET'!B84</f>
        <v>220</v>
      </c>
      <c r="C84" s="238">
        <f>'WEEK 7 MASTER SHEET'!C84</f>
        <v>10</v>
      </c>
      <c r="D84" s="238" t="str">
        <f>'WEEK 7 MASTER SHEET'!D84</f>
        <v>1-5 MIN</v>
      </c>
      <c r="E84" s="1130" t="str">
        <f>'WEEK 7 MASTER SHEET'!E84</f>
        <v/>
      </c>
      <c r="F84" s="1159"/>
    </row>
    <row r="85">
      <c r="A85" s="249">
        <f>'WEEK 7 MASTER SHEET'!A85</f>
        <v>5</v>
      </c>
      <c r="B85" s="175">
        <f>'WEEK 7 MASTER SHEET'!B85</f>
        <v>215</v>
      </c>
      <c r="C85" s="238">
        <f>'WEEK 7 MASTER SHEET'!C85</f>
        <v>10</v>
      </c>
      <c r="D85" s="238" t="str">
        <f>'WEEK 7 MASTER SHEET'!D85</f>
        <v>1-5 MIN</v>
      </c>
      <c r="E85" s="1130" t="str">
        <f>'WEEK 7 MASTER SHEET'!E85</f>
        <v/>
      </c>
      <c r="F85" s="1159"/>
    </row>
    <row r="86">
      <c r="A86" s="249">
        <f>'WEEK 7 MASTER SHEET'!A86</f>
        <v>6</v>
      </c>
      <c r="B86" s="175">
        <f>'WEEK 7 MASTER SHEET'!B86</f>
        <v>210</v>
      </c>
      <c r="C86" s="238">
        <f>'WEEK 7 MASTER SHEET'!C86</f>
        <v>10</v>
      </c>
      <c r="D86" s="238" t="str">
        <f>'WEEK 7 MASTER SHEET'!D86</f>
        <v>1-5 MIN</v>
      </c>
      <c r="E86" s="1130" t="str">
        <f>'WEEK 7 MASTER SHEET'!E86</f>
        <v/>
      </c>
      <c r="F86" s="1159"/>
    </row>
    <row r="87">
      <c r="A87" s="1038">
        <f>'WEEK 7 MASTER SHEET'!A87</f>
        <v>7</v>
      </c>
      <c r="B87" s="175">
        <f>'WEEK 7 MASTER SHEET'!B87</f>
        <v>205</v>
      </c>
      <c r="C87" s="238">
        <f>'WEEK 7 MASTER SHEET'!C87</f>
        <v>10</v>
      </c>
      <c r="D87" s="238" t="str">
        <f>'WEEK 7 MASTER SHEET'!D87</f>
        <v>1-5 MIN</v>
      </c>
      <c r="E87" s="1130" t="str">
        <f>'WEEK 7 MASTER SHEET'!E87</f>
        <v/>
      </c>
      <c r="F87" s="1160"/>
    </row>
    <row r="88">
      <c r="A88" s="249">
        <f>'WEEK 7 MASTER SHEET'!A88</f>
        <v>8</v>
      </c>
      <c r="B88" s="175">
        <f>'WEEK 7 MASTER SHEET'!B88</f>
        <v>200</v>
      </c>
      <c r="C88" s="238">
        <f>'WEEK 7 MASTER SHEET'!C88</f>
        <v>10</v>
      </c>
      <c r="D88" s="238" t="str">
        <f>'WEEK 7 MASTER SHEET'!D88</f>
        <v>1-5 MIN</v>
      </c>
      <c r="E88" s="1130" t="str">
        <f>'WEEK 7 MASTER SHEET'!E88</f>
        <v/>
      </c>
      <c r="F88" s="1161"/>
    </row>
    <row r="89">
      <c r="A89" s="1038">
        <f>'WEEK 7 MASTER SHEET'!A89</f>
        <v>9</v>
      </c>
      <c r="B89" s="175">
        <f>'WEEK 7 MASTER SHEET'!B89</f>
        <v>195</v>
      </c>
      <c r="C89" s="238">
        <f>'WEEK 7 MASTER SHEET'!C89</f>
        <v>10</v>
      </c>
      <c r="D89" s="238" t="str">
        <f>'WEEK 7 MASTER SHEET'!D89</f>
        <v>1-5 MIN</v>
      </c>
      <c r="E89" s="1130" t="str">
        <f>'WEEK 7 MASTER SHEET'!E89</f>
        <v/>
      </c>
      <c r="F89" s="1161"/>
    </row>
    <row r="90">
      <c r="A90" s="272" t="str">
        <f>'WEEK 7 MASTER SHEET'!A90</f>
        <v>10 REP MAX</v>
      </c>
      <c r="B90" s="1109">
        <f>'WEEK 7 MASTER SHEET'!B90</f>
        <v>250</v>
      </c>
      <c r="C90" s="11"/>
      <c r="D90" s="11"/>
      <c r="E90" s="11"/>
      <c r="F90" s="46"/>
    </row>
    <row r="91">
      <c r="A91" s="1151"/>
      <c r="B91" s="1151"/>
      <c r="C91" s="1151"/>
      <c r="D91" s="1151"/>
      <c r="E91" s="1151"/>
      <c r="F91" s="1151"/>
    </row>
    <row r="92">
      <c r="A92" s="1151"/>
      <c r="B92" s="1151"/>
      <c r="C92" s="1151"/>
      <c r="D92" s="1151"/>
      <c r="E92" s="1151"/>
      <c r="F92" s="1151"/>
    </row>
    <row r="93">
      <c r="A93" s="323" t="str">
        <f>'WEEK 7 MASTER SHEET'!A93</f>
        <v>2. LEG EXTENSION</v>
      </c>
      <c r="B93" s="53"/>
      <c r="C93" s="53"/>
      <c r="D93" s="53"/>
      <c r="E93" s="53"/>
      <c r="F93" s="54"/>
    </row>
    <row r="94">
      <c r="A94" s="226" t="str">
        <f>'WEEK 7 MASTER SHEET'!A94</f>
        <v>CURRENT MAX</v>
      </c>
      <c r="B94" s="90">
        <f>'WEEK 7 MASTER SHEET'!B94</f>
        <v>70</v>
      </c>
      <c r="C94" s="13"/>
      <c r="D94" s="13"/>
      <c r="E94" s="13"/>
      <c r="F94" s="57"/>
    </row>
    <row r="95">
      <c r="A95" s="96" t="str">
        <f>'WEEK 7 MASTER SHEET'!A95</f>
        <v>SET</v>
      </c>
      <c r="B95" s="97" t="str">
        <f>'WEEK 7 MASTER SHEET'!B95</f>
        <v>WEIGHT</v>
      </c>
      <c r="C95" s="97" t="str">
        <f>'WEEK 7 MASTER SHEET'!C95</f>
        <v>REPS</v>
      </c>
      <c r="D95" s="97" t="str">
        <f>'WEEK 7 MASTER SHEET'!D95</f>
        <v>REST</v>
      </c>
      <c r="E95" s="98" t="str">
        <f>'WEEK 7 MASTER SHEET'!E95</f>
        <v>PREVIOUS</v>
      </c>
      <c r="F95" s="235" t="str">
        <f>'WEEK 7 MASTER SHEET'!F95</f>
        <v>REP LOG</v>
      </c>
    </row>
    <row r="96">
      <c r="A96" s="352">
        <f>'WEEK 7 MASTER SHEET'!A96</f>
        <v>1</v>
      </c>
      <c r="B96" s="237">
        <f>'WEEK 7 MASTER SHEET'!B96</f>
        <v>70</v>
      </c>
      <c r="C96" s="678" t="str">
        <f>'WEEK 7 MASTER SHEET'!C96</f>
        <v>10 - 15</v>
      </c>
      <c r="D96" s="350" t="str">
        <f>'WEEK 7 MASTER SHEET'!D96</f>
        <v>1 MIN</v>
      </c>
      <c r="E96" s="84" t="str">
        <f>'WEEK 7 MASTER SHEET'!E96</f>
        <v/>
      </c>
      <c r="F96" s="85"/>
    </row>
    <row r="97">
      <c r="A97" s="352">
        <f>'WEEK 7 MASTER SHEET'!A97</f>
        <v>2</v>
      </c>
      <c r="B97" s="237">
        <f>'WEEK 7 MASTER SHEET'!B97</f>
        <v>55</v>
      </c>
      <c r="C97" s="678" t="str">
        <f>'WEEK 7 MASTER SHEET'!C97</f>
        <v>10 - 15</v>
      </c>
      <c r="D97" s="350" t="str">
        <f>'WEEK 7 MASTER SHEET'!D97</f>
        <v>1 MIN</v>
      </c>
      <c r="E97" s="679" t="str">
        <f>'WEEK 7 MASTER SHEET'!E97</f>
        <v/>
      </c>
      <c r="F97" s="85"/>
    </row>
    <row r="98">
      <c r="A98" s="865">
        <f>'WEEK 7 MASTER SHEET'!A98</f>
        <v>3</v>
      </c>
      <c r="B98" s="866">
        <f>'WEEK 7 MASTER SHEET'!B98</f>
        <v>45</v>
      </c>
      <c r="C98" s="867" t="str">
        <f>'WEEK 7 MASTER SHEET'!C98</f>
        <v>10 - 15</v>
      </c>
      <c r="D98" s="760" t="str">
        <f>'WEEK 7 MASTER SHEET'!D98</f>
        <v>1 MIN</v>
      </c>
      <c r="E98" s="1162" t="str">
        <f>'WEEK 7 MASTER SHEET'!E98</f>
        <v/>
      </c>
      <c r="F98" s="330"/>
    </row>
    <row r="99">
      <c r="A99" s="869" t="str">
        <f>'WEEK 7 MASTER SHEET'!A99</f>
        <v/>
      </c>
      <c r="B99" s="25"/>
      <c r="C99" s="25"/>
      <c r="D99" s="25"/>
      <c r="E99" s="25"/>
      <c r="F99" s="25"/>
    </row>
    <row r="102">
      <c r="A102" s="323" t="str">
        <f>'WEEK 7 MASTER SHEET'!A102</f>
        <v>4. MACHINE LEG CURL</v>
      </c>
      <c r="B102" s="53"/>
      <c r="C102" s="53"/>
      <c r="D102" s="53"/>
      <c r="E102" s="53"/>
      <c r="F102" s="54"/>
      <c r="G102" s="141" t="str">
        <f>'WEEK 7 MASTER SHEET'!G102</f>
        <v/>
      </c>
      <c r="H102" s="323" t="str">
        <f>'WEEK 7 MASTER SHEET'!H102</f>
        <v>4. PRONE LEG CURL</v>
      </c>
      <c r="I102" s="53"/>
      <c r="J102" s="53"/>
      <c r="K102" s="53"/>
      <c r="L102" s="53"/>
      <c r="M102" s="54"/>
      <c r="N102" s="1151" t="str">
        <f>'WEEK 7 MASTER SHEET'!N102</f>
        <v/>
      </c>
      <c r="Q102" s="1151"/>
    </row>
    <row r="103">
      <c r="A103" s="226" t="str">
        <f>'WEEK 7 MASTER SHEET'!A103</f>
        <v>CURRENT MAX</v>
      </c>
      <c r="B103" s="90">
        <f>'WEEK 7 MASTER SHEET'!B103</f>
        <v>85</v>
      </c>
      <c r="C103" s="13"/>
      <c r="D103" s="13"/>
      <c r="E103" s="13"/>
      <c r="F103" s="57"/>
      <c r="H103" s="226" t="str">
        <f>'WEEK 7 MASTER SHEET'!H103</f>
        <v>CURRENT MAX</v>
      </c>
      <c r="I103" s="316">
        <f>'WEEK 7 MASTER SHEET'!I103</f>
        <v>85</v>
      </c>
      <c r="J103" s="20"/>
      <c r="K103" s="20"/>
      <c r="L103" s="20"/>
      <c r="M103" s="95"/>
    </row>
    <row r="104">
      <c r="A104" s="96" t="str">
        <f>'WEEK 7 MASTER SHEET'!A104</f>
        <v>SET</v>
      </c>
      <c r="B104" s="97" t="str">
        <f>'WEEK 7 MASTER SHEET'!B104</f>
        <v>WEIGHT</v>
      </c>
      <c r="C104" s="97" t="str">
        <f>'WEEK 7 MASTER SHEET'!C104</f>
        <v>REPS</v>
      </c>
      <c r="D104" s="97" t="str">
        <f>'WEEK 7 MASTER SHEET'!D104</f>
        <v>REST</v>
      </c>
      <c r="E104" s="98" t="str">
        <f>'WEEK 7 MASTER SHEET'!E104</f>
        <v>PREVIOUS</v>
      </c>
      <c r="F104" s="235" t="str">
        <f>'WEEK 7 MASTER SHEET'!F104</f>
        <v>REP LOG</v>
      </c>
      <c r="H104" s="96" t="str">
        <f>'WEEK 7 MASTER SHEET'!H104</f>
        <v>SET</v>
      </c>
      <c r="I104" s="97" t="str">
        <f>'WEEK 7 MASTER SHEET'!I104</f>
        <v>WEIGHT</v>
      </c>
      <c r="J104" s="97" t="str">
        <f>'WEEK 7 MASTER SHEET'!J104</f>
        <v>REPS</v>
      </c>
      <c r="K104" s="97" t="str">
        <f>'WEEK 7 MASTER SHEET'!K104</f>
        <v>REST</v>
      </c>
      <c r="L104" s="341" t="str">
        <f>'WEEK 7 MASTER SHEET'!L104</f>
        <v>PREVIOUS</v>
      </c>
      <c r="M104" s="235" t="str">
        <f>'WEEK 7 MASTER SHEET'!M104</f>
        <v>REP LOG</v>
      </c>
    </row>
    <row r="105">
      <c r="A105" s="352">
        <f>'WEEK 7 MASTER SHEET'!A105</f>
        <v>1</v>
      </c>
      <c r="B105" s="237">
        <f>'WEEK 7 MASTER SHEET'!B105</f>
        <v>85</v>
      </c>
      <c r="C105" s="678" t="str">
        <f>'WEEK 7 MASTER SHEET'!C105</f>
        <v>10 - 15</v>
      </c>
      <c r="D105" s="350" t="str">
        <f>'WEEK 7 MASTER SHEET'!D105</f>
        <v>1 MIN</v>
      </c>
      <c r="E105" s="84" t="str">
        <f>'WEEK 7 MASTER SHEET'!E105</f>
        <v/>
      </c>
      <c r="F105" s="85" t="str">
        <f>'WEEK 7 MASTER SHEET'!F105</f>
        <v/>
      </c>
      <c r="G105" s="434" t="str">
        <f>'WEEK 7 MASTER SHEET'!G105</f>
        <v>ALTERNATE</v>
      </c>
      <c r="H105" s="352">
        <f>'WEEK 7 MASTER SHEET'!H105</f>
        <v>1</v>
      </c>
      <c r="I105" s="237">
        <f>'WEEK 7 MASTER SHEET'!I105</f>
        <v>85</v>
      </c>
      <c r="J105" s="678" t="str">
        <f>'WEEK 7 MASTER SHEET'!J105</f>
        <v>10 - 15</v>
      </c>
      <c r="K105" s="350" t="str">
        <f>'WEEK 7 MASTER SHEET'!K105</f>
        <v>1 MIN</v>
      </c>
      <c r="L105" s="84" t="str">
        <f>'WEEK 7 MASTER SHEET'!L105</f>
        <v/>
      </c>
      <c r="M105" s="85" t="str">
        <f>'WEEK 7 MASTER SHEET'!M105</f>
        <v/>
      </c>
    </row>
    <row r="106">
      <c r="A106" s="352">
        <f>'WEEK 7 MASTER SHEET'!A106</f>
        <v>2</v>
      </c>
      <c r="B106" s="237">
        <f>'WEEK 7 MASTER SHEET'!B106</f>
        <v>70</v>
      </c>
      <c r="C106" s="678" t="str">
        <f>'WEEK 7 MASTER SHEET'!C106</f>
        <v>10 - 15</v>
      </c>
      <c r="D106" s="350" t="str">
        <f>'WEEK 7 MASTER SHEET'!D106</f>
        <v>1 MIN</v>
      </c>
      <c r="E106" s="84" t="str">
        <f>'WEEK 7 MASTER SHEET'!E106</f>
        <v/>
      </c>
      <c r="F106" s="85" t="str">
        <f>'WEEK 7 MASTER SHEET'!F106</f>
        <v/>
      </c>
      <c r="H106" s="352">
        <f>'WEEK 7 MASTER SHEET'!H106</f>
        <v>2</v>
      </c>
      <c r="I106" s="237">
        <f>'WEEK 7 MASTER SHEET'!I106</f>
        <v>70</v>
      </c>
      <c r="J106" s="681" t="str">
        <f>'WEEK 7 MASTER SHEET'!J106</f>
        <v>10 - 15</v>
      </c>
      <c r="K106" s="350" t="str">
        <f>'WEEK 7 MASTER SHEET'!K106</f>
        <v>1 MIN</v>
      </c>
      <c r="L106" s="84" t="str">
        <f>'WEEK 7 MASTER SHEET'!L106</f>
        <v/>
      </c>
      <c r="M106" s="85" t="str">
        <f>'WEEK 7 MASTER SHEET'!M106</f>
        <v/>
      </c>
    </row>
    <row r="107">
      <c r="A107" s="494">
        <f>'WEEK 7 MASTER SHEET'!A107</f>
        <v>3</v>
      </c>
      <c r="B107" s="371">
        <f>'WEEK 7 MASTER SHEET'!B107</f>
        <v>55</v>
      </c>
      <c r="C107" s="1163" t="str">
        <f>'WEEK 7 MASTER SHEET'!C107</f>
        <v>10 - 15</v>
      </c>
      <c r="D107" s="1164" t="str">
        <f>'WEEK 7 MASTER SHEET'!D107</f>
        <v>1 MIN</v>
      </c>
      <c r="E107" s="89" t="str">
        <f>'WEEK 7 MASTER SHEET'!E107</f>
        <v/>
      </c>
      <c r="F107" s="85" t="str">
        <f>'WEEK 7 MASTER SHEET'!F107</f>
        <v/>
      </c>
      <c r="G107" s="682" t="str">
        <f>'WEEK 7 MASTER SHEET'!G107</f>
        <v/>
      </c>
      <c r="H107" s="494">
        <f>'WEEK 7 MASTER SHEET'!H107</f>
        <v>3</v>
      </c>
      <c r="I107" s="371">
        <f>'WEEK 7 MASTER SHEET'!I107</f>
        <v>55</v>
      </c>
      <c r="J107" s="1165" t="str">
        <f>'WEEK 7 MASTER SHEET'!J107</f>
        <v>10 - 15</v>
      </c>
      <c r="K107" s="1164" t="str">
        <f>'WEEK 7 MASTER SHEET'!K107</f>
        <v>1 MIN</v>
      </c>
      <c r="L107" s="89" t="str">
        <f>'WEEK 7 MASTER SHEET'!L107</f>
        <v/>
      </c>
      <c r="M107" s="85" t="str">
        <f>'WEEK 7 MASTER SHEET'!M107</f>
        <v/>
      </c>
    </row>
    <row r="108">
      <c r="A108" s="1151" t="str">
        <f>'WEEK 7 MASTER SHEET'!A109</f>
        <v/>
      </c>
      <c r="G108" s="1151" t="str">
        <f>'WEEK 7 MASTER SHEET'!G109</f>
        <v/>
      </c>
    </row>
    <row r="110">
      <c r="A110" s="1120" t="str">
        <f>'WEEK 7 MASTER SHEET'!A110</f>
        <v>DAY 3</v>
      </c>
      <c r="B110" s="36"/>
      <c r="C110" s="36"/>
      <c r="D110" s="36"/>
      <c r="E110" s="36"/>
      <c r="F110" s="37"/>
    </row>
    <row r="111">
      <c r="A111" s="1151" t="str">
        <f>'WEEK 7 MASTER SHEET'!A111</f>
        <v/>
      </c>
    </row>
    <row r="113">
      <c r="A113" s="44" t="str">
        <f>'WEEK 7 MASTER SHEET'!A113</f>
        <v>SHOULDERS &amp; ARMS</v>
      </c>
      <c r="B113" s="36"/>
      <c r="C113" s="36"/>
      <c r="D113" s="36"/>
      <c r="E113" s="36"/>
      <c r="F113" s="37"/>
      <c r="G113" s="1151"/>
      <c r="H113" s="44" t="str">
        <f>'WEEK 7 MASTER SHEET'!H113</f>
        <v>SHOULDERS &amp; ARMS</v>
      </c>
      <c r="I113" s="36"/>
      <c r="J113" s="36"/>
      <c r="K113" s="36"/>
      <c r="L113" s="36"/>
      <c r="M113" s="37"/>
      <c r="N113" s="1151"/>
    </row>
    <row r="114">
      <c r="A114" s="112" t="str">
        <f>'WEEK 7 MASTER SHEET'!A114</f>
        <v>1. SHOULDER PRESS</v>
      </c>
      <c r="B114" s="13"/>
      <c r="C114" s="13"/>
      <c r="D114" s="13"/>
      <c r="E114" s="13"/>
      <c r="F114" s="57"/>
      <c r="H114" s="1139" t="str">
        <f>'WEEK 7 MASTER SHEET'!H114</f>
        <v>1. MACHINE SHOULDER PRESS</v>
      </c>
      <c r="I114" s="13"/>
      <c r="J114" s="13"/>
      <c r="K114" s="13"/>
      <c r="L114" s="13"/>
      <c r="M114" s="57"/>
    </row>
    <row r="115">
      <c r="A115" s="226" t="str">
        <f>'WEEK 7 MASTER SHEET'!A115</f>
        <v>CURRENT MAX</v>
      </c>
      <c r="B115" s="227">
        <f>'WEEK 7 MASTER SHEET'!B115</f>
        <v>65</v>
      </c>
      <c r="C115" s="20"/>
      <c r="D115" s="20"/>
      <c r="E115" s="20"/>
      <c r="F115" s="95"/>
      <c r="H115" s="226" t="str">
        <f>'WEEK 7 MASTER SHEET'!H115</f>
        <v>CURRENT MAX</v>
      </c>
      <c r="I115" s="227">
        <f>'WEEK 7 MASTER SHEET'!I115</f>
        <v>150</v>
      </c>
      <c r="J115" s="20"/>
      <c r="K115" s="20"/>
      <c r="L115" s="20"/>
      <c r="M115" s="95"/>
    </row>
    <row r="116">
      <c r="A116" s="231" t="str">
        <f>'WEEK 7 MASTER SHEET'!A116</f>
        <v>SET</v>
      </c>
      <c r="B116" s="232" t="str">
        <f>'WEEK 7 MASTER SHEET'!B116</f>
        <v>WEIGHT</v>
      </c>
      <c r="C116" s="232" t="str">
        <f>'WEEK 7 MASTER SHEET'!C116</f>
        <v>REPS</v>
      </c>
      <c r="D116" s="232" t="str">
        <f>'WEEK 7 MASTER SHEET'!D116</f>
        <v>REST</v>
      </c>
      <c r="E116" s="233" t="str">
        <f>'WEEK 7 MASTER SHEET'!E116</f>
        <v>PREVIOUS</v>
      </c>
      <c r="F116" s="61" t="str">
        <f>'WEEK 7 MASTER SHEET'!F116</f>
        <v>REP LOG</v>
      </c>
      <c r="H116" s="231" t="str">
        <f>'WEEK 7 MASTER SHEET'!H116</f>
        <v>SET</v>
      </c>
      <c r="I116" s="232" t="str">
        <f>'WEEK 7 MASTER SHEET'!I116</f>
        <v>WEIGHT</v>
      </c>
      <c r="J116" s="232" t="str">
        <f>'WEEK 7 MASTER SHEET'!J116</f>
        <v>REPS</v>
      </c>
      <c r="K116" s="232" t="str">
        <f>'WEEK 7 MASTER SHEET'!K116</f>
        <v>REST</v>
      </c>
      <c r="L116" s="233" t="str">
        <f>'WEEK 7 MASTER SHEET'!L116</f>
        <v>PREVIOUS</v>
      </c>
      <c r="M116" s="61" t="str">
        <f>'WEEK 7 MASTER SHEET'!M116</f>
        <v>REP LOG</v>
      </c>
    </row>
    <row r="117">
      <c r="A117" s="236">
        <f>'WEEK 7 MASTER SHEET'!A117</f>
        <v>1</v>
      </c>
      <c r="B117" s="237">
        <f>'WEEK 7 MASTER SHEET'!B117</f>
        <v>25</v>
      </c>
      <c r="C117" s="237">
        <f>'WEEK 7 MASTER SHEET'!C117</f>
        <v>6</v>
      </c>
      <c r="D117" s="238" t="str">
        <f>'WEEK 7 MASTER SHEET'!D117</f>
        <v>30s</v>
      </c>
      <c r="E117" s="66">
        <f>'WEEK 7 MASTER SHEET'!E117</f>
        <v>0</v>
      </c>
      <c r="F117" s="67"/>
      <c r="H117" s="1140">
        <f>'WEEK 7 MASTER SHEET'!H117</f>
        <v>1</v>
      </c>
      <c r="I117" s="237">
        <f>'WEEK 7 MASTER SHEET'!I117</f>
        <v>55</v>
      </c>
      <c r="J117" s="237">
        <f>'WEEK 7 MASTER SHEET'!J117</f>
        <v>6</v>
      </c>
      <c r="K117" s="238" t="str">
        <f>'WEEK 7 MASTER SHEET'!K117</f>
        <v>30s</v>
      </c>
      <c r="L117" s="66" t="str">
        <f>'WEEK 7 MASTER SHEET'!L117</f>
        <v/>
      </c>
      <c r="M117" s="67"/>
    </row>
    <row r="118">
      <c r="A118" s="236">
        <f>'WEEK 7 MASTER SHEET'!A118</f>
        <v>2</v>
      </c>
      <c r="B118" s="237">
        <f>'WEEK 7 MASTER SHEET'!B118</f>
        <v>40</v>
      </c>
      <c r="C118" s="237">
        <f>'WEEK 7 MASTER SHEET'!C118</f>
        <v>1</v>
      </c>
      <c r="D118" s="238" t="str">
        <f>'WEEK 7 MASTER SHEET'!D118</f>
        <v>1-2 MIN</v>
      </c>
      <c r="E118" s="66" t="str">
        <f>'WEEK 7 MASTER SHEET'!E118</f>
        <v/>
      </c>
      <c r="F118" s="67"/>
      <c r="H118" s="236">
        <f>'WEEK 7 MASTER SHEET'!H118</f>
        <v>2</v>
      </c>
      <c r="I118" s="237">
        <f>'WEEK 7 MASTER SHEET'!I118</f>
        <v>100</v>
      </c>
      <c r="J118" s="237">
        <f>'WEEK 7 MASTER SHEET'!J118</f>
        <v>1</v>
      </c>
      <c r="K118" s="238" t="str">
        <f>'WEEK 7 MASTER SHEET'!K118</f>
        <v>1-2 MIN</v>
      </c>
      <c r="L118" s="66" t="str">
        <f>'WEEK 7 MASTER SHEET'!L118</f>
        <v/>
      </c>
      <c r="M118" s="67"/>
    </row>
    <row r="119">
      <c r="A119" s="242">
        <f>'WEEK 7 MASTER SHEET'!A119</f>
        <v>3</v>
      </c>
      <c r="B119" s="237">
        <f>'WEEK 7 MASTER SHEET'!B119</f>
        <v>60</v>
      </c>
      <c r="C119" s="82">
        <f>'WEEK 7 MASTER SHEET'!C119</f>
        <v>1</v>
      </c>
      <c r="D119" s="238" t="str">
        <f>'WEEK 7 MASTER SHEET'!D119</f>
        <v>1-2 MIN</v>
      </c>
      <c r="E119" s="66" t="str">
        <f>'WEEK 7 MASTER SHEET'!E119</f>
        <v/>
      </c>
      <c r="F119" s="67"/>
      <c r="H119" s="242">
        <f>'WEEK 7 MASTER SHEET'!H119</f>
        <v>3</v>
      </c>
      <c r="I119" s="237">
        <f>'WEEK 7 MASTER SHEET'!I119</f>
        <v>135</v>
      </c>
      <c r="J119" s="82">
        <f>'WEEK 7 MASTER SHEET'!J119</f>
        <v>1</v>
      </c>
      <c r="K119" s="238" t="str">
        <f>'WEEK 7 MASTER SHEET'!K119</f>
        <v>1-2 MIN</v>
      </c>
      <c r="L119" s="66" t="str">
        <f>'WEEK 7 MASTER SHEET'!L119</f>
        <v/>
      </c>
      <c r="M119" s="67"/>
    </row>
    <row r="120">
      <c r="A120" s="243">
        <f>'WEEK 7 MASTER SHEET'!A120</f>
        <v>4</v>
      </c>
      <c r="B120" s="237">
        <f>'WEEK 7 MASTER SHEET'!B120</f>
        <v>65</v>
      </c>
      <c r="C120" s="257">
        <f>'WEEK 7 MASTER SHEET'!C120</f>
        <v>1</v>
      </c>
      <c r="D120" s="238" t="str">
        <f>'WEEK 7 MASTER SHEET'!D120</f>
        <v>1-5 MIN</v>
      </c>
      <c r="E120" s="66" t="str">
        <f>'WEEK 7 MASTER SHEET'!E120</f>
        <v/>
      </c>
      <c r="F120" s="67"/>
      <c r="H120" s="243">
        <f>'WEEK 7 MASTER SHEET'!H120</f>
        <v>4</v>
      </c>
      <c r="I120" s="237">
        <f>'WEEK 7 MASTER SHEET'!I120</f>
        <v>150</v>
      </c>
      <c r="J120" s="257">
        <f>'WEEK 7 MASTER SHEET'!J120</f>
        <v>1</v>
      </c>
      <c r="K120" s="238" t="str">
        <f>'WEEK 7 MASTER SHEET'!K120</f>
        <v>1-5 MIN</v>
      </c>
      <c r="L120" s="66" t="str">
        <f>'WEEK 7 MASTER SHEET'!L120</f>
        <v/>
      </c>
      <c r="M120" s="67"/>
    </row>
    <row r="121">
      <c r="A121" s="246" t="str">
        <f>'WEEK 7 MASTER SHEET'!A121</f>
        <v>PROCEED TO DOWN SETS</v>
      </c>
      <c r="B121" s="20"/>
      <c r="C121" s="20"/>
      <c r="D121" s="20"/>
      <c r="E121" s="20"/>
      <c r="F121" s="95"/>
      <c r="H121" s="246" t="str">
        <f>'WEEK 7 MASTER SHEET'!H121</f>
        <v>PROCEED TO DOWN SETS</v>
      </c>
      <c r="I121" s="20"/>
      <c r="J121" s="20"/>
      <c r="K121" s="20"/>
      <c r="L121" s="20"/>
      <c r="M121" s="95"/>
    </row>
    <row r="122">
      <c r="A122" s="249" t="str">
        <f>'WEEK 7 MASTER SHEET'!A122</f>
        <v/>
      </c>
      <c r="B122" s="175" t="str">
        <f>'WEEK 7 MASTER SHEET'!B122</f>
        <v/>
      </c>
      <c r="C122" s="238" t="str">
        <f>'WEEK 7 MASTER SHEET'!C122</f>
        <v/>
      </c>
      <c r="D122" s="238" t="str">
        <f>'WEEK 7 MASTER SHEET'!D122</f>
        <v/>
      </c>
      <c r="E122" s="250" t="str">
        <f>'WEEK 7 MASTER SHEET'!E122</f>
        <v/>
      </c>
      <c r="F122" s="67"/>
      <c r="H122" s="249" t="str">
        <f>'WEEK 7 MASTER SHEET'!H122</f>
        <v/>
      </c>
      <c r="I122" s="175" t="str">
        <f>'WEEK 7 MASTER SHEET'!I122</f>
        <v/>
      </c>
      <c r="J122" s="238" t="str">
        <f>'WEEK 7 MASTER SHEET'!J122</f>
        <v/>
      </c>
      <c r="K122" s="238" t="str">
        <f>'WEEK 7 MASTER SHEET'!K122</f>
        <v/>
      </c>
      <c r="L122" s="250" t="str">
        <f>'WEEK 7 MASTER SHEET'!L122</f>
        <v/>
      </c>
      <c r="M122" s="67"/>
    </row>
    <row r="123">
      <c r="A123" s="259" t="str">
        <f>'WEEK 7 MASTER SHEET'!A123</f>
        <v/>
      </c>
      <c r="B123" s="237" t="str">
        <f>'WEEK 7 MASTER SHEET'!B123</f>
        <v/>
      </c>
      <c r="C123" s="257" t="str">
        <f>'WEEK 7 MASTER SHEET'!C123</f>
        <v/>
      </c>
      <c r="D123" s="257" t="str">
        <f>'WEEK 7 MASTER SHEET'!D123</f>
        <v/>
      </c>
      <c r="E123" s="258" t="str">
        <f>'WEEK 7 MASTER SHEET'!E123</f>
        <v/>
      </c>
      <c r="F123" s="67"/>
      <c r="H123" s="259" t="str">
        <f>'WEEK 7 MASTER SHEET'!H123</f>
        <v/>
      </c>
      <c r="I123" s="237" t="str">
        <f>'WEEK 7 MASTER SHEET'!I123</f>
        <v/>
      </c>
      <c r="J123" s="257" t="str">
        <f>'WEEK 7 MASTER SHEET'!J123</f>
        <v/>
      </c>
      <c r="K123" s="257" t="str">
        <f>'WEEK 7 MASTER SHEET'!K123</f>
        <v/>
      </c>
      <c r="L123" s="258" t="str">
        <f>'WEEK 7 MASTER SHEET'!L123</f>
        <v/>
      </c>
      <c r="M123" s="67"/>
    </row>
    <row r="124">
      <c r="A124" s="246" t="str">
        <f>'WEEK 7 MASTER SHEET'!A124</f>
        <v>DOWN SETS</v>
      </c>
      <c r="B124" s="20"/>
      <c r="C124" s="20"/>
      <c r="D124" s="20"/>
      <c r="E124" s="20"/>
      <c r="F124" s="95"/>
      <c r="H124" s="246" t="str">
        <f>'WEEK 7 MASTER SHEET'!H124</f>
        <v>DOWN SETS</v>
      </c>
      <c r="I124" s="20"/>
      <c r="J124" s="20"/>
      <c r="K124" s="20"/>
      <c r="L124" s="20"/>
      <c r="M124" s="95"/>
    </row>
    <row r="125">
      <c r="A125" s="264" t="str">
        <f>'WEEK 7 MASTER SHEET'!A125</f>
        <v/>
      </c>
      <c r="B125" s="265">
        <f>'WEEK 7 MASTER SHEET'!B125</f>
        <v>0</v>
      </c>
      <c r="C125" s="266" t="str">
        <f>'WEEK 7 MASTER SHEET'!C125</f>
        <v>REP OUT</v>
      </c>
      <c r="D125" s="267" t="str">
        <f>'WEEK 7 MASTER SHEET'!D125</f>
        <v>1-3 MIN</v>
      </c>
      <c r="E125" s="268" t="str">
        <f>'WEEK 7 MASTER SHEET'!E125</f>
        <v/>
      </c>
      <c r="F125" s="67"/>
      <c r="H125" s="264" t="str">
        <f>'WEEK 7 MASTER SHEET'!H125</f>
        <v/>
      </c>
      <c r="I125" s="265">
        <f>'WEEK 7 MASTER SHEET'!I125</f>
        <v>0</v>
      </c>
      <c r="J125" s="266" t="str">
        <f>'WEEK 7 MASTER SHEET'!J125</f>
        <v>REP OUT</v>
      </c>
      <c r="K125" s="267" t="str">
        <f>'WEEK 7 MASTER SHEET'!K125</f>
        <v>1-3 MIN</v>
      </c>
      <c r="L125" s="268" t="str">
        <f>'WEEK 7 MASTER SHEET'!L125</f>
        <v/>
      </c>
      <c r="M125" s="67"/>
    </row>
    <row r="126">
      <c r="A126" s="243" t="str">
        <f>'WEEK 7 MASTER SHEET'!A126</f>
        <v/>
      </c>
      <c r="B126" s="237">
        <f>'WEEK 7 MASTER SHEET'!B126</f>
        <v>0</v>
      </c>
      <c r="C126" s="245" t="str">
        <f>'WEEK 7 MASTER SHEET'!C126</f>
        <v>REP OUT</v>
      </c>
      <c r="D126" s="65" t="str">
        <f>'WEEK 7 MASTER SHEET'!D126</f>
        <v>1-3 MIN</v>
      </c>
      <c r="E126" s="258" t="str">
        <f>'WEEK 7 MASTER SHEET'!E126</f>
        <v/>
      </c>
      <c r="F126" s="271"/>
      <c r="H126" s="243" t="str">
        <f>'WEEK 7 MASTER SHEET'!H126</f>
        <v/>
      </c>
      <c r="I126" s="237">
        <f>'WEEK 7 MASTER SHEET'!I126</f>
        <v>0</v>
      </c>
      <c r="J126" s="245" t="str">
        <f>'WEEK 7 MASTER SHEET'!J126</f>
        <v>REP OUT</v>
      </c>
      <c r="K126" s="65" t="str">
        <f>'WEEK 7 MASTER SHEET'!K126</f>
        <v>1-3 MIN</v>
      </c>
      <c r="L126" s="258" t="str">
        <f>'WEEK 7 MASTER SHEET'!L126</f>
        <v/>
      </c>
      <c r="M126" s="271"/>
    </row>
    <row r="127">
      <c r="A127" s="228" t="str">
        <f>'WEEK 7 MASTER SHEET'!A127</f>
        <v>FINAL MAX</v>
      </c>
      <c r="B127" s="549" t="str">
        <f>'WEEK 7 MASTER SHEET'!B127</f>
        <v/>
      </c>
      <c r="F127" s="28"/>
      <c r="H127" s="272" t="str">
        <f>'WEEK 7 MASTER SHEET'!H127</f>
        <v>FINAL MAX</v>
      </c>
      <c r="I127" s="273" t="str">
        <f>'WEEK 7 MASTER SHEET'!I127</f>
        <v/>
      </c>
      <c r="J127" s="11"/>
      <c r="K127" s="11"/>
      <c r="L127" s="11"/>
      <c r="M127" s="46"/>
    </row>
    <row r="128">
      <c r="A128" s="1166" t="str">
        <f>'WEEK 7 MASTER SHEET'!A128</f>
        <v/>
      </c>
      <c r="B128" s="25"/>
      <c r="C128" s="25"/>
      <c r="D128" s="25"/>
      <c r="E128" s="25"/>
      <c r="F128" s="25"/>
      <c r="G128" s="1151"/>
    </row>
    <row r="130">
      <c r="A130" s="361" t="str">
        <f>'WEEK 7 MASTER SHEET'!A130</f>
        <v>2.  CABLE HIGH PULLEY ROW</v>
      </c>
      <c r="B130" s="53"/>
      <c r="C130" s="53"/>
      <c r="D130" s="53"/>
      <c r="E130" s="53"/>
      <c r="F130" s="54"/>
    </row>
    <row r="131">
      <c r="A131" s="226" t="str">
        <f>'WEEK 7 MASTER SHEET'!A131</f>
        <v>CURRENT MAX</v>
      </c>
      <c r="B131" s="90">
        <f>'WEEK 7 MASTER SHEET'!B131</f>
        <v>55</v>
      </c>
      <c r="C131" s="13"/>
      <c r="D131" s="13"/>
      <c r="E131" s="13"/>
      <c r="F131" s="57"/>
    </row>
    <row r="132">
      <c r="A132" s="77" t="str">
        <f>'WEEK 7 MASTER SHEET'!A132</f>
        <v>SET</v>
      </c>
      <c r="B132" s="78" t="str">
        <f>'WEEK 7 MASTER SHEET'!B132</f>
        <v>WEIGHT</v>
      </c>
      <c r="C132" s="78" t="str">
        <f>'WEEK 7 MASTER SHEET'!C132</f>
        <v>REPS</v>
      </c>
      <c r="D132" s="78" t="str">
        <f>'WEEK 7 MASTER SHEET'!D132</f>
        <v>REST</v>
      </c>
      <c r="E132" s="80" t="str">
        <f>'WEEK 7 MASTER SHEET'!E132</f>
        <v>PREVIOUS</v>
      </c>
      <c r="F132" s="235" t="str">
        <f>'WEEK 7 MASTER SHEET'!F132</f>
        <v>REP LOG</v>
      </c>
    </row>
    <row r="133">
      <c r="A133" s="81">
        <f>'WEEK 7 MASTER SHEET'!A133</f>
        <v>1</v>
      </c>
      <c r="B133" s="82">
        <f>'WEEK 7 MASTER SHEET'!B133</f>
        <v>55</v>
      </c>
      <c r="C133" s="65" t="str">
        <f>'WEEK 7 MASTER SHEET'!C133</f>
        <v>5 - 15</v>
      </c>
      <c r="D133" s="83" t="str">
        <f>'WEEK 7 MASTER SHEET'!D133</f>
        <v>1MIN</v>
      </c>
      <c r="E133" s="84" t="str">
        <f>'WEEK 7 MASTER SHEET'!E133</f>
        <v/>
      </c>
      <c r="F133" s="85"/>
    </row>
    <row r="134">
      <c r="A134" s="81">
        <f>'WEEK 7 MASTER SHEET'!A134</f>
        <v>2</v>
      </c>
      <c r="B134" s="82">
        <f>'WEEK 7 MASTER SHEET'!B134</f>
        <v>40</v>
      </c>
      <c r="C134" s="65" t="str">
        <f>'WEEK 7 MASTER SHEET'!C134</f>
        <v>5 - 15</v>
      </c>
      <c r="D134" s="83" t="str">
        <f>'WEEK 7 MASTER SHEET'!D134</f>
        <v>1MIN</v>
      </c>
      <c r="E134" s="84" t="str">
        <f>'WEEK 7 MASTER SHEET'!E134</f>
        <v/>
      </c>
      <c r="F134" s="85"/>
    </row>
    <row r="135">
      <c r="A135" s="86">
        <f>'WEEK 7 MASTER SHEET'!A135</f>
        <v>3</v>
      </c>
      <c r="B135" s="87">
        <f>'WEEK 7 MASTER SHEET'!B135</f>
        <v>30</v>
      </c>
      <c r="C135" s="71" t="str">
        <f>'WEEK 7 MASTER SHEET'!C135</f>
        <v>5 - 15</v>
      </c>
      <c r="D135" s="88" t="str">
        <f>'WEEK 7 MASTER SHEET'!D135</f>
        <v>1MIN</v>
      </c>
      <c r="E135" s="89" t="str">
        <f>'WEEK 7 MASTER SHEET'!E135</f>
        <v/>
      </c>
      <c r="F135" s="85"/>
    </row>
    <row r="136">
      <c r="A136" s="1151" t="str">
        <f>'WEEK 7 MASTER SHEET'!A136</f>
        <v/>
      </c>
    </row>
    <row r="137">
      <c r="A137" s="513" t="str">
        <f>'WEEK 7 MASTER SHEET'!A137</f>
        <v>3. DUMBBELL SIDE LATERAL RAISE</v>
      </c>
      <c r="B137" s="53"/>
      <c r="C137" s="53"/>
      <c r="D137" s="53"/>
      <c r="E137" s="53"/>
      <c r="F137" s="54"/>
    </row>
    <row r="138">
      <c r="A138" s="226" t="str">
        <f>'WEEK 7 MASTER SHEET'!A138</f>
        <v>CURRENT MAX</v>
      </c>
      <c r="B138" s="90" t="str">
        <f>'WEEK 7 MASTER SHEET'!B138</f>
        <v/>
      </c>
      <c r="C138" s="13"/>
      <c r="D138" s="13"/>
      <c r="E138" s="13"/>
      <c r="F138" s="57"/>
    </row>
    <row r="139">
      <c r="A139" s="376" t="str">
        <f>'WEEK 7 MASTER SHEET'!A139</f>
        <v>SET</v>
      </c>
      <c r="B139" s="79" t="str">
        <f>'WEEK 7 MASTER SHEET'!B139</f>
        <v>WEIGHT</v>
      </c>
      <c r="C139" s="79" t="str">
        <f>'WEEK 7 MASTER SHEET'!C139</f>
        <v>REPS</v>
      </c>
      <c r="D139" s="79" t="str">
        <f>'WEEK 7 MASTER SHEET'!D139</f>
        <v>REST</v>
      </c>
      <c r="E139" s="98" t="str">
        <f>'WEEK 7 MASTER SHEET'!E139</f>
        <v>PREVIOUS</v>
      </c>
      <c r="F139" s="377" t="str">
        <f>'WEEK 7 MASTER SHEET'!F139</f>
        <v>REP LOG</v>
      </c>
    </row>
    <row r="140">
      <c r="A140" s="81">
        <f>'WEEK 7 MASTER SHEET'!A140</f>
        <v>1</v>
      </c>
      <c r="B140" s="82">
        <f>'WEEK 7 MASTER SHEET'!B140</f>
        <v>0</v>
      </c>
      <c r="C140" s="65" t="str">
        <f>'WEEK 7 MASTER SHEET'!C140</f>
        <v>10 - 15</v>
      </c>
      <c r="D140" s="83" t="str">
        <f>'WEEK 7 MASTER SHEET'!D140</f>
        <v>1 MIN</v>
      </c>
      <c r="E140" s="378" t="str">
        <f>'WEEK 7 MASTER SHEET'!E140</f>
        <v/>
      </c>
      <c r="F140" s="796"/>
    </row>
    <row r="141">
      <c r="A141" s="81">
        <f>'WEEK 7 MASTER SHEET'!A141</f>
        <v>2</v>
      </c>
      <c r="B141" s="82">
        <f>'WEEK 7 MASTER SHEET'!B141</f>
        <v>0</v>
      </c>
      <c r="C141" s="65" t="str">
        <f>'WEEK 7 MASTER SHEET'!C141</f>
        <v>10 - 15</v>
      </c>
      <c r="D141" s="83" t="str">
        <f>'WEEK 7 MASTER SHEET'!D141</f>
        <v>1 MIN</v>
      </c>
      <c r="E141" s="378" t="str">
        <f>'WEEK 7 MASTER SHEET'!E141</f>
        <v/>
      </c>
      <c r="F141" s="330"/>
    </row>
    <row r="142">
      <c r="A142" s="86">
        <f>'WEEK 7 MASTER SHEET'!A142</f>
        <v>3</v>
      </c>
      <c r="B142" s="87">
        <f>'WEEK 7 MASTER SHEET'!B142</f>
        <v>0</v>
      </c>
      <c r="C142" s="71" t="str">
        <f>'WEEK 7 MASTER SHEET'!C142</f>
        <v>10 - 15</v>
      </c>
      <c r="D142" s="88" t="str">
        <f>'WEEK 7 MASTER SHEET'!D142</f>
        <v>1 MIN</v>
      </c>
      <c r="E142" s="379" t="str">
        <f>'WEEK 7 MASTER SHEET'!E142</f>
        <v/>
      </c>
      <c r="F142" s="85"/>
    </row>
    <row r="143">
      <c r="A143" s="1151" t="str">
        <f>'WEEK 7 MASTER SHEET'!A143</f>
        <v/>
      </c>
    </row>
    <row r="144">
      <c r="A144" s="361" t="str">
        <f>'WEEK 7 MASTER SHEET'!A144</f>
        <v>2.  TRICEP OVERHEAD ROPE EXTENSION</v>
      </c>
      <c r="B144" s="53"/>
      <c r="C144" s="53"/>
      <c r="D144" s="53"/>
      <c r="E144" s="53"/>
      <c r="F144" s="54"/>
    </row>
    <row r="145">
      <c r="A145" s="226" t="str">
        <f>'WEEK 7 MASTER SHEET'!A145</f>
        <v>TRI PSH DWN MAX</v>
      </c>
      <c r="B145" s="76">
        <f>'WEEK 7 MASTER SHEET'!B145</f>
        <v>85</v>
      </c>
      <c r="C145" s="13"/>
      <c r="D145" s="13"/>
      <c r="E145" s="13"/>
      <c r="F145" s="57"/>
    </row>
    <row r="146">
      <c r="A146" s="77" t="str">
        <f>'WEEK 7 MASTER SHEET'!A146</f>
        <v>SET</v>
      </c>
      <c r="B146" s="78" t="str">
        <f>'WEEK 7 MASTER SHEET'!B146</f>
        <v>WEIGHT</v>
      </c>
      <c r="C146" s="78" t="str">
        <f>'WEEK 7 MASTER SHEET'!C146</f>
        <v>REPS</v>
      </c>
      <c r="D146" s="78" t="str">
        <f>'WEEK 7 MASTER SHEET'!D146</f>
        <v>REST</v>
      </c>
      <c r="E146" s="80" t="str">
        <f>'WEEK 7 MASTER SHEET'!E146</f>
        <v>PREVIOUS</v>
      </c>
      <c r="F146" s="235" t="str">
        <f>'WEEK 7 MASTER SHEET'!F146</f>
        <v>REP LOG</v>
      </c>
    </row>
    <row r="147">
      <c r="A147" s="81">
        <f>'WEEK 7 MASTER SHEET'!A147</f>
        <v>1</v>
      </c>
      <c r="B147" s="82">
        <f>'WEEK 7 MASTER SHEET'!B147</f>
        <v>85</v>
      </c>
      <c r="C147" s="65" t="str">
        <f>'WEEK 7 MASTER SHEET'!C147</f>
        <v>10 - 15</v>
      </c>
      <c r="D147" s="83" t="str">
        <f>'WEEK 7 MASTER SHEET'!D147</f>
        <v>1MIN</v>
      </c>
      <c r="E147" s="84" t="str">
        <f>'WEEK 7 MASTER SHEET'!E147</f>
        <v/>
      </c>
      <c r="F147" s="85"/>
    </row>
    <row r="148">
      <c r="A148" s="81">
        <f>'WEEK 7 MASTER SHEET'!A148</f>
        <v>2</v>
      </c>
      <c r="B148" s="82">
        <f>'WEEK 7 MASTER SHEET'!B148</f>
        <v>70</v>
      </c>
      <c r="C148" s="65" t="str">
        <f>'WEEK 7 MASTER SHEET'!C148</f>
        <v>10 - 15</v>
      </c>
      <c r="D148" s="83" t="str">
        <f>'WEEK 7 MASTER SHEET'!D148</f>
        <v>1MIN</v>
      </c>
      <c r="E148" s="84"/>
      <c r="F148" s="85"/>
    </row>
    <row r="149">
      <c r="A149" s="86">
        <f>'WEEK 7 MASTER SHEET'!A149</f>
        <v>3</v>
      </c>
      <c r="B149" s="87">
        <f>'WEEK 7 MASTER SHEET'!B149</f>
        <v>55</v>
      </c>
      <c r="C149" s="71" t="str">
        <f>'WEEK 7 MASTER SHEET'!C149</f>
        <v>10 - 15</v>
      </c>
      <c r="D149" s="88" t="str">
        <f>'WEEK 7 MASTER SHEET'!D149</f>
        <v>1MIN</v>
      </c>
      <c r="E149" s="89" t="str">
        <f>'WEEK 7 MASTER SHEET'!E149</f>
        <v/>
      </c>
      <c r="F149" s="85"/>
    </row>
    <row r="150">
      <c r="A150" s="1151" t="str">
        <f>'WEEK 7 MASTER SHEET'!A150</f>
        <v/>
      </c>
    </row>
    <row r="152">
      <c r="A152" s="399" t="str">
        <f>'WEEK 7 MASTER SHEET'!A152</f>
        <v>4. BICEP EZ BAR CURL</v>
      </c>
      <c r="B152" s="25"/>
      <c r="C152" s="25"/>
      <c r="D152" s="25"/>
      <c r="E152" s="26"/>
      <c r="F152" s="1151" t="str">
        <f>'WEEK 7 MASTER SHEET'!F152</f>
        <v/>
      </c>
      <c r="G152" s="1151" t="str">
        <f>'WEEK 7 MASTER SHEET'!G152</f>
        <v/>
      </c>
      <c r="H152" s="75" t="str">
        <f>'WEEK 7 MASTER SHEET'!H152</f>
        <v>4. BICEP EZ BAR CURL</v>
      </c>
      <c r="I152" s="53"/>
      <c r="J152" s="53"/>
      <c r="K152" s="53"/>
      <c r="L152" s="53"/>
      <c r="M152" s="54"/>
      <c r="N152" s="1151" t="str">
        <f>'WEEK 7 MASTER SHEET'!N152</f>
        <v/>
      </c>
      <c r="T152" s="1151"/>
    </row>
    <row r="153">
      <c r="A153" s="1141" t="str">
        <f>'WEEK 7 MASTER SHEET'!A153</f>
        <v>HOW TO MAX PROPERLY</v>
      </c>
      <c r="B153" s="25"/>
      <c r="C153" s="25"/>
      <c r="D153" s="25"/>
      <c r="E153" s="26"/>
      <c r="G153" s="434" t="s">
        <v>123</v>
      </c>
      <c r="H153" s="282" t="str">
        <f>'WEEK 7 MASTER SHEET'!H153</f>
        <v>CURRENT MAX</v>
      </c>
      <c r="I153" s="852" t="str">
        <f>'WEEK 7 MASTER SHEET'!I153</f>
        <v/>
      </c>
      <c r="J153" s="16"/>
      <c r="K153" s="16"/>
      <c r="L153" s="16"/>
      <c r="M153" s="230"/>
    </row>
    <row r="154">
      <c r="A154" s="336"/>
      <c r="B154" s="11"/>
      <c r="C154" s="11"/>
      <c r="D154" s="11"/>
      <c r="E154" s="46"/>
      <c r="H154" s="364" t="str">
        <f>'WEEK 7 MASTER SHEET'!H154</f>
        <v>SET</v>
      </c>
      <c r="I154" s="365" t="str">
        <f>'WEEK 7 MASTER SHEET'!I154</f>
        <v>WEIGHT</v>
      </c>
      <c r="J154" s="365" t="str">
        <f>'WEEK 7 MASTER SHEET'!J154</f>
        <v>REPS</v>
      </c>
      <c r="K154" s="365" t="str">
        <f>'WEEK 7 MASTER SHEET'!K154</f>
        <v>REST</v>
      </c>
      <c r="L154" s="367" t="str">
        <f>'WEEK 7 MASTER SHEET'!L154</f>
        <v>PREVIOUS</v>
      </c>
      <c r="M154" s="61" t="str">
        <f>'WEEK 7 MASTER SHEET'!M154</f>
        <v>REP LOG</v>
      </c>
    </row>
    <row r="155">
      <c r="A155" s="365" t="str">
        <f>'WEEK 7 MASTER SHEET'!A155</f>
        <v>SET</v>
      </c>
      <c r="B155" s="365" t="str">
        <f>'WEEK 7 MASTER SHEET'!B155</f>
        <v>WEIGHT</v>
      </c>
      <c r="C155" s="365" t="str">
        <f>'WEEK 7 MASTER SHEET'!C155</f>
        <v>REPS</v>
      </c>
      <c r="D155" s="1167" t="str">
        <f>'WEEK 7 MASTER SHEET'!D155</f>
        <v>REST</v>
      </c>
      <c r="E155" s="61" t="str">
        <f>'WEEK 7 MASTER SHEET'!E155</f>
        <v>REP LOG</v>
      </c>
      <c r="G155" s="1151" t="str">
        <f>'WEEK 7 MASTER SHEET'!G156</f>
        <v/>
      </c>
      <c r="H155" s="308">
        <f>'WEEK 7 MASTER SHEET'!H155</f>
        <v>1</v>
      </c>
      <c r="I155" s="237">
        <f>'WEEK 7 MASTER SHEET'!I155</f>
        <v>0</v>
      </c>
      <c r="J155" s="64" t="str">
        <f>'WEEK 7 MASTER SHEET'!J155</f>
        <v>8 - 12</v>
      </c>
      <c r="K155" s="238" t="str">
        <f>'WEEK 7 MASTER SHEET'!K155</f>
        <v>1 MIN</v>
      </c>
      <c r="L155" s="1143" t="str">
        <f>'WEEK 7 MASTER SHEET'!L155</f>
        <v/>
      </c>
      <c r="M155" s="67"/>
    </row>
    <row r="156">
      <c r="A156" s="169">
        <f>'WEEK 7 MASTER SHEET'!A156</f>
        <v>1</v>
      </c>
      <c r="B156" s="191">
        <f>'WEEK 7 MASTER SHEET'!B156</f>
        <v>25</v>
      </c>
      <c r="C156" s="185">
        <f>'WEEK 7 MASTER SHEET'!C156</f>
        <v>4</v>
      </c>
      <c r="D156" s="172" t="str">
        <f>'WEEK 7 MASTER SHEET'!D156</f>
        <v>2 MIN</v>
      </c>
      <c r="E156" s="85" t="str">
        <f>'WEEK 7 MASTER SHEET'!E156</f>
        <v/>
      </c>
      <c r="H156" s="1144" t="str">
        <f>'WEEK 7 MASTER SHEET'!H156</f>
        <v>NEW 4 REP MAX ATTEMPT</v>
      </c>
      <c r="I156" s="20"/>
      <c r="J156" s="20"/>
      <c r="K156" s="20"/>
      <c r="L156" s="20"/>
      <c r="M156" s="95"/>
    </row>
    <row r="157">
      <c r="A157" s="174">
        <f>'WEEK 7 MASTER SHEET'!A157</f>
        <v>2</v>
      </c>
      <c r="B157" s="191">
        <f>'WEEK 7 MASTER SHEET'!B157</f>
        <v>35</v>
      </c>
      <c r="C157" s="175">
        <f>'WEEK 7 MASTER SHEET'!C157</f>
        <v>4</v>
      </c>
      <c r="D157" s="172" t="str">
        <f>'WEEK 7 MASTER SHEET'!D157</f>
        <v>2 MIN</v>
      </c>
      <c r="E157" s="85" t="str">
        <f>'WEEK 7 MASTER SHEET'!E157</f>
        <v/>
      </c>
      <c r="H157" s="244">
        <f>'WEEK 7 MASTER SHEET'!H157</f>
        <v>2</v>
      </c>
      <c r="I157" s="237">
        <f>'WEEK 7 MASTER SHEET'!I157</f>
        <v>0</v>
      </c>
      <c r="J157" s="63" t="str">
        <f>'WEEK 7 MASTER SHEET'!J157</f>
        <v>8 - 12</v>
      </c>
      <c r="K157" s="238" t="str">
        <f>'WEEK 7 MASTER SHEET'!K157</f>
        <v>1 MIN</v>
      </c>
      <c r="L157" s="66" t="str">
        <f>'WEEK 7 MASTER SHEET'!L157</f>
        <v/>
      </c>
      <c r="M157" s="67" t="str">
        <f>'WEEK 7 MASTER SHEET'!M157</f>
        <v/>
      </c>
    </row>
    <row r="158">
      <c r="A158" s="174">
        <f>'WEEK 7 MASTER SHEET'!A158</f>
        <v>3</v>
      </c>
      <c r="B158" s="191">
        <f>'WEEK 7 MASTER SHEET'!B158</f>
        <v>45</v>
      </c>
      <c r="C158" s="175">
        <f>'WEEK 7 MASTER SHEET'!C158</f>
        <v>4</v>
      </c>
      <c r="D158" s="172" t="str">
        <f>'WEEK 7 MASTER SHEET'!D158</f>
        <v>2 MIN</v>
      </c>
      <c r="E158" s="85" t="str">
        <f>'WEEK 7 MASTER SHEET'!E158</f>
        <v/>
      </c>
      <c r="H158" s="1145" t="str">
        <f>'WEEK 7 MASTER SHEET'!H158</f>
        <v>DOWN SET</v>
      </c>
      <c r="I158" s="20"/>
      <c r="J158" s="20"/>
      <c r="K158" s="20"/>
      <c r="L158" s="20"/>
      <c r="M158" s="95"/>
    </row>
    <row r="159">
      <c r="A159" s="174">
        <f>'WEEK 7 MASTER SHEET'!A159</f>
        <v>4</v>
      </c>
      <c r="B159" s="191">
        <f>'WEEK 7 MASTER SHEET'!B159</f>
        <v>55</v>
      </c>
      <c r="C159" s="175">
        <f>'WEEK 7 MASTER SHEET'!C159</f>
        <v>4</v>
      </c>
      <c r="D159" s="172" t="str">
        <f>'WEEK 7 MASTER SHEET'!D159</f>
        <v>2 MIN</v>
      </c>
      <c r="E159" s="85" t="str">
        <f>'WEEK 7 MASTER SHEET'!E159</f>
        <v/>
      </c>
      <c r="H159" s="62" t="str">
        <f>'WEEK 7 MASTER SHEET'!H159</f>
        <v/>
      </c>
      <c r="I159" s="237" t="str">
        <f>'WEEK 7 MASTER SHEET'!I159</f>
        <v/>
      </c>
      <c r="J159" s="437" t="str">
        <f>'WEEK 7 MASTER SHEET'!J159</f>
        <v/>
      </c>
      <c r="K159" s="65" t="str">
        <f>'WEEK 7 MASTER SHEET'!K159</f>
        <v/>
      </c>
      <c r="L159" s="66" t="str">
        <f>'WEEK 7 MASTER SHEET'!L159</f>
        <v/>
      </c>
      <c r="M159" s="665" t="str">
        <f>'WEEK 7 MASTER SHEET'!M159</f>
        <v/>
      </c>
    </row>
    <row r="160">
      <c r="A160" s="174">
        <f>'WEEK 7 MASTER SHEET'!A160</f>
        <v>5</v>
      </c>
      <c r="B160" s="191">
        <f>'WEEK 7 MASTER SHEET'!B160</f>
        <v>65</v>
      </c>
      <c r="C160" s="175">
        <f>'WEEK 7 MASTER SHEET'!C160</f>
        <v>4</v>
      </c>
      <c r="D160" s="172" t="str">
        <f>'WEEK 7 MASTER SHEET'!D160</f>
        <v>2 MIN</v>
      </c>
      <c r="E160" s="85" t="str">
        <f>'WEEK 7 MASTER SHEET'!E160</f>
        <v/>
      </c>
      <c r="H160" s="62" t="str">
        <f>'WEEK 7 MASTER SHEET'!H160</f>
        <v/>
      </c>
      <c r="I160" s="82" t="str">
        <f>'WEEK 7 MASTER SHEET'!I160</f>
        <v/>
      </c>
      <c r="J160" s="1146" t="str">
        <f>'WEEK 7 MASTER SHEET'!J160</f>
        <v/>
      </c>
      <c r="K160" s="63" t="str">
        <f>'WEEK 7 MASTER SHEET'!K160</f>
        <v/>
      </c>
      <c r="L160" s="66" t="str">
        <f>'WEEK 7 MASTER SHEET'!L160</f>
        <v/>
      </c>
      <c r="M160" s="67" t="str">
        <f>'WEEK 7 MASTER SHEET'!M160</f>
        <v/>
      </c>
    </row>
    <row r="161">
      <c r="A161" s="174">
        <f>'WEEK 7 MASTER SHEET'!A161</f>
        <v>6</v>
      </c>
      <c r="B161" s="191">
        <f>'WEEK 7 MASTER SHEET'!B161</f>
        <v>75</v>
      </c>
      <c r="C161" s="175">
        <f>'WEEK 7 MASTER SHEET'!C161</f>
        <v>4</v>
      </c>
      <c r="D161" s="172" t="str">
        <f>'WEEK 7 MASTER SHEET'!D161</f>
        <v>2 MIN</v>
      </c>
      <c r="E161" s="85" t="str">
        <f>'WEEK 7 MASTER SHEET'!E161</f>
        <v/>
      </c>
      <c r="H161" s="1147" t="str">
        <f>'WEEK 7 MASTER SHEET'!H161</f>
        <v>FINAL MAX</v>
      </c>
      <c r="I161" s="925" t="str">
        <f>'WEEK 7 MASTER SHEET'!I161</f>
        <v/>
      </c>
      <c r="J161" s="33"/>
      <c r="K161" s="33"/>
      <c r="L161" s="33"/>
      <c r="M161" s="34"/>
    </row>
    <row r="162">
      <c r="A162" s="1168">
        <f>'WEEK 7 MASTER SHEET'!A162</f>
        <v>7</v>
      </c>
      <c r="B162" s="408">
        <f>'WEEK 7 MASTER SHEET'!B162</f>
        <v>85</v>
      </c>
      <c r="C162" s="634">
        <f>'WEEK 7 MASTER SHEET'!C162</f>
        <v>4</v>
      </c>
      <c r="D162" s="416" t="str">
        <f>'WEEK 7 MASTER SHEET'!D162</f>
        <v>2 MIN</v>
      </c>
      <c r="E162" s="85" t="str">
        <f>'WEEK 7 MASTER SHEET'!E162</f>
        <v/>
      </c>
      <c r="H162" s="1151" t="str">
        <f>'WEEK 7 MASTER SHEET'!H162</f>
        <v/>
      </c>
    </row>
    <row r="163">
      <c r="A163" s="1169" t="str">
        <f>'WEEK 7 MASTER SHEET'!A163</f>
        <v>FINAL MAX</v>
      </c>
      <c r="B163" s="1170">
        <f>'WEEK 7 MASTER SHEET'!B163</f>
        <v>100</v>
      </c>
      <c r="C163" s="36"/>
      <c r="D163" s="36"/>
      <c r="E163" s="37"/>
    </row>
    <row r="164">
      <c r="A164" s="1151"/>
      <c r="B164" s="1151"/>
      <c r="C164" s="1151"/>
      <c r="D164" s="1151"/>
      <c r="E164" s="1151"/>
      <c r="F164" s="1151"/>
      <c r="G164" s="1151"/>
    </row>
    <row r="165">
      <c r="A165" s="1151"/>
      <c r="B165" s="1151"/>
      <c r="C165" s="1151"/>
      <c r="D165" s="1151"/>
      <c r="E165" s="1151"/>
      <c r="F165" s="1151"/>
    </row>
    <row r="166">
      <c r="A166" s="1149" t="str">
        <f>'WEEK 7 MASTER SHEET'!A166</f>
        <v>WORKOUT COMPLETE!</v>
      </c>
      <c r="B166" s="36"/>
      <c r="C166" s="36"/>
      <c r="D166" s="36"/>
      <c r="E166" s="36"/>
      <c r="F166" s="37"/>
    </row>
    <row r="167">
      <c r="A167" s="1171" t="str">
        <f>'WEEK 7 MASTER SHEET'!A167</f>
        <v/>
      </c>
      <c r="B167" s="1171" t="str">
        <f>'WEEK 7 MASTER SHEET'!B167</f>
        <v/>
      </c>
      <c r="C167" s="1171" t="str">
        <f>'WEEK 7 MASTER SHEET'!C167</f>
        <v/>
      </c>
      <c r="D167" s="1171" t="str">
        <f>'WEEK 7 MASTER SHEET'!D167</f>
        <v/>
      </c>
      <c r="E167" s="1171" t="str">
        <f>'WEEK 7 MASTER SHEET'!E167</f>
        <v/>
      </c>
      <c r="F167" s="1171"/>
      <c r="T167" s="1151"/>
    </row>
    <row r="168">
      <c r="A168" s="1094" t="str">
        <f>'WEEK 7 MASTER SHEET'!A168</f>
        <v>WANT TO LEARN MORE?</v>
      </c>
      <c r="F168" s="39"/>
    </row>
    <row r="169">
      <c r="A169" s="18"/>
      <c r="B169" s="13"/>
      <c r="C169" s="13"/>
      <c r="D169" s="13"/>
      <c r="E169" s="13"/>
      <c r="F169" s="14"/>
    </row>
    <row r="170">
      <c r="A170" s="1172" t="str">
        <f>'WEEK 7 MASTER SHEET'!A170</f>
        <v/>
      </c>
      <c r="B170" s="1173" t="str">
        <f>'WEEK 7 MASTER SHEET'!B170</f>
        <v/>
      </c>
      <c r="C170" s="1174" t="str">
        <f>'WEEK 7 MASTER SHEET'!C170</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70" s="28"/>
    </row>
    <row r="171">
      <c r="A171" s="1172" t="str">
        <f>'WEEK 7 MASTER SHEET'!A171</f>
        <v/>
      </c>
      <c r="B171" s="1173" t="str">
        <f>'WEEK 7 MASTER SHEET'!B171</f>
        <v/>
      </c>
      <c r="F171" s="28"/>
    </row>
    <row r="172">
      <c r="A172" s="1172" t="str">
        <f>'WEEK 7 MASTER SHEET'!A172</f>
        <v/>
      </c>
      <c r="B172" s="1173" t="str">
        <f>'WEEK 7 MASTER SHEET'!B172</f>
        <v/>
      </c>
      <c r="F172" s="28"/>
    </row>
    <row r="173">
      <c r="A173" s="1172" t="str">
        <f>'WEEK 7 MASTER SHEET'!A173</f>
        <v/>
      </c>
      <c r="B173" s="1173" t="str">
        <f>'WEEK 7 MASTER SHEET'!B173</f>
        <v/>
      </c>
      <c r="F173" s="28"/>
    </row>
    <row r="174">
      <c r="A174" s="1172" t="str">
        <f>'WEEK 7 MASTER SHEET'!A174</f>
        <v/>
      </c>
      <c r="B174" s="1173" t="str">
        <f>'WEEK 7 MASTER SHEET'!B174</f>
        <v/>
      </c>
      <c r="F174" s="28"/>
    </row>
    <row r="175">
      <c r="A175" s="1172" t="str">
        <f>'WEEK 7 MASTER SHEET'!A175</f>
        <v/>
      </c>
      <c r="B175" s="1173" t="str">
        <f>'WEEK 7 MASTER SHEET'!B175</f>
        <v/>
      </c>
      <c r="F175" s="28"/>
    </row>
    <row r="176">
      <c r="A176" s="1153" t="str">
        <f>'WEEK 7 MASTER SHEET'!A176</f>
        <v/>
      </c>
      <c r="B176" s="1173" t="str">
        <f>'WEEK 7 MASTER SHEET'!B176</f>
        <v/>
      </c>
      <c r="F176" s="28"/>
    </row>
    <row r="177">
      <c r="A177" s="1172" t="str">
        <f>'WEEK 7 MASTER SHEET'!A177</f>
        <v/>
      </c>
      <c r="B177" s="1173" t="str">
        <f>'WEEK 7 MASTER SHEET'!B177</f>
        <v/>
      </c>
      <c r="F177" s="28"/>
    </row>
    <row r="178">
      <c r="A178" s="1172" t="str">
        <f>'WEEK 7 MASTER SHEET'!A178</f>
        <v/>
      </c>
      <c r="B178" s="1173" t="str">
        <f>'WEEK 7 MASTER SHEET'!B178</f>
        <v/>
      </c>
      <c r="F178" s="28"/>
    </row>
    <row r="179">
      <c r="A179" s="1175" t="str">
        <f>'WEEK 7 MASTER SHEET'!A179</f>
        <v/>
      </c>
      <c r="B179" s="1173" t="str">
        <f>'WEEK 7 MASTER SHEET'!B179</f>
        <v/>
      </c>
      <c r="F179" s="28"/>
    </row>
    <row r="180">
      <c r="A180" s="1172" t="str">
        <f>'WEEK 7 MASTER SHEET'!A180</f>
        <v/>
      </c>
      <c r="B180" s="1173" t="str">
        <f>'WEEK 7 MASTER SHEET'!B180</f>
        <v/>
      </c>
      <c r="F180" s="28"/>
    </row>
    <row r="181">
      <c r="A181" s="1172" t="str">
        <f>'WEEK 7 MASTER SHEET'!A181</f>
        <v/>
      </c>
      <c r="B181" s="1173" t="str">
        <f>'WEEK 7 MASTER SHEET'!B181</f>
        <v/>
      </c>
      <c r="F181" s="28"/>
    </row>
    <row r="182">
      <c r="A182" s="1172" t="str">
        <f>'WEEK 7 MASTER SHEET'!A182</f>
        <v/>
      </c>
      <c r="B182" s="1173" t="str">
        <f>'WEEK 7 MASTER SHEET'!B182</f>
        <v/>
      </c>
      <c r="F182" s="28"/>
    </row>
    <row r="183">
      <c r="A183" s="1172" t="str">
        <f>'WEEK 7 MASTER SHEET'!A183</f>
        <v/>
      </c>
      <c r="B183" s="1173" t="str">
        <f>'WEEK 7 MASTER SHEET'!B183</f>
        <v/>
      </c>
      <c r="F183" s="28"/>
    </row>
    <row r="184">
      <c r="A184" s="1172" t="str">
        <f>'WEEK 7 MASTER SHEET'!A184</f>
        <v/>
      </c>
      <c r="B184" s="1173" t="str">
        <f>'WEEK 7 MASTER SHEET'!B184</f>
        <v/>
      </c>
      <c r="C184" s="11"/>
      <c r="D184" s="11"/>
      <c r="E184" s="11"/>
      <c r="F184" s="46"/>
    </row>
    <row r="185">
      <c r="A185" s="1151"/>
      <c r="B185" s="1151"/>
      <c r="C185" s="1151"/>
      <c r="D185" s="1151"/>
      <c r="E185" s="1151"/>
      <c r="F185" s="1151"/>
    </row>
  </sheetData>
  <mergeCells count="128">
    <mergeCell ref="A30:F30"/>
    <mergeCell ref="B33:F33"/>
    <mergeCell ref="A35:N36"/>
    <mergeCell ref="A37:F37"/>
    <mergeCell ref="H37:M37"/>
    <mergeCell ref="B38:F38"/>
    <mergeCell ref="H27:M27"/>
    <mergeCell ref="H29:M29"/>
    <mergeCell ref="N29:N34"/>
    <mergeCell ref="I34:M34"/>
    <mergeCell ref="P34:T34"/>
    <mergeCell ref="O35:T36"/>
    <mergeCell ref="I38:M38"/>
    <mergeCell ref="A59:F59"/>
    <mergeCell ref="B60:F60"/>
    <mergeCell ref="A42:F43"/>
    <mergeCell ref="A44:F44"/>
    <mergeCell ref="B45:F45"/>
    <mergeCell ref="A51:F51"/>
    <mergeCell ref="A54:F54"/>
    <mergeCell ref="B57:F57"/>
    <mergeCell ref="A58:F58"/>
    <mergeCell ref="A77:F77"/>
    <mergeCell ref="A78:F78"/>
    <mergeCell ref="A65:F66"/>
    <mergeCell ref="A67:F67"/>
    <mergeCell ref="B68:F68"/>
    <mergeCell ref="A73:F73"/>
    <mergeCell ref="A74:F74"/>
    <mergeCell ref="A75:F75"/>
    <mergeCell ref="A76:F76"/>
    <mergeCell ref="G105:G106"/>
    <mergeCell ref="G113:G127"/>
    <mergeCell ref="N102:P107"/>
    <mergeCell ref="N113:P127"/>
    <mergeCell ref="H114:M114"/>
    <mergeCell ref="I115:M115"/>
    <mergeCell ref="H121:M121"/>
    <mergeCell ref="H124:M124"/>
    <mergeCell ref="I127:M127"/>
    <mergeCell ref="G128:P149"/>
    <mergeCell ref="N37:T41"/>
    <mergeCell ref="G42:T101"/>
    <mergeCell ref="H102:M102"/>
    <mergeCell ref="Q102:T149"/>
    <mergeCell ref="I103:M103"/>
    <mergeCell ref="G108:P112"/>
    <mergeCell ref="H113:M113"/>
    <mergeCell ref="A114:F114"/>
    <mergeCell ref="B115:F115"/>
    <mergeCell ref="A121:F121"/>
    <mergeCell ref="A124:F124"/>
    <mergeCell ref="B127:F127"/>
    <mergeCell ref="A128:F129"/>
    <mergeCell ref="A130:F130"/>
    <mergeCell ref="G153:G154"/>
    <mergeCell ref="G155:G163"/>
    <mergeCell ref="H156:M156"/>
    <mergeCell ref="H158:M158"/>
    <mergeCell ref="I161:M161"/>
    <mergeCell ref="H162:S163"/>
    <mergeCell ref="G164:S185"/>
    <mergeCell ref="T167:T185"/>
    <mergeCell ref="A150:T151"/>
    <mergeCell ref="A152:E152"/>
    <mergeCell ref="H152:M152"/>
    <mergeCell ref="N152:S161"/>
    <mergeCell ref="T152:T166"/>
    <mergeCell ref="A153:E154"/>
    <mergeCell ref="I153:M153"/>
    <mergeCell ref="A166:F166"/>
    <mergeCell ref="F152:F163"/>
    <mergeCell ref="B163:E163"/>
    <mergeCell ref="A168:F169"/>
    <mergeCell ref="C170:F184"/>
    <mergeCell ref="B131:F131"/>
    <mergeCell ref="A136:F136"/>
    <mergeCell ref="A137:F137"/>
    <mergeCell ref="B138:F138"/>
    <mergeCell ref="A143:F143"/>
    <mergeCell ref="A144:F144"/>
    <mergeCell ref="B145:F145"/>
    <mergeCell ref="N15:T15"/>
    <mergeCell ref="A16:T18"/>
    <mergeCell ref="A19:F19"/>
    <mergeCell ref="H19:M19"/>
    <mergeCell ref="O19:T19"/>
    <mergeCell ref="O20:T20"/>
    <mergeCell ref="P21:T21"/>
    <mergeCell ref="A1:T8"/>
    <mergeCell ref="A9:F9"/>
    <mergeCell ref="G9:G14"/>
    <mergeCell ref="H9:M9"/>
    <mergeCell ref="N9:T14"/>
    <mergeCell ref="A10:F11"/>
    <mergeCell ref="A12:F12"/>
    <mergeCell ref="G24:G25"/>
    <mergeCell ref="A27:F27"/>
    <mergeCell ref="O27:T27"/>
    <mergeCell ref="O29:T29"/>
    <mergeCell ref="H10:M10"/>
    <mergeCell ref="H12:M14"/>
    <mergeCell ref="H15:M15"/>
    <mergeCell ref="N19:N26"/>
    <mergeCell ref="H20:M20"/>
    <mergeCell ref="I21:M21"/>
    <mergeCell ref="N27:N28"/>
    <mergeCell ref="A13:F13"/>
    <mergeCell ref="A14:F14"/>
    <mergeCell ref="A15:F15"/>
    <mergeCell ref="G19:G23"/>
    <mergeCell ref="A20:F20"/>
    <mergeCell ref="B21:F21"/>
    <mergeCell ref="A34:F34"/>
    <mergeCell ref="G26:G34"/>
    <mergeCell ref="G37:G41"/>
    <mergeCell ref="B79:F79"/>
    <mergeCell ref="B90:F90"/>
    <mergeCell ref="A93:F93"/>
    <mergeCell ref="B94:F94"/>
    <mergeCell ref="A99:F101"/>
    <mergeCell ref="A102:F102"/>
    <mergeCell ref="G102:G104"/>
    <mergeCell ref="B103:F103"/>
    <mergeCell ref="A108:F109"/>
    <mergeCell ref="A110:F110"/>
    <mergeCell ref="A111:F112"/>
    <mergeCell ref="A113:F113"/>
  </mergeCells>
  <dataValidations>
    <dataValidation type="decimal" allowBlank="1" showDropDown="1" showInputMessage="1" showErrorMessage="1" prompt="Enter a number between 0 and 30" sqref="F22:F26 M22:M26 T22:T26 M28 T28 F28:F29 F31:F32 M30:M33 T30:T33 F39:F41 M39:M41 F46:F50 F52:F53 F55:F56 F61:F64 F69:F72 F80:F89 F91:F92 F95:F98 F104:F107 M104:M107 F116:F120 M116:M120 F122:F123 M122:M123 F125:F126 M125:M126 F132:F135 F139:F142 F146:F149 F152 T152 M154:M155 M157 M159:M160 E156:E162 F164:F165 F167 T167 F185">
      <formula1>0.0</formula1>
      <formula2>30.0</formula2>
    </dataValidation>
    <dataValidation type="decimal" operator="greaterThan" allowBlank="1" showDropDown="1" showErrorMessage="1" sqref="M11">
      <formula1>0.0</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197</v>
      </c>
      <c r="B9" s="20"/>
      <c r="C9" s="20"/>
      <c r="D9" s="20"/>
      <c r="E9" s="20"/>
      <c r="F9" s="21"/>
      <c r="G9" s="103"/>
      <c r="H9" s="24" t="s">
        <v>35</v>
      </c>
      <c r="I9" s="25"/>
      <c r="J9" s="25"/>
      <c r="K9" s="25"/>
      <c r="L9" s="25"/>
      <c r="M9" s="26"/>
      <c r="N9" s="103"/>
    </row>
    <row r="10">
      <c r="A10" s="15" t="str">
        <f>HYPERLINK("https://goo.gl/forms/3ibooB993Hi7SS2d2","PRESS TO RECORD BODY WEIGHT")</f>
        <v>PRESS TO RECORD BODY WEIGHT</v>
      </c>
      <c r="B10" s="16"/>
      <c r="C10" s="16"/>
      <c r="D10" s="16"/>
      <c r="E10" s="16"/>
      <c r="F10" s="17"/>
      <c r="G10" s="103"/>
      <c r="H10" s="147" t="s">
        <v>198</v>
      </c>
      <c r="M10" s="28"/>
      <c r="N10" s="103"/>
    </row>
    <row r="11">
      <c r="A11" s="18"/>
      <c r="B11" s="13"/>
      <c r="C11" s="13"/>
      <c r="D11" s="13"/>
      <c r="E11" s="13"/>
      <c r="F11" s="14"/>
      <c r="G11" s="103"/>
      <c r="H11" s="29" t="s">
        <v>199</v>
      </c>
      <c r="I11" s="30"/>
      <c r="J11" s="30"/>
      <c r="K11" s="30"/>
      <c r="L11" s="30"/>
      <c r="M11" s="31"/>
      <c r="N11" s="103"/>
    </row>
    <row r="12">
      <c r="A12" s="19" t="s">
        <v>69</v>
      </c>
      <c r="B12" s="20"/>
      <c r="C12" s="20"/>
      <c r="D12" s="20"/>
      <c r="E12" s="20"/>
      <c r="F12" s="21"/>
      <c r="G12" s="103"/>
      <c r="H12" s="219"/>
      <c r="I12" s="220"/>
      <c r="J12" s="221"/>
      <c r="K12" s="219"/>
      <c r="L12" s="222"/>
      <c r="M12" s="103"/>
      <c r="N12" s="103"/>
    </row>
    <row r="13">
      <c r="A13" s="22" t="s">
        <v>177</v>
      </c>
      <c r="B13" s="20"/>
      <c r="C13" s="20"/>
      <c r="D13" s="20"/>
      <c r="E13" s="20"/>
      <c r="F13" s="21"/>
      <c r="G13" s="103"/>
      <c r="H13" s="103"/>
      <c r="I13" s="103"/>
      <c r="J13" s="103"/>
      <c r="K13" s="103"/>
      <c r="L13" s="222"/>
      <c r="M13" s="103"/>
      <c r="N13" s="103"/>
    </row>
    <row r="14">
      <c r="A14" s="219"/>
      <c r="B14" s="219"/>
      <c r="C14" s="219"/>
      <c r="D14" s="219"/>
      <c r="E14" s="223"/>
      <c r="F14" s="103"/>
      <c r="G14" s="103"/>
      <c r="H14" s="219"/>
      <c r="I14" s="219"/>
      <c r="J14" s="219"/>
      <c r="K14" s="103"/>
      <c r="L14" s="222"/>
      <c r="M14" s="103"/>
      <c r="N14" s="103"/>
    </row>
    <row r="15">
      <c r="A15" s="209"/>
      <c r="G15" s="277"/>
      <c r="H15" s="850"/>
      <c r="N15" s="277"/>
    </row>
    <row r="16">
      <c r="A16" s="50" t="s">
        <v>79</v>
      </c>
      <c r="B16" s="36"/>
      <c r="C16" s="36"/>
      <c r="D16" s="36"/>
      <c r="E16" s="36"/>
      <c r="F16" s="37"/>
      <c r="G16" s="141"/>
      <c r="H16" s="50" t="s">
        <v>118</v>
      </c>
      <c r="I16" s="36"/>
      <c r="J16" s="36"/>
      <c r="K16" s="36"/>
      <c r="L16" s="36"/>
      <c r="M16" s="37"/>
      <c r="N16" s="141"/>
    </row>
    <row r="17">
      <c r="A17" s="657"/>
    </row>
    <row r="19">
      <c r="A19" s="51" t="s">
        <v>48</v>
      </c>
      <c r="B19" s="36"/>
      <c r="C19" s="36"/>
      <c r="D19" s="36"/>
      <c r="E19" s="36"/>
      <c r="F19" s="37"/>
      <c r="G19" s="141"/>
      <c r="H19" s="51" t="s">
        <v>48</v>
      </c>
      <c r="I19" s="36"/>
      <c r="J19" s="36"/>
      <c r="K19" s="36"/>
      <c r="L19" s="36"/>
      <c r="M19" s="37"/>
      <c r="N19" s="141"/>
    </row>
    <row r="20">
      <c r="A20" s="52" t="str">
        <f>HYPERLINK("https://youtu.be/ujVN-A0Z-ic","1. DUMBBELL INCLINE PRESS")</f>
        <v>1. DUMBBELL INCLINE PRESS</v>
      </c>
      <c r="B20" s="53"/>
      <c r="C20" s="53"/>
      <c r="D20" s="53"/>
      <c r="E20" s="53"/>
      <c r="F20" s="54"/>
      <c r="H20" s="52" t="str">
        <f>HYPERLINK("https://youtu.be/75e_H9Vq_Lw","1. MACHINE PRESS")</f>
        <v>1. MACHINE PRESS</v>
      </c>
      <c r="I20" s="53"/>
      <c r="J20" s="53"/>
      <c r="K20" s="53"/>
      <c r="L20" s="53"/>
      <c r="M20" s="54"/>
    </row>
    <row r="21">
      <c r="A21" s="228" t="s">
        <v>119</v>
      </c>
      <c r="B21" s="229" t="str">
        <f>if('WEEK 7'!I34="",'WEEK 6'!I20,'WEEK 7'!I34)</f>
        <v/>
      </c>
      <c r="C21" s="16"/>
      <c r="D21" s="16"/>
      <c r="E21" s="16"/>
      <c r="F21" s="230"/>
      <c r="H21" s="228" t="s">
        <v>119</v>
      </c>
      <c r="I21" s="229" t="str">
        <f>if('WEEK 7'!P34="",'WEEK 5'!I34,'WEEK 7'!P34)</f>
        <v/>
      </c>
      <c r="J21" s="16"/>
      <c r="K21" s="16"/>
      <c r="L21" s="16"/>
      <c r="M21" s="230"/>
    </row>
    <row r="22">
      <c r="A22" s="96" t="s">
        <v>50</v>
      </c>
      <c r="B22" s="97" t="s">
        <v>51</v>
      </c>
      <c r="C22" s="97" t="s">
        <v>52</v>
      </c>
      <c r="D22" s="97" t="s">
        <v>53</v>
      </c>
      <c r="E22" s="98" t="s">
        <v>54</v>
      </c>
      <c r="F22" s="235" t="s">
        <v>55</v>
      </c>
      <c r="H22" s="96" t="s">
        <v>50</v>
      </c>
      <c r="I22" s="97" t="s">
        <v>51</v>
      </c>
      <c r="J22" s="97" t="s">
        <v>52</v>
      </c>
      <c r="K22" s="97" t="s">
        <v>53</v>
      </c>
      <c r="L22" s="98" t="s">
        <v>54</v>
      </c>
      <c r="M22" s="235" t="s">
        <v>55</v>
      </c>
    </row>
    <row r="23">
      <c r="A23" s="244">
        <v>1.0</v>
      </c>
      <c r="B23" s="241">
        <f>mround('WEEK 8'!B21*0.35,5)</f>
        <v>0</v>
      </c>
      <c r="C23" s="63">
        <v>6.0</v>
      </c>
      <c r="D23" s="83" t="s">
        <v>57</v>
      </c>
      <c r="E23" s="84" t="str">
        <f>IF('WEEK 5'!F23='WEEK 8'!B23,'WEEK 5'!F23,"")</f>
        <v/>
      </c>
      <c r="F23" s="85"/>
      <c r="H23" s="244">
        <v>1.0</v>
      </c>
      <c r="I23" s="241">
        <f>mround('WEEK 8'!I21*0.35,5)</f>
        <v>0</v>
      </c>
      <c r="J23" s="63">
        <v>6.0</v>
      </c>
      <c r="K23" s="83" t="s">
        <v>57</v>
      </c>
      <c r="L23" s="84" t="str">
        <f>IF('WEEK 5'!M23='WEEK 8'!I23,'WEEK 5'!M23,"")</f>
        <v/>
      </c>
      <c r="M23" s="85"/>
    </row>
    <row r="24">
      <c r="A24" s="240">
        <v>2.0</v>
      </c>
      <c r="B24" s="241">
        <f>mround('WEEK 8'!B21*0.65,5)</f>
        <v>0</v>
      </c>
      <c r="C24" s="241">
        <v>1.0</v>
      </c>
      <c r="D24" s="83" t="s">
        <v>57</v>
      </c>
      <c r="E24" s="84" t="str">
        <f>IF('WEEK 5'!F24='WEEK 8'!B24,'WEEK 5'!F24,"")</f>
        <v/>
      </c>
      <c r="F24" s="85"/>
      <c r="H24" s="240">
        <v>2.0</v>
      </c>
      <c r="I24" s="241">
        <f>mround('WEEK 8'!I21*0.65,5)</f>
        <v>0</v>
      </c>
      <c r="J24" s="241">
        <v>1.0</v>
      </c>
      <c r="K24" s="83" t="s">
        <v>57</v>
      </c>
      <c r="L24" s="84" t="str">
        <f>IF('WEEK 5'!M24='WEEK 8'!I24,'WEEK 5'!M24,"")</f>
        <v/>
      </c>
      <c r="M24" s="85"/>
    </row>
    <row r="25">
      <c r="A25" s="240">
        <v>3.0</v>
      </c>
      <c r="B25" s="241">
        <f>mround('WEEK 8'!B21*0.85,5)</f>
        <v>0</v>
      </c>
      <c r="C25" s="63">
        <v>1.0</v>
      </c>
      <c r="D25" s="83" t="s">
        <v>57</v>
      </c>
      <c r="E25" s="84" t="str">
        <f>IF('WEEK 5'!F25='WEEK 8'!B25,'WEEK 5'!F25,"")</f>
        <v/>
      </c>
      <c r="F25" s="85"/>
      <c r="H25" s="240">
        <v>3.0</v>
      </c>
      <c r="I25" s="241">
        <f>mround('WEEK 8'!I21*0.85,5)</f>
        <v>0</v>
      </c>
      <c r="J25" s="241">
        <v>1.0</v>
      </c>
      <c r="K25" s="83" t="s">
        <v>57</v>
      </c>
      <c r="L25" s="84" t="str">
        <f>IF('WEEK 5'!M25='WEEK 8'!I25,'WEEK 5'!M25,"")</f>
        <v/>
      </c>
      <c r="M25" s="85"/>
    </row>
    <row r="26">
      <c r="A26" s="240">
        <v>4.0</v>
      </c>
      <c r="B26" s="241">
        <f>mround('WEEK 8'!B21*1,5)</f>
        <v>0</v>
      </c>
      <c r="C26" s="245" t="s">
        <v>65</v>
      </c>
      <c r="D26" s="83" t="s">
        <v>57</v>
      </c>
      <c r="E26" s="84" t="str">
        <f>IF('WEEK 5'!F26='WEEK 8'!B26,'WEEK 5'!F26,"")</f>
        <v/>
      </c>
      <c r="F26" s="85"/>
      <c r="H26" s="240">
        <v>4.0</v>
      </c>
      <c r="I26" s="241">
        <f>mround('WEEK 8'!I21*1,5)</f>
        <v>0</v>
      </c>
      <c r="J26" s="245" t="s">
        <v>65</v>
      </c>
      <c r="K26" s="83" t="s">
        <v>57</v>
      </c>
      <c r="L26" s="84" t="str">
        <f>IF('WEEK 5'!M26='WEEK 8'!I26,'WEEK 5'!M26,"")</f>
        <v/>
      </c>
      <c r="M26" s="85"/>
    </row>
    <row r="27">
      <c r="A27" s="248" t="str">
        <f>IF(OR(ISBLANK('WEEK 8'!F26),ISBLANK('WEEK 8'!F25),ISBLANK('WEEK 8'!F24)),"PROCEED TO DOWNSETS",if('WEEK 8'!F26&gt;=6,"NEW 4 REP MAX ATTEMPT","PROCEED TO DOWN SETS"))</f>
        <v>PROCEED TO DOWNSETS</v>
      </c>
      <c r="F27" s="28"/>
      <c r="G27" s="247" t="s">
        <v>123</v>
      </c>
      <c r="H27" s="248" t="str">
        <f>IF(OR(ISBLANK('WEEK 8'!M26),ISBLANK('WEEK 8'!M25),ISBLANK('WEEK 8'!M24)),"PROCEED TO DOWNSETS",if('WEEK 8'!M26&gt;=6,"NEW 4 REP MAX ATTEMPT","PROCEED TO DOWN SETS"))</f>
        <v>PROCEED TO DOWNSETS</v>
      </c>
      <c r="M27" s="28"/>
    </row>
    <row r="28">
      <c r="A28" s="251" t="str">
        <f>IF(OR(ISBLANK('WEEK 8'!F26),ISBLANK('WEEK 8'!F25),ISBLANK('WEEK 8'!F24)),"",IF('WEEK 8'!F26&gt;=6,5,""))</f>
        <v/>
      </c>
      <c r="B28" s="252" t="str">
        <f>IF(OR(ISBLANK('WEEK 8'!F26),ISBLANK('WEEK 8'!F25),ISBLANK('WEEK 8'!F24)),"",IF('WEEK 8'!F26&gt;=6,'WEEK 8'!B21+5,""))</f>
        <v/>
      </c>
      <c r="C28" s="253" t="str">
        <f>IF(OR(ISBLANK('WEEK 8'!F26),ISBLANK('WEEK 8'!F25),ISBLANK('WEEK 8'!F24)),"",IF('WEEK 8'!F26&gt;=6,"REP OUT",""))</f>
        <v/>
      </c>
      <c r="D28" s="254" t="str">
        <f>IF(OR(ISBLANK('WEEK 8'!F26),ISBLANK('WEEK 8'!F25),ISBLANK('WEEK 8'!F24)),"",IF('WEEK 8'!F26&gt;5,"1 MIN",""))</f>
        <v/>
      </c>
      <c r="E28" s="84" t="str">
        <f>IF('WEEK 5'!F28='WEEK 8'!B28,'WEEK 5'!F28,"")</f>
        <v/>
      </c>
      <c r="F28" s="67"/>
      <c r="H28" s="251" t="str">
        <f>IF(OR(ISBLANK('WEEK 8'!M26),ISBLANK('WEEK 8'!M25),ISBLANK('WEEK 8'!M24)),"",IF('WEEK 8'!M26&gt;=6,5,""))</f>
        <v/>
      </c>
      <c r="I28" s="252" t="str">
        <f>IF(OR(ISBLANK('WEEK 8'!M26),ISBLANK('WEEK 8'!M25),ISBLANK('WEEK 8'!M24)),"",IF('WEEK 8'!M26&gt;=6,'WEEK 8'!I21+5,""))</f>
        <v/>
      </c>
      <c r="J28" s="253" t="str">
        <f>IF(OR(ISBLANK('WEEK 8'!M26),ISBLANK('WEEK 8'!M25),ISBLANK('WEEK 8'!M24)),"",IF('WEEK 8'!M26&gt;=6,"REP OUT",""))</f>
        <v/>
      </c>
      <c r="K28" s="254" t="str">
        <f>IF(OR(ISBLANK('WEEK 8'!M26),ISBLANK('WEEK 8'!M25),ISBLANK('WEEK 8'!M24)),"",IF('WEEK 8'!M26&gt;5,"1 MIN",""))</f>
        <v/>
      </c>
      <c r="L28" s="84" t="str">
        <f>IF('WEEK 5'!M28='WEEK 8'!I28,'WEEK 5'!M28,"")</f>
        <v/>
      </c>
      <c r="M28" s="67"/>
    </row>
    <row r="29">
      <c r="A29" s="260" t="str">
        <f>IF(OR(ISBLANK('WEEK 8'!F26),ISBLANK('WEEK 8'!F25),ISBLANK('WEEK 8'!F24)),"FILL OUT REP LOG FIRST","DOWN SETS")</f>
        <v>FILL OUT REP LOG FIRST</v>
      </c>
      <c r="B29" s="16"/>
      <c r="C29" s="16"/>
      <c r="D29" s="16"/>
      <c r="E29" s="16"/>
      <c r="F29" s="230"/>
      <c r="G29" s="141"/>
      <c r="H29" s="260" t="str">
        <f>IF(OR(ISBLANK('WEEK 8'!M26),ISBLANK('WEEK 8'!M25),ISBLANK('WEEK 8'!M24)),"FILL OUT REP LOG FIRST","DOWN SETS")</f>
        <v>FILL OUT REP LOG FIRST</v>
      </c>
      <c r="I29" s="16"/>
      <c r="J29" s="16"/>
      <c r="K29" s="16"/>
      <c r="L29" s="16"/>
      <c r="M29" s="230"/>
    </row>
    <row r="30">
      <c r="A30" s="545" t="str">
        <f>IF('WEEK 8'!F28&gt;=4,"",IF(OR(ISBLANK('WEEK 8'!F26),ISBLANK('WEEK 8'!F25),ISBLANK('WEEK 8'!F24)),"",IF('WEEK 8'!F26&gt;5,6,5)))</f>
        <v/>
      </c>
      <c r="B30" s="261" t="str">
        <f>IF('WEEK 8'!F28&gt;=4,"",IF(OR(ISBLANK('WEEK 8'!F26),ISBLANK('WEEK 8'!F25),ISBLANK('WEEK 8'!F24)),"",IF('WEEK 8'!F26&lt;6,mround('WEEK 8'!B21*0.8,5),IF('WEEK 8'!F26&lt;10,mround('WEEK 8'!B21*0.93,5),mround('WEEK 8'!B21*0.7,5)))))</f>
        <v/>
      </c>
      <c r="C30" s="262" t="str">
        <f>IF('WEEK 8'!F28&gt;=4,"",IF(OR(ISBLANK('WEEK 8'!F26),ISBLANK('WEEK 8'!F25),ISBLANK('WEEK 8'!F24)),"","REP OUT"))</f>
        <v/>
      </c>
      <c r="D30" s="65" t="str">
        <f>IF('WEEK 8'!F28&gt;=4,"",IF(OR(ISBLANK('WEEK 8'!F26),ISBLANK('WEEK 8'!F25),ISBLANK('WEEK 8'!F24)),"","1 MIN"))</f>
        <v/>
      </c>
      <c r="E30" s="84" t="str">
        <f>IF('WEEK 5'!F30='WEEK 8'!B30,'WEEK 5'!F30,"")</f>
        <v/>
      </c>
      <c r="F30" s="263"/>
      <c r="H30" s="91" t="str">
        <f>IF('WEEK 8'!M28&gt;=4,"",IF(OR(ISBLANK('WEEK 8'!M26),ISBLANK('WEEK 8'!M25),ISBLANK('WEEK 8'!M24)),"",IF('WEEK 8'!M26&gt;5,6,5)))</f>
        <v/>
      </c>
      <c r="I30" s="261" t="str">
        <f>IF('WEEK 8'!M28&gt;=4,"",IF(OR(ISBLANK('WEEK 8'!M26),ISBLANK('WEEK 8'!M25),ISBLANK('WEEK 8'!M24)),"",IF('WEEK 8'!M26&lt;6,mround('WEEK 8'!I21*0.8,5),IF('WEEK 8'!M26&lt;10,mround('WEEK 8'!I21*0.93,5),mround('WEEK 8'!I21*0.7,5)))))</f>
        <v/>
      </c>
      <c r="J30" s="262" t="str">
        <f>IF('WEEK 8'!M28&gt;=4,"",IF(OR(ISBLANK('WEEK 8'!M26),ISBLANK('WEEK 8'!M25),ISBLANK('WEEK 8'!M24)),"","REP OUT"))</f>
        <v/>
      </c>
      <c r="K30" s="65" t="str">
        <f>IF('WEEK 8'!M28&gt;=4,"",IF(OR(ISBLANK('WEEK 8'!M26),ISBLANK('WEEK 8'!M25),ISBLANK('WEEK 8'!M24)),"","1 MIN"))</f>
        <v/>
      </c>
      <c r="L30" s="84" t="str">
        <f>IF('WEEK 5'!M30='WEEK 8'!I30,'WEEK 5'!M30,"")</f>
        <v/>
      </c>
      <c r="M30" s="263"/>
    </row>
    <row r="31">
      <c r="A31" s="546" t="str">
        <f>IF('WEEK 8'!F28&gt;=4,"",IF(OR(ISBLANK('WEEK 8'!F26),ISBLANK('WEEK 8'!F25),ISBLANK('WEEK 8'!F24)),"",IF('WEEK 8'!F26&gt;5,7,6)))</f>
        <v/>
      </c>
      <c r="B31" s="254" t="str">
        <f>IF('WEEK 8'!F28&gt;=4,"",IF(OR(ISBLANK('WEEK 8'!F26),ISBLANK('WEEK 8'!F25),ISBLANK('WEEK 8'!F24)),"",IF('WEEK 8'!F26&lt;6,mround('WEEK 8'!B21*0.65,5),IF('WEEK 8'!F26&lt;10,mround('WEEK 8'!B21*0.7,5),mround('WEEK 8'!B21*0.65,5)))))</f>
        <v/>
      </c>
      <c r="C31" s="253" t="str">
        <f>IF('WEEK 8'!F28&gt;=4,"",IF(OR(ISBLANK('WEEK 8'!F26),ISBLANK('WEEK 8'!F25),ISBLANK('WEEK 8'!F24)),"","REP OUT"))</f>
        <v/>
      </c>
      <c r="D31" s="65" t="str">
        <f>IF('WEEK 8'!F28&gt;=4,"",IF(OR(ISBLANK('WEEK 8'!F26),ISBLANK('WEEK 8'!F25),ISBLANK('WEEK 8'!F24)),"","1 MIN"))</f>
        <v/>
      </c>
      <c r="E31" s="84" t="str">
        <f>IF('WEEK 5'!F31='WEEK 8'!B31,'WEEK 5'!F31,"")</f>
        <v/>
      </c>
      <c r="F31" s="270"/>
      <c r="H31" s="269" t="str">
        <f>IF('WEEK 8'!M28&gt;=4,"",IF(OR(ISBLANK('WEEK 8'!M26),ISBLANK('WEEK 8'!M25),ISBLANK('WEEK 8'!M24)),"",IF('WEEK 8'!M26&gt;5,7,6)))</f>
        <v/>
      </c>
      <c r="I31" s="254" t="str">
        <f>IF('WEEK 8'!M28&gt;=4,"",IF(OR(ISBLANK('WEEK 8'!M26),ISBLANK('WEEK 8'!M25),ISBLANK('WEEK 8'!M24)),"",IF('WEEK 8'!M26&lt;6,mround('WEEK 8'!I21*0.65,5),IF('WEEK 8'!M26&lt;10,mround('WEEK 8'!I21*0.7,5),mround('WEEK 8'!I21*0.65,5)))))</f>
        <v/>
      </c>
      <c r="J31" s="253" t="str">
        <f>IF('WEEK 8'!M28&gt;=4,"",IF(OR(ISBLANK('WEEK 8'!M26),ISBLANK('WEEK 8'!M25),ISBLANK('WEEK 8'!M24)),"","REP OUT"))</f>
        <v/>
      </c>
      <c r="K31" s="65" t="str">
        <f>IF('WEEK 8'!M28&gt;=4,"",IF(OR(ISBLANK('WEEK 8'!M26),ISBLANK('WEEK 8'!M25),ISBLANK('WEEK 8'!M24)),"","1 MIN"))</f>
        <v/>
      </c>
      <c r="L31" s="84" t="str">
        <f>IF('WEEK 5'!M31='WEEK 8'!I31,'WEEK 5'!M31,"")</f>
        <v/>
      </c>
      <c r="M31" s="270"/>
    </row>
    <row r="32">
      <c r="A32" s="546" t="str">
        <f>IF('WEEK 8'!F28&lt;4,"",IF(OR(ISBLANK('WEEK 8'!F26),ISBLANK('WEEK 8'!F25),ISBLANK('WEEK 8'!F24)),"",IF('WEEK 8'!F28&gt;3,6,5)))</f>
        <v/>
      </c>
      <c r="B32" s="254" t="str">
        <f>IF('WEEK 8'!F28&lt;4,"",IF(OR(ISBLANK('WEEK 8'!F26),ISBLANK('WEEK 8'!F25),ISBLANK('WEEK 8'!F24)),"",IF('WEEK 8'!F28&lt;6,mround('WEEK 8'!B34*0.8,5),IF('WEEK 8'!F28&lt;10,mround('WEEK 8'!B34*0.93,5),mround(B34*0.7,5)))))</f>
        <v/>
      </c>
      <c r="C32" s="253" t="str">
        <f>IF('WEEK 8'!F28&lt;4,"",IF(OR(ISBLANK('WEEK 8'!F26),ISBLANK('WEEK 8'!F25),ISBLANK('WEEK 8'!F24)),"","REP OUT"))</f>
        <v/>
      </c>
      <c r="D32" s="65" t="str">
        <f>IF('WEEK 8'!F28&lt;4,"",IF(OR(ISBLANK('WEEK 8'!F26),ISBLANK('WEEK 8'!F25),ISBLANK('WEEK 8'!F24)),"","1 MIN"))</f>
        <v/>
      </c>
      <c r="E32" s="84" t="str">
        <f>IF('WEEK 5'!F32='WEEK 8'!B32,'WEEK 5'!F32,"")</f>
        <v/>
      </c>
      <c r="F32" s="270"/>
      <c r="G32" s="141"/>
      <c r="H32" s="269" t="str">
        <f>IF('WEEK 8'!M28&lt;4,"",IF(OR(ISBLANK('WEEK 8'!M26),ISBLANK('WEEK 8'!M25),ISBLANK('WEEK 8'!M24)),"",IF('WEEK 8'!M28&gt;3,6,5)))</f>
        <v/>
      </c>
      <c r="I32" s="254" t="str">
        <f>IF('WEEK 8'!M28&lt;4,"",IF(OR(ISBLANK('WEEK 8'!M26),ISBLANK('WEEK 8'!M25),ISBLANK('WEEK 8'!M24)),"",IF('WEEK 8'!M28&lt;6,mround('WEEK 8'!I34*0.7,5),IF('WEEK 8'!M28&lt;10,mround('WEEK 8'!I34*0.8,5),mround(I34*0.93,5)))))</f>
        <v/>
      </c>
      <c r="J32" s="253" t="str">
        <f>IF('WEEK 8'!M28&lt;4,"",IF(OR(ISBLANK('WEEK 8'!M26),ISBLANK('WEEK 8'!M25),ISBLANK('WEEK 8'!M24)),"","REP OUT"))</f>
        <v/>
      </c>
      <c r="K32" s="65" t="str">
        <f>IF('WEEK 8'!M28&lt;4,"",IF(OR(ISBLANK('WEEK 8'!M26),ISBLANK('WEEK 8'!M25),ISBLANK('WEEK 8'!M24)),"","1 MIN"))</f>
        <v/>
      </c>
      <c r="L32" s="84" t="str">
        <f>IF('WEEK 5'!M32='WEEK 8'!I32,'WEEK 5'!M32,"")</f>
        <v/>
      </c>
      <c r="M32" s="270"/>
      <c r="N32" s="141"/>
    </row>
    <row r="33">
      <c r="A33" s="546" t="str">
        <f>IF('WEEK 8'!F28&lt;4,"",IF(OR(ISBLANK('WEEK 8'!F26),ISBLANK('WEEK 8'!F25),ISBLANK('WEEK 8'!F24)),"",IF('WEEK 8'!F28&gt;3,7,"")))</f>
        <v/>
      </c>
      <c r="B33" s="254" t="str">
        <f>IF('WEEK 8'!F28&lt;4,"",IF(OR(ISBLANK('WEEK 8'!F26),ISBLANK('WEEK 8'!F25),ISBLANK('WEEK 8'!F24)),"",IF('WEEK 8'!F28&lt;6,mround('WEEK 8'!B34*0.65,5),IF('WEEK 8'!F28&lt;10,mround('WEEK 8'!B34*0.7,5),mround(B34*0.65,5)))))</f>
        <v/>
      </c>
      <c r="C33" s="253" t="str">
        <f>IF('WEEK 8'!F28&lt;4,"",IF(OR(ISBLANK('WEEK 8'!F26),ISBLANK('WEEK 8'!F25),ISBLANK('WEEK 8'!F24)),"","REP OUT"))</f>
        <v/>
      </c>
      <c r="D33" s="65" t="str">
        <f>IF('WEEK 8'!F28&lt;4,"",IF(OR(ISBLANK('WEEK 8'!F26),ISBLANK('WEEK 8'!F25),ISBLANK('WEEK 8'!F24)),"","1 MIN"))</f>
        <v/>
      </c>
      <c r="E33" s="84" t="str">
        <f>IF('WEEK 5'!F33='WEEK 8'!B33,'WEEK 5'!F33,"")</f>
        <v/>
      </c>
      <c r="F33" s="270"/>
      <c r="G33" s="141"/>
      <c r="H33" s="269" t="str">
        <f>IF('WEEK 8'!M28&lt;4,"",IF(OR(ISBLANK('WEEK 8'!M26),ISBLANK('WEEK 8'!M25),ISBLANK('WEEK 8'!M24)),"",IF('WEEK 8'!M28&gt;3,7,"")))</f>
        <v/>
      </c>
      <c r="I33" s="254" t="str">
        <f>IF('WEEK 8'!M28&lt;4,"",IF(OR(ISBLANK('WEEK 8'!M26),ISBLANK('WEEK 8'!M25),ISBLANK('WEEK 8'!M24)),"",IF('WEEK 8'!M28&lt;6,mround('WEEK 8'!I34*0.65,5),IF('WEEK 8'!M28&lt;10,mround('WEEK 8'!I34*0.7,5),mround(I34*0.75,5)))))</f>
        <v/>
      </c>
      <c r="J33" s="253" t="str">
        <f>IF('WEEK 8'!M28&lt;4,"",IF(OR(ISBLANK('WEEK 8'!M26),ISBLANK('WEEK 8'!M25),ISBLANK('WEEK 8'!M24)),"","REP OUT"))</f>
        <v/>
      </c>
      <c r="K33" s="65" t="str">
        <f>IF('WEEK 8'!M28&lt;4,"",IF(OR(ISBLANK('WEEK 8'!M26),ISBLANK('WEEK 8'!M25),ISBLANK('WEEK 8'!M24)),"","1 MIN"))</f>
        <v/>
      </c>
      <c r="L33" s="84" t="str">
        <f>IF('WEEK 5'!M33='WEEK 8'!I33,'WEEK 5'!M33,"")</f>
        <v/>
      </c>
      <c r="M33" s="270"/>
      <c r="N33" s="141"/>
    </row>
    <row r="34">
      <c r="A34" s="280" t="s">
        <v>124</v>
      </c>
      <c r="B34" s="273" t="str">
        <f>IF(OR(ISBLANK('WEEK 8'!F24),ISBLANK('WEEK 8'!F25),ISBLANK('WEEK 8'!F26)),"",IF('WEEK 8'!F28&gt;=4,'WEEK 8'!B28,IF('WEEK 8'!F26&lt;=3,'WEEK 8'!B26-5,'WEEK 8'!B26)))</f>
        <v/>
      </c>
      <c r="C34" s="11"/>
      <c r="D34" s="11"/>
      <c r="E34" s="11"/>
      <c r="F34" s="46"/>
      <c r="G34" s="141"/>
      <c r="H34" s="280" t="s">
        <v>124</v>
      </c>
      <c r="I34" s="273" t="str">
        <f>IF(OR(ISBLANK('WEEK 8'!M24),ISBLANK('WEEK 8'!M25),ISBLANK('WEEK 8'!M26)),"",IF('WEEK 8'!M28&gt;=4,'WEEK 8'!I28,IF('WEEK 8'!M26&lt;=3,'WEEK 8'!I26-5,'WEEK 8'!I26)))</f>
        <v/>
      </c>
      <c r="J34" s="11"/>
      <c r="K34" s="11"/>
      <c r="L34" s="11"/>
      <c r="M34" s="46"/>
      <c r="N34" s="141"/>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153</v>
      </c>
      <c r="B38" s="548" t="str">
        <f>if('WEEK 8'!B34="",'WEEK 7'!B38,'WEEK 8'!B34)</f>
        <v/>
      </c>
      <c r="C38" s="13"/>
      <c r="D38" s="13"/>
      <c r="E38" s="13"/>
      <c r="F38" s="57"/>
      <c r="G38" s="247" t="s">
        <v>123</v>
      </c>
      <c r="H38" s="226" t="s">
        <v>153</v>
      </c>
      <c r="I38" s="548" t="str">
        <f>'WEEK 8'!B38</f>
        <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8'!B38*0.29,2.5)</f>
        <v>0</v>
      </c>
      <c r="C40" s="241">
        <v>15.0</v>
      </c>
      <c r="D40" s="83" t="s">
        <v>57</v>
      </c>
      <c r="E40" s="84" t="str">
        <f>IF('WEEK 7'!B40='WEEK 8'!B40,'WEEK 7'!F40,"")</f>
        <v/>
      </c>
      <c r="F40" s="85"/>
      <c r="G40" s="659"/>
      <c r="H40" s="240">
        <v>1.0</v>
      </c>
      <c r="I40" s="254">
        <f>mround('WEEK 8'!I38*2*0.75,10)</f>
        <v>0</v>
      </c>
      <c r="J40" s="241">
        <v>15.0</v>
      </c>
      <c r="K40" s="83" t="s">
        <v>57</v>
      </c>
      <c r="L40" s="84" t="str">
        <f>IF('WEEK 7'!I40='WEEK 8'!I40,'WEEK 7'!M40,"")</f>
        <v/>
      </c>
      <c r="M40" s="85"/>
    </row>
    <row r="41">
      <c r="A41" s="661">
        <v>2.0</v>
      </c>
      <c r="B41" s="662">
        <f>mround(B38*0.29,2.5)</f>
        <v>0</v>
      </c>
      <c r="C41" s="662">
        <v>15.0</v>
      </c>
      <c r="D41" s="88" t="s">
        <v>57</v>
      </c>
      <c r="E41" s="84" t="str">
        <f>IF('WEEK 7'!B41='WEEK 8'!B41,'WEEK 7'!F41,"")</f>
        <v/>
      </c>
      <c r="F41" s="85"/>
      <c r="H41" s="661">
        <v>2.0</v>
      </c>
      <c r="I41" s="662">
        <f>mround('WEEK 8'!I38*2*0.75,10)</f>
        <v>0</v>
      </c>
      <c r="J41" s="662">
        <v>15.0</v>
      </c>
      <c r="K41" s="88" t="s">
        <v>57</v>
      </c>
      <c r="L41" s="84" t="str">
        <f>IF('WEEK 7'!I41='WEEK 8'!I41,'WEEK 7'!M41,"")</f>
        <v/>
      </c>
      <c r="M41" s="85"/>
    </row>
    <row r="44">
      <c r="A44" s="1176" t="str">
        <f>HYPERLINK("https://www.youtube.com/watch?v=JDPkRuVBZ90","2. SUPER SET")</f>
        <v>2. SUPER SET</v>
      </c>
      <c r="B44" s="36"/>
      <c r="C44" s="36"/>
      <c r="D44" s="36"/>
      <c r="E44" s="36"/>
      <c r="F44" s="37"/>
    </row>
    <row r="45">
      <c r="A45" s="1177" t="s">
        <v>119</v>
      </c>
      <c r="B45" s="1178">
        <f>'WEEK 7'!B60</f>
        <v>270</v>
      </c>
      <c r="C45" s="46"/>
      <c r="D45" s="1178">
        <f>'WEEK 7'!B68</f>
        <v>270</v>
      </c>
      <c r="E45" s="11"/>
      <c r="F45" s="46"/>
    </row>
    <row r="46">
      <c r="A46" s="1179" t="s">
        <v>50</v>
      </c>
      <c r="B46" s="1180" t="s">
        <v>200</v>
      </c>
      <c r="C46" s="1181" t="s">
        <v>51</v>
      </c>
      <c r="D46" s="1181" t="s">
        <v>52</v>
      </c>
      <c r="E46" s="1182" t="s">
        <v>54</v>
      </c>
      <c r="F46" s="1006" t="s">
        <v>55</v>
      </c>
    </row>
    <row r="47">
      <c r="A47" s="1183">
        <v>1.0</v>
      </c>
      <c r="B47" s="1184" t="str">
        <f>HYPERLINK("https://www.youtube.com/watch?v=PnaDzYh2axA","LAT PULL DOWN")</f>
        <v>LAT PULL DOWN</v>
      </c>
      <c r="C47" s="1185">
        <f>MROUND('WEEK 8'!B45*0.45,5)</f>
        <v>50</v>
      </c>
      <c r="D47" s="1186">
        <v>20.0</v>
      </c>
      <c r="E47" s="1187"/>
      <c r="F47" s="1188"/>
    </row>
    <row r="48">
      <c r="A48" s="1189"/>
      <c r="B48" s="1190" t="str">
        <f>HYPERLINK("https://www.youtube.com/watch?v=9YH1YvZbiY0","LOW ROW")</f>
        <v>LOW ROW</v>
      </c>
      <c r="C48" s="1191">
        <f>MROUND('WEEK 8'!D45*0.45,5)</f>
        <v>40</v>
      </c>
      <c r="D48" s="1192">
        <v>20.0</v>
      </c>
      <c r="E48" s="1193"/>
      <c r="F48" s="1188"/>
    </row>
    <row r="49">
      <c r="A49" s="1194" t="s">
        <v>201</v>
      </c>
      <c r="B49" s="11"/>
      <c r="C49" s="11"/>
      <c r="D49" s="11"/>
      <c r="E49" s="11"/>
      <c r="F49" s="46"/>
    </row>
    <row r="50">
      <c r="A50" s="1195">
        <v>2.0</v>
      </c>
      <c r="B50" s="1184" t="str">
        <f>HYPERLINK("https://www.youtube.com/watch?v=PnaDzYh2axA","LAT PULL DOWN")</f>
        <v>LAT PULL DOWN</v>
      </c>
      <c r="C50" s="1185">
        <f>IF('WEEK 8'!F47&gt;=15,'WEEK 8'!C47,MROUND('WEEK 8'!C47*0.9,5))</f>
        <v>45</v>
      </c>
      <c r="D50" s="1186">
        <v>20.0</v>
      </c>
      <c r="E50" s="1187"/>
      <c r="F50" s="1188"/>
    </row>
    <row r="51">
      <c r="A51" s="1196"/>
      <c r="B51" s="1190" t="str">
        <f>HYPERLINK("https://www.youtube.com/watch?v=9YH1YvZbiY0","LOW ROW")</f>
        <v>LOW ROW</v>
      </c>
      <c r="C51" s="1191">
        <f>IF('WEEK 8'!F48&gt;=15,'WEEK 8'!C48,MROUND('WEEK 8'!C48*0.9,5))</f>
        <v>35</v>
      </c>
      <c r="D51" s="1192">
        <v>20.0</v>
      </c>
      <c r="E51" s="1193"/>
      <c r="F51" s="1188"/>
    </row>
    <row r="52">
      <c r="A52" s="1194" t="s">
        <v>201</v>
      </c>
      <c r="B52" s="11"/>
      <c r="C52" s="11"/>
      <c r="D52" s="11"/>
      <c r="E52" s="11"/>
      <c r="F52" s="46"/>
    </row>
    <row r="53">
      <c r="A53" s="1195">
        <v>3.0</v>
      </c>
      <c r="B53" s="1184" t="str">
        <f>HYPERLINK("https://www.youtube.com/watch?v=PnaDzYh2axA","LAT PULL DOWN")</f>
        <v>LAT PULL DOWN</v>
      </c>
      <c r="C53" s="1185">
        <f>IF('WEEK 8'!F50&gt;=15,'WEEK 8'!C50,MROUND('WEEK 8'!C50*0.9,5))</f>
        <v>40</v>
      </c>
      <c r="D53" s="1186">
        <v>20.0</v>
      </c>
      <c r="E53" s="1187"/>
      <c r="F53" s="1133"/>
    </row>
    <row r="54">
      <c r="A54" s="1196"/>
      <c r="B54" s="1190" t="str">
        <f>HYPERLINK("https://www.youtube.com/watch?v=9YH1YvZbiY0","LOW ROW")</f>
        <v>LOW ROW</v>
      </c>
      <c r="C54" s="1191">
        <f>IF('WEEK 8'!F51&gt;=15,'WEEK 8'!C51,MROUND('WEEK 8'!C51*0.9,5))</f>
        <v>30</v>
      </c>
      <c r="D54" s="1192">
        <v>20.0</v>
      </c>
      <c r="E54" s="1193"/>
      <c r="F54" s="1133"/>
    </row>
    <row r="55">
      <c r="A55" s="1194" t="s">
        <v>201</v>
      </c>
      <c r="B55" s="11"/>
      <c r="C55" s="11"/>
      <c r="D55" s="11"/>
      <c r="E55" s="11"/>
      <c r="F55" s="46"/>
    </row>
    <row r="56">
      <c r="A56" s="1197">
        <v>4.0</v>
      </c>
      <c r="B56" s="1184" t="str">
        <f>HYPERLINK("https://www.youtube.com/watch?v=PnaDzYh2axA","LAT PULL DOWN")</f>
        <v>LAT PULL DOWN</v>
      </c>
      <c r="C56" s="1185">
        <f>IF('WEEK 8'!F53&gt;=15,'WEEK 8'!C53,MROUND('WEEK 8'!C53*0.9,5))</f>
        <v>35</v>
      </c>
      <c r="D56" s="1186">
        <v>20.0</v>
      </c>
      <c r="E56" s="1187"/>
      <c r="F56" s="1133"/>
    </row>
    <row r="57">
      <c r="A57" s="1196"/>
      <c r="B57" s="1190" t="str">
        <f>HYPERLINK("https://www.youtube.com/watch?v=9YH1YvZbiY0","LOW ROW")</f>
        <v>LOW ROW</v>
      </c>
      <c r="C57" s="1191">
        <f>IF('WEEK 8'!F54&gt;=15,'WEEK 8'!C54,MROUND('WEEK 8'!C54*0.9,5))</f>
        <v>25</v>
      </c>
      <c r="D57" s="1192">
        <v>20.0</v>
      </c>
      <c r="E57" s="1193"/>
      <c r="F57" s="1133"/>
    </row>
    <row r="59">
      <c r="A59" s="103"/>
      <c r="B59" s="103"/>
      <c r="C59" s="103"/>
      <c r="D59" s="103"/>
      <c r="E59" s="222"/>
      <c r="F59" s="103"/>
    </row>
    <row r="60">
      <c r="A60" s="310" t="str">
        <f>HYPERLINK("https://docs.google.com/a/fitnessresults.com/forms/d/e/1FAIpQLSd7MoczESe8Yjv6BKpmwAZGn9Aiymrs9-UdgfYIUpbr9t5NXg/viewform?usp=pp_url&amp;entry.93370101","CLICK TO COMPLETE WORKOUT")</f>
        <v>CLICK TO COMPLETE WORKOUT</v>
      </c>
      <c r="B60" s="36"/>
      <c r="C60" s="36"/>
      <c r="D60" s="36"/>
      <c r="E60" s="36"/>
      <c r="F60" s="37"/>
    </row>
    <row r="62">
      <c r="A62" s="224" t="s">
        <v>128</v>
      </c>
      <c r="B62" s="36"/>
      <c r="C62" s="36"/>
      <c r="D62" s="36"/>
      <c r="E62" s="36"/>
      <c r="F62" s="37"/>
    </row>
    <row r="65">
      <c r="A65" s="1198" t="str">
        <f>HYPERLINK("https://www.youtube.com/watch?v=5UOeRbRoFOI","1. MACHINE SQUAT")</f>
        <v>1. MACHINE SQUAT</v>
      </c>
      <c r="B65" s="53"/>
      <c r="C65" s="53"/>
      <c r="D65" s="53"/>
      <c r="E65" s="53"/>
      <c r="F65" s="54"/>
      <c r="G65" s="1199"/>
    </row>
    <row r="66">
      <c r="A66" s="1200" t="s">
        <v>119</v>
      </c>
      <c r="B66" s="1201">
        <f>'WEEK 5'!B104</f>
        <v>100</v>
      </c>
      <c r="C66" s="20"/>
      <c r="D66" s="20"/>
      <c r="E66" s="20"/>
      <c r="F66" s="95"/>
      <c r="G66" s="1199"/>
    </row>
    <row r="67">
      <c r="A67" s="231" t="s">
        <v>50</v>
      </c>
      <c r="B67" s="232" t="s">
        <v>51</v>
      </c>
      <c r="C67" s="232" t="s">
        <v>52</v>
      </c>
      <c r="D67" s="232" t="s">
        <v>53</v>
      </c>
      <c r="E67" s="1073" t="s">
        <v>54</v>
      </c>
      <c r="F67" s="1006" t="s">
        <v>55</v>
      </c>
      <c r="G67" s="1199"/>
    </row>
    <row r="68">
      <c r="A68" s="236">
        <v>1.0</v>
      </c>
      <c r="B68" s="237">
        <f>mround('WEEK 8'!B66*0.35,5)</f>
        <v>35</v>
      </c>
      <c r="C68" s="238">
        <v>10.0</v>
      </c>
      <c r="D68" s="238" t="s">
        <v>120</v>
      </c>
      <c r="E68" s="1202" t="str">
        <f>IF('WEEK 8'!B68='WEEK 5'!B99,'WEEK 5'!F99,"")</f>
        <v/>
      </c>
      <c r="F68" s="1131">
        <v>10.0</v>
      </c>
      <c r="G68" s="1199"/>
    </row>
    <row r="69">
      <c r="A69" s="236">
        <v>2.0</v>
      </c>
      <c r="B69" s="237">
        <f>mround('WEEK 8'!B66*0.65,5)</f>
        <v>65</v>
      </c>
      <c r="C69" s="238">
        <v>10.0</v>
      </c>
      <c r="D69" s="238" t="s">
        <v>121</v>
      </c>
      <c r="E69" s="1202" t="str">
        <f>IF('WEEK 8'!B69='WEEK 5'!B100,'WEEK 5'!F100,"")</f>
        <v/>
      </c>
      <c r="F69" s="1011">
        <v>5.0</v>
      </c>
      <c r="G69" s="1199"/>
    </row>
    <row r="70">
      <c r="A70" s="242">
        <v>3.0</v>
      </c>
      <c r="B70" s="237">
        <f>mround('WEEK 8'!B66*0.9,5)</f>
        <v>90</v>
      </c>
      <c r="C70" s="238">
        <v>10.0</v>
      </c>
      <c r="D70" s="238" t="s">
        <v>121</v>
      </c>
      <c r="E70" s="1202" t="str">
        <f>IF('WEEK 8'!B70='WEEK 5'!B101,'WEEK 5'!F101,"")</f>
        <v/>
      </c>
      <c r="F70" s="1011">
        <v>5.0</v>
      </c>
      <c r="G70" s="1199"/>
    </row>
    <row r="71">
      <c r="A71" s="249">
        <v>4.0</v>
      </c>
      <c r="B71" s="175">
        <f>if('WEEK 8'!F70&lt;10,MROUND('WEEK 8'!B70-('WEEK 8'!B70*20%),5),'WEEK 8'!B66)</f>
        <v>70</v>
      </c>
      <c r="C71" s="238">
        <v>10.0</v>
      </c>
      <c r="D71" s="238" t="s">
        <v>122</v>
      </c>
      <c r="E71" s="1202" t="str">
        <f>IF('WEEK 8'!B71='WEEK 5'!B102,'WEEK 5'!F102,"")</f>
        <v/>
      </c>
      <c r="F71" s="1132"/>
      <c r="G71" s="1199"/>
    </row>
    <row r="72">
      <c r="A72" s="249">
        <v>5.0</v>
      </c>
      <c r="B72" s="175">
        <f>IF((AND('WEEK 8'!B71&lt;='WEEK 8'!B70,'WEEK 8'!F71&gt;=10)),'WEEK 8'!B71,IF('WEEK 8'!F71&lt;10,MROUND('WEEK 8'!B71-('WEEK 8'!B71*20%),5),if( 'WEEK 8'!F71&lt;10,MROUND('WEEK 8'!B71-('WEEK 8'!B71*10%),5),MROUND('WEEK 8'!B71+('WEEK 8'!B71*10%),5))))</f>
        <v>55</v>
      </c>
      <c r="C72" s="238">
        <v>10.0</v>
      </c>
      <c r="D72" s="238" t="s">
        <v>122</v>
      </c>
      <c r="E72" s="1202" t="str">
        <f>IF('WEEK 8'!B72='WEEK 5'!B103,'WEEK 5'!F103,"")</f>
        <v/>
      </c>
      <c r="F72" s="1017"/>
      <c r="G72" s="1199"/>
    </row>
    <row r="73">
      <c r="A73" s="249">
        <f>if(F71&lt;10,6,6)</f>
        <v>6</v>
      </c>
      <c r="B73" s="175">
        <f>IF((AND('WEEK 8'!B72&lt;='WEEK 8'!B71,'WEEK 8'!F72&gt;=10)),'WEEK 8'!B72,IF('WEEK 8'!F72&lt;10,MROUND('WEEK 8'!B72-('WEEK 8'!B72*20%),5),if( 'WEEK 8'!F72&lt;10,MROUND('WEEK 8'!B72-('WEEK 8'!B72*10%),5),MROUND('WEEK 8'!B72+('WEEK 8'!B72*10%),5))))</f>
        <v>45</v>
      </c>
      <c r="C73" s="238">
        <v>10.0</v>
      </c>
      <c r="D73" s="238" t="s">
        <v>122</v>
      </c>
      <c r="E73" s="1202"/>
      <c r="F73" s="1085"/>
      <c r="G73" s="1199"/>
    </row>
    <row r="74">
      <c r="A74" s="272" t="s">
        <v>192</v>
      </c>
      <c r="B74" s="1039">
        <f>IF((AND('WEEK 8'!F73&gt;=10,'WEEK 8'!B73&gt;'WEEK 8'!B72)),'WEEK 8'!B73,IF((AND('WEEK 8'!F72&gt;=10,'WEEK 8'!B72&gt;'WEEK 8'!B71)),'WEEK 8'!B72,IF((AND('WEEK 8'!F71&gt;=10,'WEEK 8'!B71&gt;'WEEK 8'!B70)),'WEEK 8'!B71,IF((AND('WEEK 8'!F70&gt;=10,'WEEK 8'!B70&gt;'WEEK 8'!B69)),'WEEK 8'!B70,IF((AND('WEEK 8'!F69&gt;=10,'WEEK 8'!B69&gt;'WEEK 8'!B68)),'WEEK 8'!B69,IF((AND('WEEK 8'!F68&gt;=10,'WEEK 8'!B68&gt;'WEEK 8'!B67)),'WEEK 8'!B68,'WEEK 8'!B66))))))</f>
        <v>100</v>
      </c>
      <c r="C74" s="11"/>
      <c r="D74" s="11"/>
      <c r="E74" s="11"/>
      <c r="F74" s="46"/>
      <c r="G74" s="1199"/>
    </row>
    <row r="77">
      <c r="A77" s="1044" t="str">
        <f>HYPERLINK("https://www.youtube.com/watch?v=NZ9KiFtbiMs","2. LEG EXTENSION")</f>
        <v>2. LEG EXTENSION</v>
      </c>
      <c r="B77" s="13"/>
      <c r="C77" s="13"/>
      <c r="D77" s="13"/>
      <c r="E77" s="13"/>
      <c r="F77" s="57"/>
    </row>
    <row r="78">
      <c r="A78" s="1045" t="s">
        <v>119</v>
      </c>
      <c r="B78" s="1046">
        <f>IF('WEEK 7'!B96='WEEK 7'!B98,'WEEK 7'!B96+5,IF('WEEK 7'!F96&lt;=9,MROUND('WEEK 7'!B94*0.95,5),'WEEK 7'!B96))</f>
        <v>65</v>
      </c>
      <c r="C78" s="13"/>
      <c r="D78" s="13"/>
      <c r="E78" s="13"/>
      <c r="F78" s="57"/>
    </row>
    <row r="79">
      <c r="A79" s="567" t="s">
        <v>50</v>
      </c>
      <c r="B79" s="568" t="s">
        <v>51</v>
      </c>
      <c r="C79" s="568" t="s">
        <v>52</v>
      </c>
      <c r="D79" s="568" t="s">
        <v>53</v>
      </c>
      <c r="E79" s="1047" t="s">
        <v>54</v>
      </c>
      <c r="F79" s="1048" t="s">
        <v>55</v>
      </c>
    </row>
    <row r="80">
      <c r="A80" s="1049">
        <v>1.0</v>
      </c>
      <c r="B80" s="1050">
        <f>'WEEK 8'!B78</f>
        <v>65</v>
      </c>
      <c r="C80" s="1051" t="s">
        <v>144</v>
      </c>
      <c r="D80" s="1052" t="s">
        <v>57</v>
      </c>
      <c r="E80" s="1010"/>
      <c r="F80" s="1017"/>
    </row>
    <row r="81">
      <c r="A81" s="1049">
        <v>2.0</v>
      </c>
      <c r="B81" s="1050">
        <f>if('WEEK 8'!F80&lt;12,mround('WEEK 8'!B80*0.8,5),IF('WEEK 8'!F80&lt;=19,MROUND('WEEK 8'!B80*0.95,5),'WEEK 8'!B80))</f>
        <v>50</v>
      </c>
      <c r="C81" s="1051" t="s">
        <v>144</v>
      </c>
      <c r="D81" s="1052" t="s">
        <v>57</v>
      </c>
      <c r="E81" s="1010"/>
      <c r="F81" s="1017"/>
    </row>
    <row r="82">
      <c r="A82" s="1053">
        <v>3.0</v>
      </c>
      <c r="B82" s="1054">
        <f>if('WEEK 8'!F81&lt;12,mround('WEEK 8'!B81*0.8,5),IF('WEEK 8'!F81&lt;=19,MROUND('WEEK 8'!B81*0.95,5),'WEEK 8'!B81))</f>
        <v>40</v>
      </c>
      <c r="C82" s="1055" t="s">
        <v>144</v>
      </c>
      <c r="D82" s="1056" t="s">
        <v>57</v>
      </c>
      <c r="E82" s="1021"/>
      <c r="F82" s="1017"/>
    </row>
    <row r="85">
      <c r="A85" s="323" t="str">
        <f>HYPERLINK("https://www.youtube.com/watch?v=XepOfsnGFJg","4. MACHINE LEG CURL")</f>
        <v>4. MACHINE LEG CURL</v>
      </c>
      <c r="B85" s="53"/>
      <c r="C85" s="53"/>
      <c r="D85" s="53"/>
      <c r="E85" s="53"/>
      <c r="F85" s="54"/>
      <c r="G85" s="141"/>
      <c r="H85" s="323" t="str">
        <f>HYPERLINK("https://youtu.be/kmN9cJ79PDE","4. PRONE LEG CURL")</f>
        <v>4. PRONE LEG CURL</v>
      </c>
      <c r="I85" s="53"/>
      <c r="J85" s="53"/>
      <c r="K85" s="53"/>
      <c r="L85" s="53"/>
      <c r="M85" s="54"/>
    </row>
    <row r="86">
      <c r="A86" s="1045" t="s">
        <v>119</v>
      </c>
      <c r="B86" s="1046">
        <f>IF('WEEK 7'!B105='WEEK 7'!B107,'WEEK 7'!B105+5,IF('WEEK 7'!F105&lt;=9,MROUND('WEEK 7'!B103*0.95,5),'WEEK 7'!B105))</f>
        <v>80</v>
      </c>
      <c r="C86" s="13"/>
      <c r="D86" s="13"/>
      <c r="E86" s="13"/>
      <c r="F86" s="57"/>
      <c r="H86" s="1045" t="s">
        <v>119</v>
      </c>
      <c r="I86" s="1046">
        <f>IF('WEEK 7'!I105='WEEK 7'!I107,'WEEK 7'!I105+5,IF('WEEK 7'!M105&lt;=9,MROUND('WEEK 7'!I103*0.95,5),'WEEK 7'!I105))</f>
        <v>80</v>
      </c>
      <c r="J86" s="13"/>
      <c r="K86" s="13"/>
      <c r="L86" s="13"/>
      <c r="M86" s="57"/>
    </row>
    <row r="87">
      <c r="A87" s="567" t="s">
        <v>50</v>
      </c>
      <c r="B87" s="568" t="s">
        <v>51</v>
      </c>
      <c r="C87" s="568" t="s">
        <v>52</v>
      </c>
      <c r="D87" s="568" t="s">
        <v>53</v>
      </c>
      <c r="E87" s="1047" t="s">
        <v>54</v>
      </c>
      <c r="F87" s="1048" t="s">
        <v>55</v>
      </c>
      <c r="H87" s="567" t="s">
        <v>50</v>
      </c>
      <c r="I87" s="568" t="s">
        <v>51</v>
      </c>
      <c r="J87" s="568" t="s">
        <v>52</v>
      </c>
      <c r="K87" s="568" t="s">
        <v>53</v>
      </c>
      <c r="L87" s="1047" t="s">
        <v>54</v>
      </c>
      <c r="M87" s="1048" t="s">
        <v>55</v>
      </c>
    </row>
    <row r="88">
      <c r="A88" s="1049">
        <v>1.0</v>
      </c>
      <c r="B88" s="1050">
        <f>'WEEK 8'!B86</f>
        <v>80</v>
      </c>
      <c r="C88" s="1051" t="s">
        <v>144</v>
      </c>
      <c r="D88" s="1052" t="s">
        <v>57</v>
      </c>
      <c r="E88" s="1010"/>
      <c r="F88" s="1017"/>
      <c r="G88" s="434" t="s">
        <v>123</v>
      </c>
      <c r="H88" s="1049">
        <v>1.0</v>
      </c>
      <c r="I88" s="1050">
        <f>'WEEK 8'!I86</f>
        <v>80</v>
      </c>
      <c r="J88" s="1051" t="s">
        <v>144</v>
      </c>
      <c r="K88" s="1052" t="s">
        <v>57</v>
      </c>
      <c r="L88" s="1010"/>
      <c r="M88" s="1017"/>
    </row>
    <row r="89">
      <c r="A89" s="1049">
        <v>2.0</v>
      </c>
      <c r="B89" s="1050">
        <f>if('WEEK 8'!F88&lt;12,mround('WEEK 8'!B88*0.8,5),IF('WEEK 8'!F88&lt;=19,MROUND('WEEK 8'!B88*0.95,5),'WEEK 8'!B88))</f>
        <v>65</v>
      </c>
      <c r="C89" s="1051" t="s">
        <v>144</v>
      </c>
      <c r="D89" s="1052" t="s">
        <v>57</v>
      </c>
      <c r="E89" s="1010"/>
      <c r="F89" s="1017"/>
      <c r="H89" s="1049">
        <v>2.0</v>
      </c>
      <c r="I89" s="1050">
        <f>if('WEEK 8'!M88&lt;12,mround('WEEK 8'!I88*0.8,5),IF('WEEK 8'!M88&lt;=19,MROUND('WEEK 8'!I88*0.95,5),'WEEK 8'!I88))</f>
        <v>65</v>
      </c>
      <c r="J89" s="1051" t="s">
        <v>144</v>
      </c>
      <c r="K89" s="1052" t="s">
        <v>57</v>
      </c>
      <c r="L89" s="1010"/>
      <c r="M89" s="1017"/>
    </row>
    <row r="90">
      <c r="A90" s="1053">
        <v>3.0</v>
      </c>
      <c r="B90" s="1054">
        <f>if('WEEK 8'!F89&lt;12,mround('WEEK 8'!B89*0.8,5),IF('WEEK 8'!F89&lt;=19,MROUND('WEEK 8'!B89*0.95,5),'WEEK 8'!B89))</f>
        <v>50</v>
      </c>
      <c r="C90" s="1055" t="s">
        <v>144</v>
      </c>
      <c r="D90" s="1056" t="s">
        <v>57</v>
      </c>
      <c r="E90" s="1021"/>
      <c r="F90" s="1017"/>
      <c r="G90" s="682"/>
      <c r="H90" s="1053">
        <v>3.0</v>
      </c>
      <c r="I90" s="1054">
        <f>if('WEEK 8'!M89&lt;12,mround('WEEK 8'!I89*0.8,5),IF('WEEK 8'!M89&lt;=19,MROUND('WEEK 8'!I89*0.95,5),'WEEK 8'!I89))</f>
        <v>50</v>
      </c>
      <c r="J90" s="1055" t="s">
        <v>144</v>
      </c>
      <c r="K90" s="1056" t="s">
        <v>57</v>
      </c>
      <c r="L90" s="1021"/>
      <c r="M90" s="1017"/>
    </row>
    <row r="91">
      <c r="A91" s="849"/>
      <c r="B91" s="849"/>
      <c r="C91" s="849"/>
      <c r="D91" s="849"/>
      <c r="E91" s="849"/>
      <c r="F91" s="849"/>
      <c r="H91" s="849"/>
      <c r="I91" s="850"/>
      <c r="J91" s="850"/>
      <c r="K91" s="850"/>
      <c r="L91" s="850"/>
      <c r="M91" s="850"/>
    </row>
    <row r="93">
      <c r="A93" s="1120" t="s">
        <v>62</v>
      </c>
      <c r="B93" s="36"/>
      <c r="C93" s="36"/>
      <c r="D93" s="36"/>
      <c r="E93" s="36"/>
      <c r="F93" s="37"/>
    </row>
    <row r="96">
      <c r="A96" s="878" t="str">
        <f>HYPERLINK("https://www.youtube.com/watch?v=rmxOkkd2hUk","1. SHOULDER PRESS")</f>
        <v>1. SHOULDER PRESS</v>
      </c>
      <c r="B96" s="53"/>
      <c r="C96" s="53"/>
      <c r="D96" s="53"/>
      <c r="E96" s="53"/>
      <c r="F96" s="54"/>
      <c r="H96" s="361" t="str">
        <f>HYPERLINK("https://www.youtube.com/watch?v=-cSBPE-y38M","1. MACHINE SHOULDER PRESS")</f>
        <v>1. MACHINE SHOULDER PRESS</v>
      </c>
      <c r="I96" s="53"/>
      <c r="J96" s="53"/>
      <c r="K96" s="53"/>
      <c r="L96" s="53"/>
      <c r="M96" s="54"/>
    </row>
    <row r="97">
      <c r="A97" s="961" t="s">
        <v>119</v>
      </c>
      <c r="B97" s="1035">
        <f>IF('WEEK 7'!B127="",'WEEK 6'!B109,'WEEK 7'!B127)</f>
        <v>85</v>
      </c>
      <c r="C97" s="13"/>
      <c r="D97" s="13"/>
      <c r="E97" s="13"/>
      <c r="F97" s="57"/>
      <c r="H97" s="961" t="s">
        <v>119</v>
      </c>
      <c r="I97" s="1035">
        <f>IF('WEEK 7'!I127="",'WEEK 6'!I109,'WEEK 7'!I127)</f>
        <v>150</v>
      </c>
      <c r="J97" s="13"/>
      <c r="K97" s="13"/>
      <c r="L97" s="13"/>
      <c r="M97" s="57"/>
    </row>
    <row r="98">
      <c r="A98" s="962" t="s">
        <v>50</v>
      </c>
      <c r="B98" s="1203" t="s">
        <v>51</v>
      </c>
      <c r="C98" s="963" t="s">
        <v>52</v>
      </c>
      <c r="D98" s="963" t="s">
        <v>53</v>
      </c>
      <c r="E98" s="1073" t="s">
        <v>54</v>
      </c>
      <c r="F98" s="1006" t="s">
        <v>55</v>
      </c>
      <c r="H98" s="962" t="s">
        <v>50</v>
      </c>
      <c r="I98" s="1203" t="s">
        <v>51</v>
      </c>
      <c r="J98" s="963" t="s">
        <v>52</v>
      </c>
      <c r="K98" s="963" t="s">
        <v>53</v>
      </c>
      <c r="L98" s="1073" t="s">
        <v>54</v>
      </c>
      <c r="M98" s="1006" t="s">
        <v>55</v>
      </c>
    </row>
    <row r="99">
      <c r="A99" s="1204">
        <v>1.0</v>
      </c>
      <c r="B99" s="1205">
        <f>mround('WEEK 8'!B97*0.5,5)</f>
        <v>45</v>
      </c>
      <c r="C99" s="1206" t="s">
        <v>65</v>
      </c>
      <c r="D99" s="1207" t="s">
        <v>122</v>
      </c>
      <c r="E99" s="1208"/>
      <c r="F99" s="1161"/>
      <c r="H99" s="1204">
        <v>1.0</v>
      </c>
      <c r="I99" s="1205">
        <f>mround('WEEK 8'!I97*0.5,5)</f>
        <v>75</v>
      </c>
      <c r="J99" s="1206" t="s">
        <v>65</v>
      </c>
      <c r="K99" s="1207" t="s">
        <v>122</v>
      </c>
      <c r="L99" s="1208"/>
      <c r="M99" s="1161"/>
    </row>
    <row r="100">
      <c r="A100" s="1209">
        <v>2.0</v>
      </c>
      <c r="B100" s="1210">
        <f>IF('WEEK 8'!F99&lt;5,MROUND('WEEK 8'!B99*0.7,5),IF('WEEK 8'!F99&lt;15,mround('WEEK 8'!B99*0.85,5),IF('WEEK 8'!F99&gt;=15,'WEEK 8'!B99)))</f>
        <v>30</v>
      </c>
      <c r="C100" s="1206" t="s">
        <v>65</v>
      </c>
      <c r="D100" s="1207" t="s">
        <v>122</v>
      </c>
      <c r="E100" s="1211"/>
      <c r="F100" s="1159"/>
      <c r="H100" s="1209">
        <v>2.0</v>
      </c>
      <c r="I100" s="1210">
        <f>IF('WEEK 8'!M99&lt;5,MROUND('WEEK 8'!I99*0.7,5),IF('WEEK 8'!M99&lt;15,mround('WEEK 8'!I99*0.85,5),IF('WEEK 8'!M99&gt;=15,'WEEK 8'!I99)))</f>
        <v>55</v>
      </c>
      <c r="J100" s="1206" t="s">
        <v>65</v>
      </c>
      <c r="K100" s="1207" t="s">
        <v>122</v>
      </c>
      <c r="L100" s="1211"/>
      <c r="M100" s="1159"/>
    </row>
    <row r="101">
      <c r="A101" s="1209">
        <v>3.0</v>
      </c>
      <c r="B101" s="1210">
        <f>IF('WEEK 8'!F100&lt;5,MROUND('WEEK 8'!B100*0.7,5),IF('WEEK 8'!F100&lt;15,mround('WEEK 8'!B100*0.85,5),IF('WEEK 8'!F100&gt;=15,'WEEK 8'!B100)))</f>
        <v>20</v>
      </c>
      <c r="C101" s="1206" t="s">
        <v>65</v>
      </c>
      <c r="D101" s="1207" t="s">
        <v>122</v>
      </c>
      <c r="E101" s="1010"/>
      <c r="F101" s="1159"/>
      <c r="H101" s="1209">
        <v>3.0</v>
      </c>
      <c r="I101" s="1210">
        <f>IF('WEEK 8'!M100&lt;5,MROUND('WEEK 8'!I100*0.7,5),IF('WEEK 8'!M100&lt;15,mround('WEEK 8'!I100*0.85,5),IF('WEEK 8'!M100&gt;=15,'WEEK 8'!I100)))</f>
        <v>40</v>
      </c>
      <c r="J101" s="1206" t="s">
        <v>65</v>
      </c>
      <c r="K101" s="1207" t="s">
        <v>122</v>
      </c>
      <c r="L101" s="1010"/>
      <c r="M101" s="1159"/>
    </row>
    <row r="102">
      <c r="A102" s="1212">
        <v>4.0</v>
      </c>
      <c r="B102" s="1213">
        <f>IF('WEEK 8'!F101&lt;5,MROUND('WEEK 8'!B101*0.7,5),IF('WEEK 8'!F101&lt;15,mround('WEEK 8'!B101*0.85,5),IF('WEEK 8'!F101&gt;=15,'WEEK 8'!B101)))</f>
        <v>15</v>
      </c>
      <c r="C102" s="1214" t="s">
        <v>65</v>
      </c>
      <c r="D102" s="1215" t="s">
        <v>122</v>
      </c>
      <c r="E102" s="1021"/>
      <c r="F102" s="1216"/>
      <c r="H102" s="1212">
        <v>4.0</v>
      </c>
      <c r="I102" s="1213">
        <f>IF('WEEK 8'!M101&lt;5,MROUND('WEEK 8'!I101*0.7,5),IF('WEEK 8'!M101&lt;15,mround('WEEK 8'!I101*0.85,5),IF('WEEK 8'!M101&gt;=15,'WEEK 8'!I101)))</f>
        <v>30</v>
      </c>
      <c r="J102" s="1214" t="s">
        <v>65</v>
      </c>
      <c r="K102" s="1215" t="s">
        <v>122</v>
      </c>
      <c r="L102" s="1021"/>
      <c r="M102" s="1216"/>
    </row>
    <row r="105">
      <c r="A105" s="1217" t="str">
        <f>HYPERLINK("https://www.youtube.com/watch?v=XDLQt1j3qUU","2. Dumbbell REAR DELT FLY ")</f>
        <v>2. Dumbbell REAR DELT FLY </v>
      </c>
      <c r="B105" s="53"/>
      <c r="C105" s="53"/>
      <c r="D105" s="53"/>
      <c r="E105" s="53"/>
      <c r="F105" s="54"/>
    </row>
    <row r="106">
      <c r="A106" s="226" t="s">
        <v>145</v>
      </c>
      <c r="B106" s="76">
        <f>'WEEK 8'!B97</f>
        <v>85</v>
      </c>
      <c r="C106" s="13"/>
      <c r="D106" s="13"/>
      <c r="E106" s="13"/>
      <c r="F106" s="57"/>
    </row>
    <row r="107">
      <c r="A107" s="962" t="s">
        <v>50</v>
      </c>
      <c r="B107" s="963" t="s">
        <v>51</v>
      </c>
      <c r="C107" s="963" t="s">
        <v>52</v>
      </c>
      <c r="D107" s="963" t="s">
        <v>53</v>
      </c>
      <c r="E107" s="1005" t="s">
        <v>54</v>
      </c>
      <c r="F107" s="1006" t="s">
        <v>55</v>
      </c>
    </row>
    <row r="108">
      <c r="A108" s="967">
        <v>1.0</v>
      </c>
      <c r="B108" s="1028">
        <f>MROUND('WEEK 8'!B106*0.5,2.5)</f>
        <v>42.5</v>
      </c>
      <c r="C108" s="1218" t="s">
        <v>65</v>
      </c>
      <c r="D108" s="1067" t="s">
        <v>122</v>
      </c>
      <c r="E108" s="1010"/>
      <c r="F108" s="1017"/>
    </row>
    <row r="109">
      <c r="A109" s="967">
        <v>2.0</v>
      </c>
      <c r="B109" s="1028">
        <f>if('WEEK 8'!F108&lt;10,mround('WEEK 8'!B108*0.8,5),IF('WEEK 8'!F108&lt;=15,MROUND('WEEK 8'!B108*0.95,5),'WEEK 8'!B108))</f>
        <v>35</v>
      </c>
      <c r="C109" s="1218" t="s">
        <v>65</v>
      </c>
      <c r="D109" s="1067" t="s">
        <v>122</v>
      </c>
      <c r="E109" s="1010"/>
      <c r="F109" s="1017"/>
    </row>
    <row r="110">
      <c r="A110" s="971">
        <v>3.0</v>
      </c>
      <c r="B110" s="1123">
        <f>if('WEEK 8'!F109&lt;10,mround('WEEK 8'!B109*0.8,5),IF('WEEK 8'!F109&lt;=15,MROUND('WEEK 8'!B109*0.95,5),'WEEK 8'!B109))</f>
        <v>30</v>
      </c>
      <c r="C110" s="1219" t="s">
        <v>65</v>
      </c>
      <c r="D110" s="1220" t="s">
        <v>122</v>
      </c>
      <c r="E110" s="1021"/>
      <c r="F110" s="1017"/>
    </row>
    <row r="113">
      <c r="A113" s="74" t="str">
        <f>HYPERLINK("https://youtu.be/jat-iMMa0ac","3. DUMBBELL SIDE LATERAL RAISE")</f>
        <v>3. DUMBBELL SIDE LATERAL RAISE</v>
      </c>
      <c r="B113" s="53"/>
      <c r="C113" s="53"/>
      <c r="D113" s="53"/>
      <c r="E113" s="53"/>
      <c r="F113" s="54"/>
    </row>
    <row r="114">
      <c r="A114" s="226" t="s">
        <v>145</v>
      </c>
      <c r="B114" s="90">
        <f>'WEEK 8'!B97</f>
        <v>85</v>
      </c>
      <c r="C114" s="13"/>
      <c r="D114" s="13"/>
      <c r="E114" s="13"/>
      <c r="F114" s="57"/>
    </row>
    <row r="115">
      <c r="A115" s="376" t="s">
        <v>50</v>
      </c>
      <c r="B115" s="79" t="s">
        <v>51</v>
      </c>
      <c r="C115" s="79" t="s">
        <v>52</v>
      </c>
      <c r="D115" s="79" t="s">
        <v>53</v>
      </c>
      <c r="E115" s="98" t="s">
        <v>54</v>
      </c>
      <c r="F115" s="377" t="s">
        <v>55</v>
      </c>
    </row>
    <row r="116">
      <c r="A116" s="81">
        <v>1.0</v>
      </c>
      <c r="B116" s="82">
        <f>mround('WEEK 8'!B114*0.1,5)</f>
        <v>10</v>
      </c>
      <c r="C116" s="262" t="s">
        <v>65</v>
      </c>
      <c r="D116" s="83" t="s">
        <v>57</v>
      </c>
      <c r="E116" s="378"/>
      <c r="F116" s="796"/>
    </row>
    <row r="117">
      <c r="A117" s="81">
        <v>2.0</v>
      </c>
      <c r="B117" s="82">
        <f>if('WEEK 8'!F116&lt;12,mround('WEEK 8'!B116*0.8,2.5),'WEEK 8'!B116)</f>
        <v>7.5</v>
      </c>
      <c r="C117" s="262" t="s">
        <v>65</v>
      </c>
      <c r="D117" s="83" t="s">
        <v>57</v>
      </c>
      <c r="E117" s="378"/>
      <c r="F117" s="330"/>
    </row>
    <row r="118">
      <c r="A118" s="86">
        <v>3.0</v>
      </c>
      <c r="B118" s="87">
        <f>if('WEEK 8'!F117&lt;12,mround('WEEK 8'!B117*0.8,2.5),'WEEK 8'!B117)</f>
        <v>5</v>
      </c>
      <c r="C118" s="309" t="s">
        <v>65</v>
      </c>
      <c r="D118" s="88" t="s">
        <v>57</v>
      </c>
      <c r="E118" s="379"/>
      <c r="F118" s="85"/>
    </row>
    <row r="119">
      <c r="A119" s="795"/>
      <c r="B119" s="795"/>
      <c r="C119" s="795"/>
      <c r="D119" s="792"/>
      <c r="E119" s="793"/>
      <c r="F119" s="792"/>
    </row>
    <row r="120">
      <c r="A120" s="795"/>
      <c r="B120" s="795"/>
      <c r="C120" s="795"/>
      <c r="D120" s="792"/>
      <c r="E120" s="793"/>
      <c r="F120" s="792"/>
    </row>
    <row r="121">
      <c r="A121" s="361" t="str">
        <f>HYPERLINK("https://www.youtube.com/watch?v=Zt0LwrUdpNs","2.  TRICEP OVERHEAD ROPE EXTENSION")</f>
        <v>2.  TRICEP OVERHEAD ROPE EXTENSION</v>
      </c>
      <c r="B121" s="53"/>
      <c r="C121" s="53"/>
      <c r="D121" s="53"/>
      <c r="E121" s="53"/>
      <c r="F121" s="54"/>
    </row>
    <row r="122">
      <c r="A122" s="226" t="s">
        <v>119</v>
      </c>
      <c r="B122" s="76">
        <f>IF('WEEK 7'!B147='WEEK 7'!B149,'WEEK 7'!B147+5,IF('WEEK 7'!F147&lt;=15,MROUND('WEEK 7'!B145*0.35,5),'WEEK 7'!B147))</f>
        <v>30</v>
      </c>
      <c r="C122" s="13"/>
      <c r="D122" s="13"/>
      <c r="E122" s="13"/>
      <c r="F122" s="57"/>
    </row>
    <row r="123">
      <c r="A123" s="77" t="s">
        <v>50</v>
      </c>
      <c r="B123" s="78" t="s">
        <v>51</v>
      </c>
      <c r="C123" s="78" t="s">
        <v>52</v>
      </c>
      <c r="D123" s="78" t="s">
        <v>53</v>
      </c>
      <c r="E123" s="80" t="s">
        <v>54</v>
      </c>
      <c r="F123" s="235" t="s">
        <v>55</v>
      </c>
    </row>
    <row r="124">
      <c r="A124" s="81">
        <v>1.0</v>
      </c>
      <c r="B124" s="82">
        <f> mround('WEEK 8'!B122*0.5,5)</f>
        <v>15</v>
      </c>
      <c r="C124" s="262" t="s">
        <v>65</v>
      </c>
      <c r="D124" s="83" t="s">
        <v>58</v>
      </c>
      <c r="E124" s="84" t="str">
        <f>IF('WEEK 1 '!B141=B124,'WEEK 1 '!F141,"")</f>
        <v/>
      </c>
      <c r="F124" s="85"/>
    </row>
    <row r="125">
      <c r="A125" s="81">
        <v>2.0</v>
      </c>
      <c r="B125" s="82">
        <f>if('WEEK 8'!F124&lt;10,mround('WEEK 8'!B124*0.8,5),IF('WEEK 8'!F124&lt;=14,MROUND('WEEK 8'!B124*0.95,5),'WEEK 8'!B124))</f>
        <v>10</v>
      </c>
      <c r="C125" s="262" t="s">
        <v>65</v>
      </c>
      <c r="D125" s="83" t="s">
        <v>58</v>
      </c>
      <c r="E125" s="84" t="str">
        <f>IF('WEEK 1 '!B142=B125,'WEEK 1 '!F142,"")</f>
        <v/>
      </c>
      <c r="F125" s="85"/>
    </row>
    <row r="126">
      <c r="A126" s="86">
        <v>3.0</v>
      </c>
      <c r="B126" s="87">
        <f>if('WEEK 8'!F125&lt;8,mround('WEEK 8'!B125*0.8,5),IF('WEEK 8'!F125&lt;=14,MROUND('WEEK 8'!B125*0.95,5),'WEEK 8'!B125))</f>
        <v>10</v>
      </c>
      <c r="C126" s="309" t="s">
        <v>65</v>
      </c>
      <c r="D126" s="88" t="s">
        <v>58</v>
      </c>
      <c r="E126" s="89" t="str">
        <f>IF('WEEK 1 '!B143=B126,'WEEK 1 '!F143,"")</f>
        <v/>
      </c>
      <c r="F126" s="85"/>
    </row>
    <row r="129">
      <c r="A129" s="75" t="str">
        <f>HYPERLINK("https://www.youtube.com/watch?v=9IqvmIhFxtY","4. BICEP CABLE CURL")</f>
        <v>4. BICEP CABLE CURL</v>
      </c>
      <c r="B129" s="53"/>
      <c r="C129" s="53"/>
      <c r="D129" s="53"/>
      <c r="E129" s="53"/>
      <c r="F129" s="54"/>
      <c r="G129" s="698"/>
      <c r="H129" s="75" t="str">
        <f>HYPERLINK("https://www.youtube.com/watch?v=Bi6Do6QIlpQ","4. BICEP BAR CURL")</f>
        <v>4. BICEP BAR CURL</v>
      </c>
      <c r="I129" s="53"/>
      <c r="J129" s="53"/>
      <c r="K129" s="53"/>
      <c r="L129" s="53"/>
      <c r="M129" s="54"/>
    </row>
    <row r="130">
      <c r="A130" s="226" t="s">
        <v>119</v>
      </c>
      <c r="B130" s="76">
        <f>IF('WEEK 5'!B142='WEEK 5'!B144,'WEEK 5'!B142,IF('WEEK 5'!F142&lt;=15,MROUND('WEEK 5'!B140*0.95,5),'WEEK 5'!B142))</f>
        <v>30</v>
      </c>
      <c r="C130" s="13"/>
      <c r="D130" s="13"/>
      <c r="E130" s="13"/>
      <c r="F130" s="57"/>
      <c r="G130" s="985"/>
      <c r="H130" s="282" t="s">
        <v>119</v>
      </c>
      <c r="I130" s="852" t="str">
        <f>#REF!</f>
        <v>#REF!</v>
      </c>
      <c r="J130" s="16"/>
      <c r="K130" s="16"/>
      <c r="L130" s="16"/>
      <c r="M130" s="230"/>
    </row>
    <row r="131">
      <c r="A131" s="77" t="s">
        <v>50</v>
      </c>
      <c r="B131" s="78" t="s">
        <v>51</v>
      </c>
      <c r="C131" s="78" t="s">
        <v>52</v>
      </c>
      <c r="D131" s="78" t="s">
        <v>53</v>
      </c>
      <c r="E131" s="80" t="s">
        <v>54</v>
      </c>
      <c r="F131" s="235" t="s">
        <v>55</v>
      </c>
      <c r="G131" s="985"/>
      <c r="H131" s="364" t="s">
        <v>50</v>
      </c>
      <c r="I131" s="365" t="s">
        <v>51</v>
      </c>
      <c r="J131" s="365" t="s">
        <v>52</v>
      </c>
      <c r="K131" s="365" t="s">
        <v>53</v>
      </c>
      <c r="L131" s="367" t="s">
        <v>54</v>
      </c>
      <c r="M131" s="61" t="s">
        <v>55</v>
      </c>
    </row>
    <row r="132">
      <c r="A132" s="81">
        <v>1.0</v>
      </c>
      <c r="B132" s="82">
        <f>MROUND('WEEK 8'!B130*0.5,5)</f>
        <v>15</v>
      </c>
      <c r="C132" s="262" t="s">
        <v>65</v>
      </c>
      <c r="D132" s="83" t="s">
        <v>58</v>
      </c>
      <c r="E132" s="84" t="str">
        <f>IF('WEEK 3 '!B143='WEEK 5'!B136,'WEEK 3 '!F143,"")</f>
        <v>#VALUE!</v>
      </c>
      <c r="F132" s="85"/>
      <c r="G132" s="985"/>
      <c r="H132" s="308">
        <v>1.0</v>
      </c>
      <c r="I132" s="237" t="str">
        <f>mround('WEEK 8'!I130*0.5,5)</f>
        <v>#REF!</v>
      </c>
      <c r="J132" s="104" t="s">
        <v>65</v>
      </c>
      <c r="K132" s="238" t="s">
        <v>57</v>
      </c>
      <c r="L132" s="1143"/>
      <c r="M132" s="665">
        <v>10.0</v>
      </c>
    </row>
    <row r="133">
      <c r="A133" s="81">
        <v>2.0</v>
      </c>
      <c r="B133" s="82">
        <f>if('WEEK 8'!F132&lt;15,mround('WEEK 8'!B132*0.8,5),IF('WEEK 8'!F132&lt;=18,MROUND('WEEK 8'!B130*0.95,5),'WEEK 8'!B132))</f>
        <v>10</v>
      </c>
      <c r="C133" s="262" t="s">
        <v>65</v>
      </c>
      <c r="D133" s="83" t="s">
        <v>58</v>
      </c>
      <c r="E133" s="84" t="str">
        <f>IF('WEEK 3 '!B144='WEEK 5'!B137,'WEEK 3 '!F144,"")</f>
        <v/>
      </c>
      <c r="F133" s="85"/>
      <c r="G133" s="985"/>
      <c r="H133" s="308">
        <v>2.0</v>
      </c>
      <c r="I133" s="237" t="str">
        <f>IF('WEEK 8'!M132&lt;=10,'WEEK 8'!I132-15,IF('WEEK 8'!M132&lt;=14,'WEEK 8'!I132-10,'WEEK 8'!I132))</f>
        <v>#REF!</v>
      </c>
      <c r="J133" s="104" t="s">
        <v>65</v>
      </c>
      <c r="K133" s="238" t="s">
        <v>57</v>
      </c>
      <c r="L133" s="1143"/>
      <c r="M133" s="67"/>
    </row>
    <row r="134">
      <c r="A134" s="629">
        <v>3.0</v>
      </c>
      <c r="B134" s="630">
        <f>if('WEEK 8'!F133&lt;15,mround('WEEK 8'!B133*0.8,5),IF('WEEK 8'!F133&lt;=18,MROUND('WEEK 8'!B131*0.95,5),'WEEK 8'!B133))</f>
        <v>10</v>
      </c>
      <c r="C134" s="262" t="s">
        <v>65</v>
      </c>
      <c r="D134" s="328" t="s">
        <v>58</v>
      </c>
      <c r="E134" s="84" t="str">
        <f>IF('WEEK 3 '!B145='WEEK 5'!B138,'WEEK 3 '!F145,"")</f>
        <v/>
      </c>
      <c r="F134" s="330"/>
      <c r="G134" s="985"/>
      <c r="H134" s="579">
        <v>3.0</v>
      </c>
      <c r="I134" s="237" t="str">
        <f>IF('WEEK 8'!M133&lt;=10,'WEEK 8'!I133-15,IF('WEEK 8'!M133&lt;=14,'WEEK 8'!I133-10,'WEEK 8'!I133))</f>
        <v>#REF!</v>
      </c>
      <c r="J134" s="105" t="s">
        <v>65</v>
      </c>
      <c r="K134" s="373" t="s">
        <v>57</v>
      </c>
      <c r="L134" s="72"/>
      <c r="M134" s="271">
        <v>10.0</v>
      </c>
    </row>
    <row r="137">
      <c r="A137" s="1149" t="s">
        <v>135</v>
      </c>
      <c r="B137" s="36"/>
      <c r="C137" s="36"/>
      <c r="D137" s="36"/>
      <c r="E137" s="36"/>
      <c r="F137" s="37"/>
    </row>
    <row r="138">
      <c r="A138" s="1093"/>
      <c r="B138" s="1093"/>
      <c r="C138" s="1093"/>
      <c r="D138" s="1093"/>
      <c r="E138" s="1093"/>
      <c r="F138" s="1093"/>
    </row>
    <row r="139">
      <c r="A139" s="1094" t="str">
        <f>HYPERLINK("https://www.amazon.com/30-Minute-Body-Investment-Champion/dp/0692791892/ref=sr_1_1?ie=UTF8&amp;qid=1490447969&amp;sr=8-1&amp;keywords=30+minute+body","WANT TO LEARN MORE?")</f>
        <v>WANT TO LEARN MORE?</v>
      </c>
      <c r="F139" s="39"/>
    </row>
    <row r="140">
      <c r="A140" s="18"/>
      <c r="B140" s="13"/>
      <c r="C140" s="13"/>
      <c r="D140" s="13"/>
      <c r="E140" s="13"/>
      <c r="F140" s="14"/>
    </row>
    <row r="141">
      <c r="A141" s="987"/>
      <c r="B141" s="999"/>
      <c r="C141" s="1150" t="s">
        <v>67</v>
      </c>
      <c r="F141" s="28"/>
    </row>
    <row r="142">
      <c r="A142" s="987"/>
      <c r="B142" s="999"/>
      <c r="F142" s="28"/>
    </row>
    <row r="143">
      <c r="A143" s="987"/>
      <c r="B143" s="999"/>
      <c r="F143" s="28"/>
    </row>
    <row r="144">
      <c r="A144" s="987"/>
      <c r="B144" s="999"/>
      <c r="F144" s="28"/>
    </row>
    <row r="145">
      <c r="A145" s="987"/>
      <c r="B145" s="999"/>
      <c r="F145" s="28"/>
    </row>
    <row r="146">
      <c r="A146" s="987"/>
      <c r="B146" s="999"/>
      <c r="F146" s="28"/>
    </row>
    <row r="147">
      <c r="A147" s="623"/>
      <c r="B147" s="999"/>
      <c r="F147" s="28"/>
    </row>
    <row r="148">
      <c r="A148" s="987"/>
      <c r="B148" s="999"/>
      <c r="F148" s="28"/>
    </row>
    <row r="149">
      <c r="A149" s="987"/>
      <c r="B149" s="999"/>
      <c r="F149" s="28"/>
    </row>
    <row r="150">
      <c r="A150" s="1034"/>
      <c r="B150" s="999"/>
      <c r="F150" s="28"/>
    </row>
    <row r="151">
      <c r="A151" s="987"/>
      <c r="B151" s="999"/>
      <c r="F151" s="28"/>
    </row>
    <row r="152">
      <c r="A152" s="987"/>
      <c r="B152" s="999"/>
      <c r="F152" s="28"/>
    </row>
    <row r="153">
      <c r="A153" s="987"/>
      <c r="B153" s="999"/>
      <c r="F153" s="28"/>
    </row>
    <row r="154">
      <c r="A154" s="987"/>
      <c r="B154" s="999"/>
      <c r="F154" s="28"/>
    </row>
    <row r="155">
      <c r="A155" s="987"/>
      <c r="B155" s="999"/>
      <c r="C155" s="11"/>
      <c r="D155" s="11"/>
      <c r="E155" s="11"/>
      <c r="F155" s="46"/>
    </row>
  </sheetData>
  <mergeCells count="78">
    <mergeCell ref="H16:M16"/>
    <mergeCell ref="A17:N18"/>
    <mergeCell ref="A19:F19"/>
    <mergeCell ref="H19:M19"/>
    <mergeCell ref="A9:F9"/>
    <mergeCell ref="H9:M9"/>
    <mergeCell ref="A10:F11"/>
    <mergeCell ref="H10:M10"/>
    <mergeCell ref="A12:F12"/>
    <mergeCell ref="A13:F13"/>
    <mergeCell ref="H15:M15"/>
    <mergeCell ref="B21:F21"/>
    <mergeCell ref="A27:F27"/>
    <mergeCell ref="G27:G28"/>
    <mergeCell ref="H27:M27"/>
    <mergeCell ref="G19:G26"/>
    <mergeCell ref="G29:G31"/>
    <mergeCell ref="G38:G39"/>
    <mergeCell ref="A29:F29"/>
    <mergeCell ref="B34:F34"/>
    <mergeCell ref="A15:F15"/>
    <mergeCell ref="A16:F16"/>
    <mergeCell ref="N19:N31"/>
    <mergeCell ref="A20:F20"/>
    <mergeCell ref="H20:M20"/>
    <mergeCell ref="I21:M21"/>
    <mergeCell ref="H29:M29"/>
    <mergeCell ref="A129:F129"/>
    <mergeCell ref="B130:F130"/>
    <mergeCell ref="B106:F106"/>
    <mergeCell ref="A113:F113"/>
    <mergeCell ref="B114:F114"/>
    <mergeCell ref="A121:F121"/>
    <mergeCell ref="B122:F122"/>
    <mergeCell ref="H129:M129"/>
    <mergeCell ref="I130:M130"/>
    <mergeCell ref="I34:M34"/>
    <mergeCell ref="A35:N36"/>
    <mergeCell ref="A37:F37"/>
    <mergeCell ref="H37:M37"/>
    <mergeCell ref="B38:F38"/>
    <mergeCell ref="I38:M38"/>
    <mergeCell ref="N38:N41"/>
    <mergeCell ref="A50:A51"/>
    <mergeCell ref="A53:A54"/>
    <mergeCell ref="A56:A57"/>
    <mergeCell ref="G40:G41"/>
    <mergeCell ref="A44:F44"/>
    <mergeCell ref="B45:C45"/>
    <mergeCell ref="D45:F45"/>
    <mergeCell ref="A47:A48"/>
    <mergeCell ref="A49:F49"/>
    <mergeCell ref="A52:F52"/>
    <mergeCell ref="A55:F55"/>
    <mergeCell ref="A60:F60"/>
    <mergeCell ref="A62:F62"/>
    <mergeCell ref="A65:F65"/>
    <mergeCell ref="B66:F66"/>
    <mergeCell ref="B74:F74"/>
    <mergeCell ref="A77:F77"/>
    <mergeCell ref="B78:F78"/>
    <mergeCell ref="A85:F85"/>
    <mergeCell ref="G85:G87"/>
    <mergeCell ref="H85:M85"/>
    <mergeCell ref="B86:F86"/>
    <mergeCell ref="I86:M86"/>
    <mergeCell ref="G88:G89"/>
    <mergeCell ref="G90:G91"/>
    <mergeCell ref="A93:F93"/>
    <mergeCell ref="A96:F96"/>
    <mergeCell ref="H96:M96"/>
    <mergeCell ref="B97:F97"/>
    <mergeCell ref="I97:M97"/>
    <mergeCell ref="A105:F105"/>
    <mergeCell ref="G129:G134"/>
    <mergeCell ref="A137:F137"/>
    <mergeCell ref="A139:F140"/>
    <mergeCell ref="C141:F155"/>
  </mergeCells>
  <dataValidations>
    <dataValidation type="decimal" operator="greaterThanOrEqual" allowBlank="1" showDropDown="1" showErrorMessage="1" sqref="M12:M14 F22:F26 F39:F41 F115:F118 M131:M132 M134">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14 F59">
      <formula1>0.0</formula1>
    </dataValidation>
  </dataValidations>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'MSW8'!A1</f>
        <v/>
      </c>
    </row>
    <row r="8">
      <c r="A8" s="11"/>
      <c r="B8" s="11"/>
      <c r="C8" s="11"/>
      <c r="D8" s="11"/>
      <c r="E8" s="11"/>
      <c r="F8" s="11"/>
      <c r="G8" s="11"/>
      <c r="H8" s="11"/>
      <c r="I8" s="11"/>
      <c r="J8" s="11"/>
      <c r="K8" s="11"/>
      <c r="L8" s="11"/>
      <c r="M8" s="11"/>
    </row>
    <row r="9">
      <c r="A9" s="12" t="str">
        <f>'MSW8'!A9</f>
        <v>Week 8</v>
      </c>
      <c r="B9" s="13"/>
      <c r="C9" s="13"/>
      <c r="D9" s="13"/>
      <c r="E9" s="13"/>
      <c r="F9" s="14"/>
      <c r="G9" s="103" t="str">
        <f>'MSW8'!G9</f>
        <v/>
      </c>
      <c r="H9" s="24" t="s">
        <v>35</v>
      </c>
      <c r="I9" s="25"/>
      <c r="J9" s="25"/>
      <c r="K9" s="25"/>
      <c r="L9" s="25"/>
      <c r="M9" s="26"/>
    </row>
    <row r="10">
      <c r="A10" s="15" t="str">
        <f>'MSW8'!A10</f>
        <v>PRESS TO RECORD BODY WEIGHT</v>
      </c>
      <c r="B10" s="16"/>
      <c r="C10" s="16"/>
      <c r="D10" s="16"/>
      <c r="E10" s="16"/>
      <c r="F10" s="17"/>
      <c r="H10" s="27" t="s">
        <v>202</v>
      </c>
      <c r="M10" s="28"/>
    </row>
    <row r="11">
      <c r="A11" s="18"/>
      <c r="B11" s="13"/>
      <c r="C11" s="13"/>
      <c r="D11" s="13"/>
      <c r="E11" s="13"/>
      <c r="F11" s="14"/>
      <c r="H11" s="29" t="s">
        <v>203</v>
      </c>
      <c r="I11" s="30"/>
      <c r="J11" s="30"/>
      <c r="K11" s="30"/>
      <c r="L11" s="30"/>
      <c r="M11" s="31"/>
    </row>
    <row r="12">
      <c r="A12" s="19" t="str">
        <f>'MSW8'!A12</f>
        <v>This Weeks Goals</v>
      </c>
      <c r="B12" s="20"/>
      <c r="C12" s="20"/>
      <c r="D12" s="20"/>
      <c r="E12" s="20"/>
      <c r="F12" s="21"/>
      <c r="G12" s="103" t="str">
        <f>'MSW8'!G12</f>
        <v/>
      </c>
    </row>
    <row r="13">
      <c r="A13" s="22" t="str">
        <f>'MSW8'!A13</f>
        <v>Working hard this week establishing new maxes in a few areas. Give it everything you've got. Pay close attention to rest times and rep counts. </v>
      </c>
      <c r="B13" s="20"/>
      <c r="C13" s="20"/>
      <c r="D13" s="20"/>
      <c r="E13" s="20"/>
      <c r="F13" s="21"/>
    </row>
    <row r="14">
      <c r="A14" s="219" t="str">
        <f>'MSW8'!A14</f>
        <v/>
      </c>
    </row>
    <row r="16">
      <c r="A16" s="50" t="str">
        <f>'MSW8'!A16</f>
        <v>DAY 1</v>
      </c>
      <c r="B16" s="36"/>
      <c r="C16" s="36"/>
      <c r="D16" s="36"/>
      <c r="E16" s="36"/>
      <c r="F16" s="37"/>
      <c r="G16" s="141" t="str">
        <f>'MSW8'!G16</f>
        <v/>
      </c>
      <c r="H16" s="50" t="str">
        <f>'MSW8'!H16</f>
        <v>ALTERNATE WORKOUTS</v>
      </c>
      <c r="I16" s="36"/>
      <c r="J16" s="36"/>
      <c r="K16" s="36"/>
      <c r="L16" s="36"/>
      <c r="M16" s="37"/>
    </row>
    <row r="17">
      <c r="A17" s="657" t="str">
        <f>'MSW8'!A17</f>
        <v/>
      </c>
    </row>
    <row r="19">
      <c r="A19" s="51" t="str">
        <f>'MSW8'!A19</f>
        <v>CHEST &amp; BACK </v>
      </c>
      <c r="B19" s="36"/>
      <c r="C19" s="36"/>
      <c r="D19" s="36"/>
      <c r="E19" s="36"/>
      <c r="F19" s="37"/>
      <c r="G19" s="141" t="str">
        <f>'MSW8'!G19</f>
        <v/>
      </c>
      <c r="H19" s="51" t="str">
        <f>'MSW8'!H19</f>
        <v>CHEST &amp; BACK </v>
      </c>
      <c r="I19" s="36"/>
      <c r="J19" s="36"/>
      <c r="K19" s="36"/>
      <c r="L19" s="36"/>
      <c r="M19" s="37"/>
    </row>
    <row r="20">
      <c r="A20" s="52" t="str">
        <f>'MSW8'!A20</f>
        <v>1. DUMBBELL INCLINE PRESS</v>
      </c>
      <c r="B20" s="53"/>
      <c r="C20" s="53"/>
      <c r="D20" s="53"/>
      <c r="E20" s="53"/>
      <c r="F20" s="54"/>
      <c r="H20" s="52" t="str">
        <f>'MSW8'!H20</f>
        <v>1. MACHINE PRESS</v>
      </c>
      <c r="I20" s="53"/>
      <c r="J20" s="53"/>
      <c r="K20" s="53"/>
      <c r="L20" s="53"/>
      <c r="M20" s="54"/>
    </row>
    <row r="21">
      <c r="A21" s="228" t="str">
        <f>'MSW8'!A21</f>
        <v>CURRENT MAX</v>
      </c>
      <c r="B21" s="229" t="str">
        <f>'MSW8'!B21</f>
        <v/>
      </c>
      <c r="C21" s="16"/>
      <c r="D21" s="16"/>
      <c r="E21" s="16"/>
      <c r="F21" s="230"/>
      <c r="H21" s="228" t="str">
        <f>'MSW8'!H21</f>
        <v>CURRENT MAX</v>
      </c>
      <c r="I21" s="229" t="str">
        <f>'MSW8'!I21</f>
        <v/>
      </c>
      <c r="J21" s="16"/>
      <c r="K21" s="16"/>
      <c r="L21" s="16"/>
      <c r="M21" s="230"/>
    </row>
    <row r="22">
      <c r="A22" s="96" t="str">
        <f>'MSW8'!A22</f>
        <v>SET</v>
      </c>
      <c r="B22" s="97" t="str">
        <f>'MSW8'!B22</f>
        <v>WEIGHT</v>
      </c>
      <c r="C22" s="97" t="str">
        <f>'MSW8'!C22</f>
        <v>REPS</v>
      </c>
      <c r="D22" s="97" t="str">
        <f>'MSW8'!D22</f>
        <v>REST</v>
      </c>
      <c r="E22" s="98" t="str">
        <f>'MSW8'!E22</f>
        <v>PREVIOUS</v>
      </c>
      <c r="F22" s="235" t="str">
        <f>'MSW8'!F22</f>
        <v>REP LOG</v>
      </c>
      <c r="H22" s="96" t="str">
        <f>'MSW8'!H22</f>
        <v>SET</v>
      </c>
      <c r="I22" s="97" t="str">
        <f>'MSW8'!I22</f>
        <v>WEIGHT</v>
      </c>
      <c r="J22" s="97" t="str">
        <f>'MSW8'!J22</f>
        <v>REPS</v>
      </c>
      <c r="K22" s="97" t="str">
        <f>'MSW8'!K22</f>
        <v>REST</v>
      </c>
      <c r="L22" s="98" t="str">
        <f>'MSW8'!L22</f>
        <v>PREVIOUS</v>
      </c>
      <c r="M22" s="235" t="str">
        <f>'MSW8'!M22</f>
        <v>REP LOG</v>
      </c>
    </row>
    <row r="23">
      <c r="A23" s="244">
        <f>'MSW8'!A23</f>
        <v>1</v>
      </c>
      <c r="B23" s="241">
        <f>'MSW8'!B23</f>
        <v>0</v>
      </c>
      <c r="C23" s="63">
        <f>'MSW8'!C23</f>
        <v>6</v>
      </c>
      <c r="D23" s="83" t="str">
        <f>'MSW8'!D23</f>
        <v>1 MIN</v>
      </c>
      <c r="E23" s="84" t="str">
        <f>'MSW8'!E23</f>
        <v/>
      </c>
      <c r="F23" s="85"/>
      <c r="H23" s="244">
        <f>'MSW8'!H23</f>
        <v>1</v>
      </c>
      <c r="I23" s="241">
        <f>'MSW8'!I23</f>
        <v>0</v>
      </c>
      <c r="J23" s="63">
        <f>'MSW8'!J23</f>
        <v>6</v>
      </c>
      <c r="K23" s="83" t="str">
        <f>'MSW8'!K23</f>
        <v>1 MIN</v>
      </c>
      <c r="L23" s="84" t="str">
        <f>'MSW8'!L23</f>
        <v/>
      </c>
      <c r="M23" s="85"/>
    </row>
    <row r="24">
      <c r="A24" s="240">
        <f>'MSW8'!A24</f>
        <v>2</v>
      </c>
      <c r="B24" s="241">
        <f>'MSW8'!B24</f>
        <v>0</v>
      </c>
      <c r="C24" s="241">
        <f>'MSW8'!C24</f>
        <v>1</v>
      </c>
      <c r="D24" s="83" t="str">
        <f>'MSW8'!D24</f>
        <v>1 MIN</v>
      </c>
      <c r="E24" s="84" t="str">
        <f>'MSW8'!E24</f>
        <v/>
      </c>
      <c r="F24" s="85"/>
      <c r="H24" s="240">
        <f>'MSW8'!H24</f>
        <v>2</v>
      </c>
      <c r="I24" s="241">
        <f>'MSW8'!I24</f>
        <v>0</v>
      </c>
      <c r="J24" s="241">
        <f>'MSW8'!J24</f>
        <v>1</v>
      </c>
      <c r="K24" s="83" t="str">
        <f>'MSW8'!K24</f>
        <v>1 MIN</v>
      </c>
      <c r="L24" s="84" t="str">
        <f>'MSW8'!L24</f>
        <v/>
      </c>
      <c r="M24" s="85"/>
    </row>
    <row r="25">
      <c r="A25" s="240">
        <f>'MSW8'!A25</f>
        <v>3</v>
      </c>
      <c r="B25" s="241">
        <f>'MSW8'!B25</f>
        <v>0</v>
      </c>
      <c r="C25" s="63">
        <f>'MSW8'!C25</f>
        <v>1</v>
      </c>
      <c r="D25" s="83" t="str">
        <f>'MSW8'!D25</f>
        <v>1 MIN</v>
      </c>
      <c r="E25" s="84" t="str">
        <f>'MSW8'!E25</f>
        <v/>
      </c>
      <c r="F25" s="85"/>
      <c r="H25" s="240">
        <f>'MSW8'!H25</f>
        <v>3</v>
      </c>
      <c r="I25" s="241">
        <f>'MSW8'!I25</f>
        <v>0</v>
      </c>
      <c r="J25" s="241">
        <f>'MSW8'!J25</f>
        <v>1</v>
      </c>
      <c r="K25" s="83" t="str">
        <f>'MSW8'!K25</f>
        <v>1 MIN</v>
      </c>
      <c r="L25" s="84" t="str">
        <f>'MSW8'!L25</f>
        <v/>
      </c>
      <c r="M25" s="85"/>
    </row>
    <row r="26">
      <c r="A26" s="240">
        <f>'MSW8'!A26</f>
        <v>4</v>
      </c>
      <c r="B26" s="241">
        <f>'MSW8'!B26</f>
        <v>0</v>
      </c>
      <c r="C26" s="245" t="str">
        <f>'MSW8'!C26</f>
        <v>REP OUT</v>
      </c>
      <c r="D26" s="83" t="str">
        <f>'MSW8'!D26</f>
        <v>1 MIN</v>
      </c>
      <c r="E26" s="84" t="str">
        <f>'MSW8'!E26</f>
        <v/>
      </c>
      <c r="F26" s="85"/>
      <c r="H26" s="240">
        <f>'MSW8'!H26</f>
        <v>4</v>
      </c>
      <c r="I26" s="241">
        <f>'MSW8'!I26</f>
        <v>0</v>
      </c>
      <c r="J26" s="245" t="str">
        <f>'MSW8'!J26</f>
        <v>REP OUT</v>
      </c>
      <c r="K26" s="83" t="str">
        <f>'MSW8'!K26</f>
        <v>1 MIN</v>
      </c>
      <c r="L26" s="84" t="str">
        <f>'MSW8'!L26</f>
        <v/>
      </c>
      <c r="M26" s="85"/>
    </row>
    <row r="27">
      <c r="A27" s="248" t="str">
        <f>'MSW8'!A27</f>
        <v>PROCEED TO DOWNSETS</v>
      </c>
      <c r="F27" s="28"/>
      <c r="G27" s="247" t="str">
        <f>'MSW8'!G27</f>
        <v>ALTERNATE</v>
      </c>
      <c r="H27" s="248" t="str">
        <f>'MSW8'!H27</f>
        <v>PROCEED TO DOWNSETS</v>
      </c>
      <c r="M27" s="28"/>
    </row>
    <row r="28">
      <c r="A28" s="251" t="str">
        <f>'MSW8'!A28</f>
        <v/>
      </c>
      <c r="B28" s="252" t="str">
        <f>'MSW8'!B28</f>
        <v/>
      </c>
      <c r="C28" s="253" t="str">
        <f>'MSW8'!C28</f>
        <v/>
      </c>
      <c r="D28" s="254" t="str">
        <f>'MSW8'!D28</f>
        <v/>
      </c>
      <c r="E28" s="84" t="str">
        <f>'MSW8'!E28</f>
        <v/>
      </c>
      <c r="F28" s="67"/>
      <c r="H28" s="251" t="str">
        <f>'MSW8'!H28</f>
        <v/>
      </c>
      <c r="I28" s="252" t="str">
        <f>'MSW8'!I28</f>
        <v/>
      </c>
      <c r="J28" s="253" t="str">
        <f>'MSW8'!J28</f>
        <v/>
      </c>
      <c r="K28" s="254" t="str">
        <f>'MSW8'!K28</f>
        <v/>
      </c>
      <c r="L28" s="84" t="str">
        <f>'MSW8'!L28</f>
        <v/>
      </c>
      <c r="M28" s="67"/>
    </row>
    <row r="29">
      <c r="A29" s="260" t="str">
        <f>'MSW8'!A29</f>
        <v>FILL OUT REP LOG FIRST</v>
      </c>
      <c r="B29" s="16"/>
      <c r="C29" s="16"/>
      <c r="D29" s="16"/>
      <c r="E29" s="16"/>
      <c r="F29" s="230"/>
      <c r="G29" s="141" t="str">
        <f>'MSW8'!G29</f>
        <v/>
      </c>
      <c r="H29" s="260" t="str">
        <f>'MSW8'!H29</f>
        <v>FILL OUT REP LOG FIRST</v>
      </c>
      <c r="I29" s="16"/>
      <c r="J29" s="16"/>
      <c r="K29" s="16"/>
      <c r="L29" s="16"/>
      <c r="M29" s="230"/>
    </row>
    <row r="30">
      <c r="A30" s="545" t="str">
        <f>'MSW8'!A30</f>
        <v/>
      </c>
      <c r="B30" s="261" t="str">
        <f>'MSW8'!B30</f>
        <v/>
      </c>
      <c r="C30" s="262" t="str">
        <f>'MSW8'!C30</f>
        <v/>
      </c>
      <c r="D30" s="65" t="str">
        <f>'MSW8'!D30</f>
        <v/>
      </c>
      <c r="E30" s="84" t="str">
        <f>'MSW8'!E30</f>
        <v/>
      </c>
      <c r="F30" s="263" t="str">
        <f>'MSW8'!F30</f>
        <v/>
      </c>
      <c r="H30" s="91" t="str">
        <f>'MSW8'!H30</f>
        <v/>
      </c>
      <c r="I30" s="261" t="str">
        <f>'MSW8'!I30</f>
        <v/>
      </c>
      <c r="J30" s="262" t="str">
        <f>'MSW8'!J30</f>
        <v/>
      </c>
      <c r="K30" s="65" t="str">
        <f>'MSW8'!K30</f>
        <v/>
      </c>
      <c r="L30" s="84" t="str">
        <f>'MSW8'!L30</f>
        <v/>
      </c>
      <c r="M30" s="263" t="str">
        <f>'MSW8'!M30</f>
        <v/>
      </c>
    </row>
    <row r="31">
      <c r="A31" s="546" t="str">
        <f>'MSW8'!A31</f>
        <v/>
      </c>
      <c r="B31" s="254" t="str">
        <f>'MSW8'!B31</f>
        <v/>
      </c>
      <c r="C31" s="253" t="str">
        <f>'MSW8'!C31</f>
        <v/>
      </c>
      <c r="D31" s="65" t="str">
        <f>'MSW8'!D31</f>
        <v/>
      </c>
      <c r="E31" s="84" t="str">
        <f>'MSW8'!E31</f>
        <v/>
      </c>
      <c r="F31" s="270" t="str">
        <f>'MSW8'!F31</f>
        <v/>
      </c>
      <c r="H31" s="269" t="str">
        <f>'MSW8'!H31</f>
        <v/>
      </c>
      <c r="I31" s="254" t="str">
        <f>'MSW8'!I31</f>
        <v/>
      </c>
      <c r="J31" s="253" t="str">
        <f>'MSW8'!J31</f>
        <v/>
      </c>
      <c r="K31" s="65" t="str">
        <f>'MSW8'!K31</f>
        <v/>
      </c>
      <c r="L31" s="84" t="str">
        <f>'MSW8'!L31</f>
        <v/>
      </c>
      <c r="M31" s="270" t="str">
        <f>'MSW8'!M31</f>
        <v/>
      </c>
    </row>
    <row r="32">
      <c r="A32" s="546" t="str">
        <f>'MSW8'!A32</f>
        <v/>
      </c>
      <c r="B32" s="254" t="str">
        <f>'MSW8'!B32</f>
        <v/>
      </c>
      <c r="C32" s="253" t="str">
        <f>'MSW8'!C32</f>
        <v/>
      </c>
      <c r="D32" s="65" t="str">
        <f>'MSW8'!D32</f>
        <v/>
      </c>
      <c r="E32" s="84" t="str">
        <f>'MSW8'!E32</f>
        <v/>
      </c>
      <c r="F32" s="263"/>
      <c r="G32" s="141" t="str">
        <f>'MSW8'!G32</f>
        <v/>
      </c>
      <c r="H32" s="269" t="str">
        <f>'MSW8'!H32</f>
        <v/>
      </c>
      <c r="I32" s="254" t="str">
        <f>'MSW8'!I32</f>
        <v/>
      </c>
      <c r="J32" s="253" t="str">
        <f>'MSW8'!J32</f>
        <v/>
      </c>
      <c r="K32" s="65" t="str">
        <f>'MSW8'!K32</f>
        <v/>
      </c>
      <c r="L32" s="84" t="str">
        <f>'MSW8'!L32</f>
        <v/>
      </c>
      <c r="M32" s="263"/>
    </row>
    <row r="33">
      <c r="A33" s="546" t="str">
        <f>'MSW8'!A33</f>
        <v/>
      </c>
      <c r="B33" s="254" t="str">
        <f>'MSW8'!B33</f>
        <v/>
      </c>
      <c r="C33" s="253" t="str">
        <f>'MSW8'!C33</f>
        <v/>
      </c>
      <c r="D33" s="65" t="str">
        <f>'MSW8'!D33</f>
        <v/>
      </c>
      <c r="E33" s="84" t="str">
        <f>'MSW8'!E33</f>
        <v/>
      </c>
      <c r="F33" s="263"/>
      <c r="G33" s="141" t="str">
        <f>'MSW8'!G33</f>
        <v/>
      </c>
      <c r="H33" s="269" t="str">
        <f>'MSW8'!H33</f>
        <v/>
      </c>
      <c r="I33" s="254" t="str">
        <f>'MSW8'!I33</f>
        <v/>
      </c>
      <c r="J33" s="253" t="str">
        <f>'MSW8'!J33</f>
        <v/>
      </c>
      <c r="K33" s="65" t="str">
        <f>'MSW8'!K33</f>
        <v/>
      </c>
      <c r="L33" s="84" t="str">
        <f>'MSW8'!L33</f>
        <v/>
      </c>
      <c r="M33" s="263"/>
    </row>
    <row r="34">
      <c r="A34" s="280" t="str">
        <f>'MSW8'!A34</f>
        <v>FINAL MAX</v>
      </c>
      <c r="B34" s="273" t="str">
        <f>'MSW8'!B34</f>
        <v/>
      </c>
      <c r="C34" s="11"/>
      <c r="D34" s="11"/>
      <c r="E34" s="11"/>
      <c r="F34" s="46"/>
      <c r="G34" s="141" t="str">
        <f>'MSW8'!G34</f>
        <v/>
      </c>
      <c r="H34" s="280" t="str">
        <f>'MSW8'!H34</f>
        <v>FINAL MAX</v>
      </c>
      <c r="I34" s="273" t="str">
        <f>'MSW8'!I34</f>
        <v/>
      </c>
      <c r="J34" s="11"/>
      <c r="K34" s="11"/>
      <c r="L34" s="11"/>
      <c r="M34" s="46"/>
    </row>
    <row r="35">
      <c r="A35" s="658" t="str">
        <f>'MSW8'!A35</f>
        <v/>
      </c>
    </row>
    <row r="37">
      <c r="A37" s="440" t="str">
        <f>'MSW8'!A37</f>
        <v>2. DUMBBELL CHEST FLY</v>
      </c>
      <c r="B37" s="53"/>
      <c r="C37" s="53"/>
      <c r="D37" s="53"/>
      <c r="E37" s="53"/>
      <c r="F37" s="54"/>
      <c r="G37" s="659" t="str">
        <f>'MSW8'!G37</f>
        <v/>
      </c>
      <c r="H37" s="504" t="str">
        <f>'MSW8'!H37</f>
        <v>2. MACHINE CHEST FLY</v>
      </c>
      <c r="I37" s="53"/>
      <c r="J37" s="53"/>
      <c r="K37" s="53"/>
      <c r="L37" s="53"/>
      <c r="M37" s="54"/>
    </row>
    <row r="38">
      <c r="A38" s="226" t="str">
        <f>'MSW8'!A38</f>
        <v>DB INCL MAX</v>
      </c>
      <c r="B38" s="548" t="str">
        <f>'MSW8'!B38</f>
        <v/>
      </c>
      <c r="C38" s="13"/>
      <c r="D38" s="13"/>
      <c r="E38" s="13"/>
      <c r="F38" s="57"/>
      <c r="G38" s="247" t="str">
        <f>'MSW8'!G38</f>
        <v>ALTERNATE</v>
      </c>
      <c r="H38" s="226" t="str">
        <f>'MSW8'!H38</f>
        <v>DB INCL MAX</v>
      </c>
      <c r="I38" s="548" t="str">
        <f>'MSW8'!I38</f>
        <v/>
      </c>
      <c r="J38" s="13"/>
      <c r="K38" s="13"/>
      <c r="L38" s="13"/>
      <c r="M38" s="57"/>
    </row>
    <row r="39">
      <c r="A39" s="96" t="str">
        <f>'MSW8'!A39</f>
        <v>SET</v>
      </c>
      <c r="B39" s="97" t="str">
        <f>'MSW8'!B39</f>
        <v>WEIGHT</v>
      </c>
      <c r="C39" s="97" t="str">
        <f>'MSW8'!C39</f>
        <v>REPS</v>
      </c>
      <c r="D39" s="97" t="str">
        <f>'MSW8'!D39</f>
        <v>REST</v>
      </c>
      <c r="E39" s="98" t="str">
        <f>'MSW8'!E39</f>
        <v>PREVIOUS</v>
      </c>
      <c r="F39" s="235" t="str">
        <f>'MSW8'!F39</f>
        <v>REP LOG</v>
      </c>
      <c r="H39" s="96" t="str">
        <f>'MSW8'!H39</f>
        <v>SET</v>
      </c>
      <c r="I39" s="97" t="str">
        <f>'MSW8'!I39</f>
        <v>WEIGHT</v>
      </c>
      <c r="J39" s="97" t="str">
        <f>'MSW8'!J39</f>
        <v>REPS</v>
      </c>
      <c r="K39" s="97" t="str">
        <f>'MSW8'!K39</f>
        <v>REST</v>
      </c>
      <c r="L39" s="341" t="str">
        <f>'MSW8'!L39</f>
        <v>PREVIOUS</v>
      </c>
      <c r="M39" s="235" t="str">
        <f>'MSW8'!M39</f>
        <v>REP LOG</v>
      </c>
    </row>
    <row r="40">
      <c r="A40" s="240">
        <f>'MSW8'!A40</f>
        <v>1</v>
      </c>
      <c r="B40" s="254">
        <f>'MSW8'!B40</f>
        <v>0</v>
      </c>
      <c r="C40" s="241">
        <f>'MSW8'!C40</f>
        <v>15</v>
      </c>
      <c r="D40" s="83" t="str">
        <f>'MSW8'!D40</f>
        <v>1 MIN</v>
      </c>
      <c r="E40" s="84" t="str">
        <f>'MSW8'!E40</f>
        <v/>
      </c>
      <c r="F40" s="85"/>
      <c r="G40" s="659" t="str">
        <f>'MSW8'!G40</f>
        <v/>
      </c>
      <c r="H40" s="240">
        <f>'MSW8'!H40</f>
        <v>1</v>
      </c>
      <c r="I40" s="254">
        <f>'MSW8'!I40</f>
        <v>0</v>
      </c>
      <c r="J40" s="241">
        <f>'MSW8'!J40</f>
        <v>15</v>
      </c>
      <c r="K40" s="83" t="str">
        <f>'MSW8'!K40</f>
        <v>1 MIN</v>
      </c>
      <c r="L40" s="84" t="str">
        <f>'MSW8'!L40</f>
        <v/>
      </c>
      <c r="M40" s="85"/>
    </row>
    <row r="41">
      <c r="A41" s="661">
        <f>'MSW8'!A41</f>
        <v>2</v>
      </c>
      <c r="B41" s="662">
        <f>'MSW8'!B41</f>
        <v>0</v>
      </c>
      <c r="C41" s="662">
        <f>'MSW8'!C41</f>
        <v>15</v>
      </c>
      <c r="D41" s="88" t="str">
        <f>'MSW8'!D41</f>
        <v>1 MIN</v>
      </c>
      <c r="E41" s="89" t="str">
        <f>'MSW8'!E41</f>
        <v/>
      </c>
      <c r="F41" s="85"/>
      <c r="H41" s="661">
        <f>'MSW8'!H41</f>
        <v>2</v>
      </c>
      <c r="I41" s="662">
        <f>'MSW8'!I41</f>
        <v>0</v>
      </c>
      <c r="J41" s="662">
        <f>'MSW8'!J41</f>
        <v>15</v>
      </c>
      <c r="K41" s="88" t="str">
        <f>'MSW8'!K41</f>
        <v>1 MIN</v>
      </c>
      <c r="L41" s="89" t="str">
        <f>'MSW8'!L41</f>
        <v/>
      </c>
      <c r="M41" s="85"/>
    </row>
    <row r="42">
      <c r="A42" t="str">
        <f>'MSW8'!A42</f>
        <v/>
      </c>
      <c r="G42" t="str">
        <f>'MSW8'!G42</f>
        <v/>
      </c>
    </row>
    <row r="44">
      <c r="A44" s="1176" t="str">
        <f>'MSW8'!A44</f>
        <v>2. SUPER SET</v>
      </c>
      <c r="B44" s="36"/>
      <c r="C44" s="36"/>
      <c r="D44" s="36"/>
      <c r="E44" s="36"/>
      <c r="F44" s="37"/>
    </row>
    <row r="45">
      <c r="A45" s="1177" t="str">
        <f>'MSW8'!A45</f>
        <v>CURRENT MAX</v>
      </c>
      <c r="B45" s="1221">
        <v>110.0</v>
      </c>
      <c r="C45" s="46"/>
      <c r="D45" s="1221">
        <v>85.0</v>
      </c>
      <c r="E45" s="11"/>
      <c r="F45" s="46"/>
    </row>
    <row r="46">
      <c r="A46" s="1179" t="str">
        <f>'MSW8'!A46</f>
        <v>SET</v>
      </c>
      <c r="B46" s="1180" t="str">
        <f>'MSW8'!B46</f>
        <v>EXERCISE</v>
      </c>
      <c r="C46" s="1181" t="str">
        <f>'MSW8'!C46</f>
        <v>WEIGHT</v>
      </c>
      <c r="D46" s="1181" t="str">
        <f>'MSW8'!D46</f>
        <v>REPS</v>
      </c>
      <c r="E46" s="1182" t="str">
        <f>'MSW8'!E46</f>
        <v>PREVIOUS</v>
      </c>
      <c r="F46" s="1006" t="str">
        <f>'MSW8'!F46</f>
        <v>REP LOG</v>
      </c>
    </row>
    <row r="47">
      <c r="A47" s="1183">
        <f>'MSW8'!A47</f>
        <v>1</v>
      </c>
      <c r="B47" s="1184" t="str">
        <f>'MSW8'!B47</f>
        <v>LAT PULL DOWN</v>
      </c>
      <c r="C47" s="1185">
        <f>'MSW8'!C47</f>
        <v>50</v>
      </c>
      <c r="D47" s="1186">
        <f>'MSW8'!D47</f>
        <v>20</v>
      </c>
      <c r="E47" s="1222" t="str">
        <f>'MSW8'!E47</f>
        <v/>
      </c>
      <c r="F47" s="1223"/>
    </row>
    <row r="48">
      <c r="A48" s="1189"/>
      <c r="B48" s="1190" t="str">
        <f>'MSW8'!B48</f>
        <v>LOW ROW</v>
      </c>
      <c r="C48" s="1191">
        <f>'MSW8'!C48</f>
        <v>40</v>
      </c>
      <c r="D48" s="1192">
        <f>'MSW8'!D48</f>
        <v>20</v>
      </c>
      <c r="E48" s="1224" t="str">
        <f>'MSW8'!E48</f>
        <v/>
      </c>
      <c r="F48" s="1223"/>
    </row>
    <row r="49">
      <c r="A49" s="1225" t="str">
        <f>'MSW8'!A49</f>
        <v>REST 1 MIN</v>
      </c>
      <c r="B49" s="11"/>
      <c r="C49" s="11"/>
      <c r="D49" s="11"/>
      <c r="E49" s="11"/>
      <c r="F49" s="46"/>
    </row>
    <row r="50">
      <c r="A50" s="1195">
        <f>'MSW8'!A50</f>
        <v>2</v>
      </c>
      <c r="B50" s="1184" t="str">
        <f>'MSW8'!B50</f>
        <v>LAT PULL DOWN</v>
      </c>
      <c r="C50" s="1185">
        <f>'MSW8'!C50</f>
        <v>45</v>
      </c>
      <c r="D50" s="1186">
        <f>'MSW8'!D50</f>
        <v>20</v>
      </c>
      <c r="E50" s="1222" t="str">
        <f>'MSW8'!E50</f>
        <v/>
      </c>
      <c r="F50" s="1223"/>
    </row>
    <row r="51">
      <c r="A51" s="1196"/>
      <c r="B51" s="1190" t="str">
        <f>'MSW8'!B51</f>
        <v>LOW ROW</v>
      </c>
      <c r="C51" s="1191">
        <f>'MSW8'!C51</f>
        <v>35</v>
      </c>
      <c r="D51" s="1192">
        <f>'MSW8'!D51</f>
        <v>20</v>
      </c>
      <c r="E51" s="1224" t="str">
        <f>'MSW8'!E51</f>
        <v/>
      </c>
      <c r="F51" s="1223"/>
    </row>
    <row r="52">
      <c r="A52" s="1194" t="str">
        <f>'MSW8'!A52</f>
        <v>REST 1 MIN</v>
      </c>
      <c r="B52" s="11"/>
      <c r="C52" s="11"/>
      <c r="D52" s="11"/>
      <c r="E52" s="11"/>
      <c r="F52" s="46"/>
    </row>
    <row r="53">
      <c r="A53" s="1195">
        <f>'MSW8'!A53</f>
        <v>3</v>
      </c>
      <c r="B53" s="1184" t="str">
        <f>'MSW8'!B53</f>
        <v>LAT PULL DOWN</v>
      </c>
      <c r="C53" s="1185">
        <f>'MSW8'!C53</f>
        <v>40</v>
      </c>
      <c r="D53" s="1186">
        <f>'MSW8'!D53</f>
        <v>20</v>
      </c>
      <c r="E53" s="1222" t="str">
        <f>'MSW8'!E53</f>
        <v/>
      </c>
      <c r="F53" s="1226"/>
    </row>
    <row r="54">
      <c r="A54" s="1196"/>
      <c r="B54" s="1190" t="str">
        <f>'MSW8'!B54</f>
        <v>LOW ROW</v>
      </c>
      <c r="C54" s="1191">
        <f>'MSW8'!C54</f>
        <v>30</v>
      </c>
      <c r="D54" s="1192">
        <f>'MSW8'!D54</f>
        <v>20</v>
      </c>
      <c r="E54" s="1224" t="str">
        <f>'MSW8'!E54</f>
        <v/>
      </c>
      <c r="F54" s="1226"/>
    </row>
    <row r="55">
      <c r="A55" s="1194" t="str">
        <f>'MSW8'!A55</f>
        <v>REST 1 MIN</v>
      </c>
      <c r="B55" s="11"/>
      <c r="C55" s="11"/>
      <c r="D55" s="11"/>
      <c r="E55" s="11"/>
      <c r="F55" s="46"/>
    </row>
    <row r="56">
      <c r="A56" s="1197">
        <f>'MSW8'!A56</f>
        <v>4</v>
      </c>
      <c r="B56" s="1184" t="str">
        <f>'MSW8'!B56</f>
        <v>LAT PULL DOWN</v>
      </c>
      <c r="C56" s="1185">
        <f>'MSW8'!C56</f>
        <v>35</v>
      </c>
      <c r="D56" s="1186">
        <f>'MSW8'!D56</f>
        <v>20</v>
      </c>
      <c r="E56" s="1222" t="str">
        <f>'MSW8'!E56</f>
        <v/>
      </c>
      <c r="F56" s="1226"/>
    </row>
    <row r="57">
      <c r="A57" s="985"/>
      <c r="B57" s="1227" t="str">
        <f>'MSW8'!B57</f>
        <v>LOW ROW</v>
      </c>
      <c r="C57" s="1228">
        <f>'MSW8'!C57</f>
        <v>25</v>
      </c>
      <c r="D57" s="1229">
        <f>'MSW8'!D57</f>
        <v>20</v>
      </c>
      <c r="E57" s="1230" t="str">
        <f>'MSW8'!E57</f>
        <v/>
      </c>
      <c r="F57" s="1231"/>
    </row>
    <row r="58">
      <c r="A58" s="103" t="str">
        <f>'MSW8'!A59</f>
        <v/>
      </c>
    </row>
    <row r="60">
      <c r="A60" s="310" t="str">
        <f>'MSW8'!A60</f>
        <v>CLICK TO COMPLETE WORKOUT</v>
      </c>
      <c r="B60" s="36"/>
      <c r="C60" s="36"/>
      <c r="D60" s="36"/>
      <c r="E60" s="36"/>
      <c r="F60" s="37"/>
    </row>
    <row r="61">
      <c r="A61" t="str">
        <f>'MSW8'!A61</f>
        <v/>
      </c>
    </row>
    <row r="62">
      <c r="A62" s="224" t="str">
        <f>'MSW8'!A62</f>
        <v>DAY 2 </v>
      </c>
      <c r="B62" s="36"/>
      <c r="C62" s="36"/>
      <c r="D62" s="36"/>
      <c r="E62" s="36"/>
      <c r="F62" s="37"/>
    </row>
    <row r="63">
      <c r="A63" t="str">
        <f>'MSW8'!A63</f>
        <v/>
      </c>
    </row>
    <row r="65">
      <c r="A65" s="1232" t="str">
        <f>'MSW8'!A65</f>
        <v>1. MACHINE SQUAT</v>
      </c>
      <c r="B65" s="53"/>
      <c r="C65" s="53"/>
      <c r="D65" s="53"/>
      <c r="E65" s="53"/>
      <c r="F65" s="54"/>
    </row>
    <row r="66">
      <c r="A66" s="961" t="str">
        <f>'MSW8'!A66</f>
        <v>CURRENT MAX</v>
      </c>
      <c r="B66" s="1035">
        <f>'MSW8'!B66</f>
        <v>100</v>
      </c>
      <c r="C66" s="13"/>
      <c r="D66" s="13"/>
      <c r="E66" s="13"/>
      <c r="F66" s="57"/>
    </row>
    <row r="67">
      <c r="A67" s="962" t="str">
        <f>'MSW8'!A67</f>
        <v>SET</v>
      </c>
      <c r="B67" s="1203" t="str">
        <f>'MSW8'!B67</f>
        <v>WEIGHT</v>
      </c>
      <c r="C67" s="963" t="str">
        <f>'MSW8'!C67</f>
        <v>REPS</v>
      </c>
      <c r="D67" s="963" t="str">
        <f>'MSW8'!D67</f>
        <v>REST</v>
      </c>
      <c r="E67" s="1073" t="str">
        <f>'MSW8'!E67</f>
        <v>PREVIOUS</v>
      </c>
      <c r="F67" s="1006" t="str">
        <f>'MSW8'!F67</f>
        <v>REP LOG</v>
      </c>
    </row>
    <row r="68">
      <c r="A68" s="1233">
        <f>'MSW8'!A68</f>
        <v>1</v>
      </c>
      <c r="B68" s="1015">
        <f>'MSW8'!B68</f>
        <v>35</v>
      </c>
      <c r="C68" s="1234">
        <f>'MSW8'!C68</f>
        <v>10</v>
      </c>
      <c r="D68" s="1028" t="str">
        <f>'MSW8'!D68</f>
        <v>30s</v>
      </c>
      <c r="E68" s="1235" t="str">
        <f>'MSW8'!E68</f>
        <v/>
      </c>
      <c r="F68" s="843"/>
    </row>
    <row r="69">
      <c r="A69" s="1236">
        <f>'MSW8'!A69</f>
        <v>2</v>
      </c>
      <c r="B69" s="1015">
        <f>'MSW8'!B69</f>
        <v>65</v>
      </c>
      <c r="C69" s="1067">
        <f>'MSW8'!C69</f>
        <v>10</v>
      </c>
      <c r="D69" s="1028" t="str">
        <f>'MSW8'!D69</f>
        <v>1-2 MIN</v>
      </c>
      <c r="E69" s="1235" t="str">
        <f>'MSW8'!E69</f>
        <v/>
      </c>
      <c r="F69" s="1237"/>
    </row>
    <row r="70">
      <c r="A70" s="1238">
        <f>'MSW8'!A70</f>
        <v>3</v>
      </c>
      <c r="B70" s="1205">
        <f>'MSW8'!B70</f>
        <v>90</v>
      </c>
      <c r="C70" s="1239">
        <f>'MSW8'!C70</f>
        <v>10</v>
      </c>
      <c r="D70" s="1028" t="str">
        <f>'MSW8'!D70</f>
        <v>1-2 MIN</v>
      </c>
      <c r="E70" s="1235" t="str">
        <f>'MSW8'!E70</f>
        <v/>
      </c>
      <c r="F70" s="1237"/>
    </row>
    <row r="71">
      <c r="A71" s="1240">
        <f>'MSW8'!A71</f>
        <v>4</v>
      </c>
      <c r="B71" s="1210">
        <f>'MSW8'!B71</f>
        <v>70</v>
      </c>
      <c r="C71" s="1241">
        <f>'MSW8'!C71</f>
        <v>10</v>
      </c>
      <c r="D71" s="1210" t="str">
        <f>'MSW8'!D71</f>
        <v>1-5 MIN</v>
      </c>
      <c r="E71" s="1242" t="str">
        <f>'MSW8'!E71</f>
        <v/>
      </c>
      <c r="F71" s="1237"/>
    </row>
    <row r="72">
      <c r="A72" s="1240">
        <f>'MSW8'!A72</f>
        <v>5</v>
      </c>
      <c r="B72" s="1243">
        <f>'MSW8'!B72</f>
        <v>55</v>
      </c>
      <c r="C72" s="1210">
        <f>'MSW8'!C72</f>
        <v>10</v>
      </c>
      <c r="D72" s="1210" t="str">
        <f>'MSW8'!D72</f>
        <v>1-5 MIN</v>
      </c>
      <c r="E72" s="1244" t="str">
        <f>'MSW8'!E72</f>
        <v/>
      </c>
      <c r="F72" s="1237"/>
    </row>
    <row r="73">
      <c r="A73" s="1245">
        <f>'MSW8'!A73</f>
        <v>6</v>
      </c>
      <c r="B73" s="1243">
        <f>'MSW8'!B73</f>
        <v>45</v>
      </c>
      <c r="C73" s="1210">
        <f>'MSW8'!C73</f>
        <v>10</v>
      </c>
      <c r="D73" s="1210" t="str">
        <f>'MSW8'!D73</f>
        <v>1-5 MIN</v>
      </c>
      <c r="E73" s="1244" t="str">
        <f>'MSW8'!E73</f>
        <v/>
      </c>
      <c r="F73" s="1237"/>
    </row>
    <row r="74">
      <c r="A74" s="1177" t="str">
        <f>'MSW8'!A74</f>
        <v>10 REP MAX</v>
      </c>
      <c r="B74" s="1246">
        <f>'MSW8'!B74</f>
        <v>100</v>
      </c>
      <c r="C74" s="11"/>
      <c r="D74" s="11"/>
      <c r="E74" s="11"/>
      <c r="F74" s="46"/>
    </row>
    <row r="75">
      <c r="A75" t="str">
        <f>'MSW8'!A75</f>
        <v/>
      </c>
    </row>
    <row r="77">
      <c r="A77" s="1044" t="str">
        <f>'MSW8'!A77</f>
        <v>2. LEG EXTENSION</v>
      </c>
      <c r="B77" s="13"/>
      <c r="C77" s="13"/>
      <c r="D77" s="13"/>
      <c r="E77" s="13"/>
      <c r="F77" s="57"/>
    </row>
    <row r="78">
      <c r="A78" s="1045" t="str">
        <f>'MSW8'!A78</f>
        <v>CURRENT MAX</v>
      </c>
      <c r="B78" s="1046">
        <f>'MSW8'!B78</f>
        <v>65</v>
      </c>
      <c r="C78" s="13"/>
      <c r="D78" s="13"/>
      <c r="E78" s="13"/>
      <c r="F78" s="57"/>
    </row>
    <row r="79">
      <c r="A79" s="567" t="str">
        <f>'MSW8'!A79</f>
        <v>SET</v>
      </c>
      <c r="B79" s="568" t="str">
        <f>'MSW8'!B79</f>
        <v>WEIGHT</v>
      </c>
      <c r="C79" s="568" t="str">
        <f>'MSW8'!C79</f>
        <v>REPS</v>
      </c>
      <c r="D79" s="568" t="str">
        <f>'MSW8'!D79</f>
        <v>REST</v>
      </c>
      <c r="E79" s="1047" t="str">
        <f>'MSW8'!E79</f>
        <v>PREVIOUS</v>
      </c>
      <c r="F79" s="1048" t="str">
        <f>'MSW8'!F79</f>
        <v>REP LOG</v>
      </c>
    </row>
    <row r="80">
      <c r="A80" s="1049">
        <f>'MSW8'!A80</f>
        <v>1</v>
      </c>
      <c r="B80" s="1050">
        <f>'MSW8'!B80</f>
        <v>65</v>
      </c>
      <c r="C80" s="1051" t="str">
        <f>'MSW8'!C80</f>
        <v>10 - 20</v>
      </c>
      <c r="D80" s="1052" t="str">
        <f>'MSW8'!D80</f>
        <v>1 MIN</v>
      </c>
      <c r="E80" s="1010" t="str">
        <f>'MSW8'!E80</f>
        <v/>
      </c>
      <c r="F80" s="1111"/>
    </row>
    <row r="81">
      <c r="A81" s="1049">
        <f>'MSW8'!A81</f>
        <v>2</v>
      </c>
      <c r="B81" s="1050">
        <f>'MSW8'!B81</f>
        <v>50</v>
      </c>
      <c r="C81" s="1051" t="str">
        <f>'MSW8'!C81</f>
        <v>10 - 20</v>
      </c>
      <c r="D81" s="1052" t="str">
        <f>'MSW8'!D81</f>
        <v>1 MIN</v>
      </c>
      <c r="E81" s="1010" t="str">
        <f>'MSW8'!E81</f>
        <v/>
      </c>
      <c r="F81" s="1111"/>
    </row>
    <row r="82">
      <c r="A82" s="1053">
        <f>'MSW8'!A82</f>
        <v>3</v>
      </c>
      <c r="B82" s="1054">
        <f>'MSW8'!B82</f>
        <v>40</v>
      </c>
      <c r="C82" s="1055" t="str">
        <f>'MSW8'!C82</f>
        <v>10 - 20</v>
      </c>
      <c r="D82" s="1056" t="str">
        <f>'MSW8'!D82</f>
        <v>1 MIN</v>
      </c>
      <c r="E82" s="1021" t="str">
        <f>'MSW8'!E82</f>
        <v/>
      </c>
      <c r="F82" s="1111"/>
    </row>
    <row r="83">
      <c r="A83" t="str">
        <f>'MSW8'!A83</f>
        <v/>
      </c>
    </row>
    <row r="85">
      <c r="A85" s="323" t="str">
        <f>'MSW8'!A85</f>
        <v>4. MACHINE LEG CURL</v>
      </c>
      <c r="B85" s="53"/>
      <c r="C85" s="53"/>
      <c r="D85" s="53"/>
      <c r="E85" s="53"/>
      <c r="F85" s="54"/>
      <c r="G85" s="141" t="str">
        <f>'MSW8'!G85</f>
        <v/>
      </c>
      <c r="H85" s="323" t="str">
        <f>'MSW8'!H85</f>
        <v>4. PRONE LEG CURL</v>
      </c>
      <c r="I85" s="53"/>
      <c r="J85" s="53"/>
      <c r="K85" s="53"/>
      <c r="L85" s="53"/>
      <c r="M85" s="54"/>
    </row>
    <row r="86">
      <c r="A86" s="1045" t="str">
        <f>'MSW8'!A86</f>
        <v>CURRENT MAX</v>
      </c>
      <c r="B86" s="1046">
        <f>'MSW8'!B86</f>
        <v>80</v>
      </c>
      <c r="C86" s="13"/>
      <c r="D86" s="13"/>
      <c r="E86" s="13"/>
      <c r="F86" s="57"/>
      <c r="H86" s="1045" t="str">
        <f>'MSW8'!H86</f>
        <v>CURRENT MAX</v>
      </c>
      <c r="I86" s="1046">
        <f>'MSW8'!I86</f>
        <v>80</v>
      </c>
      <c r="J86" s="13"/>
      <c r="K86" s="13"/>
      <c r="L86" s="13"/>
      <c r="M86" s="57"/>
    </row>
    <row r="87">
      <c r="A87" s="567" t="str">
        <f>'MSW8'!A87</f>
        <v>SET</v>
      </c>
      <c r="B87" s="568" t="str">
        <f>'MSW8'!B87</f>
        <v>WEIGHT</v>
      </c>
      <c r="C87" s="568" t="str">
        <f>'MSW8'!C87</f>
        <v>REPS</v>
      </c>
      <c r="D87" s="568" t="str">
        <f>'MSW8'!D87</f>
        <v>REST</v>
      </c>
      <c r="E87" s="1047" t="str">
        <f>'MSW8'!E87</f>
        <v>PREVIOUS</v>
      </c>
      <c r="F87" s="1048" t="str">
        <f>'MSW8'!F87</f>
        <v>REP LOG</v>
      </c>
      <c r="H87" s="567" t="str">
        <f>'MSW8'!H87</f>
        <v>SET</v>
      </c>
      <c r="I87" s="568" t="str">
        <f>'MSW8'!I87</f>
        <v>WEIGHT</v>
      </c>
      <c r="J87" s="568" t="str">
        <f>'MSW8'!J87</f>
        <v>REPS</v>
      </c>
      <c r="K87" s="568" t="str">
        <f>'MSW8'!K87</f>
        <v>REST</v>
      </c>
      <c r="L87" s="1047" t="str">
        <f>'MSW8'!L87</f>
        <v>PREVIOUS</v>
      </c>
      <c r="M87" s="1048" t="str">
        <f>'MSW8'!M87</f>
        <v>REP LOG</v>
      </c>
    </row>
    <row r="88">
      <c r="A88" s="1049">
        <f>'MSW8'!A88</f>
        <v>1</v>
      </c>
      <c r="B88" s="1050">
        <f>'MSW8'!B88</f>
        <v>80</v>
      </c>
      <c r="C88" s="1051" t="str">
        <f>'MSW8'!C88</f>
        <v>10 - 20</v>
      </c>
      <c r="D88" s="1052" t="str">
        <f>'MSW8'!D88</f>
        <v>1 MIN</v>
      </c>
      <c r="E88" s="1010" t="str">
        <f>'MSW8'!E88</f>
        <v/>
      </c>
      <c r="F88" s="1111"/>
      <c r="G88" s="434" t="str">
        <f>'MSW8'!G88</f>
        <v>ALTERNATE</v>
      </c>
      <c r="H88" s="1049">
        <f>'MSW8'!H88</f>
        <v>1</v>
      </c>
      <c r="I88" s="1050">
        <f>'MSW8'!I88</f>
        <v>80</v>
      </c>
      <c r="J88" s="1051" t="str">
        <f>'MSW8'!J88</f>
        <v>10 - 20</v>
      </c>
      <c r="K88" s="1052" t="str">
        <f>'MSW8'!K88</f>
        <v>1 MIN</v>
      </c>
      <c r="L88" s="1010" t="str">
        <f>'MSW8'!L88</f>
        <v/>
      </c>
      <c r="M88" s="1111"/>
    </row>
    <row r="89">
      <c r="A89" s="1049">
        <f>'MSW8'!A89</f>
        <v>2</v>
      </c>
      <c r="B89" s="1050">
        <f>'MSW8'!B89</f>
        <v>65</v>
      </c>
      <c r="C89" s="1051" t="str">
        <f>'MSW8'!C89</f>
        <v>10 - 20</v>
      </c>
      <c r="D89" s="1052" t="str">
        <f>'MSW8'!D89</f>
        <v>1 MIN</v>
      </c>
      <c r="E89" s="1010" t="str">
        <f>'MSW8'!E89</f>
        <v/>
      </c>
      <c r="F89" s="1111"/>
      <c r="H89" s="1049">
        <f>'MSW8'!H89</f>
        <v>2</v>
      </c>
      <c r="I89" s="1050">
        <f>'MSW8'!I89</f>
        <v>65</v>
      </c>
      <c r="J89" s="1051" t="str">
        <f>'MSW8'!J89</f>
        <v>10 - 20</v>
      </c>
      <c r="K89" s="1052" t="str">
        <f>'MSW8'!K89</f>
        <v>1 MIN</v>
      </c>
      <c r="L89" s="1010" t="str">
        <f>'MSW8'!L89</f>
        <v/>
      </c>
      <c r="M89" s="1111"/>
    </row>
    <row r="90">
      <c r="A90" s="1053">
        <f>'MSW8'!A90</f>
        <v>3</v>
      </c>
      <c r="B90" s="1054">
        <f>'MSW8'!B90</f>
        <v>50</v>
      </c>
      <c r="C90" s="1055" t="str">
        <f>'MSW8'!C90</f>
        <v>10 - 20</v>
      </c>
      <c r="D90" s="1056" t="str">
        <f>'MSW8'!D90</f>
        <v>1 MIN</v>
      </c>
      <c r="E90" s="1021" t="str">
        <f>'MSW8'!E90</f>
        <v/>
      </c>
      <c r="F90" s="1111"/>
      <c r="H90" s="1053">
        <f>'MSW8'!H90</f>
        <v>3</v>
      </c>
      <c r="I90" s="1054">
        <f>'MSW8'!I90</f>
        <v>50</v>
      </c>
      <c r="J90" s="1055" t="str">
        <f>'MSW8'!J90</f>
        <v>10 - 20</v>
      </c>
      <c r="K90" s="1056" t="str">
        <f>'MSW8'!K90</f>
        <v>1 MIN</v>
      </c>
      <c r="L90" s="1021" t="str">
        <f>'MSW8'!L90</f>
        <v/>
      </c>
      <c r="M90" s="1111"/>
    </row>
    <row r="91">
      <c r="A91" s="849" t="str">
        <f>'MSW8'!A91</f>
        <v/>
      </c>
      <c r="G91" s="849" t="str">
        <f>'MSW8'!H91</f>
        <v/>
      </c>
    </row>
    <row r="93">
      <c r="A93" s="1120" t="str">
        <f>'MSW8'!A93</f>
        <v>DAY 3</v>
      </c>
      <c r="B93" s="36"/>
      <c r="C93" s="36"/>
      <c r="D93" s="36"/>
      <c r="E93" s="36"/>
      <c r="F93" s="37"/>
    </row>
    <row r="94">
      <c r="A94" t="str">
        <f>'MSW8'!A94</f>
        <v/>
      </c>
    </row>
    <row r="96">
      <c r="A96" s="878" t="str">
        <f>'MSW8'!A96</f>
        <v>1. SHOULDER PRESS</v>
      </c>
      <c r="B96" s="53"/>
      <c r="C96" s="53"/>
      <c r="D96" s="53"/>
      <c r="E96" s="53"/>
      <c r="F96" s="54"/>
      <c r="G96" t="str">
        <f>'MSW8'!G96</f>
        <v/>
      </c>
      <c r="H96" s="361" t="str">
        <f>'MSW8'!H96</f>
        <v>1. MACHINE SHOULDER PRESS</v>
      </c>
      <c r="I96" s="53"/>
      <c r="J96" s="53"/>
      <c r="K96" s="53"/>
      <c r="L96" s="53"/>
      <c r="M96" s="54"/>
    </row>
    <row r="97">
      <c r="A97" s="961" t="str">
        <f>'MSW8'!A97</f>
        <v>CURRENT MAX</v>
      </c>
      <c r="B97" s="1035">
        <f>'MSW8'!B97</f>
        <v>85</v>
      </c>
      <c r="C97" s="13"/>
      <c r="D97" s="13"/>
      <c r="E97" s="13"/>
      <c r="F97" s="57"/>
      <c r="H97" s="961" t="str">
        <f>'MSW8'!H97</f>
        <v>CURRENT MAX</v>
      </c>
      <c r="I97" s="1035">
        <f>'MSW8'!I97</f>
        <v>150</v>
      </c>
      <c r="J97" s="13"/>
      <c r="K97" s="13"/>
      <c r="L97" s="13"/>
      <c r="M97" s="57"/>
    </row>
    <row r="98">
      <c r="A98" s="962" t="str">
        <f>'MSW8'!A98</f>
        <v>SET</v>
      </c>
      <c r="B98" s="1203" t="str">
        <f>'MSW8'!B98</f>
        <v>WEIGHT</v>
      </c>
      <c r="C98" s="963" t="str">
        <f>'MSW8'!C98</f>
        <v>REPS</v>
      </c>
      <c r="D98" s="963" t="str">
        <f>'MSW8'!D98</f>
        <v>REST</v>
      </c>
      <c r="E98" s="1073" t="str">
        <f>'MSW8'!E98</f>
        <v>PREVIOUS</v>
      </c>
      <c r="F98" s="1006" t="str">
        <f>'MSW8'!F98</f>
        <v>REP LOG</v>
      </c>
      <c r="H98" s="962" t="str">
        <f>'MSW8'!H98</f>
        <v>SET</v>
      </c>
      <c r="I98" s="1203" t="str">
        <f>'MSW8'!I98</f>
        <v>WEIGHT</v>
      </c>
      <c r="J98" s="963" t="str">
        <f>'MSW8'!J98</f>
        <v>REPS</v>
      </c>
      <c r="K98" s="963" t="str">
        <f>'MSW8'!K98</f>
        <v>REST</v>
      </c>
      <c r="L98" s="1073" t="str">
        <f>'MSW8'!L98</f>
        <v>PREVIOUS</v>
      </c>
      <c r="M98" s="1006" t="str">
        <f>'MSW8'!M98</f>
        <v>REP LOG</v>
      </c>
    </row>
    <row r="99">
      <c r="A99" s="1204">
        <f>'MSW8'!A99</f>
        <v>1</v>
      </c>
      <c r="B99" s="1205">
        <f>'MSW8'!B99</f>
        <v>45</v>
      </c>
      <c r="C99" s="1206" t="str">
        <f>'MSW8'!C99</f>
        <v>REP OUT</v>
      </c>
      <c r="D99" s="1207" t="str">
        <f>'MSW8'!D99</f>
        <v>1-5 MIN</v>
      </c>
      <c r="E99" s="1208" t="str">
        <f>'MSW8'!E99</f>
        <v/>
      </c>
      <c r="F99" s="1161"/>
      <c r="H99" s="1204">
        <f>'MSW8'!H99</f>
        <v>1</v>
      </c>
      <c r="I99" s="1205">
        <f>'MSW8'!I99</f>
        <v>75</v>
      </c>
      <c r="J99" s="1206" t="str">
        <f>'MSW8'!J99</f>
        <v>REP OUT</v>
      </c>
      <c r="K99" s="1207" t="str">
        <f>'MSW8'!K99</f>
        <v>1-5 MIN</v>
      </c>
      <c r="L99" s="1208" t="str">
        <f>'MSW8'!L99</f>
        <v/>
      </c>
      <c r="M99" s="1161"/>
    </row>
    <row r="100">
      <c r="A100" s="1209">
        <f>'MSW8'!A100</f>
        <v>2</v>
      </c>
      <c r="B100" s="1210">
        <f>'MSW8'!B100</f>
        <v>30</v>
      </c>
      <c r="C100" s="1206" t="str">
        <f>'MSW8'!C100</f>
        <v>REP OUT</v>
      </c>
      <c r="D100" s="1207" t="str">
        <f>'MSW8'!D100</f>
        <v>1-5 MIN</v>
      </c>
      <c r="E100" s="1211" t="str">
        <f>'MSW8'!E100</f>
        <v/>
      </c>
      <c r="F100" s="1159"/>
      <c r="H100" s="1209">
        <f>'MSW8'!H100</f>
        <v>2</v>
      </c>
      <c r="I100" s="1210">
        <f>'MSW8'!I100</f>
        <v>55</v>
      </c>
      <c r="J100" s="1206" t="str">
        <f>'MSW8'!J100</f>
        <v>REP OUT</v>
      </c>
      <c r="K100" s="1207" t="str">
        <f>'MSW8'!K100</f>
        <v>1-5 MIN</v>
      </c>
      <c r="L100" s="1211" t="str">
        <f>'MSW8'!L100</f>
        <v/>
      </c>
      <c r="M100" s="1159"/>
    </row>
    <row r="101">
      <c r="A101" s="1209">
        <f>'MSW8'!A101</f>
        <v>3</v>
      </c>
      <c r="B101" s="1210">
        <f>'MSW8'!B101</f>
        <v>20</v>
      </c>
      <c r="C101" s="1206" t="str">
        <f>'MSW8'!C101</f>
        <v>REP OUT</v>
      </c>
      <c r="D101" s="1207" t="str">
        <f>'MSW8'!D101</f>
        <v>1-5 MIN</v>
      </c>
      <c r="E101" s="1010" t="str">
        <f>'MSW8'!E101</f>
        <v/>
      </c>
      <c r="F101" s="1159"/>
      <c r="H101" s="1209">
        <f>'MSW8'!H101</f>
        <v>3</v>
      </c>
      <c r="I101" s="1210">
        <f>'MSW8'!I101</f>
        <v>40</v>
      </c>
      <c r="J101" s="1206" t="str">
        <f>'MSW8'!J101</f>
        <v>REP OUT</v>
      </c>
      <c r="K101" s="1207" t="str">
        <f>'MSW8'!K101</f>
        <v>1-5 MIN</v>
      </c>
      <c r="L101" s="1010" t="str">
        <f>'MSW8'!L101</f>
        <v/>
      </c>
      <c r="M101" s="1159"/>
    </row>
    <row r="102">
      <c r="A102" s="1212">
        <f>'MSW8'!A102</f>
        <v>4</v>
      </c>
      <c r="B102" s="1213">
        <f>'MSW8'!B102</f>
        <v>15</v>
      </c>
      <c r="C102" s="1214" t="str">
        <f>'MSW8'!C102</f>
        <v>REP OUT</v>
      </c>
      <c r="D102" s="1215" t="str">
        <f>'MSW8'!D102</f>
        <v>1-5 MIN</v>
      </c>
      <c r="E102" s="1021" t="str">
        <f>'MSW8'!E102</f>
        <v/>
      </c>
      <c r="F102" s="1159"/>
      <c r="H102" s="1212">
        <f>'MSW8'!H102</f>
        <v>4</v>
      </c>
      <c r="I102" s="1213">
        <f>'MSW8'!I102</f>
        <v>30</v>
      </c>
      <c r="J102" s="1214" t="str">
        <f>'MSW8'!J102</f>
        <v>REP OUT</v>
      </c>
      <c r="K102" s="1215" t="str">
        <f>'MSW8'!K102</f>
        <v>1-5 MIN</v>
      </c>
      <c r="L102" s="1021" t="str">
        <f>'MSW8'!L102</f>
        <v/>
      </c>
      <c r="M102" s="1159"/>
    </row>
    <row r="103">
      <c r="A103" t="str">
        <f>'MSW8'!A103</f>
        <v/>
      </c>
      <c r="G103" t="str">
        <f>'MSW8'!G103</f>
        <v/>
      </c>
    </row>
    <row r="105">
      <c r="A105" s="1217" t="str">
        <f>'MSW8'!A105</f>
        <v>2. Dumbbell REAR DELT FLY </v>
      </c>
      <c r="B105" s="53"/>
      <c r="C105" s="53"/>
      <c r="D105" s="53"/>
      <c r="E105" s="53"/>
      <c r="F105" s="54"/>
    </row>
    <row r="106">
      <c r="A106" s="961" t="str">
        <f>'MSW8'!A106</f>
        <v>SHLDR PRESS MAX</v>
      </c>
      <c r="B106" s="76">
        <f>'MSW8'!B106</f>
        <v>85</v>
      </c>
      <c r="C106" s="13"/>
      <c r="D106" s="13"/>
      <c r="E106" s="13"/>
      <c r="F106" s="57"/>
    </row>
    <row r="107">
      <c r="A107" s="962" t="str">
        <f>'MSW8'!A107</f>
        <v>SET</v>
      </c>
      <c r="B107" s="963" t="str">
        <f>'MSW8'!B107</f>
        <v>WEIGHT</v>
      </c>
      <c r="C107" s="963" t="str">
        <f>'MSW8'!C107</f>
        <v>REPS</v>
      </c>
      <c r="D107" s="963" t="str">
        <f>'MSW8'!D107</f>
        <v>REST</v>
      </c>
      <c r="E107" s="1005" t="str">
        <f>'MSW8'!E107</f>
        <v>PREVIOUS</v>
      </c>
      <c r="F107" s="1006" t="str">
        <f>'MSW8'!F107</f>
        <v>REP LOG</v>
      </c>
    </row>
    <row r="108">
      <c r="A108" s="967">
        <f>'MSW8'!A108</f>
        <v>1</v>
      </c>
      <c r="B108" s="1028">
        <f>'MSW8'!B108</f>
        <v>42.5</v>
      </c>
      <c r="C108" s="1218" t="str">
        <f>'MSW8'!C108</f>
        <v>REP OUT</v>
      </c>
      <c r="D108" s="1067" t="str">
        <f>'MSW8'!D108</f>
        <v>1-5 MIN</v>
      </c>
      <c r="E108" s="1010" t="str">
        <f>'MSW8'!E108</f>
        <v/>
      </c>
      <c r="F108" s="1111"/>
    </row>
    <row r="109">
      <c r="A109" s="967">
        <f>'MSW8'!A109</f>
        <v>2</v>
      </c>
      <c r="B109" s="1028">
        <f>'MSW8'!B109</f>
        <v>35</v>
      </c>
      <c r="C109" s="1218" t="str">
        <f>'MSW8'!C109</f>
        <v>REP OUT</v>
      </c>
      <c r="D109" s="1067" t="str">
        <f>'MSW8'!D109</f>
        <v>1-5 MIN</v>
      </c>
      <c r="E109" s="1010" t="str">
        <f>'MSW8'!E109</f>
        <v/>
      </c>
      <c r="F109" s="1111"/>
    </row>
    <row r="110">
      <c r="A110" s="971">
        <f>'MSW8'!A110</f>
        <v>3</v>
      </c>
      <c r="B110" s="1123">
        <f>'MSW8'!B110</f>
        <v>30</v>
      </c>
      <c r="C110" s="1219" t="str">
        <f>'MSW8'!C110</f>
        <v>REP OUT</v>
      </c>
      <c r="D110" s="1220" t="str">
        <f>'MSW8'!D110</f>
        <v>1-5 MIN</v>
      </c>
      <c r="E110" s="1021" t="str">
        <f>'MSW8'!E110</f>
        <v/>
      </c>
      <c r="F110" s="1113" t="str">
        <f>'MSW8'!F110</f>
        <v/>
      </c>
    </row>
    <row r="111">
      <c r="A111" t="str">
        <f>'MSW8'!A111</f>
        <v/>
      </c>
    </row>
    <row r="113">
      <c r="A113" s="74" t="str">
        <f>'MSW8'!A113</f>
        <v>3. DUMBBELL SIDE LATERAL RAISE</v>
      </c>
      <c r="B113" s="53"/>
      <c r="C113" s="53"/>
      <c r="D113" s="53"/>
      <c r="E113" s="53"/>
      <c r="F113" s="54"/>
    </row>
    <row r="114">
      <c r="A114" s="226" t="str">
        <f>'MSW8'!A114</f>
        <v>SHLDR PRESS MAX</v>
      </c>
      <c r="B114" s="90">
        <f>'MSW8'!B114</f>
        <v>85</v>
      </c>
      <c r="C114" s="13"/>
      <c r="D114" s="13"/>
      <c r="E114" s="13"/>
      <c r="F114" s="57"/>
    </row>
    <row r="115">
      <c r="A115" s="376" t="str">
        <f>'MSW8'!A115</f>
        <v>SET</v>
      </c>
      <c r="B115" s="79" t="str">
        <f>'MSW8'!B115</f>
        <v>WEIGHT</v>
      </c>
      <c r="C115" s="79" t="str">
        <f>'MSW8'!C115</f>
        <v>REPS</v>
      </c>
      <c r="D115" s="79" t="str">
        <f>'MSW8'!D115</f>
        <v>REST</v>
      </c>
      <c r="E115" s="98" t="str">
        <f>'MSW8'!E115</f>
        <v>PREVIOUS</v>
      </c>
      <c r="F115" s="377" t="str">
        <f>'MSW8'!F115</f>
        <v>REP LOG</v>
      </c>
    </row>
    <row r="116">
      <c r="A116" s="81">
        <f>'MSW8'!A116</f>
        <v>1</v>
      </c>
      <c r="B116" s="82">
        <f>'MSW8'!B116</f>
        <v>10</v>
      </c>
      <c r="C116" s="262" t="str">
        <f>'MSW8'!C116</f>
        <v>REP OUT</v>
      </c>
      <c r="D116" s="83" t="str">
        <f>'MSW8'!D116</f>
        <v>1 MIN</v>
      </c>
      <c r="E116" s="378" t="str">
        <f>'MSW8'!E116</f>
        <v/>
      </c>
      <c r="F116" s="796"/>
    </row>
    <row r="117">
      <c r="A117" s="81">
        <f>'MSW8'!A117</f>
        <v>2</v>
      </c>
      <c r="B117" s="82">
        <f>'MSW8'!B117</f>
        <v>7.5</v>
      </c>
      <c r="C117" s="262" t="str">
        <f>'MSW8'!C117</f>
        <v>REP OUT</v>
      </c>
      <c r="D117" s="83" t="str">
        <f>'MSW8'!D117</f>
        <v>1 MIN</v>
      </c>
      <c r="E117" s="378" t="str">
        <f>'MSW8'!E117</f>
        <v/>
      </c>
      <c r="F117" s="330"/>
    </row>
    <row r="118">
      <c r="A118" s="86">
        <f>'MSW8'!A118</f>
        <v>3</v>
      </c>
      <c r="B118" s="87">
        <f>'MSW8'!B118</f>
        <v>5</v>
      </c>
      <c r="C118" s="309" t="str">
        <f>'MSW8'!C118</f>
        <v>REP OUT</v>
      </c>
      <c r="D118" s="88" t="str">
        <f>'MSW8'!D118</f>
        <v>1 MIN</v>
      </c>
      <c r="E118" s="379" t="str">
        <f>'MSW8'!E118</f>
        <v/>
      </c>
      <c r="F118" s="85" t="str">
        <f>'MSW8'!F118</f>
        <v/>
      </c>
    </row>
    <row r="119">
      <c r="A119" s="795" t="str">
        <f>'MSW8'!A119</f>
        <v/>
      </c>
    </row>
    <row r="121">
      <c r="A121" s="361" t="str">
        <f>'MSW8'!A121</f>
        <v>2.  TRICEP OVERHEAD ROPE EXTENSION</v>
      </c>
      <c r="B121" s="53"/>
      <c r="C121" s="53"/>
      <c r="D121" s="53"/>
      <c r="E121" s="53"/>
      <c r="F121" s="54"/>
    </row>
    <row r="122">
      <c r="A122" s="226" t="str">
        <f>'MSW8'!A122</f>
        <v>CURRENT MAX</v>
      </c>
      <c r="B122" s="90">
        <f>'MSW8'!B122</f>
        <v>30</v>
      </c>
      <c r="C122" s="13"/>
      <c r="D122" s="13"/>
      <c r="E122" s="13"/>
      <c r="F122" s="57"/>
    </row>
    <row r="123">
      <c r="A123" s="77" t="str">
        <f>'MSW8'!A123</f>
        <v>SET</v>
      </c>
      <c r="B123" s="78" t="str">
        <f>'MSW8'!B123</f>
        <v>WEIGHT</v>
      </c>
      <c r="C123" s="78" t="str">
        <f>'MSW8'!C123</f>
        <v>REPS</v>
      </c>
      <c r="D123" s="78" t="str">
        <f>'MSW8'!D123</f>
        <v>REST</v>
      </c>
      <c r="E123" s="80" t="str">
        <f>'MSW8'!E123</f>
        <v>PREVIOUS</v>
      </c>
      <c r="F123" s="235" t="str">
        <f>'MSW8'!F123</f>
        <v>REP LOG</v>
      </c>
    </row>
    <row r="124">
      <c r="A124" s="81">
        <f>'MSW8'!A124</f>
        <v>1</v>
      </c>
      <c r="B124" s="82">
        <f>'MSW8'!B124</f>
        <v>15</v>
      </c>
      <c r="C124" s="262" t="str">
        <f>'MSW8'!C124</f>
        <v>REP OUT</v>
      </c>
      <c r="D124" s="83" t="str">
        <f>'MSW8'!D124</f>
        <v>1MIN</v>
      </c>
      <c r="E124" s="84" t="str">
        <f>'MSW8'!E124</f>
        <v/>
      </c>
      <c r="F124" s="85" t="str">
        <f>'MSW8'!F124</f>
        <v/>
      </c>
    </row>
    <row r="125">
      <c r="A125" s="81">
        <f>'MSW8'!A125</f>
        <v>2</v>
      </c>
      <c r="B125" s="82">
        <f>'MSW8'!B125</f>
        <v>10</v>
      </c>
      <c r="C125" s="262" t="str">
        <f>'MSW8'!C125</f>
        <v>REP OUT</v>
      </c>
      <c r="D125" s="83" t="str">
        <f>'MSW8'!D125</f>
        <v>1MIN</v>
      </c>
      <c r="E125" s="84" t="str">
        <f>'MSW8'!E125</f>
        <v/>
      </c>
      <c r="F125" s="85" t="str">
        <f>'MSW8'!F125</f>
        <v/>
      </c>
    </row>
    <row r="126">
      <c r="A126" s="86">
        <f>'MSW8'!A126</f>
        <v>3</v>
      </c>
      <c r="B126" s="87">
        <f>'MSW8'!B126</f>
        <v>10</v>
      </c>
      <c r="C126" s="309" t="str">
        <f>'MSW8'!C126</f>
        <v>REP OUT</v>
      </c>
      <c r="D126" s="88" t="str">
        <f>'MSW8'!D126</f>
        <v>1MIN</v>
      </c>
      <c r="E126" s="89" t="str">
        <f>'MSW8'!E126</f>
        <v/>
      </c>
      <c r="F126" s="85" t="str">
        <f>'MSW8'!F126</f>
        <v/>
      </c>
    </row>
    <row r="127">
      <c r="A127" t="str">
        <f>'MSW8'!A127</f>
        <v/>
      </c>
    </row>
    <row r="129">
      <c r="A129" s="75" t="str">
        <f>'MSW8'!A129</f>
        <v>4. BICEP CABLE CURL</v>
      </c>
      <c r="B129" s="53"/>
      <c r="C129" s="53"/>
      <c r="D129" s="53"/>
      <c r="E129" s="53"/>
      <c r="F129" s="54"/>
      <c r="G129" s="698" t="str">
        <f>'MSW8'!G129</f>
        <v/>
      </c>
      <c r="H129" s="75" t="str">
        <f>'MSW8'!H129</f>
        <v>4. BICEP BAR CURL</v>
      </c>
      <c r="I129" s="53"/>
      <c r="J129" s="53"/>
      <c r="K129" s="53"/>
      <c r="L129" s="53"/>
      <c r="M129" s="54"/>
    </row>
    <row r="130">
      <c r="A130" s="282" t="str">
        <f>'MSW8'!A130</f>
        <v>CURRENT MAX</v>
      </c>
      <c r="B130" s="852">
        <f>'MSW8'!B130</f>
        <v>30</v>
      </c>
      <c r="C130" s="16"/>
      <c r="D130" s="16"/>
      <c r="E130" s="16"/>
      <c r="F130" s="230"/>
      <c r="G130" s="985"/>
      <c r="H130" s="282" t="str">
        <f>'MSW8'!H130</f>
        <v>CURRENT MAX</v>
      </c>
      <c r="I130" s="852" t="str">
        <f>'MSW8'!I130</f>
        <v>#REF!</v>
      </c>
      <c r="J130" s="16"/>
      <c r="K130" s="16"/>
      <c r="L130" s="16"/>
      <c r="M130" s="230"/>
    </row>
    <row r="131">
      <c r="A131" s="364" t="str">
        <f>'MSW8'!A131</f>
        <v>SET</v>
      </c>
      <c r="B131" s="365" t="str">
        <f>'MSW8'!B131</f>
        <v>WEIGHT</v>
      </c>
      <c r="C131" s="365" t="str">
        <f>'MSW8'!C131</f>
        <v>REPS</v>
      </c>
      <c r="D131" s="365" t="str">
        <f>'MSW8'!D131</f>
        <v>REST</v>
      </c>
      <c r="E131" s="367" t="str">
        <f>'MSW8'!E131</f>
        <v>PREVIOUS</v>
      </c>
      <c r="F131" s="61" t="str">
        <f>'MSW8'!F131</f>
        <v>REP LOG</v>
      </c>
      <c r="G131" s="985"/>
      <c r="H131" s="364" t="str">
        <f>'MSW8'!H131</f>
        <v>SET</v>
      </c>
      <c r="I131" s="365" t="str">
        <f>'MSW8'!I131</f>
        <v>WEIGHT</v>
      </c>
      <c r="J131" s="365" t="str">
        <f>'MSW8'!J131</f>
        <v>REPS</v>
      </c>
      <c r="K131" s="365" t="str">
        <f>'MSW8'!K131</f>
        <v>REST</v>
      </c>
      <c r="L131" s="367" t="str">
        <f>'MSW8'!L131</f>
        <v>PREVIOUS</v>
      </c>
      <c r="M131" s="61" t="str">
        <f>'MSW8'!M131</f>
        <v>REP LOG</v>
      </c>
    </row>
    <row r="132">
      <c r="A132" s="308">
        <f>'MSW8'!A132</f>
        <v>1</v>
      </c>
      <c r="B132" s="237">
        <f>'MSW8'!B132</f>
        <v>15</v>
      </c>
      <c r="C132" s="104" t="str">
        <f>'MSW8'!C132</f>
        <v>REP OUT</v>
      </c>
      <c r="D132" s="238" t="str">
        <f>'MSW8'!D132</f>
        <v>1MIN</v>
      </c>
      <c r="E132" s="1143" t="str">
        <f>'MSW8'!E132</f>
        <v>#VALUE!</v>
      </c>
      <c r="F132" s="665"/>
      <c r="G132" s="985"/>
      <c r="H132" s="308">
        <f>'MSW8'!H132</f>
        <v>1</v>
      </c>
      <c r="I132" s="237" t="str">
        <f>'MSW8'!I132</f>
        <v>#REF!</v>
      </c>
      <c r="J132" s="104" t="str">
        <f>'MSW8'!J132</f>
        <v>REP OUT</v>
      </c>
      <c r="K132" s="238" t="str">
        <f>'MSW8'!K132</f>
        <v>1 MIN</v>
      </c>
      <c r="L132" s="1143" t="str">
        <f>'MSW8'!L132</f>
        <v/>
      </c>
      <c r="M132" s="665"/>
    </row>
    <row r="133">
      <c r="A133" s="308">
        <f>'MSW8'!A133</f>
        <v>2</v>
      </c>
      <c r="B133" s="237">
        <f>'MSW8'!B133</f>
        <v>10</v>
      </c>
      <c r="C133" s="104" t="str">
        <f>'MSW8'!C133</f>
        <v>REP OUT</v>
      </c>
      <c r="D133" s="238" t="str">
        <f>'MSW8'!D133</f>
        <v>1MIN</v>
      </c>
      <c r="E133" s="1143" t="str">
        <f>'MSW8'!E133</f>
        <v/>
      </c>
      <c r="F133" s="67"/>
      <c r="G133" s="985"/>
      <c r="H133" s="308">
        <f>'MSW8'!H133</f>
        <v>2</v>
      </c>
      <c r="I133" s="237" t="str">
        <f>'MSW8'!I133</f>
        <v>#REF!</v>
      </c>
      <c r="J133" s="104" t="str">
        <f>'MSW8'!J133</f>
        <v>REP OUT</v>
      </c>
      <c r="K133" s="238" t="str">
        <f>'MSW8'!K133</f>
        <v>1 MIN</v>
      </c>
      <c r="L133" s="1143" t="str">
        <f>'MSW8'!L133</f>
        <v/>
      </c>
      <c r="M133" s="67"/>
    </row>
    <row r="134">
      <c r="A134" s="579">
        <f>'MSW8'!A134</f>
        <v>3</v>
      </c>
      <c r="B134" s="371">
        <f>'MSW8'!B134</f>
        <v>10</v>
      </c>
      <c r="C134" s="105" t="str">
        <f>'MSW8'!C134</f>
        <v>REP OUT</v>
      </c>
      <c r="D134" s="373" t="str">
        <f>'MSW8'!D134</f>
        <v>1MIN</v>
      </c>
      <c r="E134" s="1247" t="str">
        <f>'MSW8'!E134</f>
        <v/>
      </c>
      <c r="F134" s="271"/>
      <c r="G134" s="985"/>
      <c r="H134" s="579">
        <f>'MSW8'!H134</f>
        <v>3</v>
      </c>
      <c r="I134" s="371" t="str">
        <f>'MSW8'!I134</f>
        <v>#REF!</v>
      </c>
      <c r="J134" s="105" t="str">
        <f>'MSW8'!J134</f>
        <v>REP OUT</v>
      </c>
      <c r="K134" s="373" t="str">
        <f>'MSW8'!K134</f>
        <v>1 MIN</v>
      </c>
      <c r="L134" s="1247" t="str">
        <f>'MSW8'!L134</f>
        <v/>
      </c>
      <c r="M134" s="271"/>
    </row>
    <row r="135">
      <c r="A135" t="str">
        <f>'MSW8'!A135</f>
        <v/>
      </c>
      <c r="G135" t="str">
        <f>'MSW8'!G135</f>
        <v/>
      </c>
    </row>
    <row r="137">
      <c r="A137" s="1149" t="str">
        <f>'MSW8'!A137</f>
        <v>WORKOUT COMPLETE!</v>
      </c>
      <c r="B137" s="36"/>
      <c r="C137" s="36"/>
      <c r="D137" s="36"/>
      <c r="E137" s="36"/>
      <c r="F137" s="37"/>
    </row>
    <row r="138">
      <c r="A138" s="1093" t="str">
        <f>'MSW8'!A138</f>
        <v/>
      </c>
      <c r="B138" s="13"/>
      <c r="C138" s="13"/>
      <c r="D138" s="13"/>
      <c r="E138" s="13"/>
      <c r="F138" s="13"/>
    </row>
    <row r="139">
      <c r="A139" s="1094" t="str">
        <f>'MSW8'!A139</f>
        <v>WANT TO LEARN MORE?</v>
      </c>
      <c r="F139" s="39"/>
    </row>
    <row r="140">
      <c r="A140" s="18"/>
      <c r="B140" s="13"/>
      <c r="C140" s="13"/>
      <c r="D140" s="13"/>
      <c r="E140" s="13"/>
      <c r="F140" s="14"/>
    </row>
    <row r="141">
      <c r="A141" s="987" t="str">
        <f>'MSW8'!A141</f>
        <v/>
      </c>
      <c r="B141" s="999" t="str">
        <f>'MSW8'!B141</f>
        <v/>
      </c>
      <c r="C141" s="1150" t="str">
        <f>'MSW8'!C141</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41" s="28"/>
    </row>
    <row r="142">
      <c r="A142" s="987" t="str">
        <f>'MSW8'!A142</f>
        <v/>
      </c>
      <c r="B142" s="999" t="str">
        <f>'MSW8'!B142</f>
        <v/>
      </c>
      <c r="F142" s="28"/>
    </row>
    <row r="143">
      <c r="A143" s="987" t="str">
        <f>'MSW8'!A143</f>
        <v/>
      </c>
      <c r="B143" s="999" t="str">
        <f>'MSW8'!B143</f>
        <v/>
      </c>
      <c r="F143" s="28"/>
    </row>
    <row r="144">
      <c r="A144" s="987" t="str">
        <f>'MSW8'!A144</f>
        <v/>
      </c>
      <c r="B144" s="999" t="str">
        <f>'MSW8'!B144</f>
        <v/>
      </c>
      <c r="F144" s="28"/>
    </row>
    <row r="145">
      <c r="A145" s="987" t="str">
        <f>'MSW8'!A145</f>
        <v/>
      </c>
      <c r="B145" s="999" t="str">
        <f>'MSW8'!B145</f>
        <v/>
      </c>
      <c r="F145" s="28"/>
    </row>
    <row r="146">
      <c r="A146" s="987" t="str">
        <f>'MSW8'!A146</f>
        <v/>
      </c>
      <c r="B146" s="999" t="str">
        <f>'MSW8'!B146</f>
        <v/>
      </c>
      <c r="F146" s="28"/>
    </row>
    <row r="147">
      <c r="A147" s="623" t="str">
        <f>'MSW8'!A147</f>
        <v/>
      </c>
      <c r="B147" s="999" t="str">
        <f>'MSW8'!B147</f>
        <v/>
      </c>
      <c r="F147" s="28"/>
    </row>
    <row r="148">
      <c r="A148" s="987" t="str">
        <f>'MSW8'!A148</f>
        <v/>
      </c>
      <c r="B148" s="999" t="str">
        <f>'MSW8'!B148</f>
        <v/>
      </c>
      <c r="F148" s="28"/>
    </row>
    <row r="149">
      <c r="A149" s="987" t="str">
        <f>'MSW8'!A149</f>
        <v/>
      </c>
      <c r="B149" s="999" t="str">
        <f>'MSW8'!B149</f>
        <v/>
      </c>
      <c r="F149" s="28"/>
    </row>
    <row r="150">
      <c r="A150" s="1034" t="str">
        <f>'MSW8'!A150</f>
        <v/>
      </c>
      <c r="B150" s="999" t="str">
        <f>'MSW8'!B150</f>
        <v/>
      </c>
      <c r="F150" s="28"/>
    </row>
    <row r="151">
      <c r="A151" s="987" t="str">
        <f>'MSW8'!A151</f>
        <v/>
      </c>
      <c r="B151" s="999" t="str">
        <f>'MSW8'!B151</f>
        <v/>
      </c>
      <c r="F151" s="28"/>
    </row>
    <row r="152">
      <c r="A152" s="987" t="str">
        <f>'MSW8'!A152</f>
        <v/>
      </c>
      <c r="B152" s="999" t="str">
        <f>'MSW8'!B152</f>
        <v/>
      </c>
      <c r="F152" s="28"/>
    </row>
    <row r="153">
      <c r="A153" s="987" t="str">
        <f>'MSW8'!A153</f>
        <v/>
      </c>
      <c r="B153" s="999" t="str">
        <f>'MSW8'!B153</f>
        <v/>
      </c>
      <c r="F153" s="28"/>
    </row>
    <row r="154">
      <c r="A154" s="987" t="str">
        <f>'MSW8'!A154</f>
        <v/>
      </c>
      <c r="B154" s="999" t="str">
        <f>'MSW8'!B154</f>
        <v/>
      </c>
      <c r="F154" s="28"/>
    </row>
    <row r="155">
      <c r="A155" s="987" t="str">
        <f>'MSW8'!A155</f>
        <v/>
      </c>
      <c r="B155" s="999" t="str">
        <f>'MSW8'!B155</f>
        <v/>
      </c>
      <c r="C155" s="11"/>
      <c r="D155" s="11"/>
      <c r="E155" s="11"/>
      <c r="F155" s="46"/>
    </row>
  </sheetData>
  <mergeCells count="96">
    <mergeCell ref="A55:F55"/>
    <mergeCell ref="A58:F59"/>
    <mergeCell ref="A42:F43"/>
    <mergeCell ref="A44:F44"/>
    <mergeCell ref="B45:C45"/>
    <mergeCell ref="D45:F45"/>
    <mergeCell ref="A47:A48"/>
    <mergeCell ref="A49:F49"/>
    <mergeCell ref="A52:F52"/>
    <mergeCell ref="A85:F85"/>
    <mergeCell ref="B86:F86"/>
    <mergeCell ref="A65:F65"/>
    <mergeCell ref="B66:F66"/>
    <mergeCell ref="B74:F74"/>
    <mergeCell ref="A75:F76"/>
    <mergeCell ref="A77:F77"/>
    <mergeCell ref="B78:F78"/>
    <mergeCell ref="A83:F84"/>
    <mergeCell ref="A14:F15"/>
    <mergeCell ref="A16:F16"/>
    <mergeCell ref="G19:G26"/>
    <mergeCell ref="A20:F20"/>
    <mergeCell ref="B21:F21"/>
    <mergeCell ref="A27:F27"/>
    <mergeCell ref="A29:F29"/>
    <mergeCell ref="B34:F34"/>
    <mergeCell ref="A50:A51"/>
    <mergeCell ref="A53:A54"/>
    <mergeCell ref="A56:A57"/>
    <mergeCell ref="A60:F60"/>
    <mergeCell ref="A61:F61"/>
    <mergeCell ref="A62:F62"/>
    <mergeCell ref="A63:F64"/>
    <mergeCell ref="B122:F122"/>
    <mergeCell ref="A127:F128"/>
    <mergeCell ref="A129:F129"/>
    <mergeCell ref="G129:G134"/>
    <mergeCell ref="B130:F130"/>
    <mergeCell ref="A135:F136"/>
    <mergeCell ref="A105:F105"/>
    <mergeCell ref="B106:F106"/>
    <mergeCell ref="A111:F112"/>
    <mergeCell ref="A113:F113"/>
    <mergeCell ref="B114:F114"/>
    <mergeCell ref="A119:F120"/>
    <mergeCell ref="A121:F121"/>
    <mergeCell ref="A12:F12"/>
    <mergeCell ref="A13:F13"/>
    <mergeCell ref="H16:M16"/>
    <mergeCell ref="A17:M18"/>
    <mergeCell ref="A19:F19"/>
    <mergeCell ref="H19:M19"/>
    <mergeCell ref="H20:M20"/>
    <mergeCell ref="I21:M21"/>
    <mergeCell ref="H27:M27"/>
    <mergeCell ref="H29:M29"/>
    <mergeCell ref="A1:M8"/>
    <mergeCell ref="A9:F9"/>
    <mergeCell ref="G9:G11"/>
    <mergeCell ref="H9:M9"/>
    <mergeCell ref="A10:F11"/>
    <mergeCell ref="H10:M10"/>
    <mergeCell ref="G12:M15"/>
    <mergeCell ref="G27:G28"/>
    <mergeCell ref="G29:G31"/>
    <mergeCell ref="I34:M34"/>
    <mergeCell ref="A35:M36"/>
    <mergeCell ref="A37:F37"/>
    <mergeCell ref="B38:F38"/>
    <mergeCell ref="G38:G39"/>
    <mergeCell ref="G88:G90"/>
    <mergeCell ref="G91:M95"/>
    <mergeCell ref="H96:M96"/>
    <mergeCell ref="I97:M97"/>
    <mergeCell ref="G103:M128"/>
    <mergeCell ref="H129:M129"/>
    <mergeCell ref="I130:M130"/>
    <mergeCell ref="G135:M155"/>
    <mergeCell ref="H37:M37"/>
    <mergeCell ref="I38:M38"/>
    <mergeCell ref="G40:G41"/>
    <mergeCell ref="G42:M84"/>
    <mergeCell ref="G85:G87"/>
    <mergeCell ref="H85:M85"/>
    <mergeCell ref="I86:M86"/>
    <mergeCell ref="A137:F137"/>
    <mergeCell ref="A138:F138"/>
    <mergeCell ref="A139:F140"/>
    <mergeCell ref="C141:F155"/>
    <mergeCell ref="A91:F92"/>
    <mergeCell ref="A93:F93"/>
    <mergeCell ref="A94:F95"/>
    <mergeCell ref="A96:F96"/>
    <mergeCell ref="G96:G102"/>
    <mergeCell ref="B97:F97"/>
    <mergeCell ref="A103:F104"/>
  </mergeCells>
  <dataValidations>
    <dataValidation type="decimal" allowBlank="1" showDropDown="1" showInputMessage="1" showErrorMessage="1" prompt="Enter a number between 0 and 30" sqref="F22:F26 M22:M26 F28 M28 F30:F33 M30:M33 F39:F41 M39:M41 F46:F48 F50:F51 F53:F54 F56:F57 F67:F73 F79:F82 F87:F90 M87:M90 F98:F102 M98:M102 F107:F110 F115:F118 F123:F126 F131:F134 M131:M134">
      <formula1>0.0</formula1>
      <formula2>30.0</formula2>
    </dataValidation>
    <dataValidation type="decimal" operator="greaterThan" allowBlank="1" showDropDown="1" showErrorMessage="1" sqref="M11">
      <formula1>0.0</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E1" s="1248"/>
    </row>
    <row r="2">
      <c r="E2" s="1248"/>
    </row>
    <row r="3">
      <c r="E3" s="1248"/>
    </row>
    <row r="4">
      <c r="E4" s="1248"/>
    </row>
    <row r="5">
      <c r="E5" s="1248"/>
    </row>
    <row r="6">
      <c r="E6" s="1248"/>
    </row>
    <row r="7">
      <c r="E7" s="1248"/>
    </row>
    <row r="8">
      <c r="E8" s="1248"/>
    </row>
    <row r="9">
      <c r="A9" s="218" t="s">
        <v>204</v>
      </c>
      <c r="B9" s="20"/>
      <c r="C9" s="20"/>
      <c r="D9" s="20"/>
      <c r="E9" s="20"/>
      <c r="F9" s="21"/>
      <c r="G9" s="103"/>
      <c r="H9" s="24" t="s">
        <v>35</v>
      </c>
      <c r="I9" s="25"/>
      <c r="J9" s="25"/>
      <c r="K9" s="25"/>
      <c r="L9" s="25"/>
      <c r="M9" s="26"/>
    </row>
    <row r="10">
      <c r="A10" s="15" t="str">
        <f>HYPERLINK("https://goo.gl/forms/3ibooB993Hi7SS2d2","PRESS TO RECORD BODY WEIGHT")</f>
        <v>PRESS TO RECORD BODY WEIGHT</v>
      </c>
      <c r="B10" s="16"/>
      <c r="C10" s="16"/>
      <c r="D10" s="16"/>
      <c r="E10" s="16"/>
      <c r="F10" s="17"/>
      <c r="G10" s="103"/>
      <c r="H10" s="147" t="s">
        <v>205</v>
      </c>
      <c r="M10" s="28"/>
    </row>
    <row r="11">
      <c r="A11" s="18"/>
      <c r="B11" s="13"/>
      <c r="C11" s="13"/>
      <c r="D11" s="13"/>
      <c r="E11" s="13"/>
      <c r="F11" s="14"/>
      <c r="G11" s="103"/>
      <c r="H11" s="29" t="s">
        <v>206</v>
      </c>
      <c r="I11" s="30"/>
      <c r="J11" s="30"/>
      <c r="K11" s="30"/>
      <c r="L11" s="30"/>
      <c r="M11" s="31"/>
    </row>
    <row r="12">
      <c r="A12" s="19" t="s">
        <v>69</v>
      </c>
      <c r="B12" s="20"/>
      <c r="C12" s="20"/>
      <c r="D12" s="20"/>
      <c r="E12" s="20"/>
      <c r="F12" s="21"/>
      <c r="G12" s="103"/>
      <c r="H12" s="219"/>
      <c r="I12" s="220"/>
      <c r="J12" s="221"/>
      <c r="K12" s="219"/>
      <c r="L12" s="222"/>
      <c r="M12" s="103"/>
    </row>
    <row r="13">
      <c r="A13" s="22" t="s">
        <v>207</v>
      </c>
      <c r="B13" s="20"/>
      <c r="C13" s="20"/>
      <c r="D13" s="20"/>
      <c r="E13" s="20"/>
      <c r="F13" s="21"/>
      <c r="G13" s="103"/>
      <c r="H13" s="103"/>
      <c r="I13" s="103"/>
      <c r="J13" s="103"/>
      <c r="K13" s="103"/>
      <c r="L13" s="222"/>
      <c r="M13" s="103"/>
    </row>
    <row r="14">
      <c r="E14" s="1248"/>
    </row>
    <row r="15">
      <c r="A15" s="51" t="s">
        <v>48</v>
      </c>
      <c r="B15" s="36"/>
      <c r="C15" s="36"/>
      <c r="D15" s="36"/>
      <c r="E15" s="36"/>
      <c r="F15" s="37"/>
      <c r="H15" s="51" t="s">
        <v>48</v>
      </c>
      <c r="I15" s="36"/>
      <c r="J15" s="36"/>
      <c r="K15" s="36"/>
      <c r="L15" s="36"/>
      <c r="M15" s="37"/>
    </row>
    <row r="16">
      <c r="A16" s="93" t="str">
        <f>HYPERLINK("https://youtu.be/iLgUDezDMbU","1. BENCH PRESS")</f>
        <v>1. BENCH PRESS</v>
      </c>
      <c r="B16" s="53"/>
      <c r="C16" s="53"/>
      <c r="D16" s="53"/>
      <c r="E16" s="53"/>
      <c r="F16" s="54"/>
      <c r="H16" s="93" t="str">
        <f>HYPERLINK("https://youtu.be/iLgUDezDMbU","1. DUMBELL INCLINE")</f>
        <v>1. DUMBELL INCLINE</v>
      </c>
      <c r="I16" s="53"/>
      <c r="J16" s="53"/>
      <c r="K16" s="53"/>
      <c r="L16" s="53"/>
      <c r="M16" s="54"/>
    </row>
    <row r="17">
      <c r="A17" s="226" t="s">
        <v>119</v>
      </c>
      <c r="B17" s="691">
        <v>200.0</v>
      </c>
      <c r="C17" s="13"/>
      <c r="D17" s="13"/>
      <c r="E17" s="13"/>
      <c r="F17" s="57"/>
      <c r="H17" s="226" t="s">
        <v>119</v>
      </c>
      <c r="I17" s="691" t="str">
        <f>'WEEK 8'!B34</f>
        <v/>
      </c>
      <c r="J17" s="13"/>
      <c r="K17" s="13"/>
      <c r="L17" s="13"/>
      <c r="M17" s="57"/>
    </row>
    <row r="18">
      <c r="A18" s="96" t="s">
        <v>50</v>
      </c>
      <c r="B18" s="97" t="s">
        <v>51</v>
      </c>
      <c r="C18" s="97" t="s">
        <v>52</v>
      </c>
      <c r="D18" s="97" t="s">
        <v>53</v>
      </c>
      <c r="E18" s="1249" t="s">
        <v>54</v>
      </c>
      <c r="F18" s="235" t="s">
        <v>55</v>
      </c>
      <c r="H18" s="96" t="s">
        <v>50</v>
      </c>
      <c r="I18" s="97" t="s">
        <v>51</v>
      </c>
      <c r="J18" s="97" t="s">
        <v>52</v>
      </c>
      <c r="K18" s="97" t="s">
        <v>53</v>
      </c>
      <c r="L18" s="341" t="s">
        <v>54</v>
      </c>
      <c r="M18" s="235" t="s">
        <v>55</v>
      </c>
    </row>
    <row r="19">
      <c r="A19" s="725">
        <v>1.0</v>
      </c>
      <c r="B19" s="344">
        <f>IF( 'WEEK 9'!B17&lt;125,45,mround('WEEK 9'!B17*0.5,5))</f>
        <v>100</v>
      </c>
      <c r="C19" s="1250" t="s">
        <v>65</v>
      </c>
      <c r="D19" s="1251" t="s">
        <v>208</v>
      </c>
      <c r="E19" s="727"/>
      <c r="F19" s="85"/>
      <c r="H19" s="342">
        <v>1.0</v>
      </c>
      <c r="I19" s="344">
        <f>mround('WEEK 9'!I17*0.5,5)</f>
        <v>50</v>
      </c>
      <c r="J19" s="1250" t="s">
        <v>65</v>
      </c>
      <c r="K19" s="343" t="s">
        <v>57</v>
      </c>
      <c r="L19" s="1244"/>
      <c r="M19" s="85"/>
    </row>
    <row r="20">
      <c r="A20" s="342">
        <v>2.0</v>
      </c>
      <c r="B20" s="344">
        <f>IF( 'WEEK 9'!B17&lt;125,45,mround('WEEK 9'!B17*0.5,5))</f>
        <v>100</v>
      </c>
      <c r="C20" s="1250" t="s">
        <v>65</v>
      </c>
      <c r="D20" s="1251" t="s">
        <v>208</v>
      </c>
      <c r="E20" s="727"/>
      <c r="F20" s="85"/>
      <c r="H20" s="725">
        <f>IF(OR(ISBLANK('WEEK 9'!M19)),"",IF('WEEK 9'!M19&lt;10,"MOVE",2))</f>
        <v>2</v>
      </c>
      <c r="I20" s="344">
        <f>IF(OR(ISBLANK('WEEK 9'!M19)),"",IF('WEEK 9'!M19&lt;10,"TO",mround('WEEK 9'!I17*0.5,5)))</f>
        <v>50</v>
      </c>
      <c r="J20" s="1250" t="str">
        <f>IF(OR(ISBLANK('WEEK 9'!M19)),"",IF('WEEK 9'!M19&lt;10,"#","REP OUT"))</f>
        <v>REP OUT</v>
      </c>
      <c r="K20" s="343" t="str">
        <f>IF(OR(ISBLANK('WEEK 9'!M19)),"",IF('WEEK 9'!M19&lt;10,"2","1 MIN"))</f>
        <v>1 MIN</v>
      </c>
      <c r="L20" s="1244"/>
      <c r="M20" s="85"/>
    </row>
    <row r="21">
      <c r="A21" s="735">
        <v>3.0</v>
      </c>
      <c r="B21" s="1252">
        <f>IF( 'WEEK 9'!B17&lt;125,45,mround('WEEK 9'!B17*0.5,5))</f>
        <v>100</v>
      </c>
      <c r="C21" s="1253" t="s">
        <v>65</v>
      </c>
      <c r="D21" s="1254" t="s">
        <v>208</v>
      </c>
      <c r="E21" s="739"/>
      <c r="F21" s="330"/>
      <c r="H21" s="725">
        <f>IF(OR(ISBLANK('WEEK 9'!M19),ISBLANK('WEEK 9'!M20)),"",IF('WEEK 9'!M20&lt;10,"MOVE",3))</f>
        <v>3</v>
      </c>
      <c r="I21" s="344">
        <f>IF(OR(ISBLANK('WEEK 9'!M19),ISBLANK('WEEK 9'!M20)),"",IF('WEEK 9'!M20&lt;10,"TO",mround('WEEK 9'!I17*0.5,5)))</f>
        <v>50</v>
      </c>
      <c r="J21" s="1250" t="str">
        <f>IF(OR(ISBLANK('WEEK 9'!M19),ISBLANK('WEEK 9'!M20)),"",IF('WEEK 9'!M20&lt;10,"#","REP OUT"))</f>
        <v>REP OUT</v>
      </c>
      <c r="K21" s="343" t="str">
        <f>IF(OR(ISBLANK('WEEK 9'!M19),ISBLANK('WEEK 9'!M20)),"",IF('WEEK 9'!M20&lt;10,"2","1 MIN"))</f>
        <v>1 MIN</v>
      </c>
      <c r="L21" s="1255"/>
      <c r="M21" s="85"/>
    </row>
    <row r="22">
      <c r="A22" s="1256"/>
      <c r="B22" s="1256"/>
      <c r="C22" s="1256"/>
      <c r="D22" s="1256"/>
      <c r="E22" s="1257"/>
      <c r="F22" s="1256"/>
      <c r="H22" s="725">
        <f>IF(OR(ISBLANK('WEEK 9'!M19),ISBLANK('WEEK 9'!M20),ISBLANK('WEEK 9'!M21)),"",IF('WEEK 9'!M21&lt;10,"MOVE",4))</f>
        <v>4</v>
      </c>
      <c r="I22" s="344">
        <f>IF(OR(ISBLANK('WEEK 9'!M19),ISBLANK('WEEK 9'!M20),ISBLANK('WEEK 9'!M21)),"",IF('WEEK 9'!M21&gt;=1&lt;10,"TO",mround('WEEK 9'!I17*0.5,5)))</f>
        <v>50</v>
      </c>
      <c r="J22" s="1250" t="str">
        <f>IF(OR(ISBLANK('WEEK 9'!M19),ISBLANK('WEEK 9'!M20),ISBLANK('WEEK 9'!M21)),"",IF('WEEK 9'!M21&lt;10,"#","REP OUT"))</f>
        <v>REP OUT</v>
      </c>
      <c r="K22" s="343" t="str">
        <f>IF(OR(ISBLANK('WEEK 9'!M19),ISBLANK('WEEK 9'!M20),ISBLANK('WEEK 9'!M21)),"",IF('WEEK 9'!M21&lt;10,"2","1 MIN"))</f>
        <v>1 MIN</v>
      </c>
      <c r="L22" s="1255"/>
      <c r="M22" s="85"/>
    </row>
    <row r="23">
      <c r="A23" s="1258"/>
      <c r="B23" s="1258"/>
      <c r="C23" s="1258"/>
      <c r="D23" s="1258"/>
      <c r="E23" s="1259"/>
      <c r="F23" s="1258"/>
      <c r="H23" s="725">
        <f>IF(OR(ISBLANK('WEEK 9'!M19),ISBLANK('WEEK 9'!M20),ISBLANK('WEEK 9'!M21),ISBLANK('WEEK 9'!M22)),"",IF('WEEK 9'!M22&lt;10,"MOVE",5))</f>
        <v>5</v>
      </c>
      <c r="I23" s="344">
        <f>IF(OR(ISBLANK('WEEK 9'!M19),ISBLANK('WEEK 9'!M20),ISBLANK('WEEK 9'!M21),ISBLANK('WEEK 9'!M22)),"",IF('WEEK 9'!M22&lt;10,"TO",mround('WEEK 9'!I17*0.5,5)))</f>
        <v>50</v>
      </c>
      <c r="J23" s="1250" t="str">
        <f>IF(OR(ISBLANK('WEEK 9'!M19),ISBLANK('WEEK 9'!M20),ISBLANK('WEEK 9'!M21),ISBLANK('WEEK 9'!M22)),"",IF('WEEK 9'!M22&lt;10,"#","REP OUT"))</f>
        <v>REP OUT</v>
      </c>
      <c r="K23" s="343" t="str">
        <f>IF(OR(ISBLANK('WEEK 9'!M19),ISBLANK('WEEK 9'!M20),ISBLANK('WEEK 9'!M21),ISBLANK('WEEK 9'!M22)),"",IF('WEEK 9'!M22&lt;10,"2","1 MIN"))</f>
        <v>1 MIN</v>
      </c>
      <c r="L23" s="1255"/>
      <c r="M23" s="85"/>
    </row>
    <row r="24">
      <c r="A24" s="1258"/>
      <c r="B24" s="1258"/>
      <c r="C24" s="1258"/>
      <c r="D24" s="1258"/>
      <c r="E24" s="1259"/>
      <c r="F24" s="1258"/>
      <c r="H24" s="735">
        <f>IF(OR(ISBLANK('WEEK 9'!M19),ISBLANK('WEEK 9'!M20),ISBLANK('WEEK 9'!M21),ISBLANK('WEEK 9'!M22),ISBLANK('WEEK 9'!M23)),"",IF('WEEK 9'!M23&lt;10,"MOVE",6))</f>
        <v>6</v>
      </c>
      <c r="I24" s="1252">
        <f>IF(OR(ISBLANK('WEEK 9'!M19),ISBLANK('WEEK 9'!M20),ISBLANK('WEEK 9'!M21),ISBLANK('WEEK 9'!M22),ISBLANK('WEEK 9'!M23)),"",IF('WEEK 9'!M23&lt;10,"TO",mround('WEEK 9'!I17*0.5,5)))</f>
        <v>50</v>
      </c>
      <c r="J24" s="1253" t="str">
        <f>IF(OR(ISBLANK('WEEK 9'!M19),ISBLANK('WEEK 9'!M20),ISBLANK('WEEK 9'!M21),ISBLANK('WEEK 9'!M22),ISBLANK('WEEK 9'!M23)),"",IF('WEEK 9'!M23&lt;10,"#","REP OUT"))</f>
        <v>REP OUT</v>
      </c>
      <c r="K24" s="738" t="str">
        <f>IF(OR(ISBLANK('WEEK 9'!M19),ISBLANK('WEEK 9'!M20),ISBLANK('WEEK 9'!M21),ISBLANK('WEEK 9'!M22),ISBLANK('WEEK 9'!M23)),"",IF('WEEK 9'!M23&lt;10,"2","1 MIN"))</f>
        <v>1 MIN</v>
      </c>
      <c r="L24" s="1255"/>
      <c r="M24" s="330"/>
    </row>
    <row r="25">
      <c r="A25" s="1258"/>
      <c r="B25" s="1258"/>
      <c r="C25" s="1258"/>
      <c r="D25" s="1258"/>
      <c r="E25" s="1259"/>
      <c r="F25" s="1258"/>
      <c r="H25" s="1260"/>
      <c r="I25" s="1260"/>
      <c r="J25" s="1260"/>
      <c r="K25" s="1260"/>
      <c r="L25" s="1260"/>
      <c r="M25" s="1260"/>
    </row>
    <row r="26">
      <c r="A26" s="1258"/>
      <c r="B26" s="1258"/>
      <c r="C26" s="1258"/>
      <c r="D26" s="1258"/>
      <c r="E26" s="1259"/>
      <c r="F26" s="1258"/>
    </row>
    <row r="27">
      <c r="E27" s="1248"/>
    </row>
    <row r="28">
      <c r="E28" s="1248"/>
    </row>
    <row r="29">
      <c r="A29" s="73" t="str">
        <f>HYPERLINK("https://www.youtube.com/watch?v=PnaDzYh2axA","2. LAT PULL DOWN")</f>
        <v>2. LAT PULL DOWN</v>
      </c>
      <c r="B29" s="53"/>
      <c r="C29" s="53"/>
      <c r="D29" s="53"/>
      <c r="E29" s="53"/>
      <c r="F29" s="53"/>
    </row>
    <row r="30">
      <c r="A30" s="226" t="s">
        <v>119</v>
      </c>
      <c r="B30" s="227">
        <f>'WEEK 7'!B60</f>
        <v>270</v>
      </c>
      <c r="C30" s="20"/>
      <c r="D30" s="20"/>
      <c r="E30" s="20"/>
      <c r="F30" s="20"/>
    </row>
    <row r="31">
      <c r="A31" s="231" t="s">
        <v>50</v>
      </c>
      <c r="B31" s="232" t="s">
        <v>51</v>
      </c>
      <c r="C31" s="232" t="s">
        <v>52</v>
      </c>
      <c r="D31" s="232" t="s">
        <v>53</v>
      </c>
      <c r="E31" s="233" t="s">
        <v>54</v>
      </c>
      <c r="F31" s="286" t="s">
        <v>55</v>
      </c>
    </row>
    <row r="32">
      <c r="A32" s="236">
        <v>1.0</v>
      </c>
      <c r="B32" s="237">
        <f>mround('WEEK 9'!B30*0.35,5)</f>
        <v>95</v>
      </c>
      <c r="C32" s="238">
        <v>6.0</v>
      </c>
      <c r="D32" s="238" t="s">
        <v>120</v>
      </c>
      <c r="E32" s="66"/>
      <c r="F32" s="67"/>
    </row>
    <row r="33">
      <c r="A33" s="236">
        <v>2.0</v>
      </c>
      <c r="B33" s="237">
        <f>mround('WEEK 9'!B30*0.65,5)</f>
        <v>175</v>
      </c>
      <c r="C33" s="238">
        <v>3.0</v>
      </c>
      <c r="D33" s="238" t="s">
        <v>121</v>
      </c>
      <c r="E33" s="66"/>
      <c r="F33" s="67"/>
    </row>
    <row r="34">
      <c r="A34" s="242">
        <v>3.0</v>
      </c>
      <c r="B34" s="237">
        <f>mround('WEEK 9'!B30*0.9,5)</f>
        <v>245</v>
      </c>
      <c r="C34" s="63">
        <v>2.0</v>
      </c>
      <c r="D34" s="238" t="s">
        <v>121</v>
      </c>
      <c r="E34" s="66"/>
      <c r="F34" s="67"/>
    </row>
    <row r="35">
      <c r="A35" s="243">
        <v>4.0</v>
      </c>
      <c r="B35" s="237">
        <f>'WEEK 9'!B30</f>
        <v>270</v>
      </c>
      <c r="C35" s="257">
        <v>3.0</v>
      </c>
      <c r="D35" s="238" t="s">
        <v>122</v>
      </c>
      <c r="E35" s="66"/>
      <c r="F35" s="665"/>
    </row>
    <row r="36">
      <c r="A36" s="246" t="str">
        <f>IF('WEEK 9'!F35&lt;3,"PROCEED TO DOWN SETS","NEW 4 REP MAX ATTEMPT")</f>
        <v>PROCEED TO DOWN SETS</v>
      </c>
      <c r="B36" s="20"/>
      <c r="C36" s="20"/>
      <c r="D36" s="20"/>
      <c r="E36" s="20"/>
      <c r="F36" s="20"/>
    </row>
    <row r="37">
      <c r="A37" s="249" t="str">
        <f>if('WEEK 9'!F35&lt;=2,"",5)</f>
        <v/>
      </c>
      <c r="B37" s="175" t="str">
        <f>IF('WEEK 9'!F35&lt;=2,"",B35+5)</f>
        <v/>
      </c>
      <c r="C37" s="238" t="str">
        <f>if('WEEK 9'!F35&lt;=2,"",4)</f>
        <v/>
      </c>
      <c r="D37" s="238" t="str">
        <f>if('WEEK 9'!F35&lt;=2,"","1-5 MIN")</f>
        <v/>
      </c>
      <c r="E37" s="250"/>
      <c r="F37" s="271"/>
    </row>
    <row r="38">
      <c r="A38" s="256" t="str">
        <f>IF('WEEK 9'!F37&lt;4,"","6")</f>
        <v/>
      </c>
      <c r="B38" s="237" t="str">
        <f>IF('WEEK 9'!F37&lt;4,"",B37+5)</f>
        <v/>
      </c>
      <c r="C38" s="257" t="str">
        <f>IF('WEEK 9'!F37&lt;4,"","4")</f>
        <v/>
      </c>
      <c r="D38" s="257" t="str">
        <f>IF('WEEK 9'!F37&lt;4,"","1-5 MIN")</f>
        <v/>
      </c>
      <c r="E38" s="258"/>
      <c r="F38" s="665"/>
    </row>
    <row r="39">
      <c r="A39" s="246" t="str">
        <f>IF(OR(ISBLANK('WEEK 9'!F35),ISBLANK('WEEK 9'!F34),ISBLANK('WEEK 9'!F33)),"FILL OUT REP LOG FOR DOWN SETS","DOWN SETS")</f>
        <v>FILL OUT REP LOG FOR DOWN SETS</v>
      </c>
      <c r="B39" s="20"/>
      <c r="C39" s="20"/>
      <c r="D39" s="20"/>
      <c r="E39" s="20"/>
      <c r="F39" s="20"/>
    </row>
    <row r="40">
      <c r="A40" s="264" t="str">
        <f>IF(OR(ISBLANK('WEEK 9'!F35),ISBLANK('WEEK 9'!F34),ISBLANK('WEEK 9'!F33)),"",IF((AND(A37="",A38="")),5,IF((AND(A37&gt;1,A38="")),6,7)))</f>
        <v/>
      </c>
      <c r="B40" s="265">
        <f>MROUND('WEEK 9'!B42*0.8,5)</f>
        <v>0</v>
      </c>
      <c r="C40" s="266" t="s">
        <v>65</v>
      </c>
      <c r="D40" s="267" t="s">
        <v>127</v>
      </c>
      <c r="E40" s="268"/>
      <c r="F40" s="271"/>
    </row>
    <row r="41">
      <c r="A41" s="243" t="str">
        <f>IF(OR(ISBLANK('WEEK 9'!F35),ISBLANK('WEEK 9'!F34),ISBLANK('WEEK 9'!F33)),"",IF((AND(A37="",A38="")),6,IF((AND(A37&gt;1,A38="")),7,8)))</f>
        <v/>
      </c>
      <c r="B41" s="237">
        <f>mround('WEEK 9'!B42*0.7,5)</f>
        <v>0</v>
      </c>
      <c r="C41" s="245" t="s">
        <v>65</v>
      </c>
      <c r="D41" s="65" t="s">
        <v>127</v>
      </c>
      <c r="E41" s="258"/>
      <c r="F41" s="271"/>
    </row>
    <row r="42">
      <c r="A42" s="272" t="s">
        <v>124</v>
      </c>
      <c r="B42" s="273" t="str">
        <f>IF(OR(ISBLANK('WEEK 9'!F35),ISBLANK('WEEK 9'!F34),ISBLANK('WEEK 9'!F33)),"",IF('WEEK 9'!F38&gt;=4,'WEEK 9'!B38,IF('WEEK 9'!F37&gt;=1,'WEEK 9'!B37,IF('WEEK 9'!F35&lt;3,'WEEK 9'!B35-5,'WEEK 9'!B35))))</f>
        <v/>
      </c>
      <c r="C42" s="11"/>
      <c r="D42" s="11"/>
      <c r="E42" s="11"/>
      <c r="F42" s="46"/>
    </row>
    <row r="43">
      <c r="A43" s="302"/>
      <c r="B43" s="302"/>
      <c r="C43" s="302"/>
      <c r="D43" s="302"/>
      <c r="E43" s="303"/>
      <c r="F43" s="103"/>
    </row>
    <row r="44">
      <c r="A44" s="302"/>
      <c r="B44" s="302"/>
      <c r="C44" s="302"/>
      <c r="D44" s="302"/>
      <c r="E44" s="303"/>
      <c r="F44" s="103"/>
    </row>
    <row r="45">
      <c r="A45" s="73" t="str">
        <f>HYPERLINK("https://www.youtube.com/watch?v=9YH1YvZbiY0","3. MACHINE LOW ROW")</f>
        <v>3. MACHINE LOW ROW</v>
      </c>
      <c r="B45" s="53"/>
      <c r="C45" s="53"/>
      <c r="D45" s="53"/>
      <c r="E45" s="53"/>
      <c r="F45" s="53"/>
    </row>
    <row r="46">
      <c r="A46" s="282" t="s">
        <v>119</v>
      </c>
      <c r="B46" s="56">
        <f>'WEEK 7'!B68</f>
        <v>270</v>
      </c>
      <c r="C46" s="13"/>
      <c r="D46" s="13"/>
      <c r="E46" s="13"/>
      <c r="F46" s="13"/>
    </row>
    <row r="47">
      <c r="A47" s="58" t="s">
        <v>50</v>
      </c>
      <c r="B47" s="59" t="s">
        <v>51</v>
      </c>
      <c r="C47" s="59" t="s">
        <v>52</v>
      </c>
      <c r="D47" s="59" t="s">
        <v>53</v>
      </c>
      <c r="E47" s="584" t="s">
        <v>54</v>
      </c>
      <c r="F47" s="286" t="s">
        <v>55</v>
      </c>
    </row>
    <row r="48">
      <c r="A48" s="62">
        <v>1.0</v>
      </c>
      <c r="B48" s="63">
        <f> mround('WEEK 9'!B46*0.9,5)</f>
        <v>245</v>
      </c>
      <c r="C48" s="104" t="s">
        <v>65</v>
      </c>
      <c r="D48" s="65" t="s">
        <v>57</v>
      </c>
      <c r="E48" s="66"/>
      <c r="F48" s="67"/>
    </row>
    <row r="49">
      <c r="A49" s="62">
        <v>2.0</v>
      </c>
      <c r="B49" s="63">
        <f>IF('WEEK 9'!F48&lt;6,MROUND('WEEK 9'!B48*0.87,5),IF('WEEK 9'!F48&lt;=11,MROUND('WEEK 9'!B48*0.95,5),'WEEK 9'!B48))</f>
        <v>215</v>
      </c>
      <c r="C49" s="104" t="s">
        <v>65</v>
      </c>
      <c r="D49" s="65" t="s">
        <v>57</v>
      </c>
      <c r="E49" s="66"/>
      <c r="F49" s="67"/>
    </row>
    <row r="50">
      <c r="A50" s="68">
        <v>3.0</v>
      </c>
      <c r="B50" s="69">
        <f>IF('WEEK 9'!F49&lt;6,MROUND('WEEK 9'!B49*0.87,5),IF('WEEK 9'!F49&lt;=11,MROUND('WEEK 9'!B49*0.95,5),'WEEK 9'!B49))</f>
        <v>185</v>
      </c>
      <c r="C50" s="105" t="s">
        <v>65</v>
      </c>
      <c r="D50" s="71" t="s">
        <v>57</v>
      </c>
      <c r="E50" s="72"/>
      <c r="F50" s="67"/>
    </row>
    <row r="51">
      <c r="A51" s="103"/>
      <c r="B51" s="103"/>
      <c r="C51" s="103"/>
      <c r="D51" s="103"/>
      <c r="E51" s="222"/>
      <c r="F51" s="103"/>
    </row>
    <row r="52">
      <c r="A52" s="103"/>
      <c r="B52" s="103"/>
      <c r="C52" s="103"/>
      <c r="D52" s="103"/>
      <c r="E52" s="222"/>
      <c r="F52" s="103"/>
    </row>
    <row r="53">
      <c r="A53" s="73" t="str">
        <f>HYPERLINK("https://youtu.be/5-SUS-OVULY","4. MACHINE HIGH ROW")</f>
        <v>4. MACHINE HIGH ROW</v>
      </c>
      <c r="B53" s="53"/>
      <c r="C53" s="53"/>
      <c r="D53" s="53"/>
      <c r="E53" s="53"/>
      <c r="F53" s="53"/>
    </row>
    <row r="54">
      <c r="A54" s="282" t="s">
        <v>119</v>
      </c>
      <c r="B54" s="56" t="str">
        <f>'WEEK 7'!B57</f>
        <v/>
      </c>
      <c r="C54" s="13"/>
      <c r="D54" s="13"/>
      <c r="E54" s="13"/>
      <c r="F54" s="13"/>
    </row>
    <row r="55">
      <c r="A55" s="58" t="s">
        <v>50</v>
      </c>
      <c r="B55" s="59" t="s">
        <v>51</v>
      </c>
      <c r="C55" s="59" t="s">
        <v>52</v>
      </c>
      <c r="D55" s="59" t="s">
        <v>53</v>
      </c>
      <c r="E55" s="584" t="s">
        <v>54</v>
      </c>
      <c r="F55" s="286" t="s">
        <v>55</v>
      </c>
    </row>
    <row r="56">
      <c r="A56" s="62">
        <v>1.0</v>
      </c>
      <c r="B56" s="63">
        <f> mround('WEEK 9'!B54*0.85,5)</f>
        <v>0</v>
      </c>
      <c r="C56" s="104" t="s">
        <v>65</v>
      </c>
      <c r="D56" s="65" t="s">
        <v>57</v>
      </c>
      <c r="E56" s="66"/>
      <c r="F56" s="67"/>
    </row>
    <row r="57">
      <c r="A57" s="62">
        <v>2.0</v>
      </c>
      <c r="B57" s="63">
        <f>IF('WEEK 9'!F56&lt;6,MROUND('WEEK 9'!B54*0.7,5),IF('WEEK 9'!F56&lt;=11,MROUND('WEEK 9'!B54*0.75,5),'WEEK 9'!B56))</f>
        <v>0</v>
      </c>
      <c r="C57" s="104" t="s">
        <v>65</v>
      </c>
      <c r="D57" s="65" t="s">
        <v>57</v>
      </c>
      <c r="E57" s="66"/>
      <c r="F57" s="67"/>
    </row>
    <row r="58">
      <c r="A58" s="68">
        <v>3.0</v>
      </c>
      <c r="B58" s="87">
        <f>IF('WEEK 9'!F57&lt;6,MROUND('WEEK 9'!B57*0.8,5),IF('WEEK 9'!F57&lt;=11,MROUND('WEEK 9'!B57*0.85,5),'WEEK 9'!B57))</f>
        <v>0</v>
      </c>
      <c r="C58" s="105" t="s">
        <v>65</v>
      </c>
      <c r="D58" s="309" t="s">
        <v>57</v>
      </c>
      <c r="E58" s="72"/>
      <c r="F58" s="67"/>
    </row>
    <row r="59">
      <c r="E59" s="1248"/>
    </row>
    <row r="60">
      <c r="E60" s="1248"/>
    </row>
    <row r="61">
      <c r="A61" s="310" t="str">
        <f>HYPERLINK("https://docs.google.com/a/fitnessresults.com/forms/d/e/1FAIpQLSd7MoczESe8Yjv6BKpmwAZGn9Aiymrs9-UdgfYIUpbr9t5NXg/viewform?usp=pp_url&amp;entry.93370101","CLICK TO COMPLETE WORKOUT")</f>
        <v>CLICK TO COMPLETE WORKOUT</v>
      </c>
      <c r="B61" s="36"/>
      <c r="C61" s="36"/>
      <c r="D61" s="36"/>
      <c r="E61" s="36"/>
      <c r="F61" s="37"/>
    </row>
    <row r="62">
      <c r="E62" s="1248"/>
    </row>
    <row r="63">
      <c r="A63" s="224" t="s">
        <v>128</v>
      </c>
      <c r="B63" s="36"/>
      <c r="C63" s="36"/>
      <c r="D63" s="36"/>
      <c r="E63" s="36"/>
      <c r="F63" s="37"/>
    </row>
    <row r="64">
      <c r="E64" s="1248"/>
    </row>
    <row r="65">
      <c r="E65" s="1248"/>
    </row>
    <row r="66">
      <c r="A66" s="1261" t="str">
        <f>'WEEK 8'!A65</f>
        <v>1. MACHINE SQUAT</v>
      </c>
      <c r="B66" s="53"/>
      <c r="C66" s="53"/>
      <c r="D66" s="53"/>
      <c r="E66" s="53"/>
      <c r="F66" s="54"/>
    </row>
    <row r="67">
      <c r="A67" s="1262" t="s">
        <v>192</v>
      </c>
      <c r="B67" s="1035">
        <f>'WEEK 8'!B69</f>
        <v>65</v>
      </c>
      <c r="C67" s="13"/>
      <c r="D67" s="13"/>
      <c r="E67" s="13"/>
      <c r="F67" s="57"/>
    </row>
    <row r="68">
      <c r="A68" s="231" t="s">
        <v>50</v>
      </c>
      <c r="B68" s="232" t="s">
        <v>51</v>
      </c>
      <c r="C68" s="232" t="s">
        <v>52</v>
      </c>
      <c r="D68" s="232" t="s">
        <v>53</v>
      </c>
      <c r="E68" s="1073" t="s">
        <v>54</v>
      </c>
      <c r="F68" s="1006" t="s">
        <v>55</v>
      </c>
    </row>
    <row r="69">
      <c r="A69" s="236">
        <v>1.0</v>
      </c>
      <c r="B69" s="237">
        <f>mround('WEEK 9'!B67*0.35,5)</f>
        <v>25</v>
      </c>
      <c r="C69" s="238">
        <v>10.0</v>
      </c>
      <c r="D69" s="238" t="s">
        <v>120</v>
      </c>
      <c r="E69" s="1202"/>
      <c r="F69" s="1131">
        <v>10.0</v>
      </c>
    </row>
    <row r="70">
      <c r="A70" s="236">
        <v>2.0</v>
      </c>
      <c r="B70" s="237">
        <f>mround('WEEK 9'!B67*0.65,5)</f>
        <v>40</v>
      </c>
      <c r="C70" s="238">
        <v>10.0</v>
      </c>
      <c r="D70" s="238" t="s">
        <v>121</v>
      </c>
      <c r="E70" s="1202"/>
      <c r="F70" s="1111">
        <v>10.0</v>
      </c>
    </row>
    <row r="71">
      <c r="A71" s="242">
        <v>3.0</v>
      </c>
      <c r="B71" s="237">
        <f>mround('WEEK 9'!B67*0.9,5)</f>
        <v>60</v>
      </c>
      <c r="C71" s="238">
        <v>10.0</v>
      </c>
      <c r="D71" s="238" t="s">
        <v>121</v>
      </c>
      <c r="E71" s="1202"/>
      <c r="F71" s="1111">
        <v>10.0</v>
      </c>
    </row>
    <row r="72">
      <c r="A72" s="249">
        <v>4.0</v>
      </c>
      <c r="B72" s="175">
        <f>if('WEEK 9'!F71&lt;8,MROUND('WEEK 9'!B71-('WEEK 9'!B71*20%),5),'WEEK 9'!B67)</f>
        <v>50</v>
      </c>
      <c r="C72" s="238">
        <v>10.0</v>
      </c>
      <c r="D72" s="238" t="s">
        <v>122</v>
      </c>
      <c r="E72" s="1263"/>
      <c r="F72" s="1111">
        <v>10.0</v>
      </c>
    </row>
    <row r="73">
      <c r="A73" s="249">
        <v>5.0</v>
      </c>
      <c r="B73" s="175">
        <f>IF((AND('WEEK 9'!B72&lt;='WEEK 9'!B71,'WEEK 9'!F72&gt;=8)),'WEEK 9'!B72,IF('WEEK 9'!F72&lt;8,MROUND('WEEK 9'!B72-('WEEK 9'!B72*20%),5),if( 'WEEK 9'!F72&lt;8,MROUND('WEEK 9'!B72-('WEEK 9'!B72*10%),5),MROUND('WEEK 9'!B72+('WEEK 9'!B72*10%),5))))</f>
        <v>40</v>
      </c>
      <c r="C73" s="238">
        <v>10.0</v>
      </c>
      <c r="D73" s="238" t="s">
        <v>122</v>
      </c>
      <c r="E73" s="1104"/>
      <c r="F73" s="1111">
        <v>10.0</v>
      </c>
    </row>
    <row r="74">
      <c r="A74" s="249">
        <f>if(F72&lt;8,6,6)</f>
        <v>6</v>
      </c>
      <c r="B74" s="175">
        <f>IF((AND('WEEK 9'!B73&lt;='WEEK 9'!B72,'WEEK 9'!F73&gt;=8)),'WEEK 9'!B73,IF('WEEK 9'!F73&lt;8,MROUND('WEEK 9'!B73-('WEEK 9'!B73*20%),5),if( 'WEEK 9'!F73&lt;8,MROUND('WEEK 9'!B73-('WEEK 9'!B73*10%),5),MROUND('WEEK 9'!B73+('WEEK 9'!B73*10%),5))))</f>
        <v>30</v>
      </c>
      <c r="C74" s="238">
        <v>10.0</v>
      </c>
      <c r="D74" s="238" t="s">
        <v>122</v>
      </c>
      <c r="E74" s="1104"/>
      <c r="F74" s="1111">
        <v>10.0</v>
      </c>
    </row>
    <row r="75">
      <c r="A75" s="1038" t="str">
        <f>IF(F74&lt;8,7,"7")</f>
        <v>7</v>
      </c>
      <c r="B75" s="175">
        <f>IF((AND('WEEK 9'!B74&lt;='WEEK 9'!B73,'WEEK 9'!F74&gt;=8)),'WEEK 9'!B74,IF('WEEK 9'!F74&lt;8,MROUND('WEEK 9'!B74-('WEEK 9'!B74*20%),5),if( 'WEEK 9'!F74&lt;8,MROUND('WEEK 9'!B74-('WEEK 9'!B74*10%),5),MROUND('WEEK 9'!B74+('WEEK 9'!B74*10%),5))))</f>
        <v>25</v>
      </c>
      <c r="C75" s="238">
        <v>10.0</v>
      </c>
      <c r="D75" s="238" t="s">
        <v>122</v>
      </c>
      <c r="E75" s="1104"/>
      <c r="F75" s="1226">
        <v>10.0</v>
      </c>
    </row>
    <row r="76">
      <c r="A76" s="272" t="s">
        <v>209</v>
      </c>
      <c r="B76" s="1109">
        <f>IF((AND('WEEK 9'!F75&gt;=8,'WEEK 9'!B75&gt;'WEEK 9'!B74)),'WEEK 9'!B75,IF((AND('WEEK 9'!F74&gt;=8,'WEEK 9'!B74&gt;'WEEK 9'!B73)),'WEEK 9'!B74,IF((AND('WEEK 9'!F73&gt;=8,'WEEK 9'!B73&gt;'WEEK 9'!B72)),'WEEK 9'!B73,IF((AND('WEEK 9'!F72&gt;=8,'WEEK 9'!B72&gt;'WEEK 9'!B71)),'WEEK 9'!B72,IF((AND('WEEK 9'!F71&gt;=8,'WEEK 9'!B71&gt;'WEEK 9'!B70)),'WEEK 9'!B71,IF((AND('WEEK 9'!F70&gt;=8,'WEEK 9'!B70&gt;'WEEK 9'!B69)),'WEEK 9'!B70,'WEEK 9'!B67))))))</f>
        <v>65</v>
      </c>
      <c r="C76" s="11"/>
      <c r="D76" s="11"/>
      <c r="E76" s="11"/>
      <c r="F76" s="46"/>
    </row>
    <row r="77">
      <c r="A77" s="1042"/>
      <c r="B77" s="1043"/>
      <c r="G77" s="635"/>
      <c r="H77" s="635"/>
      <c r="I77" s="635"/>
      <c r="J77" s="635"/>
      <c r="K77" s="635"/>
      <c r="L77" s="635"/>
      <c r="M77" s="635"/>
      <c r="N77" s="635"/>
      <c r="O77" s="635"/>
      <c r="P77" s="635"/>
      <c r="Q77" s="635"/>
      <c r="R77" s="635"/>
      <c r="S77" s="635"/>
      <c r="T77" s="635"/>
      <c r="U77" s="635"/>
      <c r="V77" s="635"/>
      <c r="W77" s="635"/>
      <c r="X77" s="635"/>
      <c r="Y77" s="635"/>
      <c r="Z77" s="635"/>
    </row>
    <row r="78">
      <c r="E78" s="1248"/>
    </row>
    <row r="79">
      <c r="A79" s="1044" t="str">
        <f>HYPERLINK("https://www.youtube.com/watch?v=NZ9KiFtbiMs","2. LEG EXTENSION")</f>
        <v>2. LEG EXTENSION</v>
      </c>
      <c r="B79" s="13"/>
      <c r="C79" s="13"/>
      <c r="D79" s="13"/>
      <c r="E79" s="13"/>
      <c r="F79" s="13"/>
    </row>
    <row r="80">
      <c r="A80" s="1045" t="s">
        <v>119</v>
      </c>
      <c r="B80" s="1046">
        <f>IF('WEEK 8'!B80='WEEK 8'!B82,'WEEK 8'!B80+5,IF('WEEK 8'!F80&lt;=9,MROUND('WEEK 8'!B78*0.95,5),'WEEK 8'!B80))</f>
        <v>60</v>
      </c>
      <c r="C80" s="13"/>
      <c r="D80" s="13"/>
      <c r="E80" s="13"/>
      <c r="F80" s="57"/>
    </row>
    <row r="81">
      <c r="A81" s="567" t="s">
        <v>50</v>
      </c>
      <c r="B81" s="568" t="s">
        <v>51</v>
      </c>
      <c r="C81" s="568" t="s">
        <v>52</v>
      </c>
      <c r="D81" s="568" t="s">
        <v>53</v>
      </c>
      <c r="E81" s="1047" t="s">
        <v>54</v>
      </c>
      <c r="F81" s="1048" t="s">
        <v>55</v>
      </c>
    </row>
    <row r="82">
      <c r="A82" s="1049">
        <v>1.0</v>
      </c>
      <c r="B82" s="1050">
        <f>'WEEK 9'!B80</f>
        <v>60</v>
      </c>
      <c r="C82" s="1051" t="s">
        <v>144</v>
      </c>
      <c r="D82" s="1052" t="s">
        <v>57</v>
      </c>
      <c r="E82" s="1244"/>
      <c r="F82" s="1017"/>
    </row>
    <row r="83">
      <c r="A83" s="1049">
        <v>2.0</v>
      </c>
      <c r="B83" s="1050">
        <f>if('WEEK 9'!F82&lt;12,mround('WEEK 9'!B82*0.8,5),IF('WEEK 9'!F82&lt;=19,MROUND('WEEK 9'!B82*0.95,5),'WEEK 9'!B82))</f>
        <v>50</v>
      </c>
      <c r="C83" s="1051" t="s">
        <v>144</v>
      </c>
      <c r="D83" s="1052" t="s">
        <v>57</v>
      </c>
      <c r="E83" s="1244"/>
      <c r="F83" s="1017"/>
    </row>
    <row r="84">
      <c r="A84" s="1053">
        <v>3.0</v>
      </c>
      <c r="B84" s="1054">
        <f>if('WEEK 9'!F83&lt;12,mround('WEEK 9'!B83*0.8,5),IF('WEEK 9'!F83&lt;=19,MROUND('WEEK 9'!B83*0.95,5),'WEEK 9'!B83))</f>
        <v>40</v>
      </c>
      <c r="C84" s="1055" t="s">
        <v>144</v>
      </c>
      <c r="D84" s="1056" t="s">
        <v>57</v>
      </c>
      <c r="E84" s="1255"/>
      <c r="F84" s="1017"/>
    </row>
    <row r="85">
      <c r="E85" s="1248"/>
    </row>
    <row r="86">
      <c r="E86" s="1248"/>
    </row>
    <row r="87">
      <c r="A87" s="323" t="str">
        <f>HYPERLINK("https://www.youtube.com/watch?v=XepOfsnGFJg","4. MACHINE LEG CURL")</f>
        <v>4. MACHINE LEG CURL</v>
      </c>
      <c r="B87" s="53"/>
      <c r="C87" s="53"/>
      <c r="D87" s="53"/>
      <c r="E87" s="53"/>
      <c r="F87" s="53"/>
      <c r="G87" s="141"/>
      <c r="H87" s="323" t="str">
        <f>HYPERLINK("https://youtu.be/kmN9cJ79PDE","4. PRONE LEG CURL")</f>
        <v>4. PRONE LEG CURL</v>
      </c>
      <c r="I87" s="53"/>
      <c r="J87" s="53"/>
      <c r="K87" s="53"/>
      <c r="L87" s="53"/>
      <c r="M87" s="53"/>
    </row>
    <row r="88">
      <c r="A88" s="1045" t="s">
        <v>119</v>
      </c>
      <c r="B88" s="1046">
        <f>IF('WEEK 8'!B88='WEEK 8'!B90,'WEEK 8'!B88+5,IF('WEEK 8'!F88&lt;=9,MROUND('WEEK 8'!B86*0.95,5),'WEEK 8'!B88))</f>
        <v>75</v>
      </c>
      <c r="C88" s="13"/>
      <c r="D88" s="13"/>
      <c r="E88" s="13"/>
      <c r="F88" s="57"/>
      <c r="H88" s="1045" t="s">
        <v>119</v>
      </c>
      <c r="I88" s="1046">
        <f>IF('WEEK 8'!I88='WEEK 8'!I90,'WEEK 8'!I88+5,IF('WEEK 8'!M88&lt;=9,MROUND('WEEK 8'!I86*0.95,5),'WEEK 8'!I88))</f>
        <v>75</v>
      </c>
      <c r="J88" s="13"/>
      <c r="K88" s="13"/>
      <c r="L88" s="13"/>
      <c r="M88" s="57"/>
    </row>
    <row r="89">
      <c r="A89" s="567" t="s">
        <v>50</v>
      </c>
      <c r="B89" s="568" t="s">
        <v>51</v>
      </c>
      <c r="C89" s="568" t="s">
        <v>52</v>
      </c>
      <c r="D89" s="568" t="s">
        <v>53</v>
      </c>
      <c r="E89" s="1047" t="s">
        <v>54</v>
      </c>
      <c r="F89" s="1048" t="s">
        <v>55</v>
      </c>
      <c r="H89" s="567" t="s">
        <v>50</v>
      </c>
      <c r="I89" s="568" t="s">
        <v>51</v>
      </c>
      <c r="J89" s="568" t="s">
        <v>52</v>
      </c>
      <c r="K89" s="568" t="s">
        <v>53</v>
      </c>
      <c r="L89" s="1047" t="s">
        <v>54</v>
      </c>
      <c r="M89" s="1048" t="s">
        <v>55</v>
      </c>
    </row>
    <row r="90">
      <c r="A90" s="1049">
        <v>1.0</v>
      </c>
      <c r="B90" s="1050">
        <f>'WEEK 9'!B88</f>
        <v>75</v>
      </c>
      <c r="C90" s="1051" t="s">
        <v>144</v>
      </c>
      <c r="D90" s="1052" t="s">
        <v>57</v>
      </c>
      <c r="E90" s="1244"/>
      <c r="F90" s="1011">
        <v>15.0</v>
      </c>
      <c r="G90" s="434" t="s">
        <v>123</v>
      </c>
      <c r="H90" s="1049">
        <v>1.0</v>
      </c>
      <c r="I90" s="1050">
        <f>'WEEK 9'!I88</f>
        <v>75</v>
      </c>
      <c r="J90" s="1051" t="s">
        <v>144</v>
      </c>
      <c r="K90" s="1052" t="s">
        <v>57</v>
      </c>
      <c r="L90" s="1244"/>
      <c r="M90" s="1017"/>
    </row>
    <row r="91">
      <c r="A91" s="1049">
        <v>2.0</v>
      </c>
      <c r="B91" s="1050">
        <f>if('WEEK 9'!F90&lt;12,mround('WEEK 9'!B90*0.8,5),IF('WEEK 9'!F90&lt;=19,MROUND('WEEK 9'!B90*0.95,5),'WEEK 9'!B90))</f>
        <v>60</v>
      </c>
      <c r="C91" s="1051" t="s">
        <v>144</v>
      </c>
      <c r="D91" s="1052" t="s">
        <v>57</v>
      </c>
      <c r="E91" s="1244"/>
      <c r="F91" s="1011">
        <v>15.0</v>
      </c>
      <c r="H91" s="1049">
        <v>2.0</v>
      </c>
      <c r="I91" s="1050">
        <f>if('WEEK 9'!M90&lt;12,mround('WEEK 9'!I90*0.8,5),IF('WEEK 9'!M90&lt;=19,MROUND('WEEK 9'!I90*0.95,5),'WEEK 9'!I90))</f>
        <v>60</v>
      </c>
      <c r="J91" s="1051" t="s">
        <v>144</v>
      </c>
      <c r="K91" s="1052" t="s">
        <v>57</v>
      </c>
      <c r="L91" s="1244"/>
      <c r="M91" s="1017"/>
    </row>
    <row r="92">
      <c r="A92" s="1053">
        <v>3.0</v>
      </c>
      <c r="B92" s="1054">
        <f>if('WEEK 9'!F91&lt;12,mround('WEEK 9'!B91*0.8,5),IF('WEEK 9'!F91&lt;=19,MROUND('WEEK 9'!B91*0.95,5),'WEEK 9'!B91))</f>
        <v>50</v>
      </c>
      <c r="C92" s="1055" t="s">
        <v>144</v>
      </c>
      <c r="D92" s="1056" t="s">
        <v>57</v>
      </c>
      <c r="E92" s="1255"/>
      <c r="F92" s="1011">
        <v>15.0</v>
      </c>
      <c r="G92" s="682"/>
      <c r="H92" s="1053">
        <v>3.0</v>
      </c>
      <c r="I92" s="1054">
        <f>if('WEEK 9'!M91&lt;12,mround('WEEK 9'!I91*0.8,5),IF('WEEK 9'!M91&lt;=19,MROUND('WEEK 9'!I91*0.95,5),'WEEK 9'!I91))</f>
        <v>50</v>
      </c>
      <c r="J92" s="1055" t="s">
        <v>144</v>
      </c>
      <c r="K92" s="1056" t="s">
        <v>57</v>
      </c>
      <c r="L92" s="1255"/>
      <c r="M92" s="1017"/>
    </row>
    <row r="93">
      <c r="A93" s="849"/>
      <c r="B93" s="849"/>
      <c r="C93" s="849"/>
      <c r="D93" s="849"/>
      <c r="E93" s="1264"/>
      <c r="F93" s="849"/>
      <c r="H93" s="849"/>
      <c r="I93" s="850"/>
      <c r="J93" s="850"/>
      <c r="K93" s="850"/>
      <c r="L93" s="850"/>
      <c r="M93" s="850"/>
    </row>
    <row r="94">
      <c r="A94" s="310" t="str">
        <f>HYPERLINK("https://docs.google.com/a/fitnessresults.com/forms/d/e/1FAIpQLSd7MoczESe8Yjv6BKpmwAZGn9Aiymrs9-UdgfYIUpbr9t5NXg/viewform?usp=pp_url&amp;entry.93370101","CLICK TO COMPLETE WORKOUT")</f>
        <v>CLICK TO COMPLETE WORKOUT</v>
      </c>
      <c r="B94" s="36"/>
      <c r="C94" s="36"/>
      <c r="D94" s="36"/>
      <c r="E94" s="36"/>
      <c r="F94" s="36"/>
    </row>
    <row r="95">
      <c r="E95" s="1248"/>
    </row>
    <row r="96">
      <c r="A96" s="1120" t="s">
        <v>62</v>
      </c>
      <c r="B96" s="36"/>
      <c r="C96" s="36"/>
      <c r="D96" s="36"/>
      <c r="E96" s="36"/>
      <c r="F96" s="36"/>
    </row>
    <row r="97">
      <c r="E97" s="1248"/>
    </row>
    <row r="98">
      <c r="E98" s="1248"/>
    </row>
    <row r="99">
      <c r="A99" s="51" t="s">
        <v>131</v>
      </c>
      <c r="B99" s="36"/>
      <c r="C99" s="36"/>
      <c r="D99" s="36"/>
      <c r="E99" s="36"/>
      <c r="F99" s="37"/>
      <c r="G99" s="419"/>
      <c r="H99" s="51" t="s">
        <v>131</v>
      </c>
      <c r="I99" s="36"/>
      <c r="J99" s="36"/>
      <c r="K99" s="36"/>
      <c r="L99" s="36"/>
      <c r="M99" s="37"/>
    </row>
    <row r="100">
      <c r="A100" s="504" t="str">
        <f>HYPERLINK("https://youtu.be/rmxOkkd2hUk","1. SHOULDER PRESS")</f>
        <v>1. SHOULDER PRESS</v>
      </c>
      <c r="B100" s="53"/>
      <c r="C100" s="53"/>
      <c r="D100" s="53"/>
      <c r="E100" s="53"/>
      <c r="F100" s="54"/>
      <c r="G100" s="419"/>
      <c r="H100" s="778" t="str">
        <f>HYPERLINK("https://www.youtube.com/watch?v=-cSBPE-y38M","1. MACHINE SHOULDER PRESS")</f>
        <v>1. MACHINE SHOULDER PRESS</v>
      </c>
      <c r="I100" s="53"/>
      <c r="J100" s="53"/>
      <c r="K100" s="53"/>
      <c r="L100" s="53"/>
      <c r="M100" s="54"/>
    </row>
    <row r="101">
      <c r="A101" s="589" t="s">
        <v>119</v>
      </c>
      <c r="B101" s="227">
        <f>'WEEK 8'!B97</f>
        <v>85</v>
      </c>
      <c r="C101" s="20"/>
      <c r="D101" s="20"/>
      <c r="E101" s="20"/>
      <c r="F101" s="95"/>
      <c r="G101" s="419"/>
      <c r="H101" s="589" t="s">
        <v>119</v>
      </c>
      <c r="I101" s="227">
        <f>'WEEK 8'!I97</f>
        <v>150</v>
      </c>
      <c r="J101" s="20"/>
      <c r="K101" s="20"/>
      <c r="L101" s="20"/>
      <c r="M101" s="95"/>
    </row>
    <row r="102">
      <c r="A102" s="364" t="s">
        <v>50</v>
      </c>
      <c r="B102" s="365" t="s">
        <v>51</v>
      </c>
      <c r="C102" s="365" t="s">
        <v>52</v>
      </c>
      <c r="D102" s="365" t="s">
        <v>53</v>
      </c>
      <c r="E102" s="609" t="s">
        <v>54</v>
      </c>
      <c r="F102" s="61" t="s">
        <v>55</v>
      </c>
      <c r="G102" s="724"/>
      <c r="H102" s="364" t="s">
        <v>50</v>
      </c>
      <c r="I102" s="365" t="s">
        <v>51</v>
      </c>
      <c r="J102" s="365" t="s">
        <v>52</v>
      </c>
      <c r="K102" s="365" t="s">
        <v>53</v>
      </c>
      <c r="L102" s="609" t="s">
        <v>54</v>
      </c>
      <c r="M102" s="61" t="s">
        <v>55</v>
      </c>
    </row>
    <row r="103">
      <c r="A103" s="236">
        <v>1.0</v>
      </c>
      <c r="B103" s="237">
        <f>mround('WEEK 3 '!B104*0.35,5)</f>
        <v>35</v>
      </c>
      <c r="C103" s="237">
        <v>6.0</v>
      </c>
      <c r="D103" s="238" t="s">
        <v>120</v>
      </c>
      <c r="E103" s="66"/>
      <c r="F103" s="67"/>
      <c r="G103" s="728"/>
      <c r="H103" s="236">
        <v>1.0</v>
      </c>
      <c r="I103" s="237">
        <f>mround('WEEK 3 '!I104*0.35,5)</f>
        <v>30</v>
      </c>
      <c r="J103" s="237">
        <v>6.0</v>
      </c>
      <c r="K103" s="238" t="s">
        <v>120</v>
      </c>
      <c r="L103" s="66"/>
      <c r="M103" s="67"/>
    </row>
    <row r="104">
      <c r="A104" s="236">
        <v>2.0</v>
      </c>
      <c r="B104" s="237">
        <f>mround('WEEK 9'!B101*0.65,5)</f>
        <v>55</v>
      </c>
      <c r="C104" s="237">
        <v>1.0</v>
      </c>
      <c r="D104" s="238" t="s">
        <v>57</v>
      </c>
      <c r="E104" s="66"/>
      <c r="F104" s="67"/>
      <c r="G104" s="728"/>
      <c r="H104" s="236">
        <v>2.0</v>
      </c>
      <c r="I104" s="237">
        <f>mround('WEEK 9'!I101*0.65,5)</f>
        <v>100</v>
      </c>
      <c r="J104" s="237">
        <v>1.0</v>
      </c>
      <c r="K104" s="238" t="s">
        <v>57</v>
      </c>
      <c r="L104" s="66"/>
      <c r="M104" s="67"/>
    </row>
    <row r="105">
      <c r="A105" s="779">
        <v>4.0</v>
      </c>
      <c r="B105" s="780">
        <f> mround('WEEK 9'!B101*0.85,5)</f>
        <v>70</v>
      </c>
      <c r="C105" s="781" t="s">
        <v>65</v>
      </c>
      <c r="D105" s="782" t="s">
        <v>57</v>
      </c>
      <c r="E105" s="783"/>
      <c r="F105" s="784"/>
      <c r="G105" s="728"/>
      <c r="H105" s="779">
        <v>4.0</v>
      </c>
      <c r="I105" s="780">
        <f> mround('WEEK 9'!I101*0.85,5)</f>
        <v>130</v>
      </c>
      <c r="J105" s="781" t="s">
        <v>65</v>
      </c>
      <c r="K105" s="782" t="s">
        <v>57</v>
      </c>
      <c r="L105" s="783"/>
      <c r="M105" s="784"/>
    </row>
    <row r="106">
      <c r="A106" s="785">
        <v>5.0</v>
      </c>
      <c r="B106" s="388">
        <f>if('WEEK 9'!F105&lt;20,mround('WEEK 9'!B105*0.85,5),'WEEK 9'!B105)</f>
        <v>60</v>
      </c>
      <c r="C106" s="781" t="s">
        <v>65</v>
      </c>
      <c r="D106" s="390" t="s">
        <v>57</v>
      </c>
      <c r="E106" s="786"/>
      <c r="F106" s="392"/>
      <c r="G106" s="728"/>
      <c r="H106" s="785">
        <v>5.0</v>
      </c>
      <c r="I106" s="388">
        <f>if('WEEK 9'!M105&lt;20,mround('WEEK 9'!I105*0.85,5),'WEEK 9'!I105)</f>
        <v>110</v>
      </c>
      <c r="J106" s="781" t="s">
        <v>65</v>
      </c>
      <c r="K106" s="390" t="s">
        <v>57</v>
      </c>
      <c r="L106" s="786"/>
      <c r="M106" s="392"/>
    </row>
    <row r="107">
      <c r="A107" s="787">
        <v>6.0</v>
      </c>
      <c r="B107" s="788">
        <f>if('WEEK 9'!F106&lt;20,mround('WEEK 9'!B106*0.85,2.5),'WEEK 9'!B106)</f>
        <v>50</v>
      </c>
      <c r="C107" s="789" t="s">
        <v>65</v>
      </c>
      <c r="D107" s="397" t="s">
        <v>57</v>
      </c>
      <c r="E107" s="790"/>
      <c r="F107" s="392"/>
      <c r="G107" s="724"/>
      <c r="H107" s="787">
        <v>6.0</v>
      </c>
      <c r="I107" s="788">
        <f>if('WEEK 9'!M106&lt;20,mround('WEEK 9'!I106*0.85,10),'WEEK 9'!I106)</f>
        <v>90</v>
      </c>
      <c r="J107" s="789" t="s">
        <v>65</v>
      </c>
      <c r="K107" s="397" t="s">
        <v>57</v>
      </c>
      <c r="L107" s="790"/>
      <c r="M107" s="392"/>
    </row>
    <row r="108">
      <c r="A108" s="623"/>
      <c r="B108" s="623"/>
      <c r="C108" s="623"/>
      <c r="D108" s="623"/>
      <c r="E108" s="1265"/>
      <c r="F108" s="623"/>
    </row>
    <row r="109">
      <c r="A109" s="995"/>
      <c r="B109" s="995"/>
      <c r="C109" s="995"/>
      <c r="D109" s="995"/>
      <c r="E109" s="1266"/>
      <c r="F109" s="995"/>
    </row>
    <row r="110">
      <c r="A110" s="1217" t="str">
        <f>HYPERLINK("https://www.youtube.com/watch?v=XDLQt1j3qUU","2. DUMBBELL REAR DELT FLY ")</f>
        <v>2. DUMBBELL REAR DELT FLY </v>
      </c>
      <c r="B110" s="53"/>
      <c r="C110" s="53"/>
      <c r="D110" s="53"/>
      <c r="E110" s="53"/>
      <c r="F110" s="54"/>
      <c r="H110" s="1267" t="str">
        <f>HYPERLINK("https://www.youtube.com/watch?v=0BaHgGyCFJY&amp;feature=youtu.be","2. MACHINE REAR DELT FLY")</f>
        <v>2. MACHINE REAR DELT FLY</v>
      </c>
      <c r="I110" s="53"/>
      <c r="J110" s="53"/>
      <c r="K110" s="53"/>
      <c r="L110" s="53"/>
      <c r="M110" s="54"/>
    </row>
    <row r="111">
      <c r="A111" s="1268" t="s">
        <v>134</v>
      </c>
      <c r="B111" s="76">
        <f>'WEEK 9'!B101</f>
        <v>85</v>
      </c>
      <c r="C111" s="13"/>
      <c r="D111" s="13"/>
      <c r="E111" s="13"/>
      <c r="F111" s="57"/>
      <c r="H111" s="961" t="s">
        <v>119</v>
      </c>
      <c r="I111" s="76">
        <f>'WEEK 6'!B119</f>
        <v>60</v>
      </c>
      <c r="J111" s="13"/>
      <c r="K111" s="13"/>
      <c r="L111" s="13"/>
      <c r="M111" s="57"/>
    </row>
    <row r="112">
      <c r="A112" s="962" t="s">
        <v>50</v>
      </c>
      <c r="B112" s="963" t="s">
        <v>51</v>
      </c>
      <c r="C112" s="963" t="s">
        <v>52</v>
      </c>
      <c r="D112" s="963" t="s">
        <v>53</v>
      </c>
      <c r="E112" s="1005" t="s">
        <v>54</v>
      </c>
      <c r="F112" s="1006" t="s">
        <v>55</v>
      </c>
      <c r="H112" s="962" t="s">
        <v>50</v>
      </c>
      <c r="I112" s="963" t="s">
        <v>51</v>
      </c>
      <c r="J112" s="963" t="s">
        <v>52</v>
      </c>
      <c r="K112" s="963" t="s">
        <v>53</v>
      </c>
      <c r="L112" s="1073" t="s">
        <v>54</v>
      </c>
      <c r="M112" s="1006" t="s">
        <v>55</v>
      </c>
    </row>
    <row r="113">
      <c r="A113" s="967">
        <v>1.0</v>
      </c>
      <c r="B113" s="1028">
        <f>MROUND('WEEK 9'!B111*0.2,2.5)</f>
        <v>17.5</v>
      </c>
      <c r="C113" s="1269" t="s">
        <v>61</v>
      </c>
      <c r="D113" s="1067" t="s">
        <v>122</v>
      </c>
      <c r="E113" s="1010"/>
      <c r="F113" s="1017"/>
      <c r="H113" s="967">
        <v>1.0</v>
      </c>
      <c r="I113" s="1028">
        <f>MROUND('WEEK 9'!I111,2.5)</f>
        <v>60</v>
      </c>
      <c r="J113" s="1067" t="s">
        <v>61</v>
      </c>
      <c r="K113" s="968" t="s">
        <v>121</v>
      </c>
      <c r="L113" s="1235" t="str">
        <f>if(I113='WEEK 6'!B121,'WEEK 6'!F121,"")</f>
        <v/>
      </c>
      <c r="M113" s="1017"/>
    </row>
    <row r="114">
      <c r="A114" s="967">
        <v>2.0</v>
      </c>
      <c r="B114" s="1028">
        <f>if('WEEK 9'!F113&lt;10,mround('WEEK 9'!B113*0.8,5),IF('WEEK 9'!F113&lt;=15,MROUND('WEEK 9'!B113*0.95,5),'WEEK 9'!B113))</f>
        <v>15</v>
      </c>
      <c r="C114" s="1269" t="s">
        <v>61</v>
      </c>
      <c r="D114" s="1067" t="s">
        <v>122</v>
      </c>
      <c r="E114" s="1010"/>
      <c r="F114" s="1017"/>
      <c r="H114" s="967">
        <v>2.0</v>
      </c>
      <c r="I114" s="1028">
        <f>if('WEEK 9'!M113&lt;10,mround('WEEK 9'!I113*0.8,5),IF('WEEK 9'!M113&lt;=15,MROUND('WEEK 9'!I113*0.95,5),'WEEK 9'!I113))</f>
        <v>50</v>
      </c>
      <c r="J114" s="1067" t="s">
        <v>61</v>
      </c>
      <c r="K114" s="968" t="s">
        <v>121</v>
      </c>
      <c r="L114" s="1235" t="str">
        <f>if(I114='WEEK 6'!B122,'WEEK 6'!F122,"")</f>
        <v/>
      </c>
      <c r="M114" s="1017"/>
    </row>
    <row r="115">
      <c r="A115" s="971">
        <v>3.0</v>
      </c>
      <c r="B115" s="1123">
        <f>if('WEEK 9'!F114&lt;10,mround('WEEK 9'!B114*0.8,5),IF('WEEK 9'!F114&lt;=15,MROUND('WEEK 9'!B114*0.95,5),'WEEK 9'!B114))</f>
        <v>10</v>
      </c>
      <c r="C115" s="1270" t="s">
        <v>61</v>
      </c>
      <c r="D115" s="1220" t="s">
        <v>122</v>
      </c>
      <c r="E115" s="1021"/>
      <c r="F115" s="1017"/>
      <c r="H115" s="971">
        <v>3.0</v>
      </c>
      <c r="I115" s="1123">
        <f>if('WEEK 9'!M114&lt;10,mround('WEEK 9'!I114*0.8,5),IF('WEEK 9'!M114&lt;=15,MROUND('WEEK 9'!I114*0.95,5),'WEEK 9'!I114))</f>
        <v>40</v>
      </c>
      <c r="J115" s="1220" t="s">
        <v>61</v>
      </c>
      <c r="K115" s="972" t="s">
        <v>121</v>
      </c>
      <c r="L115" s="1271" t="str">
        <f>if(I115='WEEK 6'!B123,'WEEK 6'!F123,"")</f>
        <v/>
      </c>
      <c r="M115" s="1017"/>
    </row>
    <row r="116">
      <c r="A116" s="1068"/>
      <c r="B116" s="1068"/>
      <c r="C116" s="1068"/>
      <c r="D116" s="623"/>
      <c r="E116" s="1265"/>
      <c r="F116" s="623"/>
    </row>
    <row r="117">
      <c r="A117" s="1069"/>
      <c r="B117" s="1069"/>
      <c r="C117" s="1069"/>
      <c r="D117" s="995"/>
      <c r="E117" s="1266"/>
      <c r="F117" s="995"/>
    </row>
    <row r="118">
      <c r="A118" s="1217" t="str">
        <f>HYPERLINK("https://youtu.be/QUNZvtb6mnY","3. DUMBBELL SIDE LATERAL RAISE")</f>
        <v>3. DUMBBELL SIDE LATERAL RAISE</v>
      </c>
      <c r="B118" s="53"/>
      <c r="C118" s="53"/>
      <c r="D118" s="53"/>
      <c r="E118" s="53"/>
      <c r="F118" s="54"/>
    </row>
    <row r="119">
      <c r="A119" s="1268" t="s">
        <v>134</v>
      </c>
      <c r="B119" s="76">
        <f>'WEEK 9'!B111</f>
        <v>85</v>
      </c>
      <c r="C119" s="13"/>
      <c r="D119" s="13"/>
      <c r="E119" s="13"/>
      <c r="F119" s="57"/>
    </row>
    <row r="120">
      <c r="A120" s="1071" t="s">
        <v>50</v>
      </c>
      <c r="B120" s="1072" t="s">
        <v>51</v>
      </c>
      <c r="C120" s="1072" t="s">
        <v>52</v>
      </c>
      <c r="D120" s="1072" t="s">
        <v>53</v>
      </c>
      <c r="E120" s="1073" t="s">
        <v>54</v>
      </c>
      <c r="F120" s="1006" t="s">
        <v>55</v>
      </c>
    </row>
    <row r="121">
      <c r="A121" s="1074">
        <v>1.0</v>
      </c>
      <c r="B121" s="968">
        <f> mround('WEEK 9'!B119*0.2,5)</f>
        <v>15</v>
      </c>
      <c r="C121" s="936" t="s">
        <v>61</v>
      </c>
      <c r="D121" s="1076" t="s">
        <v>57</v>
      </c>
      <c r="E121" s="1235" t="str">
        <f>if(B121='WEEK 6'!B129,'WEEK 6'!F129,"")</f>
        <v/>
      </c>
      <c r="F121" s="1017"/>
    </row>
    <row r="122">
      <c r="A122" s="1074">
        <v>2.0</v>
      </c>
      <c r="B122" s="968">
        <f>if('WEEK 9'!F121&lt;10,mround('WEEK 9'!B119*0.15,2.5),'WEEK 9'!B121)</f>
        <v>12.5</v>
      </c>
      <c r="C122" s="1272" t="s">
        <v>61</v>
      </c>
      <c r="D122" s="1076" t="s">
        <v>57</v>
      </c>
      <c r="E122" s="1235" t="str">
        <f>if(B122='WEEK 6'!B130,'WEEK 6'!F130,"")</f>
        <v/>
      </c>
      <c r="F122" s="1017"/>
    </row>
    <row r="123">
      <c r="A123" s="1078">
        <v>3.0</v>
      </c>
      <c r="B123" s="972">
        <f>if('WEEK 9'!F122&lt;10,mround('WEEK 9'!B119*0.1,2.5),'WEEK 9'!B122)</f>
        <v>7.5</v>
      </c>
      <c r="C123" s="1273" t="s">
        <v>61</v>
      </c>
      <c r="D123" s="1080" t="s">
        <v>57</v>
      </c>
      <c r="E123" s="1271" t="str">
        <f>if(B123='WEEK 6'!B131,'WEEK 6'!F131,"")</f>
        <v/>
      </c>
      <c r="F123" s="1017"/>
    </row>
    <row r="124">
      <c r="E124" s="1248"/>
    </row>
    <row r="125">
      <c r="E125" s="1248"/>
    </row>
    <row r="126">
      <c r="A126" s="361" t="str">
        <f>HYPERLINK("https://www.youtube.com/watch?v=Zt0LwrUdpNs","2.  TRICEP OVERHEAD ROPE EXTENSION")</f>
        <v>2.  TRICEP OVERHEAD ROPE EXTENSION</v>
      </c>
      <c r="B126" s="53"/>
      <c r="C126" s="53"/>
      <c r="D126" s="53"/>
      <c r="E126" s="53"/>
      <c r="F126" s="54"/>
    </row>
    <row r="127">
      <c r="A127" s="226" t="s">
        <v>119</v>
      </c>
      <c r="B127" s="90">
        <f>'WEEK 8'!B122</f>
        <v>30</v>
      </c>
      <c r="C127" s="13"/>
      <c r="D127" s="13"/>
      <c r="E127" s="13"/>
      <c r="F127" s="57"/>
    </row>
    <row r="128">
      <c r="A128" s="77" t="s">
        <v>50</v>
      </c>
      <c r="B128" s="78" t="s">
        <v>51</v>
      </c>
      <c r="C128" s="78" t="s">
        <v>52</v>
      </c>
      <c r="D128" s="78" t="s">
        <v>53</v>
      </c>
      <c r="E128" s="80" t="s">
        <v>54</v>
      </c>
      <c r="F128" s="235" t="s">
        <v>55</v>
      </c>
    </row>
    <row r="129">
      <c r="A129" s="81">
        <v>1.0</v>
      </c>
      <c r="B129" s="82">
        <f>mround('WEEK 9'!B127*0.85,5)</f>
        <v>25</v>
      </c>
      <c r="C129" s="65" t="s">
        <v>61</v>
      </c>
      <c r="D129" s="83" t="s">
        <v>58</v>
      </c>
      <c r="E129" s="1077" t="str">
        <f>IF(B129='WEEK 8'!B124,'WEEK 8'!F124,"")</f>
        <v/>
      </c>
      <c r="F129" s="85"/>
    </row>
    <row r="130">
      <c r="A130" s="81">
        <v>2.0</v>
      </c>
      <c r="B130" s="82">
        <f>if('WEEK 9'!F129&lt;10,mround(B129*0.8,5),IF('WEEK 9'!F129&lt;=14,MROUND('WEEK 9'!B129*0.95,5),'WEEK 9'!B129))</f>
        <v>20</v>
      </c>
      <c r="C130" s="65" t="s">
        <v>61</v>
      </c>
      <c r="D130" s="83" t="s">
        <v>58</v>
      </c>
      <c r="E130" s="1077" t="str">
        <f>IF(B130='WEEK 8'!B125,'WEEK 8'!F125,"")</f>
        <v/>
      </c>
      <c r="F130" s="85"/>
    </row>
    <row r="131">
      <c r="A131" s="86">
        <v>3.0</v>
      </c>
      <c r="B131" s="87">
        <f>if('WEEK 9'!F130&lt;8,mround('WEEK 9'!B130*0.8,5),IF('WEEK 9'!F130&lt;=14,MROUND('WEEK 9'!B130*0.95,5),'WEEK 9'!B130))</f>
        <v>15</v>
      </c>
      <c r="C131" s="71" t="s">
        <v>61</v>
      </c>
      <c r="D131" s="88" t="s">
        <v>58</v>
      </c>
      <c r="E131" s="31" t="str">
        <f>IF(B131='WEEK 8'!B126,'WEEK 8'!F126,"")</f>
        <v/>
      </c>
      <c r="F131" s="85"/>
    </row>
    <row r="132">
      <c r="E132" s="1248"/>
    </row>
    <row r="133">
      <c r="E133" s="1248"/>
    </row>
    <row r="134">
      <c r="A134" s="1217" t="str">
        <f>HYPERLINK("https://youtu.be/TorWpKwLCSg","4. ALTERNATING DUMBBELL BICEP CURLS")</f>
        <v>4. ALTERNATING DUMBBELL BICEP CURLS</v>
      </c>
      <c r="B134" s="53"/>
      <c r="C134" s="53"/>
      <c r="D134" s="53"/>
      <c r="E134" s="53"/>
      <c r="F134" s="54"/>
    </row>
    <row r="135">
      <c r="A135" s="961" t="s">
        <v>119</v>
      </c>
      <c r="B135" s="76">
        <f>'WEEK 6'!B149</f>
        <v>40</v>
      </c>
      <c r="C135" s="13"/>
      <c r="D135" s="13"/>
      <c r="E135" s="13"/>
      <c r="F135" s="57"/>
    </row>
    <row r="136">
      <c r="A136" s="962" t="s">
        <v>50</v>
      </c>
      <c r="B136" s="963" t="s">
        <v>51</v>
      </c>
      <c r="C136" s="963" t="s">
        <v>52</v>
      </c>
      <c r="D136" s="963" t="s">
        <v>53</v>
      </c>
      <c r="E136" s="1073" t="s">
        <v>54</v>
      </c>
      <c r="F136" s="1006" t="s">
        <v>55</v>
      </c>
    </row>
    <row r="137">
      <c r="A137" s="967">
        <v>1.0</v>
      </c>
      <c r="B137" s="968">
        <f> mround('WEEK 9'!B135*0.85,5)</f>
        <v>35</v>
      </c>
      <c r="C137" s="936" t="s">
        <v>61</v>
      </c>
      <c r="D137" s="1076" t="s">
        <v>57</v>
      </c>
      <c r="E137" s="1235" t="str">
        <f>if(B137='WEEK 6'!B136,'WEEK 6'!F136,"")</f>
        <v/>
      </c>
      <c r="F137" s="984">
        <v>10.0</v>
      </c>
    </row>
    <row r="138">
      <c r="A138" s="967">
        <v>2.0</v>
      </c>
      <c r="B138" s="968">
        <f>if('WEEK 9'!F137&lt;15,mround('WEEK 9'!B137*0.85,5),'WEEK 9'!B137)</f>
        <v>30</v>
      </c>
      <c r="C138" s="1272" t="s">
        <v>61</v>
      </c>
      <c r="D138" s="1076" t="s">
        <v>57</v>
      </c>
      <c r="E138" s="1235" t="str">
        <f>if(B138='WEEK 6'!B137,'WEEK 6'!F137,"")</f>
        <v/>
      </c>
      <c r="F138" s="984">
        <v>10.0</v>
      </c>
    </row>
    <row r="139">
      <c r="A139" s="971">
        <v>3.0</v>
      </c>
      <c r="B139" s="968">
        <f>if('WEEK 9'!F138&lt;15,mround('WEEK 9'!B138*0.8,5),'WEEK 9'!B138)</f>
        <v>25</v>
      </c>
      <c r="C139" s="1273" t="s">
        <v>61</v>
      </c>
      <c r="D139" s="1080" t="s">
        <v>57</v>
      </c>
      <c r="E139" s="1271" t="str">
        <f>if(B139='WEEK 6'!B138,'WEEK 6'!F138,"")</f>
        <v/>
      </c>
      <c r="F139" s="984">
        <v>5.0</v>
      </c>
    </row>
    <row r="140">
      <c r="E140" s="1248"/>
    </row>
    <row r="141">
      <c r="E141" s="1248"/>
    </row>
    <row r="142">
      <c r="A142" s="1149" t="s">
        <v>135</v>
      </c>
      <c r="B142" s="36"/>
      <c r="C142" s="36"/>
      <c r="D142" s="36"/>
      <c r="E142" s="36"/>
      <c r="F142" s="37"/>
    </row>
    <row r="143">
      <c r="A143" s="623"/>
      <c r="B143" s="623"/>
      <c r="C143" s="623"/>
      <c r="D143" s="623"/>
      <c r="E143" s="1274"/>
      <c r="F143" s="623"/>
    </row>
    <row r="144">
      <c r="A144" s="1275" t="str">
        <f>HYPERLINK("https://www.amazon.com/30-Minute-Body-Investment-Champion/dp/0692791892/ref=sr_1_1?ie=UTF8&amp;qid=1490447969&amp;sr=8-1&amp;keywords=30+minute+body","WANT TO LEARN MORE?")</f>
        <v>WANT TO LEARN MORE?</v>
      </c>
      <c r="B144" s="25"/>
      <c r="C144" s="25"/>
      <c r="D144" s="25"/>
      <c r="E144" s="25"/>
      <c r="F144" s="26"/>
    </row>
    <row r="145">
      <c r="A145" s="529"/>
      <c r="F145" s="28"/>
    </row>
    <row r="146">
      <c r="A146" s="1276"/>
      <c r="B146" s="999"/>
      <c r="C146" s="1150" t="s">
        <v>67</v>
      </c>
      <c r="F146" s="28"/>
    </row>
    <row r="147">
      <c r="A147" s="1276"/>
      <c r="B147" s="999"/>
      <c r="F147" s="28"/>
    </row>
    <row r="148">
      <c r="A148" s="1276"/>
      <c r="B148" s="999"/>
      <c r="F148" s="28"/>
    </row>
    <row r="149">
      <c r="A149" s="1276"/>
      <c r="B149" s="999"/>
      <c r="F149" s="28"/>
    </row>
    <row r="150">
      <c r="A150" s="1276"/>
      <c r="B150" s="999"/>
      <c r="F150" s="28"/>
    </row>
    <row r="151">
      <c r="A151" s="1276"/>
      <c r="B151" s="999"/>
      <c r="F151" s="28"/>
    </row>
    <row r="152">
      <c r="A152" s="1277"/>
      <c r="B152" s="999"/>
      <c r="F152" s="28"/>
    </row>
    <row r="153">
      <c r="A153" s="1276"/>
      <c r="B153" s="999"/>
      <c r="F153" s="28"/>
    </row>
    <row r="154">
      <c r="A154" s="1276"/>
      <c r="B154" s="999"/>
      <c r="F154" s="28"/>
    </row>
    <row r="155">
      <c r="A155" s="1278"/>
      <c r="B155" s="999"/>
      <c r="F155" s="28"/>
    </row>
    <row r="156">
      <c r="A156" s="1276"/>
      <c r="B156" s="999"/>
      <c r="F156" s="28"/>
    </row>
    <row r="157">
      <c r="A157" s="1276"/>
      <c r="B157" s="999"/>
      <c r="F157" s="28"/>
    </row>
    <row r="158">
      <c r="A158" s="1276"/>
      <c r="B158" s="999"/>
      <c r="F158" s="28"/>
    </row>
    <row r="159">
      <c r="A159" s="1276"/>
      <c r="B159" s="999"/>
      <c r="F159" s="28"/>
    </row>
    <row r="160">
      <c r="A160" s="1279"/>
      <c r="B160" s="1280"/>
      <c r="C160" s="11"/>
      <c r="D160" s="11"/>
      <c r="E160" s="11"/>
      <c r="F160" s="46"/>
    </row>
    <row r="161">
      <c r="E161" s="1248"/>
    </row>
    <row r="162">
      <c r="E162" s="1248"/>
    </row>
    <row r="163">
      <c r="E163" s="1248"/>
    </row>
    <row r="164">
      <c r="E164" s="1248"/>
    </row>
    <row r="165">
      <c r="E165" s="1248"/>
    </row>
    <row r="166">
      <c r="E166" s="1248"/>
    </row>
    <row r="167">
      <c r="E167" s="1248"/>
    </row>
    <row r="168">
      <c r="E168" s="1248"/>
    </row>
    <row r="169">
      <c r="E169" s="1248"/>
    </row>
    <row r="170">
      <c r="E170" s="1248"/>
    </row>
    <row r="171">
      <c r="E171" s="1248"/>
    </row>
    <row r="172">
      <c r="E172" s="1248"/>
    </row>
    <row r="173">
      <c r="E173" s="1248"/>
    </row>
    <row r="174">
      <c r="E174" s="1248"/>
    </row>
    <row r="175">
      <c r="E175" s="1248"/>
    </row>
    <row r="176">
      <c r="E176" s="1248"/>
    </row>
    <row r="177">
      <c r="E177" s="1248"/>
    </row>
    <row r="178">
      <c r="E178" s="1248"/>
    </row>
    <row r="179">
      <c r="E179" s="1248"/>
    </row>
    <row r="180">
      <c r="E180" s="1248"/>
    </row>
    <row r="181">
      <c r="E181" s="1248"/>
    </row>
    <row r="182">
      <c r="E182" s="1248"/>
    </row>
    <row r="183">
      <c r="E183" s="1248"/>
    </row>
    <row r="184">
      <c r="E184" s="1248"/>
    </row>
    <row r="185">
      <c r="E185" s="1248"/>
    </row>
    <row r="186">
      <c r="E186" s="1248"/>
    </row>
    <row r="187">
      <c r="E187" s="1248"/>
    </row>
    <row r="188">
      <c r="E188" s="1248"/>
    </row>
    <row r="189">
      <c r="E189" s="1248"/>
    </row>
    <row r="190">
      <c r="E190" s="1248"/>
    </row>
    <row r="191">
      <c r="E191" s="1248"/>
    </row>
    <row r="192">
      <c r="E192" s="1248"/>
    </row>
    <row r="193">
      <c r="E193" s="1248"/>
    </row>
    <row r="194">
      <c r="E194" s="1248"/>
    </row>
    <row r="195">
      <c r="E195" s="1248"/>
    </row>
    <row r="196">
      <c r="E196" s="1248"/>
    </row>
    <row r="197">
      <c r="E197" s="1248"/>
    </row>
    <row r="198">
      <c r="E198" s="1248"/>
    </row>
    <row r="199">
      <c r="E199" s="1248"/>
    </row>
    <row r="200">
      <c r="E200" s="1248"/>
    </row>
    <row r="201">
      <c r="E201" s="1248"/>
    </row>
    <row r="202">
      <c r="E202" s="1248"/>
    </row>
    <row r="203">
      <c r="E203" s="1248"/>
    </row>
    <row r="204">
      <c r="E204" s="1248"/>
    </row>
    <row r="205">
      <c r="E205" s="1248"/>
    </row>
    <row r="206">
      <c r="E206" s="1248"/>
    </row>
    <row r="207">
      <c r="E207" s="1248"/>
    </row>
    <row r="208">
      <c r="E208" s="1248"/>
    </row>
    <row r="209">
      <c r="E209" s="1248"/>
    </row>
    <row r="210">
      <c r="E210" s="1248"/>
    </row>
    <row r="211">
      <c r="E211" s="1248"/>
    </row>
    <row r="212">
      <c r="E212" s="1248"/>
    </row>
    <row r="213">
      <c r="E213" s="1248"/>
    </row>
    <row r="214">
      <c r="E214" s="1248"/>
    </row>
    <row r="215">
      <c r="E215" s="1248"/>
    </row>
    <row r="216">
      <c r="E216" s="1248"/>
    </row>
    <row r="217">
      <c r="E217" s="1248"/>
    </row>
    <row r="218">
      <c r="E218" s="1248"/>
    </row>
    <row r="219">
      <c r="E219" s="1248"/>
    </row>
    <row r="220">
      <c r="E220" s="1248"/>
    </row>
    <row r="221">
      <c r="E221" s="1248"/>
    </row>
    <row r="222">
      <c r="E222" s="1248"/>
    </row>
    <row r="223">
      <c r="E223" s="1248"/>
    </row>
    <row r="224">
      <c r="E224" s="1248"/>
    </row>
    <row r="225">
      <c r="E225" s="1248"/>
    </row>
    <row r="226">
      <c r="E226" s="1248"/>
    </row>
    <row r="227">
      <c r="E227" s="1248"/>
    </row>
    <row r="228">
      <c r="E228" s="1248"/>
    </row>
    <row r="229">
      <c r="E229" s="1248"/>
    </row>
    <row r="230">
      <c r="E230" s="1248"/>
    </row>
    <row r="231">
      <c r="E231" s="1248"/>
    </row>
    <row r="232">
      <c r="E232" s="1248"/>
    </row>
    <row r="233">
      <c r="E233" s="1248"/>
    </row>
    <row r="234">
      <c r="E234" s="1248"/>
    </row>
    <row r="235">
      <c r="E235" s="1248"/>
    </row>
    <row r="236">
      <c r="E236" s="1248"/>
    </row>
    <row r="237">
      <c r="E237" s="1248"/>
    </row>
    <row r="238">
      <c r="E238" s="1248"/>
    </row>
    <row r="239">
      <c r="E239" s="1248"/>
    </row>
    <row r="240">
      <c r="E240" s="1248"/>
    </row>
    <row r="241">
      <c r="E241" s="1248"/>
    </row>
    <row r="242">
      <c r="E242" s="1248"/>
    </row>
    <row r="243">
      <c r="E243" s="1248"/>
    </row>
    <row r="244">
      <c r="E244" s="1248"/>
    </row>
    <row r="245">
      <c r="E245" s="1248"/>
    </row>
    <row r="246">
      <c r="E246" s="1248"/>
    </row>
    <row r="247">
      <c r="E247" s="1248"/>
    </row>
    <row r="248">
      <c r="E248" s="1248"/>
    </row>
    <row r="249">
      <c r="E249" s="1248"/>
    </row>
    <row r="250">
      <c r="E250" s="1248"/>
    </row>
    <row r="251">
      <c r="E251" s="1248"/>
    </row>
    <row r="252">
      <c r="E252" s="1248"/>
    </row>
    <row r="253">
      <c r="E253" s="1248"/>
    </row>
    <row r="254">
      <c r="E254" s="1248"/>
    </row>
    <row r="255">
      <c r="E255" s="1248"/>
    </row>
    <row r="256">
      <c r="E256" s="1248"/>
    </row>
    <row r="257">
      <c r="E257" s="1248"/>
    </row>
    <row r="258">
      <c r="E258" s="1248"/>
    </row>
    <row r="259">
      <c r="E259" s="1248"/>
    </row>
    <row r="260">
      <c r="E260" s="1248"/>
    </row>
    <row r="261">
      <c r="E261" s="1248"/>
    </row>
    <row r="262">
      <c r="E262" s="1248"/>
    </row>
    <row r="263">
      <c r="E263" s="1248"/>
    </row>
    <row r="264">
      <c r="E264" s="1248"/>
    </row>
    <row r="265">
      <c r="E265" s="1248"/>
    </row>
    <row r="266">
      <c r="E266" s="1248"/>
    </row>
    <row r="267">
      <c r="E267" s="1248"/>
    </row>
    <row r="268">
      <c r="E268" s="1248"/>
    </row>
    <row r="269">
      <c r="E269" s="1248"/>
    </row>
    <row r="270">
      <c r="E270" s="1248"/>
    </row>
    <row r="271">
      <c r="E271" s="1248"/>
    </row>
    <row r="272">
      <c r="E272" s="1248"/>
    </row>
    <row r="273">
      <c r="E273" s="1248"/>
    </row>
    <row r="274">
      <c r="E274" s="1248"/>
    </row>
    <row r="275">
      <c r="E275" s="1248"/>
    </row>
    <row r="276">
      <c r="E276" s="1248"/>
    </row>
    <row r="277">
      <c r="E277" s="1248"/>
    </row>
    <row r="278">
      <c r="E278" s="1248"/>
    </row>
    <row r="279">
      <c r="E279" s="1248"/>
    </row>
    <row r="280">
      <c r="E280" s="1248"/>
    </row>
    <row r="281">
      <c r="E281" s="1248"/>
    </row>
    <row r="282">
      <c r="E282" s="1248"/>
    </row>
    <row r="283">
      <c r="E283" s="1248"/>
    </row>
    <row r="284">
      <c r="E284" s="1248"/>
    </row>
    <row r="285">
      <c r="E285" s="1248"/>
    </row>
    <row r="286">
      <c r="E286" s="1248"/>
    </row>
    <row r="287">
      <c r="E287" s="1248"/>
    </row>
    <row r="288">
      <c r="E288" s="1248"/>
    </row>
    <row r="289">
      <c r="E289" s="1248"/>
    </row>
    <row r="290">
      <c r="E290" s="1248"/>
    </row>
    <row r="291">
      <c r="E291" s="1248"/>
    </row>
    <row r="292">
      <c r="E292" s="1248"/>
    </row>
    <row r="293">
      <c r="E293" s="1248"/>
    </row>
    <row r="294">
      <c r="E294" s="1248"/>
    </row>
    <row r="295">
      <c r="E295" s="1248"/>
    </row>
    <row r="296">
      <c r="E296" s="1248"/>
    </row>
    <row r="297">
      <c r="E297" s="1248"/>
    </row>
    <row r="298">
      <c r="E298" s="1248"/>
    </row>
    <row r="299">
      <c r="E299" s="1248"/>
    </row>
    <row r="300">
      <c r="E300" s="1248"/>
    </row>
    <row r="301">
      <c r="E301" s="1248"/>
    </row>
    <row r="302">
      <c r="E302" s="1248"/>
    </row>
    <row r="303">
      <c r="E303" s="1248"/>
    </row>
    <row r="304">
      <c r="E304" s="1248"/>
    </row>
    <row r="305">
      <c r="E305" s="1248"/>
    </row>
    <row r="306">
      <c r="E306" s="1248"/>
    </row>
    <row r="307">
      <c r="E307" s="1248"/>
    </row>
    <row r="308">
      <c r="E308" s="1248"/>
    </row>
    <row r="309">
      <c r="E309" s="1248"/>
    </row>
    <row r="310">
      <c r="E310" s="1248"/>
    </row>
    <row r="311">
      <c r="E311" s="1248"/>
    </row>
    <row r="312">
      <c r="E312" s="1248"/>
    </row>
    <row r="313">
      <c r="E313" s="1248"/>
    </row>
    <row r="314">
      <c r="E314" s="1248"/>
    </row>
    <row r="315">
      <c r="E315" s="1248"/>
    </row>
    <row r="316">
      <c r="E316" s="1248"/>
    </row>
    <row r="317">
      <c r="E317" s="1248"/>
    </row>
    <row r="318">
      <c r="E318" s="1248"/>
    </row>
    <row r="319">
      <c r="E319" s="1248"/>
    </row>
    <row r="320">
      <c r="E320" s="1248"/>
    </row>
    <row r="321">
      <c r="E321" s="1248"/>
    </row>
    <row r="322">
      <c r="E322" s="1248"/>
    </row>
    <row r="323">
      <c r="E323" s="1248"/>
    </row>
    <row r="324">
      <c r="E324" s="1248"/>
    </row>
    <row r="325">
      <c r="E325" s="1248"/>
    </row>
    <row r="326">
      <c r="E326" s="1248"/>
    </row>
    <row r="327">
      <c r="E327" s="1248"/>
    </row>
    <row r="328">
      <c r="E328" s="1248"/>
    </row>
    <row r="329">
      <c r="E329" s="1248"/>
    </row>
    <row r="330">
      <c r="E330" s="1248"/>
    </row>
    <row r="331">
      <c r="E331" s="1248"/>
    </row>
    <row r="332">
      <c r="E332" s="1248"/>
    </row>
    <row r="333">
      <c r="E333" s="1248"/>
    </row>
    <row r="334">
      <c r="E334" s="1248"/>
    </row>
    <row r="335">
      <c r="E335" s="1248"/>
    </row>
    <row r="336">
      <c r="E336" s="1248"/>
    </row>
    <row r="337">
      <c r="E337" s="1248"/>
    </row>
    <row r="338">
      <c r="E338" s="1248"/>
    </row>
    <row r="339">
      <c r="E339" s="1248"/>
    </row>
    <row r="340">
      <c r="E340" s="1248"/>
    </row>
    <row r="341">
      <c r="E341" s="1248"/>
    </row>
    <row r="342">
      <c r="E342" s="1248"/>
    </row>
    <row r="343">
      <c r="E343" s="1248"/>
    </row>
    <row r="344">
      <c r="E344" s="1248"/>
    </row>
    <row r="345">
      <c r="E345" s="1248"/>
    </row>
    <row r="346">
      <c r="E346" s="1248"/>
    </row>
    <row r="347">
      <c r="E347" s="1248"/>
    </row>
    <row r="348">
      <c r="E348" s="1248"/>
    </row>
    <row r="349">
      <c r="E349" s="1248"/>
    </row>
    <row r="350">
      <c r="E350" s="1248"/>
    </row>
    <row r="351">
      <c r="E351" s="1248"/>
    </row>
    <row r="352">
      <c r="E352" s="1248"/>
    </row>
    <row r="353">
      <c r="E353" s="1248"/>
    </row>
    <row r="354">
      <c r="E354" s="1248"/>
    </row>
    <row r="355">
      <c r="E355" s="1248"/>
    </row>
    <row r="356">
      <c r="E356" s="1248"/>
    </row>
    <row r="357">
      <c r="E357" s="1248"/>
    </row>
    <row r="358">
      <c r="E358" s="1248"/>
    </row>
    <row r="359">
      <c r="E359" s="1248"/>
    </row>
    <row r="360">
      <c r="E360" s="1248"/>
    </row>
    <row r="361">
      <c r="E361" s="1248"/>
    </row>
    <row r="362">
      <c r="E362" s="1248"/>
    </row>
    <row r="363">
      <c r="E363" s="1248"/>
    </row>
    <row r="364">
      <c r="E364" s="1248"/>
    </row>
    <row r="365">
      <c r="E365" s="1248"/>
    </row>
    <row r="366">
      <c r="E366" s="1248"/>
    </row>
    <row r="367">
      <c r="E367" s="1248"/>
    </row>
    <row r="368">
      <c r="E368" s="1248"/>
    </row>
    <row r="369">
      <c r="E369" s="1248"/>
    </row>
    <row r="370">
      <c r="E370" s="1248"/>
    </row>
    <row r="371">
      <c r="E371" s="1248"/>
    </row>
    <row r="372">
      <c r="E372" s="1248"/>
    </row>
    <row r="373">
      <c r="E373" s="1248"/>
    </row>
    <row r="374">
      <c r="E374" s="1248"/>
    </row>
    <row r="375">
      <c r="E375" s="1248"/>
    </row>
    <row r="376">
      <c r="E376" s="1248"/>
    </row>
    <row r="377">
      <c r="E377" s="1248"/>
    </row>
    <row r="378">
      <c r="E378" s="1248"/>
    </row>
    <row r="379">
      <c r="E379" s="1248"/>
    </row>
    <row r="380">
      <c r="E380" s="1248"/>
    </row>
    <row r="381">
      <c r="E381" s="1248"/>
    </row>
    <row r="382">
      <c r="E382" s="1248"/>
    </row>
    <row r="383">
      <c r="E383" s="1248"/>
    </row>
    <row r="384">
      <c r="E384" s="1248"/>
    </row>
    <row r="385">
      <c r="E385" s="1248"/>
    </row>
    <row r="386">
      <c r="E386" s="1248"/>
    </row>
    <row r="387">
      <c r="E387" s="1248"/>
    </row>
    <row r="388">
      <c r="E388" s="1248"/>
    </row>
    <row r="389">
      <c r="E389" s="1248"/>
    </row>
    <row r="390">
      <c r="E390" s="1248"/>
    </row>
    <row r="391">
      <c r="E391" s="1248"/>
    </row>
    <row r="392">
      <c r="E392" s="1248"/>
    </row>
    <row r="393">
      <c r="E393" s="1248"/>
    </row>
    <row r="394">
      <c r="E394" s="1248"/>
    </row>
    <row r="395">
      <c r="E395" s="1248"/>
    </row>
    <row r="396">
      <c r="E396" s="1248"/>
    </row>
    <row r="397">
      <c r="E397" s="1248"/>
    </row>
    <row r="398">
      <c r="E398" s="1248"/>
    </row>
    <row r="399">
      <c r="E399" s="1248"/>
    </row>
    <row r="400">
      <c r="E400" s="1248"/>
    </row>
    <row r="401">
      <c r="E401" s="1248"/>
    </row>
    <row r="402">
      <c r="E402" s="1248"/>
    </row>
    <row r="403">
      <c r="E403" s="1248"/>
    </row>
    <row r="404">
      <c r="E404" s="1248"/>
    </row>
    <row r="405">
      <c r="E405" s="1248"/>
    </row>
    <row r="406">
      <c r="E406" s="1248"/>
    </row>
    <row r="407">
      <c r="E407" s="1248"/>
    </row>
    <row r="408">
      <c r="E408" s="1248"/>
    </row>
    <row r="409">
      <c r="E409" s="1248"/>
    </row>
    <row r="410">
      <c r="E410" s="1248"/>
    </row>
    <row r="411">
      <c r="E411" s="1248"/>
    </row>
    <row r="412">
      <c r="E412" s="1248"/>
    </row>
    <row r="413">
      <c r="E413" s="1248"/>
    </row>
    <row r="414">
      <c r="E414" s="1248"/>
    </row>
    <row r="415">
      <c r="E415" s="1248"/>
    </row>
    <row r="416">
      <c r="E416" s="1248"/>
    </row>
    <row r="417">
      <c r="E417" s="1248"/>
    </row>
    <row r="418">
      <c r="E418" s="1248"/>
    </row>
    <row r="419">
      <c r="E419" s="1248"/>
    </row>
    <row r="420">
      <c r="E420" s="1248"/>
    </row>
    <row r="421">
      <c r="E421" s="1248"/>
    </row>
    <row r="422">
      <c r="E422" s="1248"/>
    </row>
    <row r="423">
      <c r="E423" s="1248"/>
    </row>
    <row r="424">
      <c r="E424" s="1248"/>
    </row>
    <row r="425">
      <c r="E425" s="1248"/>
    </row>
    <row r="426">
      <c r="E426" s="1248"/>
    </row>
    <row r="427">
      <c r="E427" s="1248"/>
    </row>
    <row r="428">
      <c r="E428" s="1248"/>
    </row>
    <row r="429">
      <c r="E429" s="1248"/>
    </row>
    <row r="430">
      <c r="E430" s="1248"/>
    </row>
    <row r="431">
      <c r="E431" s="1248"/>
    </row>
    <row r="432">
      <c r="E432" s="1248"/>
    </row>
    <row r="433">
      <c r="E433" s="1248"/>
    </row>
    <row r="434">
      <c r="E434" s="1248"/>
    </row>
    <row r="435">
      <c r="E435" s="1248"/>
    </row>
    <row r="436">
      <c r="E436" s="1248"/>
    </row>
    <row r="437">
      <c r="E437" s="1248"/>
    </row>
    <row r="438">
      <c r="E438" s="1248"/>
    </row>
    <row r="439">
      <c r="E439" s="1248"/>
    </row>
    <row r="440">
      <c r="E440" s="1248"/>
    </row>
    <row r="441">
      <c r="E441" s="1248"/>
    </row>
    <row r="442">
      <c r="E442" s="1248"/>
    </row>
    <row r="443">
      <c r="E443" s="1248"/>
    </row>
    <row r="444">
      <c r="E444" s="1248"/>
    </row>
    <row r="445">
      <c r="E445" s="1248"/>
    </row>
    <row r="446">
      <c r="E446" s="1248"/>
    </row>
    <row r="447">
      <c r="E447" s="1248"/>
    </row>
    <row r="448">
      <c r="E448" s="1248"/>
    </row>
    <row r="449">
      <c r="E449" s="1248"/>
    </row>
    <row r="450">
      <c r="E450" s="1248"/>
    </row>
    <row r="451">
      <c r="E451" s="1248"/>
    </row>
    <row r="452">
      <c r="E452" s="1248"/>
    </row>
    <row r="453">
      <c r="E453" s="1248"/>
    </row>
    <row r="454">
      <c r="E454" s="1248"/>
    </row>
    <row r="455">
      <c r="E455" s="1248"/>
    </row>
    <row r="456">
      <c r="E456" s="1248"/>
    </row>
    <row r="457">
      <c r="E457" s="1248"/>
    </row>
    <row r="458">
      <c r="E458" s="1248"/>
    </row>
    <row r="459">
      <c r="E459" s="1248"/>
    </row>
    <row r="460">
      <c r="E460" s="1248"/>
    </row>
    <row r="461">
      <c r="E461" s="1248"/>
    </row>
    <row r="462">
      <c r="E462" s="1248"/>
    </row>
    <row r="463">
      <c r="E463" s="1248"/>
    </row>
    <row r="464">
      <c r="E464" s="1248"/>
    </row>
    <row r="465">
      <c r="E465" s="1248"/>
    </row>
    <row r="466">
      <c r="E466" s="1248"/>
    </row>
    <row r="467">
      <c r="E467" s="1248"/>
    </row>
    <row r="468">
      <c r="E468" s="1248"/>
    </row>
    <row r="469">
      <c r="E469" s="1248"/>
    </row>
    <row r="470">
      <c r="E470" s="1248"/>
    </row>
    <row r="471">
      <c r="E471" s="1248"/>
    </row>
    <row r="472">
      <c r="E472" s="1248"/>
    </row>
    <row r="473">
      <c r="E473" s="1248"/>
    </row>
    <row r="474">
      <c r="E474" s="1248"/>
    </row>
    <row r="475">
      <c r="E475" s="1248"/>
    </row>
    <row r="476">
      <c r="E476" s="1248"/>
    </row>
    <row r="477">
      <c r="E477" s="1248"/>
    </row>
    <row r="478">
      <c r="E478" s="1248"/>
    </row>
    <row r="479">
      <c r="E479" s="1248"/>
    </row>
    <row r="480">
      <c r="E480" s="1248"/>
    </row>
    <row r="481">
      <c r="E481" s="1248"/>
    </row>
    <row r="482">
      <c r="E482" s="1248"/>
    </row>
    <row r="483">
      <c r="E483" s="1248"/>
    </row>
    <row r="484">
      <c r="E484" s="1248"/>
    </row>
    <row r="485">
      <c r="E485" s="1248"/>
    </row>
    <row r="486">
      <c r="E486" s="1248"/>
    </row>
    <row r="487">
      <c r="E487" s="1248"/>
    </row>
    <row r="488">
      <c r="E488" s="1248"/>
    </row>
    <row r="489">
      <c r="E489" s="1248"/>
    </row>
    <row r="490">
      <c r="E490" s="1248"/>
    </row>
    <row r="491">
      <c r="E491" s="1248"/>
    </row>
    <row r="492">
      <c r="E492" s="1248"/>
    </row>
    <row r="493">
      <c r="E493" s="1248"/>
    </row>
    <row r="494">
      <c r="E494" s="1248"/>
    </row>
    <row r="495">
      <c r="E495" s="1248"/>
    </row>
    <row r="496">
      <c r="E496" s="1248"/>
    </row>
    <row r="497">
      <c r="E497" s="1248"/>
    </row>
    <row r="498">
      <c r="E498" s="1248"/>
    </row>
    <row r="499">
      <c r="E499" s="1248"/>
    </row>
    <row r="500">
      <c r="E500" s="1248"/>
    </row>
    <row r="501">
      <c r="E501" s="1248"/>
    </row>
    <row r="502">
      <c r="E502" s="1248"/>
    </row>
    <row r="503">
      <c r="E503" s="1248"/>
    </row>
    <row r="504">
      <c r="E504" s="1248"/>
    </row>
    <row r="505">
      <c r="E505" s="1248"/>
    </row>
    <row r="506">
      <c r="E506" s="1248"/>
    </row>
    <row r="507">
      <c r="E507" s="1248"/>
    </row>
    <row r="508">
      <c r="E508" s="1248"/>
    </row>
    <row r="509">
      <c r="E509" s="1248"/>
    </row>
    <row r="510">
      <c r="E510" s="1248"/>
    </row>
    <row r="511">
      <c r="E511" s="1248"/>
    </row>
    <row r="512">
      <c r="E512" s="1248"/>
    </row>
    <row r="513">
      <c r="E513" s="1248"/>
    </row>
    <row r="514">
      <c r="E514" s="1248"/>
    </row>
    <row r="515">
      <c r="E515" s="1248"/>
    </row>
    <row r="516">
      <c r="E516" s="1248"/>
    </row>
    <row r="517">
      <c r="E517" s="1248"/>
    </row>
    <row r="518">
      <c r="E518" s="1248"/>
    </row>
    <row r="519">
      <c r="E519" s="1248"/>
    </row>
    <row r="520">
      <c r="E520" s="1248"/>
    </row>
    <row r="521">
      <c r="E521" s="1248"/>
    </row>
    <row r="522">
      <c r="E522" s="1248"/>
    </row>
    <row r="523">
      <c r="E523" s="1248"/>
    </row>
    <row r="524">
      <c r="E524" s="1248"/>
    </row>
    <row r="525">
      <c r="E525" s="1248"/>
    </row>
    <row r="526">
      <c r="E526" s="1248"/>
    </row>
    <row r="527">
      <c r="E527" s="1248"/>
    </row>
    <row r="528">
      <c r="E528" s="1248"/>
    </row>
    <row r="529">
      <c r="E529" s="1248"/>
    </row>
    <row r="530">
      <c r="E530" s="1248"/>
    </row>
    <row r="531">
      <c r="E531" s="1248"/>
    </row>
    <row r="532">
      <c r="E532" s="1248"/>
    </row>
    <row r="533">
      <c r="E533" s="1248"/>
    </row>
    <row r="534">
      <c r="E534" s="1248"/>
    </row>
    <row r="535">
      <c r="E535" s="1248"/>
    </row>
    <row r="536">
      <c r="E536" s="1248"/>
    </row>
    <row r="537">
      <c r="E537" s="1248"/>
    </row>
    <row r="538">
      <c r="E538" s="1248"/>
    </row>
    <row r="539">
      <c r="E539" s="1248"/>
    </row>
    <row r="540">
      <c r="E540" s="1248"/>
    </row>
    <row r="541">
      <c r="E541" s="1248"/>
    </row>
    <row r="542">
      <c r="E542" s="1248"/>
    </row>
    <row r="543">
      <c r="E543" s="1248"/>
    </row>
    <row r="544">
      <c r="E544" s="1248"/>
    </row>
    <row r="545">
      <c r="E545" s="1248"/>
    </row>
    <row r="546">
      <c r="E546" s="1248"/>
    </row>
    <row r="547">
      <c r="E547" s="1248"/>
    </row>
    <row r="548">
      <c r="E548" s="1248"/>
    </row>
    <row r="549">
      <c r="E549" s="1248"/>
    </row>
    <row r="550">
      <c r="E550" s="1248"/>
    </row>
    <row r="551">
      <c r="E551" s="1248"/>
    </row>
    <row r="552">
      <c r="E552" s="1248"/>
    </row>
    <row r="553">
      <c r="E553" s="1248"/>
    </row>
    <row r="554">
      <c r="E554" s="1248"/>
    </row>
    <row r="555">
      <c r="E555" s="1248"/>
    </row>
    <row r="556">
      <c r="E556" s="1248"/>
    </row>
    <row r="557">
      <c r="E557" s="1248"/>
    </row>
    <row r="558">
      <c r="E558" s="1248"/>
    </row>
    <row r="559">
      <c r="E559" s="1248"/>
    </row>
    <row r="560">
      <c r="E560" s="1248"/>
    </row>
    <row r="561">
      <c r="E561" s="1248"/>
    </row>
    <row r="562">
      <c r="E562" s="1248"/>
    </row>
    <row r="563">
      <c r="E563" s="1248"/>
    </row>
    <row r="564">
      <c r="E564" s="1248"/>
    </row>
    <row r="565">
      <c r="E565" s="1248"/>
    </row>
    <row r="566">
      <c r="E566" s="1248"/>
    </row>
    <row r="567">
      <c r="E567" s="1248"/>
    </row>
    <row r="568">
      <c r="E568" s="1248"/>
    </row>
    <row r="569">
      <c r="E569" s="1248"/>
    </row>
    <row r="570">
      <c r="E570" s="1248"/>
    </row>
    <row r="571">
      <c r="E571" s="1248"/>
    </row>
    <row r="572">
      <c r="E572" s="1248"/>
    </row>
    <row r="573">
      <c r="E573" s="1248"/>
    </row>
    <row r="574">
      <c r="E574" s="1248"/>
    </row>
    <row r="575">
      <c r="E575" s="1248"/>
    </row>
    <row r="576">
      <c r="E576" s="1248"/>
    </row>
    <row r="577">
      <c r="E577" s="1248"/>
    </row>
    <row r="578">
      <c r="E578" s="1248"/>
    </row>
    <row r="579">
      <c r="E579" s="1248"/>
    </row>
    <row r="580">
      <c r="E580" s="1248"/>
    </row>
    <row r="581">
      <c r="E581" s="1248"/>
    </row>
    <row r="582">
      <c r="E582" s="1248"/>
    </row>
    <row r="583">
      <c r="E583" s="1248"/>
    </row>
    <row r="584">
      <c r="E584" s="1248"/>
    </row>
    <row r="585">
      <c r="E585" s="1248"/>
    </row>
    <row r="586">
      <c r="E586" s="1248"/>
    </row>
    <row r="587">
      <c r="E587" s="1248"/>
    </row>
    <row r="588">
      <c r="E588" s="1248"/>
    </row>
    <row r="589">
      <c r="E589" s="1248"/>
    </row>
    <row r="590">
      <c r="E590" s="1248"/>
    </row>
    <row r="591">
      <c r="E591" s="1248"/>
    </row>
    <row r="592">
      <c r="E592" s="1248"/>
    </row>
    <row r="593">
      <c r="E593" s="1248"/>
    </row>
    <row r="594">
      <c r="E594" s="1248"/>
    </row>
    <row r="595">
      <c r="E595" s="1248"/>
    </row>
    <row r="596">
      <c r="E596" s="1248"/>
    </row>
    <row r="597">
      <c r="E597" s="1248"/>
    </row>
    <row r="598">
      <c r="E598" s="1248"/>
    </row>
    <row r="599">
      <c r="E599" s="1248"/>
    </row>
    <row r="600">
      <c r="E600" s="1248"/>
    </row>
    <row r="601">
      <c r="E601" s="1248"/>
    </row>
    <row r="602">
      <c r="E602" s="1248"/>
    </row>
    <row r="603">
      <c r="E603" s="1248"/>
    </row>
    <row r="604">
      <c r="E604" s="1248"/>
    </row>
    <row r="605">
      <c r="E605" s="1248"/>
    </row>
    <row r="606">
      <c r="E606" s="1248"/>
    </row>
    <row r="607">
      <c r="E607" s="1248"/>
    </row>
    <row r="608">
      <c r="E608" s="1248"/>
    </row>
    <row r="609">
      <c r="E609" s="1248"/>
    </row>
    <row r="610">
      <c r="E610" s="1248"/>
    </row>
    <row r="611">
      <c r="E611" s="1248"/>
    </row>
    <row r="612">
      <c r="E612" s="1248"/>
    </row>
    <row r="613">
      <c r="E613" s="1248"/>
    </row>
    <row r="614">
      <c r="E614" s="1248"/>
    </row>
    <row r="615">
      <c r="E615" s="1248"/>
    </row>
    <row r="616">
      <c r="E616" s="1248"/>
    </row>
    <row r="617">
      <c r="E617" s="1248"/>
    </row>
    <row r="618">
      <c r="E618" s="1248"/>
    </row>
    <row r="619">
      <c r="E619" s="1248"/>
    </row>
    <row r="620">
      <c r="E620" s="1248"/>
    </row>
    <row r="621">
      <c r="E621" s="1248"/>
    </row>
    <row r="622">
      <c r="E622" s="1248"/>
    </row>
    <row r="623">
      <c r="E623" s="1248"/>
    </row>
    <row r="624">
      <c r="E624" s="1248"/>
    </row>
    <row r="625">
      <c r="E625" s="1248"/>
    </row>
    <row r="626">
      <c r="E626" s="1248"/>
    </row>
    <row r="627">
      <c r="E627" s="1248"/>
    </row>
    <row r="628">
      <c r="E628" s="1248"/>
    </row>
    <row r="629">
      <c r="E629" s="1248"/>
    </row>
    <row r="630">
      <c r="E630" s="1248"/>
    </row>
    <row r="631">
      <c r="E631" s="1248"/>
    </row>
    <row r="632">
      <c r="E632" s="1248"/>
    </row>
    <row r="633">
      <c r="E633" s="1248"/>
    </row>
    <row r="634">
      <c r="E634" s="1248"/>
    </row>
    <row r="635">
      <c r="E635" s="1248"/>
    </row>
    <row r="636">
      <c r="E636" s="1248"/>
    </row>
    <row r="637">
      <c r="E637" s="1248"/>
    </row>
    <row r="638">
      <c r="E638" s="1248"/>
    </row>
    <row r="639">
      <c r="E639" s="1248"/>
    </row>
    <row r="640">
      <c r="E640" s="1248"/>
    </row>
    <row r="641">
      <c r="E641" s="1248"/>
    </row>
    <row r="642">
      <c r="E642" s="1248"/>
    </row>
    <row r="643">
      <c r="E643" s="1248"/>
    </row>
    <row r="644">
      <c r="E644" s="1248"/>
    </row>
    <row r="645">
      <c r="E645" s="1248"/>
    </row>
    <row r="646">
      <c r="E646" s="1248"/>
    </row>
    <row r="647">
      <c r="E647" s="1248"/>
    </row>
    <row r="648">
      <c r="E648" s="1248"/>
    </row>
    <row r="649">
      <c r="E649" s="1248"/>
    </row>
    <row r="650">
      <c r="E650" s="1248"/>
    </row>
    <row r="651">
      <c r="E651" s="1248"/>
    </row>
    <row r="652">
      <c r="E652" s="1248"/>
    </row>
    <row r="653">
      <c r="E653" s="1248"/>
    </row>
    <row r="654">
      <c r="E654" s="1248"/>
    </row>
    <row r="655">
      <c r="E655" s="1248"/>
    </row>
    <row r="656">
      <c r="E656" s="1248"/>
    </row>
    <row r="657">
      <c r="E657" s="1248"/>
    </row>
    <row r="658">
      <c r="E658" s="1248"/>
    </row>
    <row r="659">
      <c r="E659" s="1248"/>
    </row>
    <row r="660">
      <c r="E660" s="1248"/>
    </row>
    <row r="661">
      <c r="E661" s="1248"/>
    </row>
    <row r="662">
      <c r="E662" s="1248"/>
    </row>
    <row r="663">
      <c r="E663" s="1248"/>
    </row>
    <row r="664">
      <c r="E664" s="1248"/>
    </row>
    <row r="665">
      <c r="E665" s="1248"/>
    </row>
    <row r="666">
      <c r="E666" s="1248"/>
    </row>
    <row r="667">
      <c r="E667" s="1248"/>
    </row>
    <row r="668">
      <c r="E668" s="1248"/>
    </row>
    <row r="669">
      <c r="E669" s="1248"/>
    </row>
    <row r="670">
      <c r="E670" s="1248"/>
    </row>
    <row r="671">
      <c r="E671" s="1248"/>
    </row>
    <row r="672">
      <c r="E672" s="1248"/>
    </row>
    <row r="673">
      <c r="E673" s="1248"/>
    </row>
    <row r="674">
      <c r="E674" s="1248"/>
    </row>
    <row r="675">
      <c r="E675" s="1248"/>
    </row>
    <row r="676">
      <c r="E676" s="1248"/>
    </row>
    <row r="677">
      <c r="E677" s="1248"/>
    </row>
    <row r="678">
      <c r="E678" s="1248"/>
    </row>
    <row r="679">
      <c r="E679" s="1248"/>
    </row>
    <row r="680">
      <c r="E680" s="1248"/>
    </row>
    <row r="681">
      <c r="E681" s="1248"/>
    </row>
    <row r="682">
      <c r="E682" s="1248"/>
    </row>
    <row r="683">
      <c r="E683" s="1248"/>
    </row>
    <row r="684">
      <c r="E684" s="1248"/>
    </row>
    <row r="685">
      <c r="E685" s="1248"/>
    </row>
    <row r="686">
      <c r="E686" s="1248"/>
    </row>
    <row r="687">
      <c r="E687" s="1248"/>
    </row>
    <row r="688">
      <c r="E688" s="1248"/>
    </row>
    <row r="689">
      <c r="E689" s="1248"/>
    </row>
    <row r="690">
      <c r="E690" s="1248"/>
    </row>
    <row r="691">
      <c r="E691" s="1248"/>
    </row>
    <row r="692">
      <c r="E692" s="1248"/>
    </row>
    <row r="693">
      <c r="E693" s="1248"/>
    </row>
    <row r="694">
      <c r="E694" s="1248"/>
    </row>
    <row r="695">
      <c r="E695" s="1248"/>
    </row>
    <row r="696">
      <c r="E696" s="1248"/>
    </row>
    <row r="697">
      <c r="E697" s="1248"/>
    </row>
    <row r="698">
      <c r="E698" s="1248"/>
    </row>
    <row r="699">
      <c r="E699" s="1248"/>
    </row>
    <row r="700">
      <c r="E700" s="1248"/>
    </row>
    <row r="701">
      <c r="E701" s="1248"/>
    </row>
    <row r="702">
      <c r="E702" s="1248"/>
    </row>
    <row r="703">
      <c r="E703" s="1248"/>
    </row>
    <row r="704">
      <c r="E704" s="1248"/>
    </row>
    <row r="705">
      <c r="E705" s="1248"/>
    </row>
    <row r="706">
      <c r="E706" s="1248"/>
    </row>
    <row r="707">
      <c r="E707" s="1248"/>
    </row>
    <row r="708">
      <c r="E708" s="1248"/>
    </row>
    <row r="709">
      <c r="E709" s="1248"/>
    </row>
    <row r="710">
      <c r="E710" s="1248"/>
    </row>
    <row r="711">
      <c r="E711" s="1248"/>
    </row>
    <row r="712">
      <c r="E712" s="1248"/>
    </row>
    <row r="713">
      <c r="E713" s="1248"/>
    </row>
    <row r="714">
      <c r="E714" s="1248"/>
    </row>
    <row r="715">
      <c r="E715" s="1248"/>
    </row>
    <row r="716">
      <c r="E716" s="1248"/>
    </row>
    <row r="717">
      <c r="E717" s="1248"/>
    </row>
    <row r="718">
      <c r="E718" s="1248"/>
    </row>
    <row r="719">
      <c r="E719" s="1248"/>
    </row>
    <row r="720">
      <c r="E720" s="1248"/>
    </row>
    <row r="721">
      <c r="E721" s="1248"/>
    </row>
    <row r="722">
      <c r="E722" s="1248"/>
    </row>
    <row r="723">
      <c r="E723" s="1248"/>
    </row>
    <row r="724">
      <c r="E724" s="1248"/>
    </row>
    <row r="725">
      <c r="E725" s="1248"/>
    </row>
    <row r="726">
      <c r="E726" s="1248"/>
    </row>
    <row r="727">
      <c r="E727" s="1248"/>
    </row>
    <row r="728">
      <c r="E728" s="1248"/>
    </row>
    <row r="729">
      <c r="E729" s="1248"/>
    </row>
    <row r="730">
      <c r="E730" s="1248"/>
    </row>
    <row r="731">
      <c r="E731" s="1248"/>
    </row>
    <row r="732">
      <c r="E732" s="1248"/>
    </row>
    <row r="733">
      <c r="E733" s="1248"/>
    </row>
    <row r="734">
      <c r="E734" s="1248"/>
    </row>
    <row r="735">
      <c r="E735" s="1248"/>
    </row>
    <row r="736">
      <c r="E736" s="1248"/>
    </row>
    <row r="737">
      <c r="E737" s="1248"/>
    </row>
    <row r="738">
      <c r="E738" s="1248"/>
    </row>
    <row r="739">
      <c r="E739" s="1248"/>
    </row>
    <row r="740">
      <c r="E740" s="1248"/>
    </row>
    <row r="741">
      <c r="E741" s="1248"/>
    </row>
    <row r="742">
      <c r="E742" s="1248"/>
    </row>
    <row r="743">
      <c r="E743" s="1248"/>
    </row>
    <row r="744">
      <c r="E744" s="1248"/>
    </row>
    <row r="745">
      <c r="E745" s="1248"/>
    </row>
    <row r="746">
      <c r="E746" s="1248"/>
    </row>
    <row r="747">
      <c r="E747" s="1248"/>
    </row>
    <row r="748">
      <c r="E748" s="1248"/>
    </row>
    <row r="749">
      <c r="E749" s="1248"/>
    </row>
    <row r="750">
      <c r="E750" s="1248"/>
    </row>
    <row r="751">
      <c r="E751" s="1248"/>
    </row>
    <row r="752">
      <c r="E752" s="1248"/>
    </row>
    <row r="753">
      <c r="E753" s="1248"/>
    </row>
    <row r="754">
      <c r="E754" s="1248"/>
    </row>
    <row r="755">
      <c r="E755" s="1248"/>
    </row>
    <row r="756">
      <c r="E756" s="1248"/>
    </row>
    <row r="757">
      <c r="E757" s="1248"/>
    </row>
    <row r="758">
      <c r="E758" s="1248"/>
    </row>
    <row r="759">
      <c r="E759" s="1248"/>
    </row>
    <row r="760">
      <c r="E760" s="1248"/>
    </row>
    <row r="761">
      <c r="E761" s="1248"/>
    </row>
    <row r="762">
      <c r="E762" s="1248"/>
    </row>
    <row r="763">
      <c r="E763" s="1248"/>
    </row>
    <row r="764">
      <c r="E764" s="1248"/>
    </row>
    <row r="765">
      <c r="E765" s="1248"/>
    </row>
    <row r="766">
      <c r="E766" s="1248"/>
    </row>
    <row r="767">
      <c r="E767" s="1248"/>
    </row>
    <row r="768">
      <c r="E768" s="1248"/>
    </row>
    <row r="769">
      <c r="E769" s="1248"/>
    </row>
    <row r="770">
      <c r="E770" s="1248"/>
    </row>
    <row r="771">
      <c r="E771" s="1248"/>
    </row>
    <row r="772">
      <c r="E772" s="1248"/>
    </row>
    <row r="773">
      <c r="E773" s="1248"/>
    </row>
    <row r="774">
      <c r="E774" s="1248"/>
    </row>
    <row r="775">
      <c r="E775" s="1248"/>
    </row>
    <row r="776">
      <c r="E776" s="1248"/>
    </row>
    <row r="777">
      <c r="E777" s="1248"/>
    </row>
    <row r="778">
      <c r="E778" s="1248"/>
    </row>
    <row r="779">
      <c r="E779" s="1248"/>
    </row>
    <row r="780">
      <c r="E780" s="1248"/>
    </row>
    <row r="781">
      <c r="E781" s="1248"/>
    </row>
    <row r="782">
      <c r="E782" s="1248"/>
    </row>
    <row r="783">
      <c r="E783" s="1248"/>
    </row>
    <row r="784">
      <c r="E784" s="1248"/>
    </row>
    <row r="785">
      <c r="E785" s="1248"/>
    </row>
    <row r="786">
      <c r="E786" s="1248"/>
    </row>
    <row r="787">
      <c r="E787" s="1248"/>
    </row>
    <row r="788">
      <c r="E788" s="1248"/>
    </row>
    <row r="789">
      <c r="E789" s="1248"/>
    </row>
    <row r="790">
      <c r="E790" s="1248"/>
    </row>
    <row r="791">
      <c r="E791" s="1248"/>
    </row>
    <row r="792">
      <c r="E792" s="1248"/>
    </row>
    <row r="793">
      <c r="E793" s="1248"/>
    </row>
    <row r="794">
      <c r="E794" s="1248"/>
    </row>
    <row r="795">
      <c r="E795" s="1248"/>
    </row>
    <row r="796">
      <c r="E796" s="1248"/>
    </row>
    <row r="797">
      <c r="E797" s="1248"/>
    </row>
    <row r="798">
      <c r="E798" s="1248"/>
    </row>
    <row r="799">
      <c r="E799" s="1248"/>
    </row>
    <row r="800">
      <c r="E800" s="1248"/>
    </row>
    <row r="801">
      <c r="E801" s="1248"/>
    </row>
    <row r="802">
      <c r="E802" s="1248"/>
    </row>
    <row r="803">
      <c r="E803" s="1248"/>
    </row>
    <row r="804">
      <c r="E804" s="1248"/>
    </row>
    <row r="805">
      <c r="E805" s="1248"/>
    </row>
    <row r="806">
      <c r="E806" s="1248"/>
    </row>
    <row r="807">
      <c r="E807" s="1248"/>
    </row>
    <row r="808">
      <c r="E808" s="1248"/>
    </row>
    <row r="809">
      <c r="E809" s="1248"/>
    </row>
    <row r="810">
      <c r="E810" s="1248"/>
    </row>
    <row r="811">
      <c r="E811" s="1248"/>
    </row>
    <row r="812">
      <c r="E812" s="1248"/>
    </row>
    <row r="813">
      <c r="E813" s="1248"/>
    </row>
    <row r="814">
      <c r="E814" s="1248"/>
    </row>
    <row r="815">
      <c r="E815" s="1248"/>
    </row>
    <row r="816">
      <c r="E816" s="1248"/>
    </row>
    <row r="817">
      <c r="E817" s="1248"/>
    </row>
    <row r="818">
      <c r="E818" s="1248"/>
    </row>
    <row r="819">
      <c r="E819" s="1248"/>
    </row>
    <row r="820">
      <c r="E820" s="1248"/>
    </row>
    <row r="821">
      <c r="E821" s="1248"/>
    </row>
    <row r="822">
      <c r="E822" s="1248"/>
    </row>
    <row r="823">
      <c r="E823" s="1248"/>
    </row>
    <row r="824">
      <c r="E824" s="1248"/>
    </row>
    <row r="825">
      <c r="E825" s="1248"/>
    </row>
    <row r="826">
      <c r="E826" s="1248"/>
    </row>
    <row r="827">
      <c r="E827" s="1248"/>
    </row>
    <row r="828">
      <c r="E828" s="1248"/>
    </row>
    <row r="829">
      <c r="E829" s="1248"/>
    </row>
    <row r="830">
      <c r="E830" s="1248"/>
    </row>
    <row r="831">
      <c r="E831" s="1248"/>
    </row>
    <row r="832">
      <c r="E832" s="1248"/>
    </row>
    <row r="833">
      <c r="E833" s="1248"/>
    </row>
    <row r="834">
      <c r="E834" s="1248"/>
    </row>
    <row r="835">
      <c r="E835" s="1248"/>
    </row>
    <row r="836">
      <c r="E836" s="1248"/>
    </row>
    <row r="837">
      <c r="E837" s="1248"/>
    </row>
    <row r="838">
      <c r="E838" s="1248"/>
    </row>
    <row r="839">
      <c r="E839" s="1248"/>
    </row>
    <row r="840">
      <c r="E840" s="1248"/>
    </row>
    <row r="841">
      <c r="E841" s="1248"/>
    </row>
    <row r="842">
      <c r="E842" s="1248"/>
    </row>
    <row r="843">
      <c r="E843" s="1248"/>
    </row>
    <row r="844">
      <c r="E844" s="1248"/>
    </row>
    <row r="845">
      <c r="E845" s="1248"/>
    </row>
    <row r="846">
      <c r="E846" s="1248"/>
    </row>
    <row r="847">
      <c r="E847" s="1248"/>
    </row>
    <row r="848">
      <c r="E848" s="1248"/>
    </row>
    <row r="849">
      <c r="E849" s="1248"/>
    </row>
    <row r="850">
      <c r="E850" s="1248"/>
    </row>
    <row r="851">
      <c r="E851" s="1248"/>
    </row>
    <row r="852">
      <c r="E852" s="1248"/>
    </row>
    <row r="853">
      <c r="E853" s="1248"/>
    </row>
    <row r="854">
      <c r="E854" s="1248"/>
    </row>
    <row r="855">
      <c r="E855" s="1248"/>
    </row>
    <row r="856">
      <c r="E856" s="1248"/>
    </row>
    <row r="857">
      <c r="E857" s="1248"/>
    </row>
    <row r="858">
      <c r="E858" s="1248"/>
    </row>
    <row r="859">
      <c r="E859" s="1248"/>
    </row>
    <row r="860">
      <c r="E860" s="1248"/>
    </row>
    <row r="861">
      <c r="E861" s="1248"/>
    </row>
    <row r="862">
      <c r="E862" s="1248"/>
    </row>
    <row r="863">
      <c r="E863" s="1248"/>
    </row>
    <row r="864">
      <c r="E864" s="1248"/>
    </row>
    <row r="865">
      <c r="E865" s="1248"/>
    </row>
    <row r="866">
      <c r="E866" s="1248"/>
    </row>
    <row r="867">
      <c r="E867" s="1248"/>
    </row>
    <row r="868">
      <c r="E868" s="1248"/>
    </row>
    <row r="869">
      <c r="E869" s="1248"/>
    </row>
    <row r="870">
      <c r="E870" s="1248"/>
    </row>
    <row r="871">
      <c r="E871" s="1248"/>
    </row>
    <row r="872">
      <c r="E872" s="1248"/>
    </row>
    <row r="873">
      <c r="E873" s="1248"/>
    </row>
    <row r="874">
      <c r="E874" s="1248"/>
    </row>
    <row r="875">
      <c r="E875" s="1248"/>
    </row>
    <row r="876">
      <c r="E876" s="1248"/>
    </row>
    <row r="877">
      <c r="E877" s="1248"/>
    </row>
    <row r="878">
      <c r="E878" s="1248"/>
    </row>
    <row r="879">
      <c r="E879" s="1248"/>
    </row>
    <row r="880">
      <c r="E880" s="1248"/>
    </row>
    <row r="881">
      <c r="E881" s="1248"/>
    </row>
    <row r="882">
      <c r="E882" s="1248"/>
    </row>
    <row r="883">
      <c r="E883" s="1248"/>
    </row>
    <row r="884">
      <c r="E884" s="1248"/>
    </row>
    <row r="885">
      <c r="E885" s="1248"/>
    </row>
    <row r="886">
      <c r="E886" s="1248"/>
    </row>
    <row r="887">
      <c r="E887" s="1248"/>
    </row>
    <row r="888">
      <c r="E888" s="1248"/>
    </row>
    <row r="889">
      <c r="E889" s="1248"/>
    </row>
    <row r="890">
      <c r="E890" s="1248"/>
    </row>
    <row r="891">
      <c r="E891" s="1248"/>
    </row>
    <row r="892">
      <c r="E892" s="1248"/>
    </row>
    <row r="893">
      <c r="E893" s="1248"/>
    </row>
    <row r="894">
      <c r="E894" s="1248"/>
    </row>
    <row r="895">
      <c r="E895" s="1248"/>
    </row>
    <row r="896">
      <c r="E896" s="1248"/>
    </row>
    <row r="897">
      <c r="E897" s="1248"/>
    </row>
    <row r="898">
      <c r="E898" s="1248"/>
    </row>
    <row r="899">
      <c r="E899" s="1248"/>
    </row>
    <row r="900">
      <c r="E900" s="1248"/>
    </row>
    <row r="901">
      <c r="E901" s="1248"/>
    </row>
    <row r="902">
      <c r="E902" s="1248"/>
    </row>
    <row r="903">
      <c r="E903" s="1248"/>
    </row>
    <row r="904">
      <c r="E904" s="1248"/>
    </row>
    <row r="905">
      <c r="E905" s="1248"/>
    </row>
    <row r="906">
      <c r="E906" s="1248"/>
    </row>
    <row r="907">
      <c r="E907" s="1248"/>
    </row>
    <row r="908">
      <c r="E908" s="1248"/>
    </row>
    <row r="909">
      <c r="E909" s="1248"/>
    </row>
    <row r="910">
      <c r="E910" s="1248"/>
    </row>
    <row r="911">
      <c r="E911" s="1248"/>
    </row>
    <row r="912">
      <c r="E912" s="1248"/>
    </row>
    <row r="913">
      <c r="E913" s="1248"/>
    </row>
    <row r="914">
      <c r="E914" s="1248"/>
    </row>
    <row r="915">
      <c r="E915" s="1248"/>
    </row>
    <row r="916">
      <c r="E916" s="1248"/>
    </row>
    <row r="917">
      <c r="E917" s="1248"/>
    </row>
    <row r="918">
      <c r="E918" s="1248"/>
    </row>
    <row r="919">
      <c r="E919" s="1248"/>
    </row>
    <row r="920">
      <c r="E920" s="1248"/>
    </row>
    <row r="921">
      <c r="E921" s="1248"/>
    </row>
    <row r="922">
      <c r="E922" s="1248"/>
    </row>
    <row r="923">
      <c r="E923" s="1248"/>
    </row>
    <row r="924">
      <c r="E924" s="1248"/>
    </row>
    <row r="925">
      <c r="E925" s="1248"/>
    </row>
    <row r="926">
      <c r="E926" s="1248"/>
    </row>
    <row r="927">
      <c r="E927" s="1248"/>
    </row>
    <row r="928">
      <c r="E928" s="1248"/>
    </row>
    <row r="929">
      <c r="E929" s="1248"/>
    </row>
    <row r="930">
      <c r="E930" s="1248"/>
    </row>
    <row r="931">
      <c r="E931" s="1248"/>
    </row>
    <row r="932">
      <c r="E932" s="1248"/>
    </row>
    <row r="933">
      <c r="E933" s="1248"/>
    </row>
    <row r="934">
      <c r="E934" s="1248"/>
    </row>
    <row r="935">
      <c r="E935" s="1248"/>
    </row>
    <row r="936">
      <c r="E936" s="1248"/>
    </row>
    <row r="937">
      <c r="E937" s="1248"/>
    </row>
    <row r="938">
      <c r="E938" s="1248"/>
    </row>
    <row r="939">
      <c r="E939" s="1248"/>
    </row>
    <row r="940">
      <c r="E940" s="1248"/>
    </row>
    <row r="941">
      <c r="E941" s="1248"/>
    </row>
    <row r="942">
      <c r="E942" s="1248"/>
    </row>
    <row r="943">
      <c r="E943" s="1248"/>
    </row>
    <row r="944">
      <c r="E944" s="1248"/>
    </row>
    <row r="945">
      <c r="E945" s="1248"/>
    </row>
    <row r="946">
      <c r="E946" s="1248"/>
    </row>
    <row r="947">
      <c r="E947" s="1248"/>
    </row>
    <row r="948">
      <c r="E948" s="1248"/>
    </row>
    <row r="949">
      <c r="E949" s="1248"/>
    </row>
    <row r="950">
      <c r="E950" s="1248"/>
    </row>
    <row r="951">
      <c r="E951" s="1248"/>
    </row>
    <row r="952">
      <c r="E952" s="1248"/>
    </row>
    <row r="953">
      <c r="E953" s="1248"/>
    </row>
    <row r="954">
      <c r="E954" s="1248"/>
    </row>
    <row r="955">
      <c r="E955" s="1248"/>
    </row>
    <row r="956">
      <c r="E956" s="1248"/>
    </row>
    <row r="957">
      <c r="E957" s="1248"/>
    </row>
    <row r="958">
      <c r="E958" s="1248"/>
    </row>
    <row r="959">
      <c r="E959" s="1248"/>
    </row>
    <row r="960">
      <c r="E960" s="1248"/>
    </row>
    <row r="961">
      <c r="E961" s="1248"/>
    </row>
    <row r="962">
      <c r="E962" s="1248"/>
    </row>
    <row r="963">
      <c r="E963" s="1248"/>
    </row>
    <row r="964">
      <c r="E964" s="1248"/>
    </row>
    <row r="965">
      <c r="E965" s="1248"/>
    </row>
    <row r="966">
      <c r="E966" s="1248"/>
    </row>
    <row r="967">
      <c r="E967" s="1248"/>
    </row>
    <row r="968">
      <c r="E968" s="1248"/>
    </row>
    <row r="969">
      <c r="E969" s="1248"/>
    </row>
    <row r="970">
      <c r="E970" s="1248"/>
    </row>
    <row r="971">
      <c r="E971" s="1248"/>
    </row>
    <row r="972">
      <c r="E972" s="1248"/>
    </row>
    <row r="973">
      <c r="E973" s="1248"/>
    </row>
    <row r="974">
      <c r="E974" s="1248"/>
    </row>
    <row r="975">
      <c r="E975" s="1248"/>
    </row>
    <row r="976">
      <c r="E976" s="1248"/>
    </row>
    <row r="977">
      <c r="E977" s="1248"/>
    </row>
    <row r="978">
      <c r="E978" s="1248"/>
    </row>
    <row r="979">
      <c r="E979" s="1248"/>
    </row>
    <row r="980">
      <c r="E980" s="1248"/>
    </row>
    <row r="981">
      <c r="E981" s="1248"/>
    </row>
    <row r="982">
      <c r="E982" s="1248"/>
    </row>
    <row r="983">
      <c r="E983" s="1248"/>
    </row>
    <row r="984">
      <c r="E984" s="1248"/>
    </row>
    <row r="985">
      <c r="E985" s="1248"/>
    </row>
    <row r="986">
      <c r="E986" s="1248"/>
    </row>
    <row r="987">
      <c r="E987" s="1248"/>
    </row>
    <row r="988">
      <c r="E988" s="1248"/>
    </row>
    <row r="989">
      <c r="E989" s="1248"/>
    </row>
    <row r="990">
      <c r="E990" s="1248"/>
    </row>
    <row r="991">
      <c r="E991" s="1248"/>
    </row>
    <row r="992">
      <c r="E992" s="1248"/>
    </row>
    <row r="993">
      <c r="E993" s="1248"/>
    </row>
    <row r="994">
      <c r="E994" s="1248"/>
    </row>
    <row r="995">
      <c r="E995" s="1248"/>
    </row>
    <row r="996">
      <c r="E996" s="1248"/>
    </row>
    <row r="997">
      <c r="E997" s="1248"/>
    </row>
    <row r="998">
      <c r="E998" s="1248"/>
    </row>
    <row r="999">
      <c r="E999" s="1248"/>
    </row>
  </sheetData>
  <mergeCells count="57">
    <mergeCell ref="A94:F94"/>
    <mergeCell ref="A96:F96"/>
    <mergeCell ref="A99:F99"/>
    <mergeCell ref="H99:M99"/>
    <mergeCell ref="A100:F100"/>
    <mergeCell ref="H100:M100"/>
    <mergeCell ref="I101:M101"/>
    <mergeCell ref="A126:F126"/>
    <mergeCell ref="B127:F127"/>
    <mergeCell ref="A134:F134"/>
    <mergeCell ref="B135:F135"/>
    <mergeCell ref="A142:F142"/>
    <mergeCell ref="A144:F145"/>
    <mergeCell ref="C146:F160"/>
    <mergeCell ref="B101:F101"/>
    <mergeCell ref="A110:F110"/>
    <mergeCell ref="H110:M110"/>
    <mergeCell ref="B111:F111"/>
    <mergeCell ref="I111:M111"/>
    <mergeCell ref="A118:F118"/>
    <mergeCell ref="B119:F119"/>
    <mergeCell ref="H16:M16"/>
    <mergeCell ref="I17:M17"/>
    <mergeCell ref="A9:F9"/>
    <mergeCell ref="H9:M9"/>
    <mergeCell ref="A10:F11"/>
    <mergeCell ref="H10:M10"/>
    <mergeCell ref="A12:F12"/>
    <mergeCell ref="A13:F13"/>
    <mergeCell ref="H15:M15"/>
    <mergeCell ref="A15:F15"/>
    <mergeCell ref="A16:F16"/>
    <mergeCell ref="B17:F17"/>
    <mergeCell ref="A29:F29"/>
    <mergeCell ref="B30:F30"/>
    <mergeCell ref="A36:F36"/>
    <mergeCell ref="A39:F39"/>
    <mergeCell ref="B42:F42"/>
    <mergeCell ref="A45:F45"/>
    <mergeCell ref="B46:F46"/>
    <mergeCell ref="A53:F53"/>
    <mergeCell ref="B54:F54"/>
    <mergeCell ref="A61:F61"/>
    <mergeCell ref="A63:F63"/>
    <mergeCell ref="A87:F87"/>
    <mergeCell ref="H87:M87"/>
    <mergeCell ref="I88:M88"/>
    <mergeCell ref="G87:G89"/>
    <mergeCell ref="G90:G91"/>
    <mergeCell ref="G92:G93"/>
    <mergeCell ref="A66:F66"/>
    <mergeCell ref="B67:F67"/>
    <mergeCell ref="B76:F76"/>
    <mergeCell ref="B77:F77"/>
    <mergeCell ref="A79:F79"/>
    <mergeCell ref="B80:F80"/>
    <mergeCell ref="B88:F88"/>
  </mergeCells>
  <dataValidations>
    <dataValidation type="decimal" operator="greaterThanOrEqual" allowBlank="1" showDropDown="1" showErrorMessage="1" sqref="M12:M13">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43:F44 F47:F52 F55:F58">
      <formula1>0.0</formula1>
    </dataValidation>
  </dataValidations>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'MSW9'!A1</f>
        <v/>
      </c>
    </row>
    <row r="8">
      <c r="A8" s="11"/>
      <c r="B8" s="11"/>
      <c r="C8" s="11"/>
      <c r="D8" s="11"/>
      <c r="E8" s="11"/>
      <c r="F8" s="11"/>
      <c r="G8" s="11"/>
      <c r="H8" s="11"/>
      <c r="I8" s="11"/>
      <c r="J8" s="11"/>
      <c r="K8" s="11"/>
      <c r="L8" s="11"/>
      <c r="M8" s="11"/>
    </row>
    <row r="9">
      <c r="A9" s="12" t="str">
        <f>'MSW9'!A9</f>
        <v>Week 9</v>
      </c>
      <c r="B9" s="13"/>
      <c r="C9" s="13"/>
      <c r="D9" s="13"/>
      <c r="E9" s="13"/>
      <c r="F9" s="14"/>
      <c r="G9" s="103" t="str">
        <f>'MSW9'!G9</f>
        <v/>
      </c>
      <c r="H9" s="24" t="s">
        <v>35</v>
      </c>
      <c r="I9" s="25"/>
      <c r="J9" s="25"/>
      <c r="K9" s="25"/>
      <c r="L9" s="25"/>
      <c r="M9" s="26"/>
    </row>
    <row r="10">
      <c r="A10" s="15" t="str">
        <f>'MSW9'!A10</f>
        <v>PRESS TO RECORD BODY WEIGHT</v>
      </c>
      <c r="B10" s="16"/>
      <c r="C10" s="16"/>
      <c r="D10" s="16"/>
      <c r="E10" s="16"/>
      <c r="F10" s="17"/>
      <c r="H10" s="27" t="s">
        <v>210</v>
      </c>
      <c r="M10" s="28"/>
    </row>
    <row r="11">
      <c r="A11" s="18"/>
      <c r="B11" s="13"/>
      <c r="C11" s="13"/>
      <c r="D11" s="13"/>
      <c r="E11" s="13"/>
      <c r="F11" s="14"/>
      <c r="H11" s="29" t="s">
        <v>211</v>
      </c>
      <c r="I11" s="30"/>
      <c r="J11" s="30"/>
      <c r="K11" s="30"/>
      <c r="L11" s="30"/>
      <c r="M11" s="31"/>
    </row>
    <row r="12">
      <c r="A12" s="19" t="str">
        <f>'MSW9'!A12</f>
        <v>This Weeks Goals</v>
      </c>
      <c r="B12" s="20"/>
      <c r="C12" s="20"/>
      <c r="D12" s="20"/>
      <c r="E12" s="20"/>
      <c r="F12" s="21"/>
      <c r="G12" s="103" t="str">
        <f>'MSW9'!G12</f>
        <v/>
      </c>
    </row>
    <row r="13">
      <c r="A13" s="22" t="str">
        <f>'MSW9'!A13</f>
        <v>Get mentally prepared to lift some heavy weights this week. Strive for bettering yourself and achieving those new max reps. Remember keep proper form during all reps or it doesn't really count. No Cheating! Happy lifting. </v>
      </c>
      <c r="B13" s="20"/>
      <c r="C13" s="20"/>
      <c r="D13" s="20"/>
      <c r="E13" s="20"/>
      <c r="F13" s="21"/>
    </row>
    <row r="14">
      <c r="A14" t="str">
        <f>'MSW9'!A14</f>
        <v/>
      </c>
      <c r="B14" t="str">
        <f>'MSW9'!B14</f>
        <v/>
      </c>
      <c r="C14" t="str">
        <f>'MSW9'!C14</f>
        <v/>
      </c>
      <c r="D14" t="str">
        <f>'MSW9'!D14</f>
        <v/>
      </c>
      <c r="E14" t="str">
        <f>'MSW9'!E14</f>
        <v/>
      </c>
      <c r="F14" t="str">
        <f>'MSW9'!F14</f>
        <v/>
      </c>
    </row>
    <row r="15">
      <c r="A15" s="51" t="str">
        <f>'MSW9'!A15</f>
        <v>CHEST &amp; BACK </v>
      </c>
      <c r="B15" s="36"/>
      <c r="C15" s="36"/>
      <c r="D15" s="36"/>
      <c r="E15" s="36"/>
      <c r="F15" s="37"/>
      <c r="G15" t="str">
        <f>'MSW9'!G15</f>
        <v/>
      </c>
      <c r="H15" s="51" t="str">
        <f>'MSW9'!H15</f>
        <v>CHEST &amp; BACK </v>
      </c>
      <c r="I15" s="36"/>
      <c r="J15" s="36"/>
      <c r="K15" s="36"/>
      <c r="L15" s="36"/>
      <c r="M15" s="37"/>
    </row>
    <row r="16">
      <c r="A16" s="93" t="str">
        <f>'MSW9'!A16</f>
        <v>1. BENCH PRESS</v>
      </c>
      <c r="B16" s="53"/>
      <c r="C16" s="53"/>
      <c r="D16" s="53"/>
      <c r="E16" s="53"/>
      <c r="F16" s="54"/>
      <c r="H16" s="93" t="str">
        <f>'MSW9'!H16</f>
        <v>1. DUMBELL INCLINE</v>
      </c>
      <c r="I16" s="53"/>
      <c r="J16" s="53"/>
      <c r="K16" s="53"/>
      <c r="L16" s="53"/>
      <c r="M16" s="54"/>
    </row>
    <row r="17">
      <c r="A17" s="226" t="str">
        <f>'MSW9'!A17</f>
        <v>CURRENT MAX</v>
      </c>
      <c r="B17" s="691">
        <f>'MSW9'!B17</f>
        <v>200</v>
      </c>
      <c r="C17" s="13"/>
      <c r="D17" s="13"/>
      <c r="E17" s="13"/>
      <c r="F17" s="57"/>
      <c r="H17" s="226" t="str">
        <f>'MSW9'!H17</f>
        <v>CURRENT MAX</v>
      </c>
      <c r="I17" s="691">
        <v>100.0</v>
      </c>
      <c r="J17" s="13"/>
      <c r="K17" s="13"/>
      <c r="L17" s="13"/>
      <c r="M17" s="57"/>
    </row>
    <row r="18">
      <c r="A18" s="96" t="str">
        <f>'MSW9'!A18</f>
        <v>SET</v>
      </c>
      <c r="B18" s="97" t="str">
        <f>'MSW9'!B18</f>
        <v>WEIGHT</v>
      </c>
      <c r="C18" s="97" t="str">
        <f>'MSW9'!C18</f>
        <v>REPS</v>
      </c>
      <c r="D18" s="97" t="str">
        <f>'MSW9'!D18</f>
        <v>REST</v>
      </c>
      <c r="E18" s="341" t="str">
        <f>'MSW9'!E18</f>
        <v>PREVIOUS</v>
      </c>
      <c r="F18" s="235" t="str">
        <f>'MSW9'!F18</f>
        <v>REP LOG</v>
      </c>
      <c r="H18" s="96" t="str">
        <f>'MSW9'!H18</f>
        <v>SET</v>
      </c>
      <c r="I18" s="97" t="str">
        <f>'MSW9'!I18</f>
        <v>WEIGHT</v>
      </c>
      <c r="J18" s="97" t="str">
        <f>'MSW9'!J18</f>
        <v>REPS</v>
      </c>
      <c r="K18" s="97" t="str">
        <f>'MSW9'!K18</f>
        <v>REST</v>
      </c>
      <c r="L18" s="341" t="str">
        <f>'MSW9'!L18</f>
        <v>PREVIOUS</v>
      </c>
      <c r="M18" s="235" t="str">
        <f>'MSW9'!M18</f>
        <v>REP LOG</v>
      </c>
    </row>
    <row r="19">
      <c r="A19" s="725">
        <f>'MSW9'!A19</f>
        <v>1</v>
      </c>
      <c r="B19" s="344">
        <f>'MSW9'!B19</f>
        <v>100</v>
      </c>
      <c r="C19" s="1250" t="str">
        <f>'MSW9'!C19</f>
        <v>REP OUT</v>
      </c>
      <c r="D19" s="1251" t="str">
        <f>'MSW9'!D19</f>
        <v>1.5 - 3MIN</v>
      </c>
      <c r="E19" s="727" t="str">
        <f>'MSW9'!E19</f>
        <v/>
      </c>
      <c r="F19" s="85"/>
      <c r="H19" s="342">
        <f>'MSW9'!H19</f>
        <v>1</v>
      </c>
      <c r="I19" s="344">
        <f>'MSW9'!I19</f>
        <v>50</v>
      </c>
      <c r="J19" s="1250" t="str">
        <f>'MSW9'!J19</f>
        <v>REP OUT</v>
      </c>
      <c r="K19" s="343" t="str">
        <f>'MSW9'!K19</f>
        <v>1 MIN</v>
      </c>
      <c r="L19" s="727" t="str">
        <f>'MSW9'!L19</f>
        <v/>
      </c>
      <c r="M19" s="85">
        <v>15.0</v>
      </c>
    </row>
    <row r="20">
      <c r="A20" s="725">
        <f>'MSW9'!A20</f>
        <v>2</v>
      </c>
      <c r="B20" s="344">
        <f>'MSW9'!B20</f>
        <v>100</v>
      </c>
      <c r="C20" s="1250" t="str">
        <f>'MSW9'!C20</f>
        <v>REP OUT</v>
      </c>
      <c r="D20" s="1251" t="str">
        <f>'MSW9'!D20</f>
        <v>1.5 - 3MIN</v>
      </c>
      <c r="E20" s="727" t="str">
        <f>'MSW9'!E20</f>
        <v/>
      </c>
      <c r="F20" s="85"/>
      <c r="H20" s="725">
        <f>'MSW9'!H20</f>
        <v>2</v>
      </c>
      <c r="I20" s="344">
        <f>'MSW9'!I20</f>
        <v>50</v>
      </c>
      <c r="J20" s="1250" t="str">
        <f>'MSW9'!J20</f>
        <v>REP OUT</v>
      </c>
      <c r="K20" s="343" t="str">
        <f>'MSW9'!K20</f>
        <v>1 MIN</v>
      </c>
      <c r="L20" s="727" t="str">
        <f>'MSW9'!L20</f>
        <v/>
      </c>
      <c r="M20" s="85">
        <v>15.0</v>
      </c>
    </row>
    <row r="21">
      <c r="A21" s="735">
        <f>'MSW9'!A21</f>
        <v>3</v>
      </c>
      <c r="B21" s="1252">
        <f>'MSW9'!B21</f>
        <v>100</v>
      </c>
      <c r="C21" s="1253" t="str">
        <f>'MSW9'!C21</f>
        <v>REP OUT</v>
      </c>
      <c r="D21" s="1254" t="str">
        <f>'MSW9'!D21</f>
        <v>1.5 - 3MIN</v>
      </c>
      <c r="E21" s="739" t="str">
        <f>'MSW9'!E21</f>
        <v/>
      </c>
      <c r="F21" s="330"/>
      <c r="H21" s="725">
        <f>'MSW9'!H21</f>
        <v>3</v>
      </c>
      <c r="I21" s="344">
        <f>'MSW9'!I21</f>
        <v>50</v>
      </c>
      <c r="J21" s="1250" t="str">
        <f>'MSW9'!J21</f>
        <v>REP OUT</v>
      </c>
      <c r="K21" s="343" t="str">
        <f>'MSW9'!K21</f>
        <v>1 MIN</v>
      </c>
      <c r="L21" s="727" t="str">
        <f>'MSW9'!L21</f>
        <v/>
      </c>
      <c r="M21" s="85">
        <v>15.0</v>
      </c>
    </row>
    <row r="22">
      <c r="A22" s="1281" t="str">
        <f>'MSW9'!A22</f>
        <v/>
      </c>
      <c r="B22" s="25"/>
      <c r="C22" s="25"/>
      <c r="D22" s="25"/>
      <c r="E22" s="25"/>
      <c r="F22" s="25"/>
      <c r="H22" s="725">
        <f>'MSW9'!H22</f>
        <v>4</v>
      </c>
      <c r="I22" s="344">
        <f>'MSW9'!I22</f>
        <v>50</v>
      </c>
      <c r="J22" s="1250" t="str">
        <f>'MSW9'!J22</f>
        <v>REP OUT</v>
      </c>
      <c r="K22" s="343" t="str">
        <f>'MSW9'!K22</f>
        <v>1 MIN</v>
      </c>
      <c r="L22" s="727" t="str">
        <f>'MSW9'!L22</f>
        <v/>
      </c>
      <c r="M22" s="85">
        <v>10.0</v>
      </c>
    </row>
    <row r="23">
      <c r="H23" s="725">
        <f>'MSW9'!H23</f>
        <v>5</v>
      </c>
      <c r="I23" s="344">
        <f>'MSW9'!I23</f>
        <v>50</v>
      </c>
      <c r="J23" s="1250" t="str">
        <f>'MSW9'!J23</f>
        <v>REP OUT</v>
      </c>
      <c r="K23" s="343" t="str">
        <f>'MSW9'!K23</f>
        <v>1 MIN</v>
      </c>
      <c r="L23" s="727" t="str">
        <f>'MSW9'!L23</f>
        <v/>
      </c>
      <c r="M23" s="85">
        <v>10.0</v>
      </c>
    </row>
    <row r="24">
      <c r="H24" s="753">
        <f>'MSW9'!H24</f>
        <v>6</v>
      </c>
      <c r="I24" s="754">
        <f>'MSW9'!I24</f>
        <v>50</v>
      </c>
      <c r="J24" s="1282" t="str">
        <f>'MSW9'!J24</f>
        <v>REP OUT</v>
      </c>
      <c r="K24" s="486" t="str">
        <f>'MSW9'!K24</f>
        <v>1 MIN</v>
      </c>
      <c r="L24" s="734" t="str">
        <f>'MSW9'!L24</f>
        <v/>
      </c>
      <c r="M24" s="85"/>
    </row>
    <row r="25">
      <c r="G25" t="str">
        <f>'MSW9'!G25</f>
        <v/>
      </c>
    </row>
    <row r="29">
      <c r="A29" s="73" t="str">
        <f>'MSW9'!A29</f>
        <v>2. LAT PULL DOWN</v>
      </c>
      <c r="B29" s="53"/>
      <c r="C29" s="53"/>
      <c r="D29" s="53"/>
      <c r="E29" s="53"/>
      <c r="F29" s="54"/>
    </row>
    <row r="30">
      <c r="A30" s="226" t="str">
        <f>'MSW9'!A30</f>
        <v>CURRENT MAX</v>
      </c>
      <c r="B30" s="227">
        <f>'MSW9'!B30</f>
        <v>270</v>
      </c>
      <c r="C30" s="20"/>
      <c r="D30" s="20"/>
      <c r="E30" s="20"/>
      <c r="F30" s="95"/>
    </row>
    <row r="31">
      <c r="A31" s="231" t="str">
        <f>'MSW9'!A31</f>
        <v>SET</v>
      </c>
      <c r="B31" s="232" t="str">
        <f>'MSW9'!B31</f>
        <v>WEIGHT</v>
      </c>
      <c r="C31" s="232" t="str">
        <f>'MSW9'!C31</f>
        <v>REPS</v>
      </c>
      <c r="D31" s="232" t="str">
        <f>'MSW9'!D31</f>
        <v>REST</v>
      </c>
      <c r="E31" s="233" t="str">
        <f>'MSW9'!E31</f>
        <v>PREVIOUS</v>
      </c>
      <c r="F31" s="286" t="str">
        <f>'MSW9'!F31</f>
        <v>REP LOG</v>
      </c>
    </row>
    <row r="32">
      <c r="A32" s="236">
        <f>'MSW9'!A32</f>
        <v>1</v>
      </c>
      <c r="B32" s="237">
        <f>'MSW9'!B32</f>
        <v>95</v>
      </c>
      <c r="C32" s="238">
        <f>'MSW9'!C32</f>
        <v>6</v>
      </c>
      <c r="D32" s="238" t="str">
        <f>'MSW9'!D32</f>
        <v>30s</v>
      </c>
      <c r="E32" s="66" t="str">
        <f>'MSW9'!E32</f>
        <v/>
      </c>
      <c r="F32" s="67"/>
    </row>
    <row r="33">
      <c r="A33" s="236">
        <f>'MSW9'!A33</f>
        <v>2</v>
      </c>
      <c r="B33" s="237">
        <f>'MSW9'!B33</f>
        <v>175</v>
      </c>
      <c r="C33" s="238">
        <f>'MSW9'!C33</f>
        <v>3</v>
      </c>
      <c r="D33" s="238" t="str">
        <f>'MSW9'!D33</f>
        <v>1-2 MIN</v>
      </c>
      <c r="E33" s="66" t="str">
        <f>'MSW9'!E33</f>
        <v/>
      </c>
      <c r="F33" s="67"/>
    </row>
    <row r="34">
      <c r="A34" s="242">
        <f>'MSW9'!A34</f>
        <v>3</v>
      </c>
      <c r="B34" s="237">
        <f>'MSW9'!B34</f>
        <v>245</v>
      </c>
      <c r="C34" s="63">
        <f>'MSW9'!C34</f>
        <v>2</v>
      </c>
      <c r="D34" s="238" t="str">
        <f>'MSW9'!D34</f>
        <v>1-2 MIN</v>
      </c>
      <c r="E34" s="66" t="str">
        <f>'MSW9'!E34</f>
        <v/>
      </c>
      <c r="F34" s="67"/>
    </row>
    <row r="35">
      <c r="A35" s="243">
        <f>'MSW9'!A35</f>
        <v>4</v>
      </c>
      <c r="B35" s="237">
        <f>'MSW9'!B35</f>
        <v>270</v>
      </c>
      <c r="C35" s="257">
        <f>'MSW9'!C35</f>
        <v>3</v>
      </c>
      <c r="D35" s="238" t="str">
        <f>'MSW9'!D35</f>
        <v>1-5 MIN</v>
      </c>
      <c r="E35" s="66" t="str">
        <f>'MSW9'!E35</f>
        <v/>
      </c>
      <c r="F35" s="665"/>
    </row>
    <row r="36">
      <c r="A36" s="246" t="str">
        <f>'MSW9'!A36</f>
        <v>PROCEED TO DOWN SETS</v>
      </c>
      <c r="B36" s="20"/>
      <c r="C36" s="20"/>
      <c r="D36" s="20"/>
      <c r="E36" s="20"/>
      <c r="F36" s="95"/>
    </row>
    <row r="37">
      <c r="A37" s="249" t="str">
        <f>'MSW9'!A37</f>
        <v/>
      </c>
      <c r="B37" s="175" t="str">
        <f>'MSW9'!B37</f>
        <v/>
      </c>
      <c r="C37" s="238" t="str">
        <f>'MSW9'!C37</f>
        <v/>
      </c>
      <c r="D37" s="238" t="str">
        <f>'MSW9'!D37</f>
        <v/>
      </c>
      <c r="E37" s="250" t="str">
        <f>'MSW9'!E37</f>
        <v/>
      </c>
      <c r="F37" s="271"/>
    </row>
    <row r="38">
      <c r="A38" s="259" t="str">
        <f>'MSW9'!A38</f>
        <v/>
      </c>
      <c r="B38" s="237" t="str">
        <f>'MSW9'!B38</f>
        <v/>
      </c>
      <c r="C38" s="257" t="str">
        <f>'MSW9'!C38</f>
        <v/>
      </c>
      <c r="D38" s="257" t="str">
        <f>'MSW9'!D38</f>
        <v/>
      </c>
      <c r="E38" s="258" t="str">
        <f>'MSW9'!E38</f>
        <v/>
      </c>
      <c r="F38" s="665"/>
    </row>
    <row r="39">
      <c r="A39" s="246" t="str">
        <f>'MSW9'!A39</f>
        <v>FILL OUT REP LOG FOR DOWN SETS</v>
      </c>
      <c r="B39" s="20"/>
      <c r="C39" s="20"/>
      <c r="D39" s="20"/>
      <c r="E39" s="20"/>
      <c r="F39" s="95"/>
    </row>
    <row r="40">
      <c r="A40" s="264" t="str">
        <f>'MSW9'!A40</f>
        <v/>
      </c>
      <c r="B40" s="265">
        <f>'MSW9'!B40</f>
        <v>0</v>
      </c>
      <c r="C40" s="266" t="str">
        <f>'MSW9'!C40</f>
        <v>REP OUT</v>
      </c>
      <c r="D40" s="267" t="str">
        <f>'MSW9'!D40</f>
        <v>1-3 MIN</v>
      </c>
      <c r="E40" s="268" t="str">
        <f>'MSW9'!E40</f>
        <v/>
      </c>
      <c r="F40" s="271"/>
    </row>
    <row r="41">
      <c r="A41" s="243" t="str">
        <f>'MSW9'!A41</f>
        <v/>
      </c>
      <c r="B41" s="237">
        <f>'MSW9'!B41</f>
        <v>0</v>
      </c>
      <c r="C41" s="245" t="str">
        <f>'MSW9'!C41</f>
        <v>REP OUT</v>
      </c>
      <c r="D41" s="65" t="str">
        <f>'MSW9'!D41</f>
        <v>1-3 MIN</v>
      </c>
      <c r="E41" s="258" t="str">
        <f>'MSW9'!E41</f>
        <v/>
      </c>
      <c r="F41" s="271"/>
    </row>
    <row r="42">
      <c r="A42" s="272" t="str">
        <f>'MSW9'!A42</f>
        <v>FINAL MAX</v>
      </c>
      <c r="B42" s="273" t="str">
        <f>'MSW9'!B42</f>
        <v/>
      </c>
      <c r="C42" s="11"/>
      <c r="D42" s="11"/>
      <c r="E42" s="11"/>
      <c r="F42" s="46"/>
    </row>
    <row r="43">
      <c r="A43" s="302" t="str">
        <f>'MSW9'!A43</f>
        <v/>
      </c>
    </row>
    <row r="45">
      <c r="A45" s="73" t="str">
        <f>'MSW9'!A45</f>
        <v>3. MACHINE LOW ROW</v>
      </c>
      <c r="B45" s="53"/>
      <c r="C45" s="53"/>
      <c r="D45" s="53"/>
      <c r="E45" s="53"/>
      <c r="F45" s="54"/>
    </row>
    <row r="46">
      <c r="A46" s="282" t="str">
        <f>'MSW9'!A46</f>
        <v>CURRENT MAX</v>
      </c>
      <c r="B46" s="56">
        <f>'MSW9'!B46</f>
        <v>270</v>
      </c>
      <c r="C46" s="13"/>
      <c r="D46" s="13"/>
      <c r="E46" s="13"/>
      <c r="F46" s="57"/>
    </row>
    <row r="47">
      <c r="A47" s="58" t="str">
        <f>'MSW9'!A47</f>
        <v>SET</v>
      </c>
      <c r="B47" s="59" t="str">
        <f>'MSW9'!B47</f>
        <v>WEIGHT</v>
      </c>
      <c r="C47" s="59" t="str">
        <f>'MSW9'!C47</f>
        <v>REPS</v>
      </c>
      <c r="D47" s="59" t="str">
        <f>'MSW9'!D47</f>
        <v>REST</v>
      </c>
      <c r="E47" s="60" t="str">
        <f>'MSW9'!E47</f>
        <v>PREVIOUS</v>
      </c>
      <c r="F47" s="286" t="str">
        <f>'MSW9'!F47</f>
        <v>REP LOG</v>
      </c>
    </row>
    <row r="48">
      <c r="A48" s="62">
        <f>'MSW9'!A48</f>
        <v>1</v>
      </c>
      <c r="B48" s="63">
        <f>'MSW9'!B48</f>
        <v>245</v>
      </c>
      <c r="C48" s="104" t="str">
        <f>'MSW9'!C48</f>
        <v>REP OUT</v>
      </c>
      <c r="D48" s="65" t="str">
        <f>'MSW9'!D48</f>
        <v>1 MIN</v>
      </c>
      <c r="E48" s="66" t="str">
        <f>'MSW9'!E48</f>
        <v/>
      </c>
      <c r="F48" s="67"/>
    </row>
    <row r="49">
      <c r="A49" s="62">
        <f>'MSW9'!A49</f>
        <v>2</v>
      </c>
      <c r="B49" s="63">
        <f>'MSW9'!B49</f>
        <v>215</v>
      </c>
      <c r="C49" s="104" t="str">
        <f>'MSW9'!C49</f>
        <v>REP OUT</v>
      </c>
      <c r="D49" s="65" t="str">
        <f>'MSW9'!D49</f>
        <v>1 MIN</v>
      </c>
      <c r="E49" s="66" t="str">
        <f>'MSW9'!E49</f>
        <v/>
      </c>
      <c r="F49" s="67"/>
    </row>
    <row r="50">
      <c r="A50" s="68">
        <f>'MSW9'!A50</f>
        <v>3</v>
      </c>
      <c r="B50" s="69">
        <f>'MSW9'!B50</f>
        <v>185</v>
      </c>
      <c r="C50" s="105" t="str">
        <f>'MSW9'!C50</f>
        <v>REP OUT</v>
      </c>
      <c r="D50" s="71" t="str">
        <f>'MSW9'!D50</f>
        <v>1 MIN</v>
      </c>
      <c r="E50" s="72" t="str">
        <f>'MSW9'!E50</f>
        <v/>
      </c>
      <c r="F50" s="67"/>
    </row>
    <row r="51">
      <c r="A51" s="103" t="str">
        <f>'MSW9'!A51</f>
        <v/>
      </c>
    </row>
    <row r="53">
      <c r="A53" s="73" t="str">
        <f>'MSW9'!A53</f>
        <v>4. MACHINE HIGH ROW</v>
      </c>
      <c r="B53" s="53"/>
      <c r="C53" s="53"/>
      <c r="D53" s="53"/>
      <c r="E53" s="53"/>
      <c r="F53" s="54"/>
    </row>
    <row r="54">
      <c r="A54" s="282" t="str">
        <f>'MSW9'!A54</f>
        <v>CURRENT MAX</v>
      </c>
      <c r="B54" s="56" t="str">
        <f>'MSW9'!B54</f>
        <v/>
      </c>
      <c r="C54" s="13"/>
      <c r="D54" s="13"/>
      <c r="E54" s="13"/>
      <c r="F54" s="57"/>
    </row>
    <row r="55">
      <c r="A55" s="58" t="str">
        <f>'MSW9'!A55</f>
        <v>SET</v>
      </c>
      <c r="B55" s="59" t="str">
        <f>'MSW9'!B55</f>
        <v>WEIGHT</v>
      </c>
      <c r="C55" s="59" t="str">
        <f>'MSW9'!C55</f>
        <v>REPS</v>
      </c>
      <c r="D55" s="59" t="str">
        <f>'MSW9'!D55</f>
        <v>REST</v>
      </c>
      <c r="E55" s="60" t="str">
        <f>'MSW9'!E55</f>
        <v>PREVIOUS</v>
      </c>
      <c r="F55" s="286" t="str">
        <f>'MSW9'!F55</f>
        <v>REP LOG</v>
      </c>
    </row>
    <row r="56">
      <c r="A56" s="62">
        <f>'MSW9'!A56</f>
        <v>1</v>
      </c>
      <c r="B56" s="63">
        <f>'MSW9'!B56</f>
        <v>0</v>
      </c>
      <c r="C56" s="104" t="str">
        <f>'MSW9'!C56</f>
        <v>REP OUT</v>
      </c>
      <c r="D56" s="65" t="str">
        <f>'MSW9'!D56</f>
        <v>1 MIN</v>
      </c>
      <c r="E56" s="66" t="str">
        <f>'MSW9'!E56</f>
        <v/>
      </c>
      <c r="F56" s="67"/>
    </row>
    <row r="57">
      <c r="A57" s="62">
        <f>'MSW9'!A57</f>
        <v>2</v>
      </c>
      <c r="B57" s="63">
        <f>'MSW9'!B57</f>
        <v>0</v>
      </c>
      <c r="C57" s="104" t="str">
        <f>'MSW9'!C57</f>
        <v>REP OUT</v>
      </c>
      <c r="D57" s="65" t="str">
        <f>'MSW9'!D57</f>
        <v>1 MIN</v>
      </c>
      <c r="E57" s="66" t="str">
        <f>'MSW9'!E57</f>
        <v/>
      </c>
      <c r="F57" s="67"/>
    </row>
    <row r="58">
      <c r="A58" s="68">
        <f>'MSW9'!A58</f>
        <v>3</v>
      </c>
      <c r="B58" s="87">
        <f>'MSW9'!B58</f>
        <v>0</v>
      </c>
      <c r="C58" s="105" t="str">
        <f>'MSW9'!C58</f>
        <v>REP OUT</v>
      </c>
      <c r="D58" s="309" t="str">
        <f>'MSW9'!D58</f>
        <v>1 MIN</v>
      </c>
      <c r="E58" s="72" t="str">
        <f>'MSW9'!E58</f>
        <v/>
      </c>
      <c r="F58" s="67"/>
    </row>
    <row r="59">
      <c r="A59" t="str">
        <f>'MSW9'!A59</f>
        <v/>
      </c>
    </row>
    <row r="61">
      <c r="A61" s="310" t="str">
        <f>'MSW9'!A61</f>
        <v>CLICK TO COMPLETE WORKOUT</v>
      </c>
      <c r="B61" s="36"/>
      <c r="C61" s="36"/>
      <c r="D61" s="36"/>
      <c r="E61" s="36"/>
      <c r="F61" s="37"/>
    </row>
    <row r="62">
      <c r="A62" t="str">
        <f>'MSW9'!A62</f>
        <v/>
      </c>
    </row>
    <row r="63">
      <c r="A63" s="224" t="str">
        <f>'MSW9'!A63</f>
        <v>DAY 2 </v>
      </c>
      <c r="B63" s="36"/>
      <c r="C63" s="36"/>
      <c r="D63" s="36"/>
      <c r="E63" s="36"/>
      <c r="F63" s="37"/>
    </row>
    <row r="66">
      <c r="A66" s="1261" t="str">
        <f>'MSW9'!A66</f>
        <v>1. MACHINE SQUAT</v>
      </c>
      <c r="B66" s="53"/>
      <c r="C66" s="53"/>
      <c r="D66" s="53"/>
      <c r="E66" s="53"/>
      <c r="F66" s="54"/>
    </row>
    <row r="67">
      <c r="A67" s="1283" t="str">
        <f>'MSW9'!A67</f>
        <v>10 REP MAX</v>
      </c>
      <c r="B67" s="1035">
        <f>'MSW9'!B67</f>
        <v>65</v>
      </c>
      <c r="C67" s="13"/>
      <c r="D67" s="13"/>
      <c r="E67" s="13"/>
      <c r="F67" s="57"/>
    </row>
    <row r="68">
      <c r="A68" s="231" t="str">
        <f>'MSW9'!A68</f>
        <v>SET</v>
      </c>
      <c r="B68" s="232" t="str">
        <f>'MSW9'!B68</f>
        <v>WEIGHT</v>
      </c>
      <c r="C68" s="232" t="str">
        <f>'MSW9'!C68</f>
        <v>REPS</v>
      </c>
      <c r="D68" s="232" t="str">
        <f>'MSW9'!D68</f>
        <v>REST</v>
      </c>
      <c r="E68" s="1073" t="str">
        <f>'MSW9'!E68</f>
        <v>PREVIOUS</v>
      </c>
      <c r="F68" s="1006"/>
    </row>
    <row r="69">
      <c r="A69" s="236">
        <f>'MSW9'!A69</f>
        <v>1</v>
      </c>
      <c r="B69" s="237">
        <f>'MSW9'!B69</f>
        <v>25</v>
      </c>
      <c r="C69" s="238">
        <f>'MSW9'!C69</f>
        <v>10</v>
      </c>
      <c r="D69" s="238" t="str">
        <f>'MSW9'!D69</f>
        <v>30s</v>
      </c>
      <c r="E69" s="1202" t="str">
        <f>'MSW9'!E69</f>
        <v/>
      </c>
      <c r="F69" s="1284"/>
    </row>
    <row r="70">
      <c r="A70" s="236">
        <f>'MSW9'!A70</f>
        <v>2</v>
      </c>
      <c r="B70" s="237">
        <f>'MSW9'!B70</f>
        <v>40</v>
      </c>
      <c r="C70" s="238">
        <f>'MSW9'!C70</f>
        <v>10</v>
      </c>
      <c r="D70" s="238" t="str">
        <f>'MSW9'!D70</f>
        <v>1-2 MIN</v>
      </c>
      <c r="E70" s="1202" t="str">
        <f>'MSW9'!E70</f>
        <v/>
      </c>
      <c r="F70" s="904"/>
    </row>
    <row r="71">
      <c r="A71" s="242">
        <f>'MSW9'!A71</f>
        <v>3</v>
      </c>
      <c r="B71" s="237">
        <f>'MSW9'!B71</f>
        <v>60</v>
      </c>
      <c r="C71" s="238">
        <f>'MSW9'!C71</f>
        <v>10</v>
      </c>
      <c r="D71" s="238" t="str">
        <f>'MSW9'!D71</f>
        <v>1-2 MIN</v>
      </c>
      <c r="E71" s="1202" t="str">
        <f>'MSW9'!E71</f>
        <v/>
      </c>
      <c r="F71" s="904"/>
    </row>
    <row r="72">
      <c r="A72" s="249">
        <f>'MSW9'!A72</f>
        <v>4</v>
      </c>
      <c r="B72" s="175">
        <f>'MSW9'!B72</f>
        <v>50</v>
      </c>
      <c r="C72" s="238">
        <f>'MSW9'!C72</f>
        <v>10</v>
      </c>
      <c r="D72" s="238" t="str">
        <f>'MSW9'!D72</f>
        <v>1-5 MIN</v>
      </c>
      <c r="E72" s="1263" t="str">
        <f>'MSW9'!E72</f>
        <v/>
      </c>
      <c r="F72" s="904"/>
    </row>
    <row r="73">
      <c r="A73" s="249">
        <f>'MSW9'!A73</f>
        <v>5</v>
      </c>
      <c r="B73" s="175">
        <f>'MSW9'!B73</f>
        <v>40</v>
      </c>
      <c r="C73" s="238">
        <f>'MSW9'!C73</f>
        <v>10</v>
      </c>
      <c r="D73" s="238" t="str">
        <f>'MSW9'!D73</f>
        <v>1-5 MIN</v>
      </c>
      <c r="E73" s="1104" t="str">
        <f>'MSW9'!E73</f>
        <v/>
      </c>
      <c r="F73" s="904"/>
    </row>
    <row r="74">
      <c r="A74" s="249">
        <f>'MSW9'!A74</f>
        <v>6</v>
      </c>
      <c r="B74" s="175">
        <f>'MSW9'!B74</f>
        <v>30</v>
      </c>
      <c r="C74" s="238">
        <f>'MSW9'!C74</f>
        <v>10</v>
      </c>
      <c r="D74" s="238" t="str">
        <f>'MSW9'!D74</f>
        <v>1-5 MIN</v>
      </c>
      <c r="E74" s="1104" t="str">
        <f>'MSW9'!E74</f>
        <v/>
      </c>
      <c r="F74" s="904"/>
    </row>
    <row r="75">
      <c r="A75" s="1038" t="str">
        <f>'MSW9'!A75</f>
        <v>7</v>
      </c>
      <c r="B75" s="175">
        <f>'MSW9'!B75</f>
        <v>25</v>
      </c>
      <c r="C75" s="238">
        <f>'MSW9'!C75</f>
        <v>10</v>
      </c>
      <c r="D75" s="238" t="str">
        <f>'MSW9'!D75</f>
        <v>1-5 MIN</v>
      </c>
      <c r="E75" s="1104" t="str">
        <f>'MSW9'!E75</f>
        <v/>
      </c>
      <c r="F75" s="905"/>
    </row>
    <row r="76">
      <c r="A76" s="272" t="str">
        <f>'MSW9'!A76</f>
        <v>8 REP MAX</v>
      </c>
      <c r="B76" s="1039">
        <f>'MSW9'!B76</f>
        <v>65</v>
      </c>
      <c r="C76" s="11"/>
      <c r="D76" s="11"/>
      <c r="E76" s="11"/>
      <c r="F76" s="46"/>
    </row>
    <row r="77">
      <c r="A77" s="1042" t="str">
        <f>'MSW9'!A77</f>
        <v/>
      </c>
    </row>
    <row r="79">
      <c r="A79" s="1285" t="str">
        <f>'MSW9'!A79</f>
        <v>2. LEG EXTENSION</v>
      </c>
      <c r="B79" s="53"/>
      <c r="C79" s="53"/>
      <c r="D79" s="53"/>
      <c r="E79" s="53"/>
      <c r="F79" s="54"/>
    </row>
    <row r="80">
      <c r="A80" s="1045" t="str">
        <f>'MSW9'!A80</f>
        <v>CURRENT MAX</v>
      </c>
      <c r="B80" s="1046">
        <f>'MSW9'!B80</f>
        <v>60</v>
      </c>
      <c r="C80" s="13"/>
      <c r="D80" s="13"/>
      <c r="E80" s="13"/>
      <c r="F80" s="57"/>
    </row>
    <row r="81">
      <c r="A81" s="567" t="str">
        <f>'MSW9'!A81</f>
        <v>SET</v>
      </c>
      <c r="B81" s="568" t="str">
        <f>'MSW9'!B81</f>
        <v>WEIGHT</v>
      </c>
      <c r="C81" s="568" t="str">
        <f>'MSW9'!C81</f>
        <v>REPS</v>
      </c>
      <c r="D81" s="568" t="str">
        <f>'MSW9'!D81</f>
        <v>REST</v>
      </c>
      <c r="E81" s="1047" t="str">
        <f>'MSW9'!E81</f>
        <v>PREVIOUS</v>
      </c>
      <c r="F81" s="1048" t="str">
        <f>'MSW9'!F81</f>
        <v>REP LOG</v>
      </c>
    </row>
    <row r="82">
      <c r="A82" s="1049">
        <f>'MSW9'!A82</f>
        <v>1</v>
      </c>
      <c r="B82" s="1050">
        <f>'MSW9'!B82</f>
        <v>60</v>
      </c>
      <c r="C82" s="1051" t="str">
        <f>'MSW9'!C82</f>
        <v>10 - 20</v>
      </c>
      <c r="D82" s="1052" t="str">
        <f>'MSW9'!D82</f>
        <v>1 MIN</v>
      </c>
      <c r="E82" s="1010" t="str">
        <f>'MSW9'!E82</f>
        <v/>
      </c>
      <c r="F82" s="1011"/>
    </row>
    <row r="83">
      <c r="A83" s="1049">
        <f>'MSW9'!A83</f>
        <v>2</v>
      </c>
      <c r="B83" s="1050">
        <f>'MSW9'!B83</f>
        <v>50</v>
      </c>
      <c r="C83" s="1051" t="str">
        <f>'MSW9'!C83</f>
        <v>10 - 20</v>
      </c>
      <c r="D83" s="1052" t="str">
        <f>'MSW9'!D83</f>
        <v>1 MIN</v>
      </c>
      <c r="E83" s="1010" t="str">
        <f>'MSW9'!E83</f>
        <v/>
      </c>
      <c r="F83" s="1011"/>
    </row>
    <row r="84">
      <c r="A84" s="1053">
        <f>'MSW9'!A84</f>
        <v>3</v>
      </c>
      <c r="B84" s="1054">
        <f>'MSW9'!B84</f>
        <v>40</v>
      </c>
      <c r="C84" s="1055" t="str">
        <f>'MSW9'!C84</f>
        <v>10 - 20</v>
      </c>
      <c r="D84" s="1056" t="str">
        <f>'MSW9'!D84</f>
        <v>1 MIN</v>
      </c>
      <c r="E84" s="1021" t="str">
        <f>'MSW9'!E84</f>
        <v/>
      </c>
      <c r="F84" s="1011"/>
    </row>
    <row r="85">
      <c r="A85" t="str">
        <f>'MSW9'!A85</f>
        <v/>
      </c>
    </row>
    <row r="87">
      <c r="A87" s="323" t="str">
        <f>'MSW9'!A87</f>
        <v>4. MACHINE LEG CURL</v>
      </c>
      <c r="B87" s="53"/>
      <c r="C87" s="53"/>
      <c r="D87" s="53"/>
      <c r="E87" s="53"/>
      <c r="F87" s="54"/>
      <c r="G87" s="141" t="str">
        <f>'MSW9'!G87</f>
        <v/>
      </c>
      <c r="H87" s="323" t="str">
        <f>'MSW9'!H87</f>
        <v>4. PRONE LEG CURL</v>
      </c>
      <c r="I87" s="53"/>
      <c r="J87" s="53"/>
      <c r="K87" s="53"/>
      <c r="L87" s="53"/>
      <c r="M87" s="53"/>
    </row>
    <row r="88">
      <c r="A88" s="1045" t="str">
        <f>'MSW9'!A88</f>
        <v>CURRENT MAX</v>
      </c>
      <c r="B88" s="1046">
        <f>'MSW9'!B88</f>
        <v>75</v>
      </c>
      <c r="C88" s="13"/>
      <c r="D88" s="13"/>
      <c r="E88" s="13"/>
      <c r="F88" s="57"/>
      <c r="H88" s="1045" t="str">
        <f>'MSW9'!H88</f>
        <v>CURRENT MAX</v>
      </c>
      <c r="I88" s="1046">
        <f>'MSW9'!I88</f>
        <v>75</v>
      </c>
      <c r="J88" s="13"/>
      <c r="K88" s="13"/>
      <c r="L88" s="13"/>
      <c r="M88" s="13"/>
    </row>
    <row r="89">
      <c r="A89" s="567" t="str">
        <f>'MSW9'!A89</f>
        <v>SET</v>
      </c>
      <c r="B89" s="568" t="str">
        <f>'MSW9'!B89</f>
        <v>WEIGHT</v>
      </c>
      <c r="C89" s="568" t="str">
        <f>'MSW9'!C89</f>
        <v>REPS</v>
      </c>
      <c r="D89" s="568" t="str">
        <f>'MSW9'!D89</f>
        <v>REST</v>
      </c>
      <c r="E89" s="1047" t="str">
        <f>'MSW9'!E89</f>
        <v>PREVIOUS</v>
      </c>
      <c r="F89" s="1048" t="str">
        <f>'MSW9'!F89</f>
        <v>REP LOG</v>
      </c>
      <c r="H89" s="567" t="str">
        <f>'MSW9'!H89</f>
        <v>SET</v>
      </c>
      <c r="I89" s="568" t="str">
        <f>'MSW9'!I89</f>
        <v>WEIGHT</v>
      </c>
      <c r="J89" s="568" t="str">
        <f>'MSW9'!J89</f>
        <v>REPS</v>
      </c>
      <c r="K89" s="568" t="str">
        <f>'MSW9'!K89</f>
        <v>REST</v>
      </c>
      <c r="L89" s="1047" t="str">
        <f>'MSW9'!L89</f>
        <v>PREVIOUS</v>
      </c>
      <c r="M89" s="1048" t="str">
        <f>'MSW9'!M89</f>
        <v>REP LOG</v>
      </c>
    </row>
    <row r="90">
      <c r="A90" s="1049">
        <f>'MSW9'!A90</f>
        <v>1</v>
      </c>
      <c r="B90" s="1050">
        <f>'MSW9'!B90</f>
        <v>75</v>
      </c>
      <c r="C90" s="1051" t="str">
        <f>'MSW9'!C90</f>
        <v>10 - 20</v>
      </c>
      <c r="D90" s="1052" t="str">
        <f>'MSW9'!D90</f>
        <v>1 MIN</v>
      </c>
      <c r="E90" s="1010" t="str">
        <f>'MSW9'!E90</f>
        <v/>
      </c>
      <c r="F90" s="1011"/>
      <c r="G90" s="434" t="str">
        <f>'MSW9'!G90</f>
        <v>ALTERNATE</v>
      </c>
      <c r="H90" s="1049">
        <f>'MSW9'!H90</f>
        <v>1</v>
      </c>
      <c r="I90" s="1050">
        <f>'MSW9'!I90</f>
        <v>75</v>
      </c>
      <c r="J90" s="1051" t="str">
        <f>'MSW9'!J90</f>
        <v>10 - 20</v>
      </c>
      <c r="K90" s="1052" t="str">
        <f>'MSW9'!K90</f>
        <v>1 MIN</v>
      </c>
      <c r="L90" s="1010" t="str">
        <f>'MSW9'!L90</f>
        <v/>
      </c>
      <c r="M90" s="1011"/>
    </row>
    <row r="91">
      <c r="A91" s="1049">
        <f>'MSW9'!A91</f>
        <v>2</v>
      </c>
      <c r="B91" s="1050">
        <f>'MSW9'!B91</f>
        <v>60</v>
      </c>
      <c r="C91" s="1051" t="str">
        <f>'MSW9'!C91</f>
        <v>10 - 20</v>
      </c>
      <c r="D91" s="1052" t="str">
        <f>'MSW9'!D91</f>
        <v>1 MIN</v>
      </c>
      <c r="E91" s="1010" t="str">
        <f>'MSW9'!E91</f>
        <v/>
      </c>
      <c r="F91" s="1011"/>
      <c r="H91" s="1049">
        <f>'MSW9'!H91</f>
        <v>2</v>
      </c>
      <c r="I91" s="1050">
        <f>'MSW9'!I91</f>
        <v>60</v>
      </c>
      <c r="J91" s="1051" t="str">
        <f>'MSW9'!J91</f>
        <v>10 - 20</v>
      </c>
      <c r="K91" s="1052" t="str">
        <f>'MSW9'!K91</f>
        <v>1 MIN</v>
      </c>
      <c r="L91" s="1010" t="str">
        <f>'MSW9'!L91</f>
        <v/>
      </c>
      <c r="M91" s="1011"/>
    </row>
    <row r="92">
      <c r="A92" s="1053">
        <f>'MSW9'!A92</f>
        <v>3</v>
      </c>
      <c r="B92" s="1054">
        <f>'MSW9'!B92</f>
        <v>50</v>
      </c>
      <c r="C92" s="1055" t="str">
        <f>'MSW9'!C92</f>
        <v>10 - 20</v>
      </c>
      <c r="D92" s="1056" t="str">
        <f>'MSW9'!D92</f>
        <v>1 MIN</v>
      </c>
      <c r="E92" s="1021" t="str">
        <f>'MSW9'!E92</f>
        <v/>
      </c>
      <c r="F92" s="1011"/>
      <c r="G92" s="682" t="str">
        <f>'MSW9'!G92</f>
        <v/>
      </c>
      <c r="H92" s="1053">
        <f>'MSW9'!H92</f>
        <v>3</v>
      </c>
      <c r="I92" s="1054">
        <f>'MSW9'!I92</f>
        <v>50</v>
      </c>
      <c r="J92" s="1055" t="str">
        <f>'MSW9'!J92</f>
        <v>10 - 20</v>
      </c>
      <c r="K92" s="1056" t="str">
        <f>'MSW9'!K92</f>
        <v>1 MIN</v>
      </c>
      <c r="L92" s="1021" t="str">
        <f>'MSW9'!L92</f>
        <v/>
      </c>
      <c r="M92" s="1011"/>
    </row>
    <row r="93">
      <c r="A93" s="849" t="str">
        <f>'MSW9'!A93</f>
        <v/>
      </c>
      <c r="G93" s="849" t="str">
        <f>'MSW9'!H93</f>
        <v/>
      </c>
    </row>
    <row r="94">
      <c r="A94" s="310" t="str">
        <f>'MSW9'!A94</f>
        <v>CLICK TO COMPLETE WORKOUT</v>
      </c>
      <c r="B94" s="36"/>
      <c r="C94" s="36"/>
      <c r="D94" s="36"/>
      <c r="E94" s="36"/>
      <c r="F94" s="37"/>
    </row>
    <row r="95">
      <c r="A95" t="str">
        <f>'MSW9'!A95</f>
        <v/>
      </c>
    </row>
    <row r="96">
      <c r="A96" s="1120" t="str">
        <f>'MSW9'!A96</f>
        <v>DAY 3</v>
      </c>
      <c r="B96" s="36"/>
      <c r="C96" s="36"/>
      <c r="D96" s="36"/>
      <c r="E96" s="36"/>
      <c r="F96" s="37"/>
    </row>
    <row r="97">
      <c r="A97" t="str">
        <f>'MSW9'!A97</f>
        <v/>
      </c>
    </row>
    <row r="99">
      <c r="A99" s="51" t="str">
        <f>'MSW9'!A99</f>
        <v>SHOULDERS &amp; ARMS</v>
      </c>
      <c r="B99" s="36"/>
      <c r="C99" s="36"/>
      <c r="D99" s="36"/>
      <c r="E99" s="36"/>
      <c r="F99" s="37"/>
      <c r="G99" t="str">
        <f>'MSW9'!G99</f>
        <v/>
      </c>
      <c r="H99" s="51" t="str">
        <f>'MSW9'!H99</f>
        <v>SHOULDERS &amp; ARMS</v>
      </c>
      <c r="I99" s="36"/>
      <c r="J99" s="36"/>
      <c r="K99" s="36"/>
      <c r="L99" s="36"/>
      <c r="M99" s="37"/>
    </row>
    <row r="100">
      <c r="A100" s="504" t="str">
        <f>'MSW9'!A100</f>
        <v>1. SHOULDER PRESS</v>
      </c>
      <c r="B100" s="53"/>
      <c r="C100" s="53"/>
      <c r="D100" s="53"/>
      <c r="E100" s="53"/>
      <c r="F100" s="54"/>
      <c r="H100" s="778" t="str">
        <f>'MSW9'!H100</f>
        <v>1. MACHINE SHOULDER PRESS</v>
      </c>
      <c r="I100" s="53"/>
      <c r="J100" s="53"/>
      <c r="K100" s="53"/>
      <c r="L100" s="53"/>
      <c r="M100" s="54"/>
    </row>
    <row r="101">
      <c r="A101" s="589" t="str">
        <f>'MSW9'!A101</f>
        <v>CURRENT MAX</v>
      </c>
      <c r="B101" s="227">
        <f>'MSW9'!B101</f>
        <v>85</v>
      </c>
      <c r="C101" s="20"/>
      <c r="D101" s="20"/>
      <c r="E101" s="20"/>
      <c r="F101" s="95"/>
      <c r="H101" s="589" t="str">
        <f>'MSW9'!H101</f>
        <v>CURRENT MAX</v>
      </c>
      <c r="I101" s="227">
        <f>'WEEK 8'!I97</f>
        <v>150</v>
      </c>
      <c r="J101" s="20"/>
      <c r="K101" s="20"/>
      <c r="L101" s="20"/>
      <c r="M101" s="95"/>
    </row>
    <row r="102">
      <c r="A102" s="364" t="str">
        <f>'MSW9'!A102</f>
        <v>SET</v>
      </c>
      <c r="B102" s="365" t="str">
        <f>'MSW9'!B102</f>
        <v>WEIGHT</v>
      </c>
      <c r="C102" s="365" t="str">
        <f>'MSW9'!C102</f>
        <v>REPS</v>
      </c>
      <c r="D102" s="365" t="str">
        <f>'MSW9'!D102</f>
        <v>REST</v>
      </c>
      <c r="E102" s="609" t="str">
        <f>'MSW9'!E102</f>
        <v>PREVIOUS</v>
      </c>
      <c r="F102" s="61" t="str">
        <f>'MSW9'!F102</f>
        <v>REP LOG</v>
      </c>
      <c r="H102" s="364" t="str">
        <f>'MSW9'!H102</f>
        <v>SET</v>
      </c>
      <c r="I102" s="365" t="str">
        <f>'MSW9'!I102</f>
        <v>WEIGHT</v>
      </c>
      <c r="J102" s="365" t="str">
        <f>'MSW9'!J102</f>
        <v>REPS</v>
      </c>
      <c r="K102" s="365" t="str">
        <f>'MSW9'!K102</f>
        <v>REST</v>
      </c>
      <c r="L102" s="609" t="str">
        <f>'MSW9'!L102</f>
        <v>PREVIOUS</v>
      </c>
      <c r="M102" s="61" t="str">
        <f>'MSW9'!M102</f>
        <v>REP LOG</v>
      </c>
    </row>
    <row r="103">
      <c r="A103" s="236">
        <f>'MSW9'!A103</f>
        <v>1</v>
      </c>
      <c r="B103" s="237">
        <f>'MSW9'!B103</f>
        <v>35</v>
      </c>
      <c r="C103" s="237">
        <f>'MSW9'!C103</f>
        <v>6</v>
      </c>
      <c r="D103" s="238" t="str">
        <f>'MSW9'!D103</f>
        <v>30s</v>
      </c>
      <c r="E103" s="66" t="str">
        <f>'MSW9'!E103</f>
        <v/>
      </c>
      <c r="F103" s="67"/>
      <c r="H103" s="236">
        <f>'MSW9'!H103</f>
        <v>1</v>
      </c>
      <c r="I103" s="237">
        <f>'MSW9'!I103</f>
        <v>30</v>
      </c>
      <c r="J103" s="237">
        <f>'MSW9'!J103</f>
        <v>6</v>
      </c>
      <c r="K103" s="238" t="str">
        <f>'MSW9'!K103</f>
        <v>30s</v>
      </c>
      <c r="L103" s="66" t="str">
        <f>'MSW9'!L103</f>
        <v/>
      </c>
      <c r="M103" s="67"/>
    </row>
    <row r="104">
      <c r="A104" s="236">
        <f>'MSW9'!A104</f>
        <v>2</v>
      </c>
      <c r="B104" s="237">
        <f>'MSW9'!B104</f>
        <v>55</v>
      </c>
      <c r="C104" s="237">
        <f>'MSW9'!C104</f>
        <v>1</v>
      </c>
      <c r="D104" s="238" t="str">
        <f>'MSW9'!D104</f>
        <v>1 MIN</v>
      </c>
      <c r="E104" s="66" t="str">
        <f>'MSW9'!E104</f>
        <v/>
      </c>
      <c r="F104" s="67"/>
      <c r="H104" s="236">
        <f>'MSW9'!H104</f>
        <v>2</v>
      </c>
      <c r="I104" s="237">
        <f>'MSW9'!I104</f>
        <v>100</v>
      </c>
      <c r="J104" s="237">
        <f>'MSW9'!J104</f>
        <v>1</v>
      </c>
      <c r="K104" s="238" t="str">
        <f>'MSW9'!K104</f>
        <v>1 MIN</v>
      </c>
      <c r="L104" s="66" t="str">
        <f>'MSW9'!L104</f>
        <v/>
      </c>
      <c r="M104" s="67"/>
    </row>
    <row r="105">
      <c r="A105" s="779">
        <f>'MSW9'!A105</f>
        <v>4</v>
      </c>
      <c r="B105" s="780">
        <f>'MSW9'!B105</f>
        <v>70</v>
      </c>
      <c r="C105" s="781" t="str">
        <f>'MSW9'!C105</f>
        <v>REP OUT</v>
      </c>
      <c r="D105" s="782" t="str">
        <f>'MSW9'!D105</f>
        <v>1 MIN</v>
      </c>
      <c r="E105" s="783" t="str">
        <f>'MSW9'!E105</f>
        <v/>
      </c>
      <c r="F105" s="1286"/>
      <c r="H105" s="779">
        <f>'MSW9'!H105</f>
        <v>4</v>
      </c>
      <c r="I105" s="780">
        <f>'MSW9'!I105</f>
        <v>130</v>
      </c>
      <c r="J105" s="781" t="str">
        <f>'MSW9'!J105</f>
        <v>REP OUT</v>
      </c>
      <c r="K105" s="782" t="str">
        <f>'MSW9'!K105</f>
        <v>1 MIN</v>
      </c>
      <c r="L105" s="783" t="str">
        <f>'MSW9'!L105</f>
        <v/>
      </c>
      <c r="M105" s="1286"/>
    </row>
    <row r="106">
      <c r="A106" s="785">
        <f>'MSW9'!A106</f>
        <v>5</v>
      </c>
      <c r="B106" s="388">
        <f>'MSW9'!B106</f>
        <v>60</v>
      </c>
      <c r="C106" s="781" t="str">
        <f>'MSW9'!C106</f>
        <v>REP OUT</v>
      </c>
      <c r="D106" s="390" t="str">
        <f>'MSW9'!D106</f>
        <v>1 MIN</v>
      </c>
      <c r="E106" s="786" t="str">
        <f>'MSW9'!E106</f>
        <v/>
      </c>
      <c r="F106" s="1287"/>
      <c r="H106" s="785">
        <f>'MSW9'!H106</f>
        <v>5</v>
      </c>
      <c r="I106" s="388">
        <f>'MSW9'!I106</f>
        <v>110</v>
      </c>
      <c r="J106" s="781" t="str">
        <f>'MSW9'!J106</f>
        <v>REP OUT</v>
      </c>
      <c r="K106" s="390" t="str">
        <f>'MSW9'!K106</f>
        <v>1 MIN</v>
      </c>
      <c r="L106" s="786" t="str">
        <f>'MSW9'!L106</f>
        <v/>
      </c>
      <c r="M106" s="1288" t="str">
        <f>'MSW9'!M106</f>
        <v/>
      </c>
    </row>
    <row r="107">
      <c r="A107" s="787">
        <f>'MSW9'!A107</f>
        <v>6</v>
      </c>
      <c r="B107" s="788">
        <f>'MSW9'!B107</f>
        <v>50</v>
      </c>
      <c r="C107" s="789" t="str">
        <f>'MSW9'!C107</f>
        <v>REP OUT</v>
      </c>
      <c r="D107" s="397" t="str">
        <f>'MSW9'!D107</f>
        <v>1 MIN</v>
      </c>
      <c r="E107" s="790" t="str">
        <f>'MSW9'!E107</f>
        <v/>
      </c>
      <c r="F107" s="1288"/>
      <c r="H107" s="787">
        <f>'MSW9'!H107</f>
        <v>6</v>
      </c>
      <c r="I107" s="788">
        <f>'MSW9'!I107</f>
        <v>90</v>
      </c>
      <c r="J107" s="789" t="str">
        <f>'MSW9'!J107</f>
        <v>REP OUT</v>
      </c>
      <c r="K107" s="397" t="str">
        <f>'MSW9'!K107</f>
        <v>1 MIN</v>
      </c>
      <c r="L107" s="790" t="str">
        <f>'MSW9'!L107</f>
        <v/>
      </c>
      <c r="M107" s="1288" t="str">
        <f>'MSW9'!M107</f>
        <v/>
      </c>
    </row>
    <row r="108">
      <c r="A108" s="623" t="str">
        <f>'MSW9'!A108</f>
        <v/>
      </c>
    </row>
    <row r="110">
      <c r="A110" s="1217" t="str">
        <f>'MSW9'!A110</f>
        <v>2. DUMBBELL REAR DELT FLY </v>
      </c>
      <c r="B110" s="53"/>
      <c r="C110" s="53"/>
      <c r="D110" s="53"/>
      <c r="E110" s="53"/>
      <c r="F110" s="54"/>
      <c r="G110" t="str">
        <f>'MSW9'!G110</f>
        <v/>
      </c>
      <c r="H110" s="1289" t="str">
        <f>'MSW9'!H110</f>
        <v>2. MACHINE REAR DELT FLY</v>
      </c>
      <c r="I110" s="53"/>
      <c r="J110" s="53"/>
      <c r="K110" s="53"/>
      <c r="L110" s="53"/>
      <c r="M110" s="54"/>
    </row>
    <row r="111">
      <c r="A111" s="961" t="str">
        <f>'MSW9'!A111</f>
        <v>SHLDR PRSS MAX</v>
      </c>
      <c r="B111" s="76">
        <f>'MSW9'!B111</f>
        <v>85</v>
      </c>
      <c r="C111" s="13"/>
      <c r="D111" s="13"/>
      <c r="E111" s="13"/>
      <c r="F111" s="57"/>
      <c r="H111" s="961" t="str">
        <f>'MSW9'!H111</f>
        <v>CURRENT MAX</v>
      </c>
      <c r="I111" s="76">
        <f>'MSW9'!I111</f>
        <v>60</v>
      </c>
      <c r="J111" s="13"/>
      <c r="K111" s="13"/>
      <c r="L111" s="13"/>
      <c r="M111" s="57"/>
    </row>
    <row r="112">
      <c r="A112" s="962" t="str">
        <f>'MSW9'!A112</f>
        <v>SET</v>
      </c>
      <c r="B112" s="963" t="str">
        <f>'MSW9'!B112</f>
        <v>WEIGHT</v>
      </c>
      <c r="C112" s="963" t="str">
        <f>'MSW9'!C112</f>
        <v>REPS</v>
      </c>
      <c r="D112" s="963" t="str">
        <f>'MSW9'!D112</f>
        <v>REST</v>
      </c>
      <c r="E112" s="1005" t="str">
        <f>'MSW9'!E112</f>
        <v>PREVIOUS</v>
      </c>
      <c r="F112" s="1006" t="str">
        <f>'MSW9'!F112</f>
        <v>REP LOG</v>
      </c>
      <c r="H112" s="962" t="str">
        <f>'MSW9'!H112</f>
        <v>SET</v>
      </c>
      <c r="I112" s="963" t="str">
        <f>'MSW9'!I112</f>
        <v>WEIGHT</v>
      </c>
      <c r="J112" s="963" t="str">
        <f>'MSW9'!J112</f>
        <v>REPS</v>
      </c>
      <c r="K112" s="963" t="str">
        <f>'MSW9'!K112</f>
        <v>REST</v>
      </c>
      <c r="L112" s="1073" t="str">
        <f>'MSW9'!L112</f>
        <v>PREVIOUS</v>
      </c>
      <c r="M112" s="1006" t="str">
        <f>'MSW9'!M112</f>
        <v>REP LOG</v>
      </c>
    </row>
    <row r="113">
      <c r="A113" s="967">
        <f>'MSW9'!A113</f>
        <v>1</v>
      </c>
      <c r="B113" s="1028">
        <f>'MSW9'!B113</f>
        <v>17.5</v>
      </c>
      <c r="C113" s="1269" t="str">
        <f>'MSW9'!C113</f>
        <v>10 - 15</v>
      </c>
      <c r="D113" s="1067" t="str">
        <f>'MSW9'!D113</f>
        <v>1-5 MIN</v>
      </c>
      <c r="E113" s="1010" t="str">
        <f>'MSW9'!E113</f>
        <v/>
      </c>
      <c r="F113" s="1011"/>
      <c r="H113" s="967">
        <f>'MSW9'!H113</f>
        <v>1</v>
      </c>
      <c r="I113" s="1028">
        <f>'MSW9'!I113</f>
        <v>60</v>
      </c>
      <c r="J113" s="968" t="str">
        <f>'MSW9'!J113</f>
        <v>10 - 15</v>
      </c>
      <c r="K113" s="968" t="str">
        <f>'MSW9'!K113</f>
        <v>1-2 MIN</v>
      </c>
      <c r="L113" s="1235" t="str">
        <f>'MSW9'!L113</f>
        <v/>
      </c>
      <c r="M113" s="1011"/>
    </row>
    <row r="114">
      <c r="A114" s="967">
        <f>'MSW9'!A114</f>
        <v>2</v>
      </c>
      <c r="B114" s="1028">
        <f>'MSW9'!B114</f>
        <v>15</v>
      </c>
      <c r="C114" s="1269" t="str">
        <f>'MSW9'!C114</f>
        <v>10 - 15</v>
      </c>
      <c r="D114" s="1067" t="str">
        <f>'MSW9'!D114</f>
        <v>1-5 MIN</v>
      </c>
      <c r="E114" s="1010" t="str">
        <f>'MSW9'!E114</f>
        <v/>
      </c>
      <c r="F114" s="1011"/>
      <c r="H114" s="967">
        <f>'MSW9'!H114</f>
        <v>2</v>
      </c>
      <c r="I114" s="1028">
        <f>'MSW9'!I114</f>
        <v>50</v>
      </c>
      <c r="J114" s="968" t="str">
        <f>'MSW9'!J114</f>
        <v>10 - 15</v>
      </c>
      <c r="K114" s="968" t="str">
        <f>'MSW9'!K114</f>
        <v>1-2 MIN</v>
      </c>
      <c r="L114" s="1235" t="str">
        <f>'MSW9'!L114</f>
        <v/>
      </c>
      <c r="M114" s="1011"/>
    </row>
    <row r="115">
      <c r="A115" s="971">
        <f>'MSW9'!A115</f>
        <v>3</v>
      </c>
      <c r="B115" s="1123">
        <f>'MSW9'!B115</f>
        <v>10</v>
      </c>
      <c r="C115" s="1270" t="str">
        <f>'MSW9'!C115</f>
        <v>10 - 15</v>
      </c>
      <c r="D115" s="1220" t="str">
        <f>'MSW9'!D115</f>
        <v>1-5 MIN</v>
      </c>
      <c r="E115" s="1021" t="str">
        <f>'MSW9'!E115</f>
        <v/>
      </c>
      <c r="F115" s="1017" t="str">
        <f>'MSW9'!F115</f>
        <v/>
      </c>
      <c r="H115" s="971">
        <f>'MSW9'!H115</f>
        <v>3</v>
      </c>
      <c r="I115" s="1123">
        <f>'MSW9'!I115</f>
        <v>40</v>
      </c>
      <c r="J115" s="972" t="str">
        <f>'MSW9'!J115</f>
        <v>10 - 15</v>
      </c>
      <c r="K115" s="972" t="str">
        <f>'MSW9'!K115</f>
        <v>1-2 MIN</v>
      </c>
      <c r="L115" s="1271" t="str">
        <f>'MSW9'!L115</f>
        <v/>
      </c>
      <c r="M115" s="1017" t="str">
        <f>'MSW9'!M115</f>
        <v/>
      </c>
    </row>
    <row r="116">
      <c r="A116" s="1068" t="str">
        <f>'MSW9'!A116</f>
        <v/>
      </c>
      <c r="G116" t="str">
        <f>'MSW9'!G116</f>
        <v/>
      </c>
    </row>
    <row r="118">
      <c r="A118" s="1070" t="str">
        <f>'MSW9'!A118</f>
        <v>3. DUMBBELL SIDE LATERAL RAISE</v>
      </c>
      <c r="B118" s="13"/>
      <c r="C118" s="13"/>
      <c r="D118" s="13"/>
      <c r="E118" s="13"/>
      <c r="F118" s="57"/>
    </row>
    <row r="119">
      <c r="A119" s="961" t="str">
        <f>'MSW9'!A119</f>
        <v>SHLDR PRSS MAX</v>
      </c>
      <c r="B119" s="76">
        <f>'MSW9'!B119</f>
        <v>85</v>
      </c>
      <c r="C119" s="13"/>
      <c r="D119" s="13"/>
      <c r="E119" s="13"/>
      <c r="F119" s="57"/>
    </row>
    <row r="120">
      <c r="A120" s="1071" t="str">
        <f>'MSW9'!A120</f>
        <v>SET</v>
      </c>
      <c r="B120" s="1072" t="str">
        <f>'MSW9'!B120</f>
        <v>WEIGHT</v>
      </c>
      <c r="C120" s="1072" t="str">
        <f>'MSW9'!C120</f>
        <v>REPS</v>
      </c>
      <c r="D120" s="1072" t="str">
        <f>'MSW9'!D120</f>
        <v>REST</v>
      </c>
      <c r="E120" s="1073" t="str">
        <f>'MSW9'!E120</f>
        <v>PREVIOUS</v>
      </c>
      <c r="F120" s="1006" t="str">
        <f>'MSW9'!F120</f>
        <v>REP LOG</v>
      </c>
    </row>
    <row r="121">
      <c r="A121" s="1074">
        <f>'MSW9'!A121</f>
        <v>1</v>
      </c>
      <c r="B121" s="968">
        <f>'MSW9'!B121</f>
        <v>15</v>
      </c>
      <c r="C121" s="1015" t="str">
        <f>'MSW9'!C121</f>
        <v>10 - 15</v>
      </c>
      <c r="D121" s="1076" t="str">
        <f>'MSW9'!D121</f>
        <v>1 MIN</v>
      </c>
      <c r="E121" s="1077" t="str">
        <f>'MSW9'!E121</f>
        <v/>
      </c>
      <c r="F121" s="1011"/>
    </row>
    <row r="122">
      <c r="A122" s="1074">
        <f>'MSW9'!A122</f>
        <v>2</v>
      </c>
      <c r="B122" s="968">
        <f>'MSW9'!B122</f>
        <v>12.5</v>
      </c>
      <c r="C122" s="1015" t="str">
        <f>'MSW9'!C122</f>
        <v>10 - 15</v>
      </c>
      <c r="D122" s="1076" t="str">
        <f>'MSW9'!D122</f>
        <v>1 MIN</v>
      </c>
      <c r="E122" s="1077" t="str">
        <f>'MSW9'!E122</f>
        <v/>
      </c>
      <c r="F122" s="1011"/>
    </row>
    <row r="123">
      <c r="A123" s="1078">
        <f>'MSW9'!A123</f>
        <v>3</v>
      </c>
      <c r="B123" s="972">
        <f>'MSW9'!B123</f>
        <v>7.5</v>
      </c>
      <c r="C123" s="1019" t="str">
        <f>'MSW9'!C123</f>
        <v>10 - 15</v>
      </c>
      <c r="D123" s="1080" t="str">
        <f>'MSW9'!D123</f>
        <v>1 MIN</v>
      </c>
      <c r="E123" s="31" t="str">
        <f>'MSW9'!E123</f>
        <v/>
      </c>
      <c r="F123" s="1017" t="str">
        <f>'MSW9'!F123</f>
        <v/>
      </c>
    </row>
    <row r="126">
      <c r="A126" s="1217" t="str">
        <f>'MSW9'!A126</f>
        <v>2.  TRICEP OVERHEAD ROPE EXTENSION</v>
      </c>
      <c r="B126" s="53"/>
      <c r="C126" s="53"/>
      <c r="D126" s="53"/>
      <c r="E126" s="53"/>
      <c r="F126" s="54"/>
    </row>
    <row r="127">
      <c r="A127" s="961" t="str">
        <f>'MSW9'!A127</f>
        <v>CURRENT MAX</v>
      </c>
      <c r="B127" s="76">
        <f>'MSW9'!B127</f>
        <v>30</v>
      </c>
      <c r="C127" s="13"/>
      <c r="D127" s="13"/>
      <c r="E127" s="13"/>
      <c r="F127" s="57"/>
    </row>
    <row r="128">
      <c r="A128" s="1071" t="str">
        <f>'MSW9'!A128</f>
        <v>SET</v>
      </c>
      <c r="B128" s="1072" t="str">
        <f>'MSW9'!B128</f>
        <v>WEIGHT</v>
      </c>
      <c r="C128" s="1072" t="str">
        <f>'MSW9'!C128</f>
        <v>REPS</v>
      </c>
      <c r="D128" s="1072" t="str">
        <f>'MSW9'!D128</f>
        <v>REST</v>
      </c>
      <c r="E128" s="1073" t="str">
        <f>'MSW9'!E128</f>
        <v>PREVIOUS</v>
      </c>
      <c r="F128" s="1006" t="str">
        <f>'MSW9'!F128</f>
        <v>REP LOG</v>
      </c>
    </row>
    <row r="129">
      <c r="A129" s="1074">
        <f>'MSW9'!A129</f>
        <v>1</v>
      </c>
      <c r="B129" s="968">
        <f>'MSW9'!B129</f>
        <v>25</v>
      </c>
      <c r="C129" s="1015" t="str">
        <f>'MSW9'!C129</f>
        <v>10 - 15</v>
      </c>
      <c r="D129" s="1076" t="str">
        <f>'MSW9'!D129</f>
        <v>1MIN</v>
      </c>
      <c r="E129" s="1290" t="str">
        <f>'MSW9'!E129</f>
        <v/>
      </c>
      <c r="F129" s="1011"/>
    </row>
    <row r="130">
      <c r="A130" s="1074">
        <f>'MSW9'!A130</f>
        <v>2</v>
      </c>
      <c r="B130" s="968">
        <f>'MSW9'!B130</f>
        <v>20</v>
      </c>
      <c r="C130" s="1015" t="str">
        <f>'MSW9'!C130</f>
        <v>10 - 15</v>
      </c>
      <c r="D130" s="1076" t="str">
        <f>'MSW9'!D130</f>
        <v>1MIN</v>
      </c>
      <c r="E130" s="1290" t="str">
        <f>'MSW9'!E130</f>
        <v/>
      </c>
      <c r="F130" s="1011"/>
    </row>
    <row r="131">
      <c r="A131" s="1078">
        <f>'MSW9'!A131</f>
        <v>3</v>
      </c>
      <c r="B131" s="972">
        <f>'MSW9'!B131</f>
        <v>15</v>
      </c>
      <c r="C131" s="1019" t="str">
        <f>'MSW9'!C131</f>
        <v>10 - 15</v>
      </c>
      <c r="D131" s="1080" t="str">
        <f>'MSW9'!D131</f>
        <v>1MIN</v>
      </c>
      <c r="E131" s="1291" t="str">
        <f>'MSW9'!E131</f>
        <v/>
      </c>
      <c r="F131" s="1011"/>
    </row>
    <row r="134">
      <c r="A134" s="1217" t="str">
        <f>'MSW9'!A134</f>
        <v>4. ALTERNATING DUMBBELL BICEP CURLS</v>
      </c>
      <c r="B134" s="53"/>
      <c r="C134" s="53"/>
      <c r="D134" s="53"/>
      <c r="E134" s="53"/>
      <c r="F134" s="54"/>
    </row>
    <row r="135">
      <c r="A135" s="961" t="str">
        <f>'MSW9'!A135</f>
        <v>CURRENT MAX</v>
      </c>
      <c r="B135" s="76">
        <f>'MSW9'!B135</f>
        <v>40</v>
      </c>
      <c r="C135" s="13"/>
      <c r="D135" s="13"/>
      <c r="E135" s="13"/>
      <c r="F135" s="57"/>
    </row>
    <row r="136">
      <c r="A136" s="962" t="str">
        <f>'MSW9'!A136</f>
        <v>SET</v>
      </c>
      <c r="B136" s="963" t="str">
        <f>'MSW9'!B136</f>
        <v>WEIGHT</v>
      </c>
      <c r="C136" s="963" t="str">
        <f>'MSW9'!C136</f>
        <v>REPS</v>
      </c>
      <c r="D136" s="963" t="str">
        <f>'MSW9'!D136</f>
        <v>REST</v>
      </c>
      <c r="E136" s="1073" t="str">
        <f>'MSW9'!E136</f>
        <v>PREVIOUS</v>
      </c>
      <c r="F136" s="1292" t="str">
        <f>'MSW9'!F136</f>
        <v>REP LOG</v>
      </c>
    </row>
    <row r="137">
      <c r="A137" s="967">
        <f>'MSW9'!A137</f>
        <v>1</v>
      </c>
      <c r="B137" s="968">
        <f>'MSW9'!B137</f>
        <v>35</v>
      </c>
      <c r="C137" s="968" t="str">
        <f>'MSW9'!C137</f>
        <v>10 - 15</v>
      </c>
      <c r="D137" s="1076" t="str">
        <f>'MSW9'!D137</f>
        <v>1 MIN</v>
      </c>
      <c r="E137" s="1010" t="str">
        <f>'MSW9'!E137</f>
        <v/>
      </c>
      <c r="F137" s="1131"/>
    </row>
    <row r="138">
      <c r="A138" s="967">
        <f>'MSW9'!A138</f>
        <v>2</v>
      </c>
      <c r="B138" s="968">
        <f>'MSW9'!B138</f>
        <v>30</v>
      </c>
      <c r="C138" s="968" t="str">
        <f>'MSW9'!C138</f>
        <v>10 - 15</v>
      </c>
      <c r="D138" s="1076" t="str">
        <f>'MSW9'!D138</f>
        <v>1 MIN</v>
      </c>
      <c r="E138" s="1010" t="str">
        <f>'MSW9'!E138</f>
        <v/>
      </c>
      <c r="F138" s="1131"/>
    </row>
    <row r="139">
      <c r="A139" s="971">
        <f>'MSW9'!A139</f>
        <v>3</v>
      </c>
      <c r="B139" s="972">
        <f>'MSW9'!B139</f>
        <v>25</v>
      </c>
      <c r="C139" s="972" t="str">
        <f>'MSW9'!C139</f>
        <v>10 - 15</v>
      </c>
      <c r="D139" s="1080" t="str">
        <f>'MSW9'!D139</f>
        <v>1 MIN</v>
      </c>
      <c r="E139" s="1021" t="str">
        <f>'MSW9'!E139</f>
        <v/>
      </c>
      <c r="F139" s="984"/>
    </row>
    <row r="140">
      <c r="A140" t="str">
        <f>'MSW9'!A140</f>
        <v/>
      </c>
    </row>
    <row r="142">
      <c r="A142" s="1149" t="str">
        <f>'MSW9'!A142</f>
        <v>WORKOUT COMPLETE!</v>
      </c>
      <c r="B142" s="36"/>
      <c r="C142" s="36"/>
      <c r="D142" s="36"/>
      <c r="E142" s="36"/>
      <c r="F142" s="37"/>
    </row>
    <row r="143">
      <c r="A143" s="623" t="str">
        <f>'MSW9'!A143</f>
        <v/>
      </c>
    </row>
    <row r="144">
      <c r="A144" s="1275" t="str">
        <f>'MSW9'!A144</f>
        <v>WANT TO LEARN MORE?</v>
      </c>
      <c r="B144" s="25"/>
      <c r="C144" s="25"/>
      <c r="D144" s="25"/>
      <c r="E144" s="25"/>
      <c r="F144" s="26"/>
    </row>
    <row r="145">
      <c r="A145" s="336"/>
      <c r="B145" s="11"/>
      <c r="C145" s="11"/>
      <c r="D145" s="11"/>
      <c r="E145" s="11"/>
      <c r="F145" s="46"/>
    </row>
    <row r="146">
      <c r="A146" s="1276" t="str">
        <f>'MSW9'!A146</f>
        <v/>
      </c>
      <c r="B146" s="999" t="str">
        <f>'MSW9'!B146</f>
        <v/>
      </c>
      <c r="C146" s="1150" t="str">
        <f>'MSW9'!C146</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46" s="28"/>
    </row>
    <row r="147">
      <c r="A147" s="1276" t="str">
        <f>'MSW9'!A147</f>
        <v/>
      </c>
      <c r="B147" s="999" t="str">
        <f>'MSW9'!B147</f>
        <v/>
      </c>
      <c r="F147" s="28"/>
    </row>
    <row r="148">
      <c r="A148" s="1276" t="str">
        <f>'MSW9'!A148</f>
        <v/>
      </c>
      <c r="B148" s="999" t="str">
        <f>'MSW9'!B148</f>
        <v/>
      </c>
      <c r="F148" s="28"/>
    </row>
    <row r="149">
      <c r="A149" s="1276" t="str">
        <f>'MSW9'!A149</f>
        <v/>
      </c>
      <c r="B149" s="999" t="str">
        <f>'MSW9'!B149</f>
        <v/>
      </c>
      <c r="F149" s="28"/>
    </row>
    <row r="150">
      <c r="A150" s="1276" t="str">
        <f>'MSW9'!A150</f>
        <v/>
      </c>
      <c r="B150" s="999" t="str">
        <f>'MSW9'!B150</f>
        <v/>
      </c>
      <c r="F150" s="28"/>
    </row>
    <row r="151">
      <c r="A151" s="1276" t="str">
        <f>'MSW9'!A151</f>
        <v/>
      </c>
      <c r="B151" s="999" t="str">
        <f>'MSW9'!B151</f>
        <v/>
      </c>
      <c r="F151" s="28"/>
    </row>
    <row r="152">
      <c r="A152" s="1277" t="str">
        <f>'MSW9'!A152</f>
        <v/>
      </c>
      <c r="B152" s="999" t="str">
        <f>'MSW9'!B152</f>
        <v/>
      </c>
      <c r="F152" s="28"/>
    </row>
    <row r="153">
      <c r="A153" s="1276" t="str">
        <f>'MSW9'!A153</f>
        <v/>
      </c>
      <c r="B153" s="999" t="str">
        <f>'MSW9'!B153</f>
        <v/>
      </c>
      <c r="F153" s="28"/>
    </row>
    <row r="154">
      <c r="A154" s="1276" t="str">
        <f>'MSW9'!A154</f>
        <v/>
      </c>
      <c r="B154" s="999" t="str">
        <f>'MSW9'!B154</f>
        <v/>
      </c>
      <c r="F154" s="28"/>
    </row>
    <row r="155">
      <c r="A155" s="1278" t="str">
        <f>'MSW9'!A155</f>
        <v/>
      </c>
      <c r="B155" s="999" t="str">
        <f>'MSW9'!B155</f>
        <v/>
      </c>
      <c r="F155" s="28"/>
    </row>
    <row r="156">
      <c r="A156" s="1276" t="str">
        <f>'MSW9'!A156</f>
        <v/>
      </c>
      <c r="B156" s="999" t="str">
        <f>'MSW9'!B156</f>
        <v/>
      </c>
      <c r="F156" s="28"/>
    </row>
    <row r="157">
      <c r="A157" s="1276" t="str">
        <f>'MSW9'!A157</f>
        <v/>
      </c>
      <c r="B157" s="999" t="str">
        <f>'MSW9'!B157</f>
        <v/>
      </c>
      <c r="F157" s="28"/>
    </row>
    <row r="158">
      <c r="A158" s="1276" t="str">
        <f>'MSW9'!A158</f>
        <v/>
      </c>
      <c r="B158" s="999" t="str">
        <f>'MSW9'!B158</f>
        <v/>
      </c>
      <c r="F158" s="28"/>
    </row>
    <row r="159">
      <c r="A159" s="1276" t="str">
        <f>'MSW9'!A159</f>
        <v/>
      </c>
      <c r="B159" s="999" t="str">
        <f>'MSW9'!B159</f>
        <v/>
      </c>
      <c r="F159" s="28"/>
    </row>
    <row r="160">
      <c r="A160" s="1279" t="str">
        <f>'MSW9'!A160</f>
        <v/>
      </c>
      <c r="B160" s="1280" t="str">
        <f>'MSW9'!B160</f>
        <v/>
      </c>
      <c r="C160" s="11"/>
      <c r="D160" s="11"/>
      <c r="E160" s="11"/>
      <c r="F160" s="46"/>
    </row>
  </sheetData>
  <mergeCells count="81">
    <mergeCell ref="B80:F80"/>
    <mergeCell ref="A85:F86"/>
    <mergeCell ref="A87:F87"/>
    <mergeCell ref="B88:F88"/>
    <mergeCell ref="A93:F93"/>
    <mergeCell ref="A94:F94"/>
    <mergeCell ref="A95:F95"/>
    <mergeCell ref="B111:F111"/>
    <mergeCell ref="A116:F117"/>
    <mergeCell ref="A96:F96"/>
    <mergeCell ref="A97:F98"/>
    <mergeCell ref="A99:F99"/>
    <mergeCell ref="G99:G107"/>
    <mergeCell ref="A100:F100"/>
    <mergeCell ref="B101:F101"/>
    <mergeCell ref="G110:G115"/>
    <mergeCell ref="A118:F118"/>
    <mergeCell ref="B119:F119"/>
    <mergeCell ref="G90:G91"/>
    <mergeCell ref="G93:M98"/>
    <mergeCell ref="H99:M99"/>
    <mergeCell ref="H100:M100"/>
    <mergeCell ref="I101:M101"/>
    <mergeCell ref="A108:M109"/>
    <mergeCell ref="A110:F110"/>
    <mergeCell ref="A142:F142"/>
    <mergeCell ref="A143:F143"/>
    <mergeCell ref="A124:F125"/>
    <mergeCell ref="A126:F126"/>
    <mergeCell ref="B127:F127"/>
    <mergeCell ref="A132:F133"/>
    <mergeCell ref="A134:F134"/>
    <mergeCell ref="B135:F135"/>
    <mergeCell ref="A140:F141"/>
    <mergeCell ref="A1:M8"/>
    <mergeCell ref="A9:F9"/>
    <mergeCell ref="G9:G11"/>
    <mergeCell ref="H9:M9"/>
    <mergeCell ref="A10:F11"/>
    <mergeCell ref="H10:M10"/>
    <mergeCell ref="G12:M14"/>
    <mergeCell ref="A12:F12"/>
    <mergeCell ref="A13:F13"/>
    <mergeCell ref="A15:F15"/>
    <mergeCell ref="G15:G24"/>
    <mergeCell ref="A16:F16"/>
    <mergeCell ref="B17:F17"/>
    <mergeCell ref="A22:F28"/>
    <mergeCell ref="A29:F29"/>
    <mergeCell ref="B30:F30"/>
    <mergeCell ref="A36:F36"/>
    <mergeCell ref="A39:F39"/>
    <mergeCell ref="B42:F42"/>
    <mergeCell ref="A43:F44"/>
    <mergeCell ref="A45:F45"/>
    <mergeCell ref="B46:F46"/>
    <mergeCell ref="A51:F52"/>
    <mergeCell ref="A53:F53"/>
    <mergeCell ref="B54:F54"/>
    <mergeCell ref="A59:F60"/>
    <mergeCell ref="A61:F61"/>
    <mergeCell ref="A62:F62"/>
    <mergeCell ref="H15:M15"/>
    <mergeCell ref="H16:M16"/>
    <mergeCell ref="I17:M17"/>
    <mergeCell ref="G25:M86"/>
    <mergeCell ref="G87:G89"/>
    <mergeCell ref="H87:M87"/>
    <mergeCell ref="I88:M88"/>
    <mergeCell ref="H110:M110"/>
    <mergeCell ref="I111:M111"/>
    <mergeCell ref="G116:M160"/>
    <mergeCell ref="A144:F145"/>
    <mergeCell ref="C146:F160"/>
    <mergeCell ref="A63:F63"/>
    <mergeCell ref="A64:F65"/>
    <mergeCell ref="A66:F66"/>
    <mergeCell ref="B67:F67"/>
    <mergeCell ref="B76:F76"/>
    <mergeCell ref="A77:F78"/>
    <mergeCell ref="A79:F79"/>
  </mergeCells>
  <dataValidations>
    <dataValidation type="decimal" allowBlank="1" showDropDown="1" showInputMessage="1" showErrorMessage="1" prompt="Enter a number between 0 and 30" sqref="F14 F18:F21 M18:M24 F31:F35 F37:F38 F40:F41 F47:F50 F55:F58 F68:F75 F81:F84 F89:F92 M89:M92 F102:F107 M102:M107 F112:F115 M112:M115 F120:F123 F128:F131 F136:F139">
      <formula1>0.0</formula1>
      <formula2>30.0</formula2>
    </dataValidation>
    <dataValidation type="decimal" operator="greaterThan" allowBlank="1" showDropDown="1" showErrorMessage="1" sqref="M11">
      <formula1>0.0</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293" t="s">
        <v>212</v>
      </c>
      <c r="B9" s="36"/>
      <c r="C9" s="36"/>
      <c r="D9" s="36"/>
      <c r="E9" s="36"/>
      <c r="F9" s="37"/>
      <c r="G9" s="419"/>
      <c r="H9" s="24" t="s">
        <v>35</v>
      </c>
      <c r="I9" s="25"/>
      <c r="J9" s="25"/>
      <c r="K9" s="25"/>
      <c r="L9" s="25"/>
      <c r="M9" s="26"/>
    </row>
    <row r="10">
      <c r="A10" s="719" t="str">
        <f>HYPERLINK("https://goo.gl/forms/3ibooB993Hi7SS2d2","PRESS TO RECORD BODY WEIGHT")</f>
        <v>PRESS TO RECORD BODY WEIGHT</v>
      </c>
      <c r="B10" s="25"/>
      <c r="C10" s="25"/>
      <c r="D10" s="25"/>
      <c r="E10" s="25"/>
      <c r="F10" s="26"/>
      <c r="G10" s="419"/>
      <c r="H10" s="147" t="s">
        <v>213</v>
      </c>
      <c r="M10" s="28"/>
    </row>
    <row r="11">
      <c r="A11" s="336"/>
      <c r="B11" s="11"/>
      <c r="C11" s="11"/>
      <c r="D11" s="11"/>
      <c r="E11" s="11"/>
      <c r="F11" s="46"/>
      <c r="G11" s="419"/>
      <c r="H11" s="29" t="s">
        <v>214</v>
      </c>
      <c r="I11" s="30"/>
      <c r="J11" s="30"/>
      <c r="K11" s="30"/>
      <c r="L11" s="30"/>
      <c r="M11" s="31"/>
    </row>
    <row r="12">
      <c r="A12" s="720" t="s">
        <v>69</v>
      </c>
      <c r="B12" s="36"/>
      <c r="C12" s="36"/>
      <c r="D12" s="36"/>
      <c r="E12" s="36"/>
      <c r="F12" s="37"/>
      <c r="G12" s="419"/>
      <c r="H12" s="419"/>
      <c r="I12" s="419"/>
      <c r="J12" s="419"/>
      <c r="K12" s="419"/>
      <c r="L12" s="717"/>
      <c r="M12" s="419"/>
    </row>
    <row r="13">
      <c r="A13" s="721" t="s">
        <v>149</v>
      </c>
      <c r="B13" s="36"/>
      <c r="C13" s="36"/>
      <c r="D13" s="36"/>
      <c r="E13" s="36"/>
      <c r="F13" s="37"/>
      <c r="G13" s="419"/>
      <c r="H13" s="419"/>
      <c r="I13" s="419"/>
      <c r="J13" s="419"/>
      <c r="K13" s="419"/>
      <c r="L13" s="717"/>
      <c r="M13" s="419"/>
    </row>
    <row r="14">
      <c r="A14" s="653"/>
      <c r="B14" s="653"/>
      <c r="C14" s="653"/>
      <c r="D14" s="653"/>
      <c r="E14" s="654"/>
      <c r="F14" s="141"/>
      <c r="G14" s="419"/>
      <c r="H14" s="419"/>
      <c r="I14" s="419"/>
      <c r="J14" s="419"/>
      <c r="K14" s="419"/>
      <c r="L14" s="717"/>
      <c r="M14" s="419"/>
    </row>
    <row r="15">
      <c r="A15" s="50" t="s">
        <v>47</v>
      </c>
      <c r="B15" s="36"/>
      <c r="C15" s="36"/>
      <c r="D15" s="36"/>
      <c r="E15" s="36"/>
      <c r="F15" s="37"/>
      <c r="G15" s="722"/>
      <c r="H15" s="429" t="s">
        <v>118</v>
      </c>
      <c r="I15" s="36"/>
      <c r="J15" s="36"/>
      <c r="K15" s="36"/>
      <c r="L15" s="36"/>
      <c r="M15" s="37"/>
    </row>
    <row r="16">
      <c r="A16" s="657"/>
      <c r="B16" s="657"/>
      <c r="C16" s="657"/>
      <c r="D16" s="657"/>
      <c r="E16" s="657"/>
      <c r="F16" s="657"/>
      <c r="G16" s="722"/>
      <c r="H16" s="657"/>
      <c r="I16" s="657"/>
      <c r="J16" s="657"/>
      <c r="K16" s="657"/>
      <c r="L16" s="657"/>
      <c r="M16" s="657"/>
    </row>
    <row r="17">
      <c r="A17" s="657"/>
      <c r="B17" s="657"/>
      <c r="C17" s="657"/>
      <c r="D17" s="657"/>
      <c r="E17" s="657"/>
      <c r="F17" s="657"/>
      <c r="G17" s="722"/>
      <c r="H17" s="657"/>
      <c r="I17" s="657"/>
      <c r="J17" s="657"/>
      <c r="K17" s="657"/>
      <c r="L17" s="657"/>
      <c r="M17" s="657"/>
    </row>
    <row r="18">
      <c r="A18" s="51" t="s">
        <v>48</v>
      </c>
      <c r="B18" s="36"/>
      <c r="C18" s="36"/>
      <c r="D18" s="36"/>
      <c r="E18" s="36"/>
      <c r="F18" s="37"/>
      <c r="G18" s="722"/>
      <c r="H18" s="51" t="s">
        <v>48</v>
      </c>
      <c r="I18" s="36"/>
      <c r="J18" s="36"/>
      <c r="K18" s="36"/>
      <c r="L18" s="36"/>
      <c r="M18" s="37"/>
    </row>
    <row r="19">
      <c r="A19" s="93" t="str">
        <f>HYPERLINK("https://youtu.be/iLgUDezDMbU","1. BENCH PRESS")</f>
        <v>1. BENCH PRESS</v>
      </c>
      <c r="B19" s="53"/>
      <c r="C19" s="53"/>
      <c r="D19" s="53"/>
      <c r="E19" s="53"/>
      <c r="F19" s="54"/>
      <c r="G19" s="722"/>
      <c r="H19" s="93" t="str">
        <f>HYPERLINK("https://youtu.be/75e_H9Vq_Lw","1. MACHINE PRESS")</f>
        <v>1. MACHINE PRESS</v>
      </c>
      <c r="I19" s="53"/>
      <c r="J19" s="53"/>
      <c r="K19" s="53"/>
      <c r="L19" s="53"/>
      <c r="M19" s="54"/>
    </row>
    <row r="20">
      <c r="A20" s="226" t="s">
        <v>119</v>
      </c>
      <c r="B20" s="691">
        <f>'WEEK 9'!B17</f>
        <v>200</v>
      </c>
      <c r="C20" s="13"/>
      <c r="D20" s="13"/>
      <c r="E20" s="13"/>
      <c r="F20" s="57"/>
      <c r="G20" s="722"/>
      <c r="H20" s="226" t="s">
        <v>119</v>
      </c>
      <c r="I20" s="691" t="str">
        <f>if('WEEK 8'!I34="",'WEEK 7'!P34,'WEEK 8'!I34)</f>
        <v/>
      </c>
      <c r="J20" s="13"/>
      <c r="K20" s="13"/>
      <c r="L20" s="13"/>
      <c r="M20" s="57"/>
    </row>
    <row r="21">
      <c r="A21" s="96" t="s">
        <v>50</v>
      </c>
      <c r="B21" s="97" t="s">
        <v>51</v>
      </c>
      <c r="C21" s="97" t="s">
        <v>52</v>
      </c>
      <c r="D21" s="97" t="s">
        <v>53</v>
      </c>
      <c r="E21" s="341" t="s">
        <v>54</v>
      </c>
      <c r="F21" s="235" t="s">
        <v>55</v>
      </c>
      <c r="G21" s="723"/>
      <c r="H21" s="96" t="s">
        <v>50</v>
      </c>
      <c r="I21" s="97" t="s">
        <v>51</v>
      </c>
      <c r="J21" s="97" t="s">
        <v>52</v>
      </c>
      <c r="K21" s="97" t="s">
        <v>53</v>
      </c>
      <c r="L21" s="341" t="s">
        <v>54</v>
      </c>
      <c r="M21" s="235" t="s">
        <v>55</v>
      </c>
    </row>
    <row r="22">
      <c r="A22" s="725">
        <v>1.0</v>
      </c>
      <c r="B22" s="726">
        <f>IF( 'WEEK 10'!B20&lt;125,45, mround('WEEK 10'!B20*0.9*0.35,5))</f>
        <v>70</v>
      </c>
      <c r="C22" s="344">
        <v>6.0</v>
      </c>
      <c r="D22" s="343" t="s">
        <v>150</v>
      </c>
      <c r="E22" s="66" t="str">
        <f>IF('WEEK 10'!B22='WEEK 6'!B22,'WEEK 6'!F22,"")</f>
        <v/>
      </c>
      <c r="F22" s="85"/>
      <c r="G22" s="423"/>
      <c r="H22" s="725">
        <v>1.0</v>
      </c>
      <c r="I22" s="344">
        <f>mround('WEEK 10'!I20*0.9*0.35,5)</f>
        <v>0</v>
      </c>
      <c r="J22" s="344">
        <v>6.0</v>
      </c>
      <c r="K22" s="343" t="s">
        <v>150</v>
      </c>
      <c r="L22" s="66" t="str">
        <f>IF('WEEK 10'!I22='WEEK 6'!T22,'WEEK 6'!T22,"")</f>
        <v/>
      </c>
      <c r="M22" s="85"/>
    </row>
    <row r="23">
      <c r="A23" s="725">
        <v>2.0</v>
      </c>
      <c r="B23" s="729">
        <f>IF( 'WEEK 10'!B20&lt;70,MROUND('WEEK 10'!B20*0.78,5),MROUND('WEEK 10'!B20*0.9*0.72,5))</f>
        <v>145</v>
      </c>
      <c r="C23" s="344">
        <v>1.0</v>
      </c>
      <c r="D23" s="343" t="s">
        <v>151</v>
      </c>
      <c r="E23" s="66" t="str">
        <f>IF('WEEK 10'!B23='WEEK 6'!B23,'WEEK 6'!F23,"")</f>
        <v/>
      </c>
      <c r="F23" s="85"/>
      <c r="G23" s="423"/>
      <c r="H23" s="725">
        <v>2.0</v>
      </c>
      <c r="I23" s="344">
        <f>mround('WEEK 10'!I20*0.9*0.72,5)</f>
        <v>0</v>
      </c>
      <c r="J23" s="344">
        <v>1.0</v>
      </c>
      <c r="K23" s="343" t="s">
        <v>151</v>
      </c>
      <c r="L23" s="66" t="str">
        <f>IF('WEEK 10'!I23='WEEK 6'!T23,'WEEK 6'!T23,"")</f>
        <v/>
      </c>
      <c r="M23" s="85"/>
    </row>
    <row r="24">
      <c r="A24" s="725">
        <v>3.0</v>
      </c>
      <c r="B24" s="344">
        <f>mround('WEEK 10'!B20*0.9*0.9,5)</f>
        <v>180</v>
      </c>
      <c r="C24" s="344">
        <v>1.0</v>
      </c>
      <c r="D24" s="343" t="s">
        <v>57</v>
      </c>
      <c r="E24" s="66" t="str">
        <f>IF('WEEK 10'!B24='WEEK 6'!B24,'WEEK 6'!F24,"")</f>
        <v/>
      </c>
      <c r="F24" s="85"/>
      <c r="G24" s="423"/>
      <c r="H24" s="725">
        <v>3.0</v>
      </c>
      <c r="I24" s="344">
        <f>mround('WEEK 10'!I20*0.9*0.9,5)</f>
        <v>0</v>
      </c>
      <c r="J24" s="344">
        <v>1.0</v>
      </c>
      <c r="K24" s="343" t="s">
        <v>57</v>
      </c>
      <c r="L24" s="66" t="str">
        <f>IF('WEEK 10'!I24='WEEK 6'!T24,'WEEK 6'!T24,"")</f>
        <v/>
      </c>
      <c r="M24" s="85"/>
    </row>
    <row r="25">
      <c r="A25" s="730" t="s">
        <v>152</v>
      </c>
      <c r="B25" s="13"/>
      <c r="C25" s="13"/>
      <c r="D25" s="13"/>
      <c r="E25" s="13"/>
      <c r="F25" s="57"/>
      <c r="G25" s="731" t="s">
        <v>123</v>
      </c>
      <c r="H25" s="730" t="s">
        <v>152</v>
      </c>
      <c r="I25" s="13"/>
      <c r="J25" s="13"/>
      <c r="K25" s="13"/>
      <c r="L25" s="13"/>
      <c r="M25" s="57"/>
    </row>
    <row r="26">
      <c r="A26" s="96" t="s">
        <v>50</v>
      </c>
      <c r="B26" s="97" t="s">
        <v>51</v>
      </c>
      <c r="C26" s="97" t="s">
        <v>52</v>
      </c>
      <c r="D26" s="97" t="s">
        <v>53</v>
      </c>
      <c r="E26" s="341" t="s">
        <v>54</v>
      </c>
      <c r="F26" s="235" t="s">
        <v>55</v>
      </c>
      <c r="H26" s="96" t="s">
        <v>50</v>
      </c>
      <c r="I26" s="97" t="s">
        <v>51</v>
      </c>
      <c r="J26" s="97" t="s">
        <v>52</v>
      </c>
      <c r="K26" s="97" t="s">
        <v>53</v>
      </c>
      <c r="L26" s="341" t="s">
        <v>54</v>
      </c>
      <c r="M26" s="235" t="s">
        <v>55</v>
      </c>
    </row>
    <row r="27">
      <c r="A27" s="342">
        <v>1.0</v>
      </c>
      <c r="B27" s="348">
        <f>mround('WEEK 10'!B20*1*0.9,5)</f>
        <v>205</v>
      </c>
      <c r="C27" s="437" t="s">
        <v>65</v>
      </c>
      <c r="D27" s="343" t="s">
        <v>122</v>
      </c>
      <c r="E27" s="66" t="str">
        <f>IF('WEEK 10'!B27='WEEK 6'!B27,'WEEK 6'!F27,"")</f>
        <v/>
      </c>
      <c r="F27" s="85"/>
      <c r="G27" s="423"/>
      <c r="H27" s="725">
        <v>1.0</v>
      </c>
      <c r="I27" s="348">
        <f>mround('WEEK 10'!I20*1*0.9,5)</f>
        <v>0</v>
      </c>
      <c r="J27" s="437" t="s">
        <v>65</v>
      </c>
      <c r="K27" s="343" t="s">
        <v>122</v>
      </c>
      <c r="L27" s="66" t="str">
        <f>IF('WEEK 10'!I27='WEEK 6'!T27,'WEEK 6'!T27,"")</f>
        <v/>
      </c>
      <c r="M27" s="85"/>
    </row>
    <row r="28">
      <c r="A28" s="725">
        <v>2.0</v>
      </c>
      <c r="B28" s="348">
        <f>IF('WEEK 10'!F27&lt;3,MROUND('WEEK 10'!B27*0.75,5),IF('WEEK 10'!F27&lt;6,MROUND('WEEK 10'!B27*0.85,5),mround('WEEK 10'!B27*0.9,5)))</f>
        <v>155</v>
      </c>
      <c r="C28" s="437" t="s">
        <v>65</v>
      </c>
      <c r="D28" s="343" t="s">
        <v>122</v>
      </c>
      <c r="E28" s="66" t="str">
        <f>IF('WEEK 10'!B28='WEEK 6'!B28,'WEEK 6'!F28,"")</f>
        <v/>
      </c>
      <c r="F28" s="85"/>
      <c r="G28" s="722"/>
      <c r="H28" s="725">
        <v>2.0</v>
      </c>
      <c r="I28" s="348">
        <f>IF('WEEK 10'!M27&lt;3,MROUND('WEEK 10'!I27*0.75,5),IF('WEEK 10'!M27&lt;6,MROUND('WEEK 10'!I27*0.85,5),mround('WEEK 10'!I27*0.9,5)))</f>
        <v>0</v>
      </c>
      <c r="J28" s="437" t="s">
        <v>65</v>
      </c>
      <c r="K28" s="343" t="s">
        <v>122</v>
      </c>
      <c r="L28" s="66" t="str">
        <f>IF('WEEK 10'!I28='WEEK 6'!T28,'WEEK 6'!T28,"")</f>
        <v/>
      </c>
      <c r="M28" s="85"/>
    </row>
    <row r="29">
      <c r="A29" s="485">
        <v>3.0</v>
      </c>
      <c r="B29" s="732">
        <f>IF('WEEK 10'!F28&lt;3,MROUND('WEEK 10'!B28*0.75,5),IF('WEEK 10'!F28&lt;6,MROUND('WEEK 10'!B28*0.85,5),mround('WEEK 10'!B28*0.9,5)))</f>
        <v>115</v>
      </c>
      <c r="C29" s="733" t="s">
        <v>65</v>
      </c>
      <c r="D29" s="486" t="s">
        <v>122</v>
      </c>
      <c r="E29" s="66" t="str">
        <f>IF('WEEK 10'!B29='WEEK 6'!B29,'WEEK 6'!F29,"")</f>
        <v/>
      </c>
      <c r="F29" s="85"/>
      <c r="G29" s="722"/>
      <c r="H29" s="735">
        <v>3.0</v>
      </c>
      <c r="I29" s="736">
        <f>IF('WEEK 10'!M28&lt;3,MROUND('WEEK 10'!I28*0.75,5),IF('WEEK 10'!M28&lt;6,MROUND('WEEK 10'!I28*0.85,5),mround('WEEK 10'!I28*0.9,5)))</f>
        <v>0</v>
      </c>
      <c r="J29" s="737" t="s">
        <v>65</v>
      </c>
      <c r="K29" s="738" t="s">
        <v>122</v>
      </c>
      <c r="L29" s="66" t="str">
        <f>IF('WEEK 10'!I29='WEEK 6'!T29,'WEEK 6'!T29,"")</f>
        <v/>
      </c>
      <c r="M29" s="330"/>
    </row>
    <row r="30">
      <c r="A30" s="740"/>
      <c r="B30" s="740"/>
      <c r="C30" s="740"/>
      <c r="D30" s="740"/>
      <c r="E30" s="741"/>
      <c r="F30" s="419"/>
      <c r="G30" s="722"/>
      <c r="H30" s="742"/>
      <c r="I30" s="742"/>
      <c r="J30" s="742"/>
      <c r="K30" s="742"/>
      <c r="L30" s="742"/>
      <c r="M30" s="742"/>
    </row>
    <row r="31">
      <c r="A31" s="740"/>
      <c r="B31" s="740"/>
      <c r="C31" s="740"/>
      <c r="D31" s="740"/>
      <c r="E31" s="741"/>
      <c r="F31" s="419"/>
      <c r="G31" s="419"/>
      <c r="H31" s="657"/>
      <c r="I31" s="657"/>
      <c r="J31" s="657"/>
      <c r="K31" s="657"/>
      <c r="L31" s="657"/>
      <c r="M31" s="657"/>
    </row>
    <row r="32">
      <c r="A32" s="440" t="str">
        <f>HYPERLINK("https://www.youtube.com/watch?v=mGv8D2DGyNQ","2. DB CHEST FLY")</f>
        <v>2. DB CHEST FLY</v>
      </c>
      <c r="B32" s="53"/>
      <c r="C32" s="53"/>
      <c r="D32" s="53"/>
      <c r="E32" s="53"/>
      <c r="F32" s="54"/>
      <c r="G32" s="419"/>
      <c r="H32" s="504" t="str">
        <f>HYPERLINK("https://www.youtube.com/watch?v=THb0dhfIu1k","2. MACHINE CHEST FLY")</f>
        <v>2. MACHINE CHEST FLY</v>
      </c>
      <c r="I32" s="53"/>
      <c r="J32" s="53"/>
      <c r="K32" s="53"/>
      <c r="L32" s="53"/>
      <c r="M32" s="54"/>
    </row>
    <row r="33">
      <c r="A33" s="226" t="s">
        <v>215</v>
      </c>
      <c r="B33" s="691" t="str">
        <f>'WEEK 8'!B38</f>
        <v/>
      </c>
      <c r="C33" s="13"/>
      <c r="D33" s="13"/>
      <c r="E33" s="13"/>
      <c r="F33" s="57"/>
      <c r="G33" s="419"/>
      <c r="H33" s="226" t="s">
        <v>215</v>
      </c>
      <c r="I33" s="548" t="str">
        <f>'WEEK 8'!I38</f>
        <v/>
      </c>
      <c r="J33" s="13"/>
      <c r="K33" s="13"/>
      <c r="L33" s="13"/>
      <c r="M33" s="57"/>
    </row>
    <row r="34">
      <c r="A34" s="743" t="s">
        <v>50</v>
      </c>
      <c r="B34" s="744" t="s">
        <v>51</v>
      </c>
      <c r="C34" s="744" t="s">
        <v>52</v>
      </c>
      <c r="D34" s="744" t="s">
        <v>53</v>
      </c>
      <c r="E34" s="745" t="s">
        <v>54</v>
      </c>
      <c r="F34" s="746" t="s">
        <v>55</v>
      </c>
      <c r="G34" s="724"/>
      <c r="H34" s="96" t="s">
        <v>50</v>
      </c>
      <c r="I34" s="97" t="s">
        <v>51</v>
      </c>
      <c r="J34" s="97" t="s">
        <v>52</v>
      </c>
      <c r="K34" s="97" t="s">
        <v>53</v>
      </c>
      <c r="L34" s="341" t="s">
        <v>54</v>
      </c>
      <c r="M34" s="235" t="s">
        <v>55</v>
      </c>
    </row>
    <row r="35">
      <c r="A35" s="725">
        <v>1.0</v>
      </c>
      <c r="B35" s="254">
        <f>mround('WEEK 10'!B33*0.29,2.5)</f>
        <v>0</v>
      </c>
      <c r="C35" s="344">
        <v>15.0</v>
      </c>
      <c r="D35" s="343" t="s">
        <v>57</v>
      </c>
      <c r="E35" s="66" t="str">
        <f>IF('WEEK 10'!B35='WEEK 6'!B35,'WEEK 6'!F35,"")</f>
        <v/>
      </c>
      <c r="F35" s="85"/>
      <c r="G35" s="728"/>
      <c r="H35" s="240">
        <v>1.0</v>
      </c>
      <c r="I35" s="254">
        <f>mround('WEEK 10'!I33*0.75,10)</f>
        <v>0</v>
      </c>
      <c r="J35" s="241">
        <v>15.0</v>
      </c>
      <c r="K35" s="83" t="s">
        <v>57</v>
      </c>
      <c r="L35" s="66" t="str">
        <f>IF('WEEK 10'!I35='WEEK 6'!I35,'WEEK 6'!M35,"")</f>
        <v/>
      </c>
      <c r="M35" s="85"/>
    </row>
    <row r="36">
      <c r="A36" s="747">
        <v>2.0</v>
      </c>
      <c r="B36" s="662">
        <f>mround('WEEK 10'!B33*0.29,2.5)</f>
        <v>0</v>
      </c>
      <c r="C36" s="813">
        <v>15.0</v>
      </c>
      <c r="D36" s="486" t="s">
        <v>57</v>
      </c>
      <c r="E36" s="66" t="str">
        <f>IF('WEEK 10'!B36='WEEK 6'!B36,'WEEK 6'!F36,"")</f>
        <v/>
      </c>
      <c r="F36" s="85"/>
      <c r="G36" s="728"/>
      <c r="H36" s="661">
        <v>2.0</v>
      </c>
      <c r="I36" s="662">
        <f>mround('WEEK 10'!I33*0.75,10)</f>
        <v>0</v>
      </c>
      <c r="J36" s="662">
        <v>15.0</v>
      </c>
      <c r="K36" s="88" t="s">
        <v>57</v>
      </c>
      <c r="L36" s="66" t="str">
        <f>IF('WEEK 10'!I36='WEEK 6'!I36,'WEEK 6'!M36,"")</f>
        <v/>
      </c>
      <c r="M36" s="85"/>
    </row>
    <row r="39">
      <c r="A39" s="73" t="str">
        <f>HYPERLINK("https://youtu.be/9YH1YvZbiY0","3. MACHINE LOW ROW ")</f>
        <v>3. MACHINE LOW ROW </v>
      </c>
      <c r="B39" s="53"/>
      <c r="C39" s="53"/>
      <c r="D39" s="53"/>
      <c r="E39" s="53"/>
      <c r="F39" s="54"/>
    </row>
    <row r="40">
      <c r="A40" s="226" t="s">
        <v>119</v>
      </c>
      <c r="B40" s="227">
        <f>'WEEK 9'!B46</f>
        <v>270</v>
      </c>
      <c r="C40" s="20"/>
      <c r="D40" s="20"/>
      <c r="E40" s="20"/>
      <c r="F40" s="95"/>
    </row>
    <row r="41">
      <c r="A41" s="231" t="s">
        <v>50</v>
      </c>
      <c r="B41" s="232" t="s">
        <v>51</v>
      </c>
      <c r="C41" s="232" t="s">
        <v>52</v>
      </c>
      <c r="D41" s="232" t="s">
        <v>53</v>
      </c>
      <c r="E41" s="233" t="s">
        <v>54</v>
      </c>
      <c r="F41" s="61" t="s">
        <v>55</v>
      </c>
    </row>
    <row r="42">
      <c r="A42" s="236">
        <v>1.0</v>
      </c>
      <c r="B42" s="237">
        <f>mround('WEEK 10'!B40*0.35,5)</f>
        <v>95</v>
      </c>
      <c r="C42" s="237">
        <v>6.0</v>
      </c>
      <c r="D42" s="238" t="s">
        <v>120</v>
      </c>
      <c r="E42" s="66" t="str">
        <f>IF('WEEK 10'!B42='WEEK 6'!B42,'WEEK 6'!F42,"")</f>
        <v/>
      </c>
      <c r="F42" s="67">
        <v>6.0</v>
      </c>
    </row>
    <row r="43">
      <c r="A43" s="236">
        <v>2.0</v>
      </c>
      <c r="B43" s="237">
        <f>mround('WEEK 10'!B40*0.65,5)</f>
        <v>175</v>
      </c>
      <c r="C43" s="238">
        <v>3.0</v>
      </c>
      <c r="D43" s="238" t="s">
        <v>121</v>
      </c>
      <c r="E43" s="66" t="str">
        <f>IF('WEEK 10'!B43='WEEK 6'!B43,'WEEK 6'!F43,"")</f>
        <v/>
      </c>
      <c r="F43" s="67">
        <v>3.0</v>
      </c>
    </row>
    <row r="44">
      <c r="A44" s="242">
        <v>3.0</v>
      </c>
      <c r="B44" s="237">
        <f>mround('WEEK 10'!B40*0.9,5)</f>
        <v>245</v>
      </c>
      <c r="C44" s="63">
        <v>2.0</v>
      </c>
      <c r="D44" s="238" t="s">
        <v>121</v>
      </c>
      <c r="E44" s="66" t="str">
        <f>IF('WEEK 10'!B44='WEEK 6'!B44,'WEEK 6'!F44,"")</f>
        <v/>
      </c>
      <c r="F44" s="67">
        <v>2.0</v>
      </c>
    </row>
    <row r="45">
      <c r="A45" s="243">
        <v>4.0</v>
      </c>
      <c r="B45" s="237">
        <f>'WEEK 10'!B40</f>
        <v>270</v>
      </c>
      <c r="C45" s="257">
        <v>3.0</v>
      </c>
      <c r="D45" s="238" t="s">
        <v>122</v>
      </c>
      <c r="E45" s="66" t="str">
        <f>IF('WEEK 10'!B45='WEEK 6'!B45,'WEEK 6'!F45,"")</f>
        <v/>
      </c>
      <c r="F45" s="67">
        <v>3.0</v>
      </c>
    </row>
    <row r="46">
      <c r="A46" s="246" t="str">
        <f>IF('WEEK 10'!F45&lt;3,"PROCEED TO DOWN SETS","NEW 4 REP MAX ATTEMPT")</f>
        <v>PROCEED TO DOWN SETS</v>
      </c>
      <c r="B46" s="20"/>
      <c r="C46" s="20"/>
      <c r="D46" s="20"/>
      <c r="E46" s="20"/>
      <c r="F46" s="95"/>
    </row>
    <row r="47">
      <c r="A47" s="249" t="str">
        <f>if('WEEK 10'!F45&lt;=2,"",5)</f>
        <v/>
      </c>
      <c r="B47" s="175" t="str">
        <f>IF('WEEK 10'!F45&lt;=2,"",'WEEK 10'!B45+5)</f>
        <v/>
      </c>
      <c r="C47" s="238" t="str">
        <f>if('WEEK 10'!F45&lt;=2,"",4)</f>
        <v/>
      </c>
      <c r="D47" s="238" t="str">
        <f>if('WEEK 10'!F45&lt;=2,"","1-5 MIN")</f>
        <v/>
      </c>
      <c r="E47" s="66" t="str">
        <f>IF('WEEK 10'!B47='WEEK 6'!B47,'WEEK 6'!F47,"")</f>
        <v/>
      </c>
      <c r="F47" s="67">
        <v>4.0</v>
      </c>
    </row>
    <row r="48">
      <c r="A48" s="259" t="str">
        <f>IF('WEEK 10'!F47&lt;4,"","6")</f>
        <v/>
      </c>
      <c r="B48" s="237" t="str">
        <f>IF('WEEK 10'!F47&lt;4,"",'WEEK 10'!B47+5)</f>
        <v/>
      </c>
      <c r="C48" s="257" t="str">
        <f>IF('WEEK 10'!F47&lt;4,"","4")</f>
        <v/>
      </c>
      <c r="D48" s="257" t="str">
        <f>IF('WEEK 10'!F47&lt;4,"","1-5 MIN")</f>
        <v/>
      </c>
      <c r="E48" s="66" t="str">
        <f>IF('WEEK 10'!B48='WEEK 6'!B48,'WEEK 6'!F48,"")</f>
        <v/>
      </c>
      <c r="F48" s="67">
        <v>4.0</v>
      </c>
    </row>
    <row r="49">
      <c r="A49" s="246" t="s">
        <v>133</v>
      </c>
      <c r="B49" s="20"/>
      <c r="C49" s="20"/>
      <c r="D49" s="20"/>
      <c r="E49" s="20"/>
      <c r="F49" s="95"/>
    </row>
    <row r="50">
      <c r="A50" s="264" t="str">
        <f>IF(OR(ISBLANK('WEEK 10'!F45),ISBLANK('WEEK 10'!F44),ISBLANK('WEEK 10'!F43)),"",IF((AND('WEEK 10'!A47="",'WEEK 10'!A48="")),5,IF((AND('WEEK 10'!A47&gt;1,'WEEK 10'!A48="")),6,7)))</f>
        <v/>
      </c>
      <c r="B50" s="265">
        <f>MROUND('WEEK 10'!B52*0.8,5)</f>
        <v>210</v>
      </c>
      <c r="C50" s="266" t="s">
        <v>65</v>
      </c>
      <c r="D50" s="267" t="s">
        <v>127</v>
      </c>
      <c r="E50" s="66" t="str">
        <f>IF('WEEK 10'!B50='WEEK 6'!B50,'WEEK 6'!F50,"")</f>
        <v/>
      </c>
      <c r="F50" s="67"/>
    </row>
    <row r="51">
      <c r="A51" s="243" t="str">
        <f>IF(OR(ISBLANK('WEEK 10'!F45),ISBLANK('WEEK 10'!F44),ISBLANK('WEEK 10'!F43)),"",IF((AND('WEEK 10'!A47="",'WEEK 10'!A48="")),6,IF((AND('WEEK 10'!A47&gt;1,'WEEK 10'!A48="")),7,8)))</f>
        <v/>
      </c>
      <c r="B51" s="237">
        <f>mround('WEEK 10'!B52*0.7,5)</f>
        <v>185</v>
      </c>
      <c r="C51" s="245" t="s">
        <v>65</v>
      </c>
      <c r="D51" s="65" t="s">
        <v>127</v>
      </c>
      <c r="E51" s="66" t="str">
        <f>IF('WEEK 10'!B51='WEEK 6'!B51,'WEEK 6'!F51,"")</f>
        <v/>
      </c>
      <c r="F51" s="271"/>
    </row>
    <row r="52">
      <c r="A52" s="272" t="s">
        <v>124</v>
      </c>
      <c r="B52" s="273">
        <f>IF(OR(ISBLANK('WEEK 10'!B45),ISBLANK('WEEK 10'!B44),ISBLANK('WEEK 10'!B43)),"",IF('WEEK 10'!F48&gt;=4,'WEEK 10'!B48,IF('WEEK 10'!F47&gt;=1,'WEEK 10'!B47,IF('WEEK 10'!F45&lt;3,'WEEK 10'!B45-5,'WEEK 10'!B45))))</f>
        <v>265</v>
      </c>
      <c r="C52" s="11"/>
      <c r="D52" s="11"/>
      <c r="E52" s="11"/>
      <c r="F52" s="46"/>
    </row>
    <row r="53">
      <c r="A53" s="292"/>
      <c r="B53" s="292"/>
      <c r="C53" s="292"/>
      <c r="D53" s="292"/>
      <c r="E53" s="292"/>
      <c r="F53" s="292"/>
    </row>
    <row r="54">
      <c r="A54" s="73" t="str">
        <f>HYPERLINK("https://youtu.be/hMUUvL3FlkE","4. HIGH ROW")</f>
        <v>4. HIGH ROW</v>
      </c>
      <c r="B54" s="53"/>
      <c r="C54" s="53"/>
      <c r="D54" s="53"/>
      <c r="E54" s="53"/>
      <c r="F54" s="54"/>
    </row>
    <row r="55">
      <c r="A55" s="282" t="s">
        <v>119</v>
      </c>
      <c r="B55" s="56" t="str">
        <f>'WEEK 9'!B54</f>
        <v/>
      </c>
      <c r="C55" s="13"/>
      <c r="D55" s="13"/>
      <c r="E55" s="13"/>
      <c r="F55" s="57"/>
    </row>
    <row r="56">
      <c r="A56" s="58" t="s">
        <v>50</v>
      </c>
      <c r="B56" s="59" t="s">
        <v>51</v>
      </c>
      <c r="C56" s="59" t="s">
        <v>52</v>
      </c>
      <c r="D56" s="59" t="s">
        <v>53</v>
      </c>
      <c r="E56" s="60" t="s">
        <v>54</v>
      </c>
      <c r="F56" s="61" t="s">
        <v>55</v>
      </c>
    </row>
    <row r="57">
      <c r="A57" s="62">
        <v>1.0</v>
      </c>
      <c r="B57" s="63">
        <f> mround('WEEK 10'!B55*0.85,5)</f>
        <v>0</v>
      </c>
      <c r="C57" s="104" t="s">
        <v>65</v>
      </c>
      <c r="D57" s="65" t="s">
        <v>57</v>
      </c>
      <c r="E57" s="66" t="str">
        <f>IF('WEEK 10'!B57='WEEK 6'!B57,'WEEK 6'!F57,"")</f>
        <v/>
      </c>
      <c r="F57" s="67"/>
    </row>
    <row r="58">
      <c r="A58" s="62">
        <v>2.0</v>
      </c>
      <c r="B58" s="63">
        <f>IF('WEEK 10'!F57&lt;6,MROUND('WEEK 10'!B55*0.75,5),IF('WEEK 10'!F57&lt;=11,MROUND('WEEK 10'!B55*0.85,5),'WEEK 10'!B57))</f>
        <v>0</v>
      </c>
      <c r="C58" s="104" t="s">
        <v>65</v>
      </c>
      <c r="D58" s="65" t="s">
        <v>57</v>
      </c>
      <c r="E58" s="66" t="str">
        <f>IF('WEEK 10'!B58='WEEK 6'!B58,'WEEK 6'!F58,"")</f>
        <v/>
      </c>
      <c r="F58" s="67"/>
    </row>
    <row r="59">
      <c r="A59" s="68">
        <v>3.0</v>
      </c>
      <c r="B59" s="69">
        <f>IF('WEEK 10'!F58&lt;6,MROUND('WEEK 10'!B55*0.75,5),IF('WEEK 10'!F58&lt;=11,MROUND('WEEK 10'!B55*0.85,5),'WEEK 10'!B58))</f>
        <v>0</v>
      </c>
      <c r="C59" s="105" t="s">
        <v>65</v>
      </c>
      <c r="D59" s="71" t="s">
        <v>57</v>
      </c>
      <c r="E59" s="66" t="str">
        <f>IF('WEEK 10'!B59='WEEK 6'!B59,'WEEK 6'!F59,"")</f>
        <v/>
      </c>
      <c r="F59" s="67"/>
    </row>
    <row r="60">
      <c r="A60" s="657"/>
    </row>
    <row r="62">
      <c r="A62" s="440" t="str">
        <f>HYPERLINK("https://www.youtube.com/watch?v=PnaDzYh2axA","5. LAT PULL DOWN")</f>
        <v>5. LAT PULL DOWN</v>
      </c>
      <c r="B62" s="53"/>
      <c r="C62" s="53"/>
      <c r="D62" s="53"/>
      <c r="E62" s="53"/>
      <c r="F62" s="54"/>
    </row>
    <row r="63">
      <c r="A63" s="282" t="s">
        <v>119</v>
      </c>
      <c r="B63" s="56" t="str">
        <f>'WEEK 9'!B42</f>
        <v/>
      </c>
      <c r="C63" s="13"/>
      <c r="D63" s="13"/>
      <c r="E63" s="13"/>
      <c r="F63" s="57"/>
    </row>
    <row r="64">
      <c r="A64" s="58" t="s">
        <v>50</v>
      </c>
      <c r="B64" s="59" t="s">
        <v>51</v>
      </c>
      <c r="C64" s="59" t="s">
        <v>52</v>
      </c>
      <c r="D64" s="59" t="s">
        <v>53</v>
      </c>
      <c r="E64" s="60" t="s">
        <v>54</v>
      </c>
      <c r="F64" s="61" t="s">
        <v>55</v>
      </c>
    </row>
    <row r="65">
      <c r="A65" s="62">
        <v>1.0</v>
      </c>
      <c r="B65" s="63">
        <f> mround('WEEK 10'!B63*0.8,5)</f>
        <v>0</v>
      </c>
      <c r="C65" s="104" t="s">
        <v>65</v>
      </c>
      <c r="D65" s="65" t="s">
        <v>57</v>
      </c>
      <c r="E65" s="66" t="str">
        <f>IF('WEEK 10'!B65='WEEK 6'!B65,'WEEK 6'!F65,"")</f>
        <v/>
      </c>
      <c r="F65" s="67"/>
    </row>
    <row r="66">
      <c r="A66" s="62">
        <v>2.0</v>
      </c>
      <c r="B66" s="63">
        <f>IF('WEEK 10'!F65&lt;6,MROUND('WEEK 10'!B63*0.75,5),IF('WEEK 10'!F65&lt;=11,MROUND('WEEK 10'!B63*0.85,5),'WEEK 10'!B65))</f>
        <v>0</v>
      </c>
      <c r="C66" s="104" t="s">
        <v>65</v>
      </c>
      <c r="D66" s="65" t="s">
        <v>57</v>
      </c>
      <c r="E66" s="66" t="str">
        <f>IF('WEEK 10'!B66='WEEK 6'!B66,'WEEK 6'!F66,"")</f>
        <v/>
      </c>
      <c r="F66" s="67"/>
    </row>
    <row r="67">
      <c r="A67" s="68">
        <v>3.0</v>
      </c>
      <c r="B67" s="69">
        <f>IF('WEEK 10'!F66&lt;6,MROUND('WEEK 10'!B63*0.75,5),IF('WEEK 10'!F66&lt;=11,MROUND('WEEK 10'!B63*0.85,5),'WEEK 10'!B66))</f>
        <v>0</v>
      </c>
      <c r="C67" s="105" t="s">
        <v>65</v>
      </c>
      <c r="D67" s="71" t="s">
        <v>57</v>
      </c>
      <c r="E67" s="66" t="str">
        <f>IF('WEEK 10'!B67='WEEK 6'!B67,'WEEK 6'!F67,"")</f>
        <v/>
      </c>
      <c r="F67" s="67"/>
    </row>
    <row r="70">
      <c r="A70" s="310" t="str">
        <f>HYPERLINK("https://docs.google.com/a/fitnessresults.com/forms/d/e/1FAIpQLSd7MoczESe8Yjv6BKpmwAZGn9Aiymrs9-UdgfYIUpbr9t5NXg/viewform?usp=pp_url&amp;entry.93370101","CLICK TO COMPLETE WORKOUT")</f>
        <v>CLICK TO COMPLETE WORKOUT</v>
      </c>
      <c r="B70" s="36"/>
      <c r="C70" s="36"/>
      <c r="D70" s="36"/>
      <c r="E70" s="36"/>
      <c r="F70" s="37"/>
    </row>
    <row r="71">
      <c r="E71" s="1248"/>
    </row>
    <row r="72">
      <c r="A72" s="224" t="s">
        <v>128</v>
      </c>
      <c r="B72" s="36"/>
      <c r="C72" s="36"/>
      <c r="D72" s="36"/>
      <c r="E72" s="36"/>
      <c r="F72" s="37"/>
    </row>
    <row r="75">
      <c r="A75" s="1261" t="str">
        <f>'WEEK 8'!A65</f>
        <v>1. MACHINE SQUAT</v>
      </c>
      <c r="B75" s="53"/>
      <c r="C75" s="53"/>
      <c r="D75" s="53"/>
      <c r="E75" s="53"/>
      <c r="F75" s="54"/>
    </row>
    <row r="76">
      <c r="A76" s="961" t="s">
        <v>119</v>
      </c>
      <c r="B76" s="1035">
        <f>'WEEK 8'!B74</f>
        <v>100</v>
      </c>
      <c r="C76" s="13"/>
      <c r="D76" s="13"/>
      <c r="E76" s="13"/>
      <c r="F76" s="57"/>
    </row>
    <row r="77">
      <c r="A77" s="231" t="s">
        <v>50</v>
      </c>
      <c r="B77" s="232" t="s">
        <v>51</v>
      </c>
      <c r="C77" s="232" t="s">
        <v>52</v>
      </c>
      <c r="D77" s="232" t="s">
        <v>53</v>
      </c>
      <c r="E77" s="233" t="s">
        <v>54</v>
      </c>
      <c r="F77" s="61" t="s">
        <v>55</v>
      </c>
      <c r="H77" s="1130"/>
    </row>
    <row r="78">
      <c r="A78" s="236">
        <v>1.0</v>
      </c>
      <c r="B78" s="237">
        <f>mround('WEEK 10'!B76*0.35,5)</f>
        <v>35</v>
      </c>
      <c r="C78" s="238">
        <v>10.0</v>
      </c>
      <c r="D78" s="238" t="s">
        <v>120</v>
      </c>
      <c r="E78" s="1130" t="str">
        <f>IF('WEEK 10'!B78='WEEK 9'!B69,'WEEK 9'!F69,"")</f>
        <v/>
      </c>
      <c r="F78" s="67"/>
    </row>
    <row r="79">
      <c r="A79" s="236">
        <v>2.0</v>
      </c>
      <c r="B79" s="237">
        <f>mround('WEEK 10'!B76*0.65,5)</f>
        <v>65</v>
      </c>
      <c r="C79" s="238">
        <v>10.0</v>
      </c>
      <c r="D79" s="238" t="s">
        <v>121</v>
      </c>
      <c r="E79" s="1130" t="str">
        <f>IF('WEEK 10'!B79='WEEK 9'!B70,'WEEK 9'!F70,"")</f>
        <v/>
      </c>
      <c r="F79" s="67"/>
    </row>
    <row r="80">
      <c r="A80" s="242">
        <v>3.0</v>
      </c>
      <c r="B80" s="237">
        <f>mround('WEEK 10'!B76*0.9,5)</f>
        <v>90</v>
      </c>
      <c r="C80" s="238">
        <v>10.0</v>
      </c>
      <c r="D80" s="238" t="s">
        <v>121</v>
      </c>
      <c r="E80" s="1130" t="str">
        <f>IF('WEEK 10'!B80='WEEK 9'!B71,'WEEK 9'!F71,"")</f>
        <v/>
      </c>
      <c r="F80" s="67"/>
    </row>
    <row r="81">
      <c r="A81" s="249">
        <v>4.0</v>
      </c>
      <c r="B81" s="175">
        <f>if('WEEK 10'!F80&lt;4,MROUND('WEEK 10'!B80-('WEEK 10'!B80*20%),5),'WEEK 10'!B76)</f>
        <v>70</v>
      </c>
      <c r="C81" s="238">
        <v>10.0</v>
      </c>
      <c r="D81" s="238" t="s">
        <v>122</v>
      </c>
      <c r="E81" s="1130" t="str">
        <f>IF('WEEK 10'!B81='WEEK 9'!B72,'WEEK 9'!F72,"")</f>
        <v/>
      </c>
      <c r="F81" s="67"/>
    </row>
    <row r="82">
      <c r="A82" s="249">
        <v>5.0</v>
      </c>
      <c r="B82" s="175">
        <f>IF((AND('WEEK 10'!B81&lt;='WEEK 10'!B80,'WEEK 10'!F81&gt;=4)),'WEEK 10'!B81,IF('WEEK 10'!F81&lt;4,MROUND('WEEK 10'!B81-('WEEK 10'!B81*20%),5),if( 'WEEK 10'!F81&lt;4,MROUND('WEEK 10'!B81-('WEEK 10'!B81*10%),5),MROUND('WEEK 10'!B81+('WEEK 10'!B81*10%),5))))</f>
        <v>55</v>
      </c>
      <c r="C82" s="238">
        <v>10.0</v>
      </c>
      <c r="D82" s="238" t="s">
        <v>122</v>
      </c>
      <c r="E82" s="1130" t="str">
        <f>IF('WEEK 10'!B82='WEEK 9'!B73,'WEEK 9'!F73,"")</f>
        <v/>
      </c>
      <c r="F82" s="1037"/>
    </row>
    <row r="83">
      <c r="A83" s="249">
        <f>if(F81&lt;4,6,6)</f>
        <v>6</v>
      </c>
      <c r="B83" s="175">
        <f>IF((AND('WEEK 10'!B82&lt;='WEEK 10'!B81,'WEEK 10'!F82&gt;=4)),'WEEK 10'!B82,IF('WEEK 10'!F82&lt;4,MROUND('WEEK 10'!B82-('WEEK 10'!B82*20%),5),if( 'WEEK 10'!F82&lt;4,MROUND('WEEK 10'!B82-('WEEK 10'!B82*10%),5),MROUND('WEEK 10'!B82+('WEEK 10'!B82*10%),5))))</f>
        <v>45</v>
      </c>
      <c r="C83" s="238">
        <v>10.0</v>
      </c>
      <c r="D83" s="238" t="s">
        <v>122</v>
      </c>
      <c r="E83" s="1130" t="str">
        <f>IF('WEEK 10'!B83='WEEK 9'!B74,'WEEK 9'!F74,"")</f>
        <v/>
      </c>
      <c r="F83" s="67"/>
    </row>
    <row r="84">
      <c r="A84" s="1038">
        <f>IF(F83&lt;4,7,"7")</f>
        <v>7</v>
      </c>
      <c r="B84" s="175">
        <f>IF((AND('WEEK 10'!B83&lt;='WEEK 10'!B82,'WEEK 10'!F83&gt;=4)),'WEEK 10'!B83,IF('WEEK 10'!F83&lt;4,MROUND('WEEK 10'!B83-('WEEK 10'!B83*20%),5),if( 'WEEK 10'!F83&lt;4,MROUND('WEEK 10'!B83-('WEEK 10'!B83*10%),5),MROUND('WEEK 10'!B83+('WEEK 10'!B83*10%),5))))</f>
        <v>35</v>
      </c>
      <c r="C84" s="238">
        <v>10.0</v>
      </c>
      <c r="D84" s="238" t="s">
        <v>122</v>
      </c>
      <c r="E84" s="1130" t="str">
        <f>IF('WEEK 10'!B84='WEEK 9'!B75,'WEEK 9'!F75,"")</f>
        <v/>
      </c>
      <c r="F84" s="67"/>
    </row>
    <row r="85">
      <c r="A85" s="249">
        <f>IF(F84&lt;4,8,"8")</f>
        <v>8</v>
      </c>
      <c r="B85" s="175">
        <f>IF((AND('WEEK 10'!B84&lt;='WEEK 10'!B83,'WEEK 10'!F84&gt;=4)),'WEEK 10'!B84,IF('WEEK 10'!F84&lt;4,MROUND('WEEK 10'!B84-('WEEK 10'!B84*20%),5),if( 'WEEK 10'!F84&lt;4,MROUND('WEEK 10'!B84-('WEEK 10'!B84*10%),5),MROUND('WEEK 10'!B84+('WEEK 10'!B84*10%),5))))</f>
        <v>30</v>
      </c>
      <c r="C85" s="238">
        <v>10.0</v>
      </c>
      <c r="D85" s="238" t="s">
        <v>122</v>
      </c>
      <c r="E85" s="1130" t="str">
        <f>IF('WEEK 10'!B85='WEEK 9'!B76,'WEEK 9'!F76,"")</f>
        <v/>
      </c>
      <c r="F85" s="67"/>
    </row>
    <row r="86">
      <c r="A86" s="272" t="s">
        <v>216</v>
      </c>
      <c r="B86" s="1109">
        <f>IF((AND('WEEK 10'!F85&gt;=4,'WEEK 10'!B85&gt;'WEEK 10'!B84)),'WEEK 10'!B85,IF((AND('WEEK 10'!F84&gt;=4,'WEEK 10'!B84&gt;'WEEK 10'!B83)),'WEEK 10'!B84,IF((AND('WEEK 10'!F83&gt;=4,'WEEK 10'!B83&gt;'WEEK 10'!B82)),'WEEK 10'!B83,IF((AND('WEEK 10'!F82&gt;=4,'WEEK 10'!B82&gt;'WEEK 10'!B81)),'WEEK 10'!B82,IF((AND('WEEK 10'!F81&gt;=4,'WEEK 10'!B81&gt;'WEEK 10'!B80)),'WEEK 10'!B81,IF((AND('WEEK 10'!F80&gt;=4,'WEEK 10'!B80&gt;'WEEK 10'!B79)),'WEEK 10'!B80,IF((AND('WEEK 10'!F79&gt;=4,'WEEK 10'!B79&gt;'WEEK 10'!B78)),'WEEK 10'!B79,IF((AND('WEEK 10'!F78&gt;=4,'WEEK 10'!B78&gt;'WEEK 10'!B77)),'WEEK 10'!B78,IF((AND('WEEK 10'!F77&gt;=4,'WEEK 10'!B77&gt;'WEEK 10'!B76)),'WEEK 10'!B76)))))))))</f>
        <v>100</v>
      </c>
      <c r="C86" s="11"/>
      <c r="D86" s="11"/>
      <c r="E86" s="11"/>
      <c r="F86" s="46"/>
    </row>
    <row r="89">
      <c r="A89" s="1044" t="str">
        <f>HYPERLINK("https://www.youtube.com/watch?v=NZ9KiFtbiMs","2. LEG EXTENSION")</f>
        <v>2. LEG EXTENSION</v>
      </c>
      <c r="B89" s="13"/>
      <c r="C89" s="13"/>
      <c r="D89" s="13"/>
      <c r="E89" s="13"/>
      <c r="F89" s="57"/>
    </row>
    <row r="90">
      <c r="A90" s="1045" t="s">
        <v>119</v>
      </c>
      <c r="B90" s="1046">
        <f>IF('WEEK 9'!B82='WEEK 9'!B84,'WEEK 9'!B82+5,IF('WEEK 9'!F82&lt;=9,MROUND('WEEK 9'!B80*0.95,5),'WEEK 9'!B82))</f>
        <v>55</v>
      </c>
      <c r="C90" s="13"/>
      <c r="D90" s="13"/>
      <c r="E90" s="13"/>
      <c r="F90" s="57"/>
    </row>
    <row r="91">
      <c r="A91" s="567" t="s">
        <v>50</v>
      </c>
      <c r="B91" s="568" t="s">
        <v>51</v>
      </c>
      <c r="C91" s="568" t="s">
        <v>52</v>
      </c>
      <c r="D91" s="568" t="s">
        <v>53</v>
      </c>
      <c r="E91" s="1047" t="s">
        <v>54</v>
      </c>
      <c r="F91" s="1048" t="s">
        <v>55</v>
      </c>
    </row>
    <row r="92">
      <c r="A92" s="1049">
        <v>1.0</v>
      </c>
      <c r="B92" s="1050">
        <f>'WEEK 10'!B90</f>
        <v>55</v>
      </c>
      <c r="C92" s="1051" t="s">
        <v>144</v>
      </c>
      <c r="D92" s="1052" t="s">
        <v>57</v>
      </c>
      <c r="E92" s="1130" t="str">
        <f>IF('WEEK 10'!B92='WEEK 9'!B82,'WEEK 9'!F82,"")</f>
        <v/>
      </c>
      <c r="F92" s="1017"/>
    </row>
    <row r="93">
      <c r="A93" s="1049">
        <v>2.0</v>
      </c>
      <c r="B93" s="1050">
        <f>if('WEEK 10'!F92&lt;12,mround('WEEK 10'!B92*0.8,5),IF('WEEK 10'!F92&lt;=19,MROUND('WEEK 10'!B92*0.95,5),'WEEK 10'!B92))</f>
        <v>45</v>
      </c>
      <c r="C93" s="1051" t="s">
        <v>144</v>
      </c>
      <c r="D93" s="1052" t="s">
        <v>57</v>
      </c>
      <c r="E93" s="1130" t="str">
        <f>IF('WEEK 10'!B93='WEEK 9'!B83,'WEEK 9'!F83,"")</f>
        <v/>
      </c>
      <c r="F93" s="1017"/>
    </row>
    <row r="94">
      <c r="A94" s="1053">
        <v>3.0</v>
      </c>
      <c r="B94" s="1054">
        <f>if('WEEK 10'!F93&lt;12,mround('WEEK 10'!B93*0.8,5),IF('WEEK 10'!F93&lt;=19,MROUND('WEEK 10'!B93*0.95,5),'WEEK 10'!B93))</f>
        <v>35</v>
      </c>
      <c r="C94" s="1055" t="s">
        <v>144</v>
      </c>
      <c r="D94" s="1056" t="s">
        <v>57</v>
      </c>
      <c r="E94" s="1130" t="str">
        <f>IF('WEEK 10'!B94='WEEK 9'!B84,'WEEK 9'!F84,"")</f>
        <v/>
      </c>
      <c r="F94" s="1017"/>
    </row>
    <row r="97">
      <c r="A97" s="323" t="str">
        <f>HYPERLINK("https://www.youtube.com/watch?v=XepOfsnGFJg","3. MACHINE LEG CURL")</f>
        <v>3. MACHINE LEG CURL</v>
      </c>
      <c r="B97" s="53"/>
      <c r="C97" s="53"/>
      <c r="D97" s="53"/>
      <c r="E97" s="53"/>
      <c r="F97" s="54"/>
      <c r="G97" s="141"/>
      <c r="H97" s="323" t="str">
        <f>HYPERLINK("https://youtu.be/kmN9cJ79PDE","3. PRONE LEG CURL")</f>
        <v>3. PRONE LEG CURL</v>
      </c>
      <c r="I97" s="53"/>
      <c r="J97" s="53"/>
      <c r="K97" s="53"/>
      <c r="L97" s="53"/>
      <c r="M97" s="54"/>
    </row>
    <row r="98">
      <c r="A98" s="1045" t="s">
        <v>119</v>
      </c>
      <c r="B98" s="1046">
        <f>IF('WEEK 9'!B90='WEEK 9'!B92,'WEEK 9'!B90+5,IF('WEEK 9'!F90&lt;=9,MROUND('WEEK 9'!B88*0.95,5),'WEEK 9'!B90))</f>
        <v>70</v>
      </c>
      <c r="C98" s="13"/>
      <c r="D98" s="13"/>
      <c r="E98" s="13"/>
      <c r="F98" s="57"/>
      <c r="H98" s="1045" t="s">
        <v>119</v>
      </c>
      <c r="I98" s="1046">
        <f>IF('WEEK 9'!I90='WEEK 9'!I92,'WEEK 9'!I90+5,IF('WEEK 9'!M90&lt;=9,MROUND('WEEK 9'!I88*0.95,5),'WEEK 9'!I90))</f>
        <v>70</v>
      </c>
      <c r="J98" s="13"/>
      <c r="K98" s="13"/>
      <c r="L98" s="13"/>
      <c r="M98" s="57"/>
    </row>
    <row r="99">
      <c r="A99" s="567" t="s">
        <v>50</v>
      </c>
      <c r="B99" s="568" t="s">
        <v>51</v>
      </c>
      <c r="C99" s="568" t="s">
        <v>52</v>
      </c>
      <c r="D99" s="568" t="s">
        <v>53</v>
      </c>
      <c r="E99" s="1047" t="s">
        <v>54</v>
      </c>
      <c r="F99" s="1048" t="s">
        <v>55</v>
      </c>
      <c r="H99" s="567" t="s">
        <v>50</v>
      </c>
      <c r="I99" s="568" t="s">
        <v>51</v>
      </c>
      <c r="J99" s="568" t="s">
        <v>52</v>
      </c>
      <c r="K99" s="568" t="s">
        <v>53</v>
      </c>
      <c r="L99" s="1047" t="s">
        <v>54</v>
      </c>
      <c r="M99" s="1048" t="s">
        <v>55</v>
      </c>
    </row>
    <row r="100">
      <c r="A100" s="1049">
        <v>1.0</v>
      </c>
      <c r="B100" s="1050">
        <f>'WEEK 10'!B98</f>
        <v>70</v>
      </c>
      <c r="C100" s="1051" t="s">
        <v>144</v>
      </c>
      <c r="D100" s="1052" t="s">
        <v>57</v>
      </c>
      <c r="E100" s="1130" t="str">
        <f>IF('WEEK 10'!B100='WEEK 9'!B90,'WEEK 9'!F90,"")</f>
        <v/>
      </c>
      <c r="F100" s="1017"/>
      <c r="G100" s="434" t="s">
        <v>123</v>
      </c>
      <c r="H100" s="1049">
        <v>1.0</v>
      </c>
      <c r="I100" s="1050">
        <f>'WEEK 10'!I98</f>
        <v>70</v>
      </c>
      <c r="J100" s="1051" t="s">
        <v>144</v>
      </c>
      <c r="K100" s="1052" t="s">
        <v>57</v>
      </c>
      <c r="L100" s="1010"/>
      <c r="M100" s="1017"/>
    </row>
    <row r="101">
      <c r="A101" s="1049">
        <v>2.0</v>
      </c>
      <c r="B101" s="1050">
        <f>if('WEEK 10'!F100&lt;12,mround('WEEK 10'!B100*0.8,5),IF('WEEK 10'!F100&lt;=19,MROUND('WEEK 10'!B100*0.95,5),'WEEK 10'!B100))</f>
        <v>55</v>
      </c>
      <c r="C101" s="1051" t="s">
        <v>144</v>
      </c>
      <c r="D101" s="1052" t="s">
        <v>57</v>
      </c>
      <c r="E101" s="1130" t="str">
        <f>IF('WEEK 10'!B101='WEEK 9'!B91,'WEEK 9'!F91,"")</f>
        <v/>
      </c>
      <c r="F101" s="1017"/>
      <c r="H101" s="1049">
        <v>2.0</v>
      </c>
      <c r="I101" s="1050">
        <f>if('WEEK 10'!M100&lt;12,mround('WEEK 10'!I100*0.8,5),IF('WEEK 10'!M100&lt;=19,MROUND('WEEK 10'!I100*0.95,5),'WEEK 10'!I100))</f>
        <v>55</v>
      </c>
      <c r="J101" s="1051" t="s">
        <v>144</v>
      </c>
      <c r="K101" s="1052" t="s">
        <v>57</v>
      </c>
      <c r="L101" s="1010"/>
      <c r="M101" s="1017"/>
    </row>
    <row r="102">
      <c r="A102" s="1053">
        <v>3.0</v>
      </c>
      <c r="B102" s="1054">
        <f>if('WEEK 10'!F101&lt;12,mround('WEEK 10'!B101*0.8,5),IF('WEEK 10'!F101&lt;=19,MROUND('WEEK 10'!B101*0.95,5),'WEEK 10'!B101))</f>
        <v>45</v>
      </c>
      <c r="C102" s="1055" t="s">
        <v>144</v>
      </c>
      <c r="D102" s="1056" t="s">
        <v>57</v>
      </c>
      <c r="E102" s="1130" t="str">
        <f>IF('WEEK 10'!B102='WEEK 9'!B92,'WEEK 9'!F92,"")</f>
        <v/>
      </c>
      <c r="F102" s="1017"/>
      <c r="G102" s="682"/>
      <c r="H102" s="1053">
        <v>3.0</v>
      </c>
      <c r="I102" s="1054">
        <f>if('WEEK 10'!M101&lt;12,mround('WEEK 10'!I101*0.8,5),IF('WEEK 10'!M101&lt;=19,MROUND('WEEK 10'!I101*0.95,5),'WEEK 10'!I101))</f>
        <v>45</v>
      </c>
      <c r="J102" s="1055" t="s">
        <v>144</v>
      </c>
      <c r="K102" s="1056" t="s">
        <v>57</v>
      </c>
      <c r="L102" s="1021"/>
      <c r="M102" s="1017"/>
    </row>
    <row r="103">
      <c r="A103" s="849"/>
      <c r="B103" s="849"/>
      <c r="C103" s="849"/>
      <c r="D103" s="849"/>
      <c r="E103" s="849"/>
      <c r="F103" s="849"/>
      <c r="H103" s="849"/>
      <c r="I103" s="850"/>
      <c r="J103" s="850"/>
      <c r="K103" s="850"/>
      <c r="L103" s="850"/>
      <c r="M103" s="850"/>
    </row>
    <row r="105">
      <c r="A105" s="1120" t="s">
        <v>62</v>
      </c>
      <c r="B105" s="36"/>
      <c r="C105" s="36"/>
      <c r="D105" s="36"/>
      <c r="E105" s="36"/>
      <c r="F105" s="37"/>
    </row>
    <row r="108">
      <c r="A108" s="44" t="s">
        <v>131</v>
      </c>
      <c r="B108" s="36"/>
      <c r="C108" s="36"/>
      <c r="D108" s="36"/>
      <c r="E108" s="36"/>
      <c r="F108" s="37"/>
      <c r="H108" s="44" t="s">
        <v>131</v>
      </c>
      <c r="I108" s="36"/>
      <c r="J108" s="36"/>
      <c r="K108" s="36"/>
      <c r="L108" s="36"/>
      <c r="M108" s="37"/>
    </row>
    <row r="109">
      <c r="A109" s="112" t="str">
        <f>HYPERLINK("https://www.youtube.com/watch?v=rmxOkkd2hUk","1. SHOULDER PRESS")</f>
        <v>1. SHOULDER PRESS</v>
      </c>
      <c r="B109" s="13"/>
      <c r="C109" s="13"/>
      <c r="D109" s="13"/>
      <c r="E109" s="13"/>
      <c r="F109" s="57"/>
      <c r="H109" s="1139" t="str">
        <f>HYPERLINK("https://www.youtube.com/watch?v=-cSBPE-y38M","1. MACHINE SHOULDER PRESS")</f>
        <v>1. MACHINE SHOULDER PRESS</v>
      </c>
      <c r="I109" s="13"/>
      <c r="J109" s="13"/>
      <c r="K109" s="13"/>
      <c r="L109" s="13"/>
      <c r="M109" s="57"/>
    </row>
    <row r="110">
      <c r="A110" s="226" t="s">
        <v>119</v>
      </c>
      <c r="B110" s="227" t="str">
        <f>'WEEK 7'!B127</f>
        <v/>
      </c>
      <c r="C110" s="20"/>
      <c r="D110" s="20"/>
      <c r="E110" s="20"/>
      <c r="F110" s="95"/>
      <c r="H110" s="226" t="s">
        <v>119</v>
      </c>
      <c r="I110" s="227">
        <f>'WEEK 9'!I101</f>
        <v>150</v>
      </c>
      <c r="J110" s="20"/>
      <c r="K110" s="20"/>
      <c r="L110" s="20"/>
      <c r="M110" s="95"/>
    </row>
    <row r="111">
      <c r="A111" s="231" t="s">
        <v>50</v>
      </c>
      <c r="B111" s="232" t="s">
        <v>51</v>
      </c>
      <c r="C111" s="232" t="s">
        <v>52</v>
      </c>
      <c r="D111" s="232" t="s">
        <v>53</v>
      </c>
      <c r="E111" s="233" t="s">
        <v>54</v>
      </c>
      <c r="F111" s="61" t="s">
        <v>55</v>
      </c>
      <c r="H111" s="231" t="s">
        <v>50</v>
      </c>
      <c r="I111" s="232" t="s">
        <v>51</v>
      </c>
      <c r="J111" s="232" t="s">
        <v>52</v>
      </c>
      <c r="K111" s="232" t="s">
        <v>53</v>
      </c>
      <c r="L111" s="233" t="s">
        <v>54</v>
      </c>
      <c r="M111" s="61" t="s">
        <v>55</v>
      </c>
    </row>
    <row r="112">
      <c r="A112" s="1140">
        <v>1.0</v>
      </c>
      <c r="B112" s="237">
        <f>mround('WEEK 10'!B110*0.35,5)</f>
        <v>0</v>
      </c>
      <c r="C112" s="237">
        <v>6.0</v>
      </c>
      <c r="D112" s="238" t="s">
        <v>120</v>
      </c>
      <c r="E112" s="1130" t="str">
        <f>IF(B112='WEEK 7 MASTER SHEET'!B117,'WEEK 7 MASTER SHEET'!F117,"")</f>
        <v/>
      </c>
      <c r="F112" s="67"/>
      <c r="H112" s="1140">
        <v>1.0</v>
      </c>
      <c r="I112" s="237">
        <f>mround('WEEK 10'!I110*0.35,5)</f>
        <v>55</v>
      </c>
      <c r="J112" s="237">
        <v>6.0</v>
      </c>
      <c r="K112" s="238" t="s">
        <v>120</v>
      </c>
      <c r="L112" s="1130" t="str">
        <f>IF(I112='WEEK 7 MASTER SHEET'!I117,'WEEK 7 MASTER SHEET'!M117,"")</f>
        <v/>
      </c>
      <c r="M112" s="67"/>
    </row>
    <row r="113">
      <c r="A113" s="236">
        <v>2.0</v>
      </c>
      <c r="B113" s="237">
        <f>mround('WEEK 10'!B110*0.65,5)</f>
        <v>0</v>
      </c>
      <c r="C113" s="237">
        <v>1.0</v>
      </c>
      <c r="D113" s="238" t="s">
        <v>121</v>
      </c>
      <c r="E113" s="1130" t="str">
        <f>IF(B113='WEEK 7 MASTER SHEET'!B118,'WEEK 7 MASTER SHEET'!F118,"")</f>
        <v/>
      </c>
      <c r="F113" s="67"/>
      <c r="H113" s="236">
        <v>2.0</v>
      </c>
      <c r="I113" s="237">
        <f>mround('WEEK 10'!I110*0.65,5)</f>
        <v>100</v>
      </c>
      <c r="J113" s="237">
        <v>1.0</v>
      </c>
      <c r="K113" s="238" t="s">
        <v>121</v>
      </c>
      <c r="L113" s="1130" t="str">
        <f>IF(I113='WEEK 7 MASTER SHEET'!I118,'WEEK 7 MASTER SHEET'!M118,"")</f>
        <v/>
      </c>
      <c r="M113" s="67"/>
    </row>
    <row r="114">
      <c r="A114" s="242">
        <v>3.0</v>
      </c>
      <c r="B114" s="237">
        <f>mround('WEEK 10'!B110*0.9,5)</f>
        <v>0</v>
      </c>
      <c r="C114" s="82">
        <v>1.0</v>
      </c>
      <c r="D114" s="238" t="s">
        <v>121</v>
      </c>
      <c r="E114" s="1130" t="str">
        <f>IF(B114='WEEK 7 MASTER SHEET'!B119,'WEEK 7 MASTER SHEET'!F119,"")</f>
        <v/>
      </c>
      <c r="F114" s="67"/>
      <c r="H114" s="242">
        <v>3.0</v>
      </c>
      <c r="I114" s="237">
        <f>mround('WEEK 10'!I110*0.9,5)</f>
        <v>135</v>
      </c>
      <c r="J114" s="82">
        <v>1.0</v>
      </c>
      <c r="K114" s="238" t="s">
        <v>121</v>
      </c>
      <c r="L114" s="1130" t="str">
        <f>IF(I114='WEEK 7 MASTER SHEET'!I119,'WEEK 7 MASTER SHEET'!M119,"")</f>
        <v/>
      </c>
      <c r="M114" s="67"/>
    </row>
    <row r="115">
      <c r="A115" s="243">
        <v>4.0</v>
      </c>
      <c r="B115" s="237" t="str">
        <f>'WEEK 10'!B110</f>
        <v/>
      </c>
      <c r="C115" s="257">
        <v>1.0</v>
      </c>
      <c r="D115" s="238" t="s">
        <v>122</v>
      </c>
      <c r="E115" s="1130" t="str">
        <f>IF(B115='WEEK 7 MASTER SHEET'!B120,'WEEK 7 MASTER SHEET'!F120,"")</f>
        <v/>
      </c>
      <c r="F115" s="67"/>
      <c r="H115" s="243">
        <v>4.0</v>
      </c>
      <c r="I115" s="237">
        <f>'WEEK 10'!I110</f>
        <v>150</v>
      </c>
      <c r="J115" s="257">
        <v>1.0</v>
      </c>
      <c r="K115" s="238" t="s">
        <v>122</v>
      </c>
      <c r="L115" s="1130" t="str">
        <f>IF(I115='WEEK 7 MASTER SHEET'!I120,'WEEK 7 MASTER SHEET'!M120,"")</f>
        <v/>
      </c>
      <c r="M115" s="67"/>
    </row>
    <row r="116">
      <c r="A116" s="246" t="str">
        <f>IF('WEEK 10'!F115&lt;1,"PROCEED TO DOWN SETS","NEW 4 REP MAX ATTEMPT")</f>
        <v>PROCEED TO DOWN SETS</v>
      </c>
      <c r="B116" s="20"/>
      <c r="C116" s="20"/>
      <c r="D116" s="20"/>
      <c r="E116" s="20"/>
      <c r="F116" s="95"/>
      <c r="H116" s="246" t="str">
        <f>IF('WEEK 10'!M115&lt;1,"PROCEED TO DOWN SETS","NEW 4 REP MAX ATTEMPT")</f>
        <v>PROCEED TO DOWN SETS</v>
      </c>
      <c r="I116" s="20"/>
      <c r="J116" s="20"/>
      <c r="K116" s="20"/>
      <c r="L116" s="20"/>
      <c r="M116" s="95"/>
    </row>
    <row r="117">
      <c r="A117" s="249" t="str">
        <f>IF(OR(ISBLANK('WEEK 10'!F115),ISBLANK('WEEK 10'!F114),ISBLANK('WEEK 10'!F113)), "",if('WEEK 10'!F115&lt;1,"",5))</f>
        <v/>
      </c>
      <c r="B117" s="175" t="str">
        <f>IF('WEEK 10'!F115&lt;1,"",'WEEK 10'!B115+5)</f>
        <v/>
      </c>
      <c r="C117" s="238" t="str">
        <f>if('WEEK 10'!F115&lt;1,"",4)</f>
        <v/>
      </c>
      <c r="D117" s="238" t="str">
        <f>if('WEEK 10'!F115&lt;1,"","1-5 MIN")</f>
        <v/>
      </c>
      <c r="E117" s="1130" t="str">
        <f>IF(B117='WEEK 7 MASTER SHEET'!B122,'WEEK 7 MASTER SHEET'!F122,"")</f>
        <v/>
      </c>
      <c r="F117" s="67"/>
      <c r="H117" s="249" t="str">
        <f>IF(OR(ISBLANK('WEEK 10'!M115),ISBLANK('WEEK 10'!M114),ISBLANK('WEEK 10'!M113)), "",if('WEEK 10'!M115&lt;1,"",5))</f>
        <v/>
      </c>
      <c r="I117" s="175" t="str">
        <f>IF('WEEK 10'!M115&lt;1,"",'WEEK 10'!I115+5)</f>
        <v/>
      </c>
      <c r="J117" s="238" t="str">
        <f>if('WEEK 10'!M115&lt;1,"",4)</f>
        <v/>
      </c>
      <c r="K117" s="238" t="str">
        <f>if('WEEK 10'!M115&lt;1,"","1-5 MIN")</f>
        <v/>
      </c>
      <c r="L117" s="1130" t="str">
        <f>IF(I117='WEEK 7 MASTER SHEET'!I122,'WEEK 7 MASTER SHEET'!M122,"")</f>
        <v/>
      </c>
      <c r="M117" s="67"/>
    </row>
    <row r="118">
      <c r="A118" s="259" t="str">
        <f>IF(OR(ISBLANK('WEEK 10'!F114),ISBLANK('WEEK 10'!F115),ISBLANK('WEEK 10'!F117)), "",IF('WEEK 10'!F117&lt;4,"","6"))</f>
        <v/>
      </c>
      <c r="B118" s="237" t="str">
        <f>IF(OR(ISBLANK('WEEK 10'!F114),ISBLANK('WEEK 10'!F115),ISBLANK('WEEK 10'!F117)), "",IF('WEEK 10'!F117&lt;4,"",'WEEK 10'!B117+5))</f>
        <v/>
      </c>
      <c r="C118" s="257" t="str">
        <f>IF(OR(ISBLANK('WEEK 10'!F114),ISBLANK('WEEK 10'!F115),ISBLANK('WEEK 10'!F117)), "",IF('WEEK 10'!F117&lt;4,"","4"))</f>
        <v/>
      </c>
      <c r="D118" s="257" t="str">
        <f>IF(OR(ISBLANK('WEEK 10'!F114),ISBLANK('WEEK 10'!F115),ISBLANK('WEEK 10'!F117)), "",IF('WEEK 10'!F117&lt;4,"","1-5 MIN"))</f>
        <v/>
      </c>
      <c r="E118" s="1130" t="str">
        <f>IF(B118='WEEK 7 MASTER SHEET'!B123,'WEEK 7 MASTER SHEET'!F123,"")</f>
        <v/>
      </c>
      <c r="F118" s="67"/>
      <c r="H118" s="259" t="str">
        <f>IF(OR(ISBLANK('WEEK 10'!M114),ISBLANK('WEEK 10'!M115),ISBLANK('WEEK 10'!M117)), "",IF('WEEK 10'!M117&lt;4,"","6"))</f>
        <v/>
      </c>
      <c r="I118" s="237" t="str">
        <f>IF(OR(ISBLANK('WEEK 10'!M114),ISBLANK('WEEK 10'!M115),ISBLANK('WEEK 10'!M117)), "",IF('WEEK 10'!M117&lt;4,"",'WEEK 10'!I117+5))</f>
        <v/>
      </c>
      <c r="J118" s="257" t="str">
        <f>IF(OR(ISBLANK('WEEK 10'!M114),ISBLANK('WEEK 10'!M115),ISBLANK('WEEK 10'!M117)), "",IF('WEEK 10'!M117&lt;4,"","4"))</f>
        <v/>
      </c>
      <c r="K118" s="257" t="str">
        <f>IF(OR(ISBLANK('WEEK 10'!M114),ISBLANK('WEEK 10'!M115),ISBLANK('WEEK 10'!M117)), "",IF('WEEK 10'!M117&lt;4,"","1-5 MIN"))</f>
        <v/>
      </c>
      <c r="L118" s="1130" t="str">
        <f>IF(I118='WEEK 7 MASTER SHEET'!I123,'WEEK 7 MASTER SHEET'!M123,"")</f>
        <v/>
      </c>
      <c r="M118" s="67"/>
    </row>
    <row r="119">
      <c r="A119" s="246" t="s">
        <v>133</v>
      </c>
      <c r="B119" s="20"/>
      <c r="C119" s="20"/>
      <c r="D119" s="20"/>
      <c r="E119" s="20"/>
      <c r="F119" s="95"/>
      <c r="H119" s="246" t="s">
        <v>133</v>
      </c>
      <c r="I119" s="20"/>
      <c r="J119" s="20"/>
      <c r="K119" s="20"/>
      <c r="L119" s="20"/>
      <c r="M119" s="95"/>
    </row>
    <row r="120">
      <c r="A120" s="264" t="str">
        <f>IF(OR(ISBLANK('WEEK 10'!F115),ISBLANK('WEEK 10'!F114),ISBLANK('WEEK 10'!F113)),"",IF((AND(A117="",A118="")),5,IF((AND(A117&gt;1,A118="")),6,7)))</f>
        <v/>
      </c>
      <c r="B120" s="265">
        <f>MROUND('WEEK 10'!B122*0.9,5)</f>
        <v>0</v>
      </c>
      <c r="C120" s="266" t="s">
        <v>65</v>
      </c>
      <c r="D120" s="631" t="s">
        <v>127</v>
      </c>
      <c r="E120" s="1130" t="str">
        <f>IF(B120='WEEK 7 MASTER SHEET'!B125,'WEEK 7 MASTER SHEET'!F125,"")</f>
        <v/>
      </c>
      <c r="F120" s="67"/>
      <c r="H120" s="264" t="str">
        <f>IF(OR(ISBLANK('WEEK 10'!M115),ISBLANK('WEEK 10'!M114),ISBLANK('WEEK 10'!M113)),"",IF((AND(H117="",H118="")),5,IF((AND(H117&gt;1,H118="")),6,7)))</f>
        <v/>
      </c>
      <c r="I120" s="265">
        <f>MROUND('WEEK 10'!I122*0.9,5)</f>
        <v>0</v>
      </c>
      <c r="J120" s="266" t="s">
        <v>65</v>
      </c>
      <c r="K120" s="267" t="s">
        <v>127</v>
      </c>
      <c r="L120" s="1130" t="str">
        <f>IF(I120='WEEK 7 MASTER SHEET'!I125,'WEEK 7 MASTER SHEET'!M125,"")</f>
        <v/>
      </c>
      <c r="M120" s="67"/>
    </row>
    <row r="121">
      <c r="A121" s="243" t="str">
        <f>IF(OR(ISBLANK('WEEK 10'!F115),ISBLANK('WEEK 10'!F114),ISBLANK('WEEK 10'!F113)),"",IF((AND(A117="",A118="")),6,IF((AND(A117&gt;1,A118="")),7,8)))</f>
        <v/>
      </c>
      <c r="B121" s="237">
        <f>mround('WEEK 10'!B122*0.78,5)</f>
        <v>0</v>
      </c>
      <c r="C121" s="245" t="s">
        <v>65</v>
      </c>
      <c r="D121" s="65" t="s">
        <v>127</v>
      </c>
      <c r="E121" s="1130" t="str">
        <f>IF(B121='WEEK 7 MASTER SHEET'!B126,'WEEK 7 MASTER SHEET'!F126,"")</f>
        <v/>
      </c>
      <c r="F121" s="271"/>
      <c r="H121" s="243" t="str">
        <f>IF(OR(ISBLANK('WEEK 10'!M115),ISBLANK('WEEK 10'!M114),ISBLANK('WEEK 10'!M113)),"",IF((AND(H117="",H118="")),6,IF((AND(H117&gt;1,H118="")),7,8)))</f>
        <v/>
      </c>
      <c r="I121" s="237">
        <f>mround('WEEK 10'!I122*0.78,5)</f>
        <v>0</v>
      </c>
      <c r="J121" s="245" t="s">
        <v>65</v>
      </c>
      <c r="K121" s="65" t="s">
        <v>127</v>
      </c>
      <c r="L121" s="1130" t="str">
        <f>IF(I121='WEEK 7 MASTER SHEET'!I126,'WEEK 7 MASTER SHEET'!M126,"")</f>
        <v/>
      </c>
      <c r="M121" s="271"/>
    </row>
    <row r="122">
      <c r="A122" s="272" t="s">
        <v>124</v>
      </c>
      <c r="B122" s="273" t="str">
        <f>IF(OR(ISBLANK('WEEK 10'!F115),ISBLANK('WEEK 10'!F114),ISBLANK('WEEK 10'!F113)),"",IF('WEEK 10'!F118&gt;=1,'WEEK 10'!B118,IF('WEEK 10'!F117&gt;=4,'WEEK 10'!B117,IF('WEEK 10'!F115&lt;1,'WEEK 10'!B115-5,'WEEK 10'!B115))))</f>
        <v/>
      </c>
      <c r="C122" s="11"/>
      <c r="D122" s="11"/>
      <c r="E122" s="11"/>
      <c r="F122" s="46"/>
      <c r="H122" s="272" t="s">
        <v>124</v>
      </c>
      <c r="I122" s="273" t="str">
        <f>IF(OR(ISBLANK('WEEK 10'!M115),ISBLANK('WEEK 10'!M114),ISBLANK('WEEK 10'!M113)),"",IF('WEEK 10'!M118&gt;=1,'WEEK 10'!I118,IF('WEEK 10'!M117&gt;=4,'WEEK 10'!I117,IF('WEEK 10'!M115&lt;1,'WEEK 10'!I115-5,'WEEK 10'!I115))))</f>
        <v/>
      </c>
      <c r="J122" s="11"/>
      <c r="K122" s="11"/>
      <c r="L122" s="11"/>
      <c r="M122" s="46"/>
    </row>
    <row r="125">
      <c r="A125" s="1217" t="str">
        <f>HYPERLINK("https://www.youtube.com/watch?v=XDLQt1j3qUU","2. DUMBBELL REAR DELT FLY ")</f>
        <v>2. DUMBBELL REAR DELT FLY </v>
      </c>
      <c r="B125" s="53"/>
      <c r="C125" s="53"/>
      <c r="D125" s="53"/>
      <c r="E125" s="53"/>
      <c r="F125" s="54"/>
      <c r="H125" s="1289" t="str">
        <f>HYPERLINK("https://www.youtube.com/watch?v=0BaHgGyCFJY&amp;feature=youtu.be","2. MACHINE REAR DELT FLY")</f>
        <v>2. MACHINE REAR DELT FLY</v>
      </c>
      <c r="I125" s="53"/>
      <c r="J125" s="53"/>
      <c r="K125" s="53"/>
      <c r="L125" s="53"/>
      <c r="M125" s="54"/>
    </row>
    <row r="126">
      <c r="A126" s="1268" t="s">
        <v>134</v>
      </c>
      <c r="B126" s="76">
        <f>mround('WEEK 10'!B122,2.5)</f>
        <v>0</v>
      </c>
      <c r="C126" s="13"/>
      <c r="D126" s="13"/>
      <c r="E126" s="13"/>
      <c r="F126" s="57"/>
      <c r="H126" s="1268" t="s">
        <v>134</v>
      </c>
      <c r="I126" s="1294" t="str">
        <f>'WEEK 10'!B122</f>
        <v/>
      </c>
      <c r="J126" s="13"/>
      <c r="K126" s="13"/>
      <c r="L126" s="13"/>
      <c r="M126" s="57"/>
    </row>
    <row r="127">
      <c r="A127" s="962" t="s">
        <v>50</v>
      </c>
      <c r="B127" s="963" t="s">
        <v>51</v>
      </c>
      <c r="C127" s="963" t="s">
        <v>52</v>
      </c>
      <c r="D127" s="963" t="s">
        <v>53</v>
      </c>
      <c r="E127" s="1005" t="s">
        <v>54</v>
      </c>
      <c r="F127" s="1006" t="s">
        <v>55</v>
      </c>
      <c r="H127" s="962" t="s">
        <v>50</v>
      </c>
      <c r="I127" s="963" t="s">
        <v>51</v>
      </c>
      <c r="J127" s="963" t="s">
        <v>52</v>
      </c>
      <c r="K127" s="963" t="s">
        <v>53</v>
      </c>
      <c r="L127" s="1073" t="s">
        <v>54</v>
      </c>
      <c r="M127" s="1006" t="s">
        <v>55</v>
      </c>
    </row>
    <row r="128">
      <c r="A128" s="967">
        <v>1.0</v>
      </c>
      <c r="B128" s="1028">
        <f>MROUND('WEEK 10'!B126*0.2,2.5)</f>
        <v>0</v>
      </c>
      <c r="C128" s="1075" t="s">
        <v>168</v>
      </c>
      <c r="D128" s="1067" t="s">
        <v>122</v>
      </c>
      <c r="E128" s="1235" t="str">
        <f>IF('WEEK 10'!B128='WEEK 9'!B113,'WEEK 9'!F113,"")</f>
        <v/>
      </c>
      <c r="F128" s="1017"/>
      <c r="H128" s="967">
        <v>1.0</v>
      </c>
      <c r="I128" s="1028">
        <f>MROUND(('WEEK 10'!I126*2)*0.9,10)</f>
        <v>0</v>
      </c>
      <c r="J128" s="1067" t="s">
        <v>61</v>
      </c>
      <c r="K128" s="968" t="s">
        <v>121</v>
      </c>
      <c r="L128" s="1235" t="str">
        <f>IF(I128='WEEK 9'!I113,'WEEK 9'!M113,"")</f>
        <v/>
      </c>
      <c r="M128" s="1017"/>
    </row>
    <row r="129">
      <c r="A129" s="967">
        <v>2.0</v>
      </c>
      <c r="B129" s="1028">
        <f>if('WEEK 10'!F128&lt;10,mround('WEEK 10'!B128*0.8,5),IF('WEEK 10'!F128&lt;=12,MROUND('WEEK 10'!B128*0.95,5),'WEEK 10'!B128))</f>
        <v>0</v>
      </c>
      <c r="C129" s="1075" t="s">
        <v>168</v>
      </c>
      <c r="D129" s="1067" t="s">
        <v>122</v>
      </c>
      <c r="E129" s="1235" t="str">
        <f>IF('WEEK 10'!B129='WEEK 9'!B114,'WEEK 9'!F114,"")</f>
        <v/>
      </c>
      <c r="F129" s="1017"/>
      <c r="H129" s="967">
        <v>2.0</v>
      </c>
      <c r="I129" s="1028">
        <f>if('WEEK 10'!M128&lt;10,mround('WEEK 10'!I128*0.8,5),IF('WEEK 10'!M128&lt;=12,MROUND('WEEK 10'!I128*0.95,5),'WEEK 10'!I128))</f>
        <v>0</v>
      </c>
      <c r="J129" s="1067" t="s">
        <v>61</v>
      </c>
      <c r="K129" s="968" t="s">
        <v>121</v>
      </c>
      <c r="L129" s="1235" t="str">
        <f>IF(I129='WEEK 9'!I114,'WEEK 9'!M114,"")</f>
        <v/>
      </c>
      <c r="M129" s="1017"/>
    </row>
    <row r="130">
      <c r="A130" s="971">
        <v>3.0</v>
      </c>
      <c r="B130" s="1123">
        <f>if('WEEK 10'!F129&lt;10,mround('WEEK 10'!B129*0.8,5),IF('WEEK 10'!F129&lt;=12,MROUND('WEEK 10'!B129*0.95,5),'WEEK 10'!B129))</f>
        <v>0</v>
      </c>
      <c r="C130" s="1079" t="s">
        <v>168</v>
      </c>
      <c r="D130" s="1220" t="s">
        <v>122</v>
      </c>
      <c r="E130" s="1271" t="str">
        <f>IF('WEEK 10'!B130='WEEK 9'!B115,'WEEK 9'!F115,"")</f>
        <v/>
      </c>
      <c r="F130" s="1017"/>
      <c r="H130" s="971">
        <v>3.0</v>
      </c>
      <c r="I130" s="1123">
        <f>if('WEEK 10'!M129&lt;10,mround('WEEK 10'!I129*0.8,5),IF('WEEK 10'!M129&lt;=12,MROUND('WEEK 10'!I129*0.95,5),'WEEK 10'!I129))</f>
        <v>0</v>
      </c>
      <c r="J130" s="1220" t="s">
        <v>61</v>
      </c>
      <c r="K130" s="972" t="s">
        <v>121</v>
      </c>
      <c r="L130" s="1271" t="str">
        <f>IF(I130='WEEK 9'!I115,'WEEK 9'!M115,"")</f>
        <v/>
      </c>
      <c r="M130" s="1017"/>
    </row>
    <row r="133">
      <c r="A133" s="1217" t="str">
        <f>HYPERLINK("https://youtu.be/QUNZvtb6mnY","3. DUMBBELL SIDE LATERAL RAISE")</f>
        <v>3. DUMBBELL SIDE LATERAL RAISE</v>
      </c>
      <c r="B133" s="53"/>
      <c r="C133" s="53"/>
      <c r="D133" s="53"/>
      <c r="E133" s="53"/>
      <c r="F133" s="54"/>
    </row>
    <row r="134">
      <c r="A134" s="1268" t="s">
        <v>134</v>
      </c>
      <c r="B134" s="76">
        <f>IF('WEEK 10'!B122="",'WEEK 9'!B101,'WEEK 10'!B122)</f>
        <v>85</v>
      </c>
      <c r="C134" s="13"/>
      <c r="D134" s="13"/>
      <c r="E134" s="13"/>
      <c r="F134" s="57"/>
    </row>
    <row r="135">
      <c r="A135" s="1071" t="s">
        <v>50</v>
      </c>
      <c r="B135" s="1072" t="s">
        <v>51</v>
      </c>
      <c r="C135" s="1072" t="s">
        <v>52</v>
      </c>
      <c r="D135" s="1072" t="s">
        <v>53</v>
      </c>
      <c r="E135" s="1073" t="s">
        <v>54</v>
      </c>
      <c r="F135" s="1006" t="s">
        <v>55</v>
      </c>
    </row>
    <row r="136">
      <c r="A136" s="1074">
        <v>1.0</v>
      </c>
      <c r="B136" s="968">
        <f> mround('WEEK 10'!B134*0.2,5)</f>
        <v>15</v>
      </c>
      <c r="C136" s="1075" t="s">
        <v>168</v>
      </c>
      <c r="D136" s="1076" t="s">
        <v>57</v>
      </c>
      <c r="E136" s="1235" t="str">
        <f>IF('WEEK 10'!B136='WEEK 9'!B121,'WEEK 9'!F121,"")</f>
        <v/>
      </c>
      <c r="F136" s="1017"/>
    </row>
    <row r="137">
      <c r="A137" s="1074">
        <v>2.0</v>
      </c>
      <c r="B137" s="968">
        <f>if('WEEK 10'!F136&lt;12,mround('WEEK 10'!B134*0.15,2.5),'WEEK 10'!B136)</f>
        <v>12.5</v>
      </c>
      <c r="C137" s="1075" t="s">
        <v>168</v>
      </c>
      <c r="D137" s="1076" t="s">
        <v>57</v>
      </c>
      <c r="E137" s="1235" t="str">
        <f>IF('WEEK 10'!B137='WEEK 9'!B122,'WEEK 9'!F122,"")</f>
        <v/>
      </c>
      <c r="F137" s="1017"/>
    </row>
    <row r="138">
      <c r="A138" s="1078">
        <v>3.0</v>
      </c>
      <c r="B138" s="972">
        <f>if('WEEK 10'!F137&lt;12,mround('WEEK 10'!B134*0.1,2.5),'WEEK 10'!B137)</f>
        <v>7.5</v>
      </c>
      <c r="C138" s="1079" t="s">
        <v>168</v>
      </c>
      <c r="D138" s="1080" t="s">
        <v>57</v>
      </c>
      <c r="E138" s="1271" t="str">
        <f>IF('WEEK 10'!B138='WEEK 9'!B123,'WEEK 9'!F123,"")</f>
        <v/>
      </c>
      <c r="F138" s="1017"/>
    </row>
    <row r="141">
      <c r="A141" s="1295" t="str">
        <f>HYPERLINK("https://www.youtube.com/watch?v=NlchRoKP7s8","3. DUMBBELL TRICEP EXTENSIONS")</f>
        <v>3. DUMBBELL TRICEP EXTENSIONS</v>
      </c>
      <c r="B141" s="53"/>
      <c r="C141" s="53"/>
      <c r="D141" s="53"/>
      <c r="E141" s="53"/>
      <c r="F141" s="54"/>
    </row>
    <row r="142">
      <c r="A142" s="1268" t="s">
        <v>119</v>
      </c>
      <c r="B142" s="76">
        <f>'WEEK 6'!B145</f>
        <v>30</v>
      </c>
      <c r="C142" s="13"/>
      <c r="D142" s="13"/>
      <c r="E142" s="13"/>
      <c r="F142" s="57"/>
    </row>
    <row r="143">
      <c r="A143" s="1071" t="s">
        <v>50</v>
      </c>
      <c r="B143" s="1072" t="s">
        <v>51</v>
      </c>
      <c r="C143" s="1072" t="s">
        <v>52</v>
      </c>
      <c r="D143" s="1072" t="s">
        <v>53</v>
      </c>
      <c r="E143" s="1073" t="s">
        <v>54</v>
      </c>
      <c r="F143" s="1006" t="s">
        <v>55</v>
      </c>
    </row>
    <row r="144">
      <c r="A144" s="1074">
        <v>1.0</v>
      </c>
      <c r="B144" s="968">
        <f> mround('WEEK 10'!B142,5)</f>
        <v>30</v>
      </c>
      <c r="C144" s="1075" t="s">
        <v>168</v>
      </c>
      <c r="D144" s="1076" t="s">
        <v>57</v>
      </c>
      <c r="E144" s="1235" t="str">
        <f>IF('WEEK 10'!B144='WEEK 9'!B138,'WEEK 9'!F138,"")</f>
        <v/>
      </c>
      <c r="F144" s="1017"/>
    </row>
    <row r="145">
      <c r="A145" s="1074">
        <v>2.0</v>
      </c>
      <c r="B145" s="968">
        <f>if('WEEK 10'!F144&lt;15,mround('WEEK 10'!B142*0.15,2.5),'WEEK 10'!B144)</f>
        <v>5</v>
      </c>
      <c r="C145" s="1075" t="s">
        <v>168</v>
      </c>
      <c r="D145" s="1076" t="s">
        <v>57</v>
      </c>
      <c r="E145" s="1235" t="str">
        <f>IF('WEEK 10'!B145='WEEK 9'!B139,'WEEK 9'!F139,"")</f>
        <v/>
      </c>
      <c r="F145" s="1017"/>
    </row>
    <row r="146">
      <c r="A146" s="1078">
        <v>3.0</v>
      </c>
      <c r="B146" s="972">
        <f>if('WEEK 10'!F145&lt;15,mround('WEEK 10'!B142*0.1,2.5),'WEEK 10'!B145)</f>
        <v>2.5</v>
      </c>
      <c r="C146" s="1079" t="s">
        <v>168</v>
      </c>
      <c r="D146" s="1080" t="s">
        <v>57</v>
      </c>
      <c r="E146" s="1271" t="str">
        <f>IF('WEEK 10'!B146='WEEK 9'!B140,'WEEK 9'!F140,"")</f>
        <v/>
      </c>
      <c r="F146" s="1017"/>
    </row>
    <row r="149">
      <c r="A149" s="75" t="str">
        <f>HYPERLINK("https://www.youtube.com/watch?v=Bi6Do6QIlpQ","4. BICEP EZ BAR CURL")</f>
        <v>4. BICEP EZ BAR CURL</v>
      </c>
      <c r="B149" s="53"/>
      <c r="C149" s="53"/>
      <c r="D149" s="53"/>
      <c r="E149" s="53"/>
      <c r="F149" s="54"/>
    </row>
    <row r="150">
      <c r="A150" s="961" t="s">
        <v>119</v>
      </c>
      <c r="B150" s="76">
        <f>'WEEK 7'!B163</f>
        <v>100</v>
      </c>
      <c r="C150" s="13"/>
      <c r="D150" s="13"/>
      <c r="E150" s="13"/>
      <c r="F150" s="57"/>
    </row>
    <row r="151">
      <c r="A151" s="962" t="s">
        <v>50</v>
      </c>
      <c r="B151" s="963" t="s">
        <v>51</v>
      </c>
      <c r="C151" s="963" t="s">
        <v>52</v>
      </c>
      <c r="D151" s="963" t="s">
        <v>53</v>
      </c>
      <c r="E151" s="1073" t="s">
        <v>54</v>
      </c>
      <c r="F151" s="1006" t="s">
        <v>55</v>
      </c>
    </row>
    <row r="152">
      <c r="A152" s="967">
        <v>1.0</v>
      </c>
      <c r="B152" s="968">
        <f> mround('WEEK 10'!B150*0.85,5)</f>
        <v>85</v>
      </c>
      <c r="C152" s="937" t="s">
        <v>217</v>
      </c>
      <c r="D152" s="1296" t="s">
        <v>127</v>
      </c>
      <c r="E152" s="1235" t="str">
        <f>if(B152='WEEK 6'!B153,'WEEK 6'!F153,"")</f>
        <v/>
      </c>
      <c r="F152" s="984">
        <v>10.0</v>
      </c>
    </row>
    <row r="153">
      <c r="A153" s="967">
        <v>2.0</v>
      </c>
      <c r="B153" s="968">
        <f>if('WEEK 10'!F152&lt;8,mround('WEEK 10'!B152*0.75,5),if('WEEK 10'!F152&lt;15,mround('WEEK 10'!B152*0.85,5),'WEEK 10'!B152))</f>
        <v>65</v>
      </c>
      <c r="C153" s="1297" t="s">
        <v>217</v>
      </c>
      <c r="D153" s="1296" t="s">
        <v>127</v>
      </c>
      <c r="E153" s="1235" t="str">
        <f>if(B153='WEEK 6'!B154,'WEEK 6'!F154,"")</f>
        <v/>
      </c>
      <c r="F153" s="1131">
        <v>15.0</v>
      </c>
    </row>
    <row r="154">
      <c r="A154" s="971">
        <v>3.0</v>
      </c>
      <c r="B154" s="968">
        <f>if('WEEK 10'!F153&lt;8,mround('WEEK 10'!B153*0.75,5),if('WEEK 10'!F153&lt;15,mround('WEEK 10'!B153*0.85,5),'WEEK 10'!B153))</f>
        <v>50</v>
      </c>
      <c r="C154" s="1298" t="s">
        <v>217</v>
      </c>
      <c r="D154" s="1296" t="s">
        <v>127</v>
      </c>
      <c r="E154" s="1271" t="str">
        <f>if(B154='WEEK 6'!B155,'WEEK 6'!F155,"")</f>
        <v/>
      </c>
      <c r="F154" s="984">
        <v>5.0</v>
      </c>
    </row>
    <row r="157">
      <c r="A157" s="1149" t="s">
        <v>135</v>
      </c>
      <c r="B157" s="36"/>
      <c r="C157" s="36"/>
      <c r="D157" s="36"/>
      <c r="E157" s="36"/>
      <c r="F157" s="37"/>
    </row>
    <row r="158">
      <c r="A158" s="623"/>
      <c r="B158" s="623"/>
      <c r="C158" s="623"/>
      <c r="D158" s="623"/>
      <c r="E158" s="1274"/>
      <c r="F158" s="623"/>
    </row>
    <row r="159">
      <c r="A159" s="1275" t="str">
        <f>HYPERLINK("https://www.amazon.com/30-Minute-Body-Investment-Champion/dp/0692791892/ref=sr_1_1?ie=UTF8&amp;qid=1490447969&amp;sr=8-1&amp;keywords=30+minute+body","WANT TO LEARN MORE?")</f>
        <v>WANT TO LEARN MORE?</v>
      </c>
      <c r="B159" s="25"/>
      <c r="C159" s="25"/>
      <c r="D159" s="25"/>
      <c r="E159" s="25"/>
      <c r="F159" s="26"/>
    </row>
    <row r="160">
      <c r="A160" s="529"/>
      <c r="F160" s="28"/>
    </row>
    <row r="161">
      <c r="A161" s="1276"/>
      <c r="B161" s="999"/>
      <c r="C161" s="1150" t="s">
        <v>67</v>
      </c>
      <c r="F161" s="28"/>
    </row>
    <row r="162">
      <c r="A162" s="1276"/>
      <c r="B162" s="999"/>
      <c r="F162" s="28"/>
    </row>
    <row r="163">
      <c r="A163" s="1276"/>
      <c r="B163" s="999"/>
      <c r="F163" s="28"/>
    </row>
    <row r="164">
      <c r="A164" s="1276"/>
      <c r="B164" s="999"/>
      <c r="F164" s="28"/>
    </row>
    <row r="165">
      <c r="A165" s="1276"/>
      <c r="B165" s="999"/>
      <c r="F165" s="28"/>
    </row>
    <row r="166">
      <c r="A166" s="1276"/>
      <c r="B166" s="999"/>
      <c r="F166" s="28"/>
    </row>
    <row r="167">
      <c r="A167" s="1277"/>
      <c r="B167" s="999"/>
      <c r="F167" s="28"/>
    </row>
    <row r="168">
      <c r="A168" s="1276"/>
      <c r="B168" s="999"/>
      <c r="F168" s="28"/>
    </row>
    <row r="169">
      <c r="A169" s="1276"/>
      <c r="B169" s="999"/>
      <c r="F169" s="28"/>
    </row>
    <row r="170">
      <c r="A170" s="1278"/>
      <c r="B170" s="999"/>
      <c r="F170" s="28"/>
    </row>
    <row r="171">
      <c r="A171" s="1276"/>
      <c r="B171" s="999"/>
      <c r="F171" s="28"/>
    </row>
    <row r="172">
      <c r="A172" s="1276"/>
      <c r="B172" s="999"/>
      <c r="F172" s="28"/>
    </row>
    <row r="173">
      <c r="A173" s="1276"/>
      <c r="B173" s="999"/>
      <c r="F173" s="28"/>
    </row>
    <row r="174">
      <c r="A174" s="1276"/>
      <c r="B174" s="999"/>
      <c r="F174" s="28"/>
    </row>
    <row r="175">
      <c r="A175" s="1279"/>
      <c r="B175" s="1280"/>
      <c r="C175" s="11"/>
      <c r="D175" s="11"/>
      <c r="E175" s="11"/>
      <c r="F175" s="46"/>
    </row>
  </sheetData>
  <mergeCells count="71">
    <mergeCell ref="G97:G99"/>
    <mergeCell ref="G100:G101"/>
    <mergeCell ref="G102:G103"/>
    <mergeCell ref="A105:F105"/>
    <mergeCell ref="A108:F108"/>
    <mergeCell ref="H108:M108"/>
    <mergeCell ref="H109:M109"/>
    <mergeCell ref="I110:M110"/>
    <mergeCell ref="A109:F109"/>
    <mergeCell ref="B110:F110"/>
    <mergeCell ref="A116:F116"/>
    <mergeCell ref="H116:M116"/>
    <mergeCell ref="A119:F119"/>
    <mergeCell ref="H119:M119"/>
    <mergeCell ref="I122:M122"/>
    <mergeCell ref="A9:F9"/>
    <mergeCell ref="H9:M9"/>
    <mergeCell ref="A10:F11"/>
    <mergeCell ref="H10:M10"/>
    <mergeCell ref="A12:F12"/>
    <mergeCell ref="A13:F13"/>
    <mergeCell ref="H15:M15"/>
    <mergeCell ref="A15:F15"/>
    <mergeCell ref="A18:F18"/>
    <mergeCell ref="H18:M18"/>
    <mergeCell ref="A19:F19"/>
    <mergeCell ref="H19:M19"/>
    <mergeCell ref="B20:F20"/>
    <mergeCell ref="I20:M20"/>
    <mergeCell ref="A25:F25"/>
    <mergeCell ref="G25:G26"/>
    <mergeCell ref="H25:M25"/>
    <mergeCell ref="A32:F32"/>
    <mergeCell ref="H32:M32"/>
    <mergeCell ref="B33:F33"/>
    <mergeCell ref="I33:M33"/>
    <mergeCell ref="A39:F39"/>
    <mergeCell ref="B40:F40"/>
    <mergeCell ref="A46:F46"/>
    <mergeCell ref="A49:F49"/>
    <mergeCell ref="B52:F52"/>
    <mergeCell ref="A54:F54"/>
    <mergeCell ref="B55:F55"/>
    <mergeCell ref="A60:F61"/>
    <mergeCell ref="A62:F62"/>
    <mergeCell ref="B63:F63"/>
    <mergeCell ref="A70:F70"/>
    <mergeCell ref="A72:F72"/>
    <mergeCell ref="A75:F75"/>
    <mergeCell ref="B76:F76"/>
    <mergeCell ref="B86:F86"/>
    <mergeCell ref="A89:F89"/>
    <mergeCell ref="B90:F90"/>
    <mergeCell ref="A97:F97"/>
    <mergeCell ref="H97:M97"/>
    <mergeCell ref="B98:F98"/>
    <mergeCell ref="I98:M98"/>
    <mergeCell ref="A141:F141"/>
    <mergeCell ref="B142:F142"/>
    <mergeCell ref="A149:F149"/>
    <mergeCell ref="B150:F150"/>
    <mergeCell ref="A157:F157"/>
    <mergeCell ref="A159:F160"/>
    <mergeCell ref="C161:F175"/>
    <mergeCell ref="B122:F122"/>
    <mergeCell ref="A125:F125"/>
    <mergeCell ref="H125:M125"/>
    <mergeCell ref="B126:F126"/>
    <mergeCell ref="I126:M126"/>
    <mergeCell ref="A133:F133"/>
    <mergeCell ref="B134:F134"/>
  </mergeCells>
  <dataValidations>
    <dataValidation type="decimal" operator="greaterThanOrEqual" allowBlank="1" showDropDown="1" showErrorMessage="1" sqref="F41:F44 F48 F50 F56:F59 F64:F67">
      <formula1>0.0</formula1>
    </dataValidation>
    <dataValidation type="decimal" operator="greaterThanOrEqual" allowBlank="1" showDropDown="1" sqref="F77:F81 F83">
      <formula1>0.0</formula1>
    </dataValidation>
  </dataValidations>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'MSW10'!A1</f>
        <v/>
      </c>
    </row>
    <row r="8">
      <c r="A8" s="11"/>
      <c r="B8" s="11"/>
      <c r="C8" s="11"/>
      <c r="D8" s="11"/>
      <c r="E8" s="11"/>
      <c r="F8" s="11"/>
      <c r="G8" s="11"/>
      <c r="H8" s="11"/>
      <c r="I8" s="11"/>
      <c r="J8" s="11"/>
      <c r="K8" s="11"/>
      <c r="L8" s="11"/>
      <c r="M8" s="11"/>
    </row>
    <row r="9">
      <c r="A9" s="1293" t="str">
        <f>'MSW10'!A9</f>
        <v>Week 10</v>
      </c>
      <c r="B9" s="36"/>
      <c r="C9" s="36"/>
      <c r="D9" s="36"/>
      <c r="E9" s="36"/>
      <c r="F9" s="37"/>
      <c r="G9" s="419" t="str">
        <f>'MSW10'!G9</f>
        <v/>
      </c>
      <c r="H9" s="24" t="s">
        <v>35</v>
      </c>
      <c r="I9" s="25"/>
      <c r="J9" s="25"/>
      <c r="K9" s="25"/>
      <c r="L9" s="25"/>
      <c r="M9" s="26"/>
    </row>
    <row r="10">
      <c r="A10" s="719" t="str">
        <f>'MSW10'!A10</f>
        <v>PRESS TO RECORD BODY WEIGHT</v>
      </c>
      <c r="B10" s="25"/>
      <c r="C10" s="25"/>
      <c r="D10" s="25"/>
      <c r="E10" s="25"/>
      <c r="F10" s="26"/>
      <c r="H10" s="27" t="s">
        <v>218</v>
      </c>
      <c r="M10" s="28"/>
    </row>
    <row r="11">
      <c r="A11" s="336"/>
      <c r="B11" s="11"/>
      <c r="C11" s="11"/>
      <c r="D11" s="11"/>
      <c r="E11" s="11"/>
      <c r="F11" s="46"/>
      <c r="H11" s="29" t="s">
        <v>219</v>
      </c>
      <c r="I11" s="30"/>
      <c r="J11" s="30"/>
      <c r="K11" s="30"/>
      <c r="L11" s="30"/>
      <c r="M11" s="31"/>
    </row>
    <row r="12">
      <c r="A12" s="720" t="str">
        <f>'MSW10'!A12</f>
        <v>This Weeks Goals</v>
      </c>
      <c r="B12" s="36"/>
      <c r="C12" s="36"/>
      <c r="D12" s="36"/>
      <c r="E12" s="36"/>
      <c r="F12" s="37"/>
      <c r="H12" s="419"/>
    </row>
    <row r="13">
      <c r="A13" s="721" t="str">
        <f>'MSW10'!A13</f>
        <v>This is what we call percentage week. For the most part we are going to work your body just under it's maximum potential and go for more repititions. There are however a few areas that are excluded from this principle but the general theme of the week is working under your max. </v>
      </c>
      <c r="B13" s="36"/>
      <c r="C13" s="36"/>
      <c r="D13" s="36"/>
      <c r="E13" s="36"/>
      <c r="F13" s="37"/>
    </row>
    <row r="14">
      <c r="A14" s="653" t="str">
        <f>'MSW10'!A14</f>
        <v/>
      </c>
    </row>
    <row r="15">
      <c r="A15" s="50" t="str">
        <f>'MSW10'!A15</f>
        <v>DAY 1 </v>
      </c>
      <c r="B15" s="36"/>
      <c r="C15" s="36"/>
      <c r="D15" s="36"/>
      <c r="E15" s="36"/>
      <c r="F15" s="37"/>
      <c r="G15" s="722" t="str">
        <f>'MSW10'!G15</f>
        <v/>
      </c>
      <c r="H15" s="429" t="str">
        <f>'MSW10'!H15</f>
        <v>ALTERNATE WORKOUTS</v>
      </c>
      <c r="I15" s="36"/>
      <c r="J15" s="36"/>
      <c r="K15" s="36"/>
      <c r="L15" s="36"/>
      <c r="M15" s="37"/>
    </row>
    <row r="16">
      <c r="A16" s="657" t="str">
        <f>'MSW10'!A16</f>
        <v/>
      </c>
      <c r="H16" s="657" t="str">
        <f>'MSW10'!H16</f>
        <v/>
      </c>
    </row>
    <row r="18">
      <c r="A18" s="51" t="str">
        <f>'MSW10'!A18</f>
        <v>CHEST &amp; BACK </v>
      </c>
      <c r="B18" s="36"/>
      <c r="C18" s="36"/>
      <c r="D18" s="36"/>
      <c r="E18" s="36"/>
      <c r="F18" s="37"/>
      <c r="H18" s="51" t="str">
        <f>'MSW10'!H18</f>
        <v>CHEST &amp; BACK </v>
      </c>
      <c r="I18" s="36"/>
      <c r="J18" s="36"/>
      <c r="K18" s="36"/>
      <c r="L18" s="36"/>
      <c r="M18" s="37"/>
    </row>
    <row r="19">
      <c r="A19" s="93" t="str">
        <f>'MSW10'!A19</f>
        <v>1. BENCH PRESS</v>
      </c>
      <c r="B19" s="53"/>
      <c r="C19" s="53"/>
      <c r="D19" s="53"/>
      <c r="E19" s="53"/>
      <c r="F19" s="54"/>
      <c r="H19" s="93" t="str">
        <f>'MSW10'!H19</f>
        <v>1. MACHINE PRESS</v>
      </c>
      <c r="I19" s="53"/>
      <c r="J19" s="53"/>
      <c r="K19" s="53"/>
      <c r="L19" s="53"/>
      <c r="M19" s="54"/>
    </row>
    <row r="20">
      <c r="A20" s="226" t="str">
        <f>'MSW10'!A20</f>
        <v>CURRENT MAX</v>
      </c>
      <c r="B20" s="691">
        <v>225.0</v>
      </c>
      <c r="C20" s="13"/>
      <c r="D20" s="13"/>
      <c r="E20" s="13"/>
      <c r="F20" s="57"/>
      <c r="H20" s="226" t="str">
        <f>'MSW10'!H20</f>
        <v>CURRENT MAX</v>
      </c>
      <c r="I20" s="691" t="str">
        <f>'MSW10'!I20</f>
        <v/>
      </c>
      <c r="J20" s="13"/>
      <c r="K20" s="13"/>
      <c r="L20" s="13"/>
      <c r="M20" s="57"/>
    </row>
    <row r="21">
      <c r="A21" s="96" t="str">
        <f>'MSW10'!A21</f>
        <v>SET</v>
      </c>
      <c r="B21" s="97" t="str">
        <f>'MSW10'!B21</f>
        <v>WEIGHT</v>
      </c>
      <c r="C21" s="97" t="str">
        <f>'MSW10'!C21</f>
        <v>REPS</v>
      </c>
      <c r="D21" s="97" t="str">
        <f>'MSW10'!D21</f>
        <v>REST</v>
      </c>
      <c r="E21" s="341" t="str">
        <f>'MSW10'!E21</f>
        <v>PREVIOUS</v>
      </c>
      <c r="F21" s="235" t="str">
        <f>'MSW10'!F21</f>
        <v>REP LOG</v>
      </c>
      <c r="H21" s="96" t="str">
        <f>'MSW10'!H21</f>
        <v>SET</v>
      </c>
      <c r="I21" s="97" t="str">
        <f>'MSW10'!I21</f>
        <v>WEIGHT</v>
      </c>
      <c r="J21" s="97" t="str">
        <f>'MSW10'!J21</f>
        <v>REPS</v>
      </c>
      <c r="K21" s="97" t="str">
        <f>'MSW10'!K21</f>
        <v>REST</v>
      </c>
      <c r="L21" s="341" t="str">
        <f>'MSW10'!L21</f>
        <v>PREVIOUS</v>
      </c>
      <c r="M21" s="235" t="str">
        <f>'MSW10'!M21</f>
        <v>REP LOG</v>
      </c>
    </row>
    <row r="22">
      <c r="A22" s="725">
        <f>'MSW10'!A22</f>
        <v>1</v>
      </c>
      <c r="B22" s="344">
        <f>'MSW10'!B22</f>
        <v>70</v>
      </c>
      <c r="C22" s="344">
        <f>'MSW10'!C22</f>
        <v>6</v>
      </c>
      <c r="D22" s="343" t="str">
        <f>'MSW10'!D22</f>
        <v>30 sec</v>
      </c>
      <c r="E22" s="727" t="str">
        <f>'MSW10'!E22</f>
        <v/>
      </c>
      <c r="F22" s="85"/>
      <c r="H22" s="725">
        <f>'MSW10'!H22</f>
        <v>1</v>
      </c>
      <c r="I22" s="344">
        <f>'MSW10'!I22</f>
        <v>0</v>
      </c>
      <c r="J22" s="344">
        <f>'MSW10'!J22</f>
        <v>6</v>
      </c>
      <c r="K22" s="343" t="str">
        <f>'MSW10'!K22</f>
        <v>30 sec</v>
      </c>
      <c r="L22" s="727" t="str">
        <f>'MSW10'!L22</f>
        <v/>
      </c>
      <c r="M22" s="85"/>
    </row>
    <row r="23">
      <c r="A23" s="725">
        <f>'MSW10'!A23</f>
        <v>2</v>
      </c>
      <c r="B23" s="344">
        <f>'MSW10'!B23</f>
        <v>145</v>
      </c>
      <c r="C23" s="344">
        <f>'MSW10'!C23</f>
        <v>1</v>
      </c>
      <c r="D23" s="343" t="str">
        <f>'MSW10'!D23</f>
        <v>45 sec</v>
      </c>
      <c r="E23" s="727" t="str">
        <f>'MSW10'!E23</f>
        <v/>
      </c>
      <c r="F23" s="85"/>
      <c r="H23" s="725">
        <f>'MSW10'!H23</f>
        <v>2</v>
      </c>
      <c r="I23" s="344">
        <f>'MSW10'!I23</f>
        <v>0</v>
      </c>
      <c r="J23" s="344">
        <f>'MSW10'!J23</f>
        <v>1</v>
      </c>
      <c r="K23" s="343" t="str">
        <f>'MSW10'!K23</f>
        <v>45 sec</v>
      </c>
      <c r="L23" s="727" t="str">
        <f>'MSW10'!L23</f>
        <v/>
      </c>
      <c r="M23" s="85"/>
    </row>
    <row r="24">
      <c r="A24" s="725">
        <f>'MSW10'!A24</f>
        <v>3</v>
      </c>
      <c r="B24" s="344">
        <f>'MSW10'!B24</f>
        <v>180</v>
      </c>
      <c r="C24" s="344">
        <f>'MSW10'!C24</f>
        <v>1</v>
      </c>
      <c r="D24" s="343" t="str">
        <f>'MSW10'!D24</f>
        <v>1 MIN</v>
      </c>
      <c r="E24" s="727" t="str">
        <f>'MSW10'!E24</f>
        <v/>
      </c>
      <c r="F24" s="85"/>
      <c r="H24" s="725">
        <f>'MSW10'!H24</f>
        <v>3</v>
      </c>
      <c r="I24" s="344">
        <f>'MSW10'!I24</f>
        <v>0</v>
      </c>
      <c r="J24" s="344">
        <f>'MSW10'!J24</f>
        <v>1</v>
      </c>
      <c r="K24" s="343" t="str">
        <f>'MSW10'!K24</f>
        <v>1 MIN</v>
      </c>
      <c r="L24" s="727" t="str">
        <f>'MSW10'!L24</f>
        <v/>
      </c>
      <c r="M24" s="85"/>
    </row>
    <row r="25">
      <c r="A25" s="730" t="str">
        <f>'MSW10'!A25</f>
        <v>Working Set</v>
      </c>
      <c r="B25" s="13"/>
      <c r="C25" s="13"/>
      <c r="D25" s="13"/>
      <c r="E25" s="13"/>
      <c r="F25" s="57"/>
      <c r="G25" s="434" t="str">
        <f>'MSW10'!G25</f>
        <v>ALTERNATE</v>
      </c>
      <c r="H25" s="730" t="str">
        <f>'MSW10'!H25</f>
        <v>Working Set</v>
      </c>
      <c r="I25" s="13"/>
      <c r="J25" s="13"/>
      <c r="K25" s="13"/>
      <c r="L25" s="13"/>
      <c r="M25" s="57"/>
    </row>
    <row r="26">
      <c r="A26" s="96" t="str">
        <f>'MSW10'!A26</f>
        <v>SET</v>
      </c>
      <c r="B26" s="97" t="str">
        <f>'MSW10'!B26</f>
        <v>WEIGHT</v>
      </c>
      <c r="C26" s="97" t="str">
        <f>'MSW10'!C26</f>
        <v>REPS</v>
      </c>
      <c r="D26" s="97" t="str">
        <f>'MSW10'!D26</f>
        <v>REST</v>
      </c>
      <c r="E26" s="341" t="str">
        <f>'MSW10'!E26</f>
        <v>PREVIOUS</v>
      </c>
      <c r="F26" s="235" t="str">
        <f>'MSW10'!F26</f>
        <v>REP LOG</v>
      </c>
      <c r="H26" s="96" t="str">
        <f>'MSW10'!H26</f>
        <v>SET</v>
      </c>
      <c r="I26" s="97" t="str">
        <f>'MSW10'!I26</f>
        <v>WEIGHT</v>
      </c>
      <c r="J26" s="97" t="str">
        <f>'MSW10'!J26</f>
        <v>REPS</v>
      </c>
      <c r="K26" s="97" t="str">
        <f>'MSW10'!K26</f>
        <v>REST</v>
      </c>
      <c r="L26" s="341" t="str">
        <f>'MSW10'!L26</f>
        <v>PREVIOUS</v>
      </c>
      <c r="M26" s="235" t="str">
        <f>'MSW10'!M26</f>
        <v>REP LOG</v>
      </c>
    </row>
    <row r="27">
      <c r="A27" s="342">
        <f>'MSW10'!A27</f>
        <v>1</v>
      </c>
      <c r="B27" s="348">
        <f>'MSW10'!B27</f>
        <v>205</v>
      </c>
      <c r="C27" s="437" t="str">
        <f>'MSW10'!C27</f>
        <v>REP OUT</v>
      </c>
      <c r="D27" s="343" t="str">
        <f>'MSW10'!D27</f>
        <v>1-5 MIN</v>
      </c>
      <c r="E27" s="727" t="str">
        <f>'MSW10'!E27</f>
        <v/>
      </c>
      <c r="F27" s="85"/>
      <c r="G27" s="423" t="str">
        <f>'MSW10'!G27</f>
        <v/>
      </c>
      <c r="H27" s="725">
        <f>'MSW10'!H27</f>
        <v>1</v>
      </c>
      <c r="I27" s="348">
        <f>'MSW10'!I27</f>
        <v>0</v>
      </c>
      <c r="J27" s="437" t="str">
        <f>'MSW10'!J27</f>
        <v>REP OUT</v>
      </c>
      <c r="K27" s="343" t="str">
        <f>'MSW10'!K27</f>
        <v>1-5 MIN</v>
      </c>
      <c r="L27" s="727" t="str">
        <f>'MSW10'!L27</f>
        <v/>
      </c>
      <c r="M27" s="85"/>
    </row>
    <row r="28">
      <c r="A28" s="725">
        <f>'MSW10'!A28</f>
        <v>2</v>
      </c>
      <c r="B28" s="348">
        <f>'MSW10'!B28</f>
        <v>155</v>
      </c>
      <c r="C28" s="437" t="str">
        <f>'MSW10'!C28</f>
        <v>REP OUT</v>
      </c>
      <c r="D28" s="343" t="str">
        <f>'MSW10'!D28</f>
        <v>1-5 MIN</v>
      </c>
      <c r="E28" s="727" t="str">
        <f>'MSW10'!E28</f>
        <v/>
      </c>
      <c r="F28" s="85"/>
      <c r="H28" s="725">
        <f>'MSW10'!H28</f>
        <v>2</v>
      </c>
      <c r="I28" s="348">
        <f>'MSW10'!I28</f>
        <v>0</v>
      </c>
      <c r="J28" s="437" t="str">
        <f>'MSW10'!J28</f>
        <v>REP OUT</v>
      </c>
      <c r="K28" s="343" t="str">
        <f>'MSW10'!K28</f>
        <v>1-5 MIN</v>
      </c>
      <c r="L28" s="727" t="str">
        <f>'MSW10'!L28</f>
        <v/>
      </c>
      <c r="M28" s="85"/>
    </row>
    <row r="29">
      <c r="A29" s="485">
        <f>'MSW10'!A29</f>
        <v>3</v>
      </c>
      <c r="B29" s="732">
        <f>'MSW10'!B29</f>
        <v>115</v>
      </c>
      <c r="C29" s="733" t="str">
        <f>'MSW10'!C29</f>
        <v>REP OUT</v>
      </c>
      <c r="D29" s="486" t="str">
        <f>'MSW10'!D29</f>
        <v>1-5 MIN</v>
      </c>
      <c r="E29" s="734" t="str">
        <f>'MSW10'!E29</f>
        <v/>
      </c>
      <c r="F29" s="85"/>
      <c r="H29" s="735">
        <f>'MSW10'!H29</f>
        <v>3</v>
      </c>
      <c r="I29" s="736">
        <f>'MSW10'!I29</f>
        <v>0</v>
      </c>
      <c r="J29" s="737" t="str">
        <f>'MSW10'!J29</f>
        <v>REP OUT</v>
      </c>
      <c r="K29" s="738" t="str">
        <f>'MSW10'!K29</f>
        <v>1-5 MIN</v>
      </c>
      <c r="L29" s="739" t="str">
        <f>'MSW10'!L29</f>
        <v/>
      </c>
      <c r="M29" s="330"/>
    </row>
    <row r="30">
      <c r="A30" s="740" t="str">
        <f>'MSW10'!A30</f>
        <v/>
      </c>
      <c r="H30" s="742" t="str">
        <f>'MSW10'!H30</f>
        <v/>
      </c>
      <c r="I30" s="25"/>
      <c r="J30" s="25"/>
      <c r="K30" s="25"/>
      <c r="L30" s="25"/>
      <c r="M30" s="25"/>
    </row>
    <row r="32">
      <c r="A32" s="440" t="str">
        <f>'MSW10'!A32</f>
        <v>2. DB CHEST FLY</v>
      </c>
      <c r="B32" s="53"/>
      <c r="C32" s="53"/>
      <c r="D32" s="53"/>
      <c r="E32" s="53"/>
      <c r="F32" s="54"/>
      <c r="H32" s="504" t="str">
        <f>'MSW10'!H32</f>
        <v>2. MACHINE CHEST FLY</v>
      </c>
      <c r="I32" s="53"/>
      <c r="J32" s="53"/>
      <c r="K32" s="53"/>
      <c r="L32" s="53"/>
      <c r="M32" s="54"/>
    </row>
    <row r="33">
      <c r="A33" s="226" t="str">
        <f>'MSW10'!A33</f>
        <v>INCL DB PRSS MAX</v>
      </c>
      <c r="B33" s="691" t="str">
        <f>'MSW10'!B33</f>
        <v/>
      </c>
      <c r="C33" s="13"/>
      <c r="D33" s="13"/>
      <c r="E33" s="13"/>
      <c r="F33" s="57"/>
      <c r="H33" s="226" t="str">
        <f>'MSW10'!H33</f>
        <v>INCL DB PRSS MAX</v>
      </c>
      <c r="I33" s="548" t="str">
        <f>'MSW10'!I33</f>
        <v/>
      </c>
      <c r="J33" s="13"/>
      <c r="K33" s="13"/>
      <c r="L33" s="13"/>
      <c r="M33" s="57"/>
    </row>
    <row r="34">
      <c r="A34" s="743" t="str">
        <f>'MSW10'!A34</f>
        <v>SET</v>
      </c>
      <c r="B34" s="744" t="str">
        <f>'MSW10'!B34</f>
        <v>WEIGHT</v>
      </c>
      <c r="C34" s="744" t="str">
        <f>'MSW10'!C34</f>
        <v>REPS</v>
      </c>
      <c r="D34" s="744" t="str">
        <f>'MSW10'!D34</f>
        <v>REST</v>
      </c>
      <c r="E34" s="745" t="str">
        <f>'MSW10'!E34</f>
        <v>PREVIOUS</v>
      </c>
      <c r="F34" s="746" t="str">
        <f>'MSW10'!F34</f>
        <v>REP LOG</v>
      </c>
      <c r="H34" s="96" t="str">
        <f>'MSW10'!H34</f>
        <v>SET</v>
      </c>
      <c r="I34" s="97" t="str">
        <f>'MSW10'!I34</f>
        <v>WEIGHT</v>
      </c>
      <c r="J34" s="97" t="str">
        <f>'MSW10'!J34</f>
        <v>REPS</v>
      </c>
      <c r="K34" s="97" t="str">
        <f>'MSW10'!K34</f>
        <v>REST</v>
      </c>
      <c r="L34" s="341" t="str">
        <f>'MSW10'!L34</f>
        <v>PREVIOUS</v>
      </c>
      <c r="M34" s="235" t="str">
        <f>'MSW10'!M34</f>
        <v>REP LOG</v>
      </c>
    </row>
    <row r="35">
      <c r="A35" s="725">
        <f>'MSW10'!A35</f>
        <v>1</v>
      </c>
      <c r="B35" s="254">
        <f>'MSW10'!B35</f>
        <v>0</v>
      </c>
      <c r="C35" s="344">
        <f>'MSW10'!C35</f>
        <v>15</v>
      </c>
      <c r="D35" s="343" t="str">
        <f>'MSW10'!D35</f>
        <v>1 MIN</v>
      </c>
      <c r="E35" s="727" t="str">
        <f>'MSW10'!E35</f>
        <v/>
      </c>
      <c r="F35" s="85" t="str">
        <f>'MSW10'!F35</f>
        <v/>
      </c>
      <c r="H35" s="240">
        <f>'MSW10'!H35</f>
        <v>1</v>
      </c>
      <c r="I35" s="254">
        <f>'MSW10'!I35</f>
        <v>0</v>
      </c>
      <c r="J35" s="241">
        <f>'MSW10'!J35</f>
        <v>15</v>
      </c>
      <c r="K35" s="83" t="str">
        <f>'MSW10'!K35</f>
        <v>1 MIN</v>
      </c>
      <c r="L35" s="84" t="str">
        <f>'MSW10'!L35</f>
        <v/>
      </c>
      <c r="M35" s="85" t="str">
        <f>'MSW10'!M35</f>
        <v/>
      </c>
    </row>
    <row r="36">
      <c r="A36" s="747">
        <f>'MSW10'!A36</f>
        <v>2</v>
      </c>
      <c r="B36" s="662">
        <f>'MSW10'!B36</f>
        <v>0</v>
      </c>
      <c r="C36" s="813">
        <f>'MSW10'!C36</f>
        <v>15</v>
      </c>
      <c r="D36" s="486" t="str">
        <f>'MSW10'!D36</f>
        <v>1 MIN</v>
      </c>
      <c r="E36" s="734" t="str">
        <f>'MSW10'!E36</f>
        <v/>
      </c>
      <c r="F36" s="85" t="str">
        <f>'MSW10'!F36</f>
        <v/>
      </c>
      <c r="H36" s="661">
        <f>'MSW10'!H36</f>
        <v>2</v>
      </c>
      <c r="I36" s="662">
        <f>'MSW10'!I36</f>
        <v>0</v>
      </c>
      <c r="J36" s="662">
        <f>'MSW10'!J36</f>
        <v>15</v>
      </c>
      <c r="K36" s="88" t="str">
        <f>'MSW10'!K36</f>
        <v>1 MIN</v>
      </c>
      <c r="L36" s="89" t="str">
        <f>'MSW10'!L36</f>
        <v/>
      </c>
      <c r="M36" s="85" t="str">
        <f>'MSW10'!M36</f>
        <v/>
      </c>
    </row>
    <row r="37">
      <c r="A37" t="str">
        <f>'MSW10'!A37</f>
        <v/>
      </c>
      <c r="G37" t="str">
        <f>'MSW10'!G37</f>
        <v/>
      </c>
    </row>
    <row r="39">
      <c r="A39" s="73" t="str">
        <f>'MSW10'!A39</f>
        <v>3. MACHINE LOW ROW </v>
      </c>
      <c r="B39" s="53"/>
      <c r="C39" s="53"/>
      <c r="D39" s="53"/>
      <c r="E39" s="53"/>
      <c r="F39" s="54"/>
    </row>
    <row r="40">
      <c r="A40" s="226" t="str">
        <f>'MSW10'!A40</f>
        <v>CURRENT MAX</v>
      </c>
      <c r="B40" s="227">
        <f>'MSW10'!B40</f>
        <v>270</v>
      </c>
      <c r="C40" s="20"/>
      <c r="D40" s="20"/>
      <c r="E40" s="20"/>
      <c r="F40" s="95"/>
    </row>
    <row r="41">
      <c r="A41" s="231" t="str">
        <f>'MSW10'!A41</f>
        <v>SET</v>
      </c>
      <c r="B41" s="232" t="str">
        <f>'MSW10'!B41</f>
        <v>WEIGHT</v>
      </c>
      <c r="C41" s="232" t="str">
        <f>'MSW10'!C41</f>
        <v>REPS</v>
      </c>
      <c r="D41" s="232" t="str">
        <f>'MSW10'!D41</f>
        <v>REST</v>
      </c>
      <c r="E41" s="233" t="str">
        <f>'MSW10'!E41</f>
        <v>PREVIOUS</v>
      </c>
      <c r="F41" s="61" t="str">
        <f>'MSW10'!F41</f>
        <v>REP LOG</v>
      </c>
    </row>
    <row r="42">
      <c r="A42" s="236">
        <f>'MSW10'!A42</f>
        <v>1</v>
      </c>
      <c r="B42" s="237">
        <f>'MSW10'!B42</f>
        <v>95</v>
      </c>
      <c r="C42" s="237">
        <f>'MSW10'!C42</f>
        <v>6</v>
      </c>
      <c r="D42" s="238" t="str">
        <f>'MSW10'!D42</f>
        <v>30s</v>
      </c>
      <c r="E42" s="66" t="str">
        <f>'MSW10'!E42</f>
        <v/>
      </c>
      <c r="F42" s="67"/>
    </row>
    <row r="43">
      <c r="A43" s="236">
        <f>'MSW10'!A43</f>
        <v>2</v>
      </c>
      <c r="B43" s="237">
        <f>'MSW10'!B43</f>
        <v>175</v>
      </c>
      <c r="C43" s="238">
        <f>'MSW10'!C43</f>
        <v>3</v>
      </c>
      <c r="D43" s="238" t="str">
        <f>'MSW10'!D43</f>
        <v>1-2 MIN</v>
      </c>
      <c r="E43" s="66" t="str">
        <f>'MSW10'!E43</f>
        <v/>
      </c>
      <c r="F43" s="67"/>
    </row>
    <row r="44">
      <c r="A44" s="242">
        <f>'MSW10'!A44</f>
        <v>3</v>
      </c>
      <c r="B44" s="237">
        <f>'MSW10'!B44</f>
        <v>245</v>
      </c>
      <c r="C44" s="63">
        <f>'MSW10'!C44</f>
        <v>2</v>
      </c>
      <c r="D44" s="238" t="str">
        <f>'MSW10'!D44</f>
        <v>1-2 MIN</v>
      </c>
      <c r="E44" s="66" t="str">
        <f>'MSW10'!E44</f>
        <v/>
      </c>
      <c r="F44" s="67"/>
    </row>
    <row r="45">
      <c r="A45" s="243">
        <f>'MSW10'!A45</f>
        <v>4</v>
      </c>
      <c r="B45" s="237">
        <f>'MSW10'!B45</f>
        <v>270</v>
      </c>
      <c r="C45" s="257">
        <f>'MSW10'!C45</f>
        <v>3</v>
      </c>
      <c r="D45" s="238" t="str">
        <f>'MSW10'!D45</f>
        <v>1-5 MIN</v>
      </c>
      <c r="E45" s="66" t="str">
        <f>'MSW10'!E45</f>
        <v/>
      </c>
      <c r="F45" s="67"/>
    </row>
    <row r="46">
      <c r="A46" s="246" t="str">
        <f>'MSW10'!A46</f>
        <v>PROCEED TO DOWN SETS</v>
      </c>
      <c r="B46" s="20"/>
      <c r="C46" s="20"/>
      <c r="D46" s="20"/>
      <c r="E46" s="20"/>
      <c r="F46" s="95"/>
    </row>
    <row r="47">
      <c r="A47" s="249" t="str">
        <f>'MSW10'!A47</f>
        <v/>
      </c>
      <c r="B47" s="175" t="str">
        <f>'MSW10'!B47</f>
        <v/>
      </c>
      <c r="C47" s="238" t="str">
        <f>'MSW10'!C47</f>
        <v/>
      </c>
      <c r="D47" s="238" t="str">
        <f>'MSW10'!D47</f>
        <v/>
      </c>
      <c r="E47" s="250" t="str">
        <f>'MSW10'!E47</f>
        <v/>
      </c>
      <c r="F47" s="67"/>
    </row>
    <row r="48">
      <c r="A48" s="259" t="str">
        <f>'MSW10'!A48</f>
        <v/>
      </c>
      <c r="B48" s="237" t="str">
        <f>'MSW10'!B48</f>
        <v/>
      </c>
      <c r="C48" s="257" t="str">
        <f>'MSW10'!C48</f>
        <v/>
      </c>
      <c r="D48" s="257" t="str">
        <f>'MSW10'!D48</f>
        <v/>
      </c>
      <c r="E48" s="258" t="str">
        <f>'MSW10'!E48</f>
        <v/>
      </c>
      <c r="F48" s="67"/>
    </row>
    <row r="49">
      <c r="A49" s="246" t="str">
        <f>'MSW10'!A49</f>
        <v>DOWN SETS</v>
      </c>
      <c r="B49" s="20"/>
      <c r="C49" s="20"/>
      <c r="D49" s="20"/>
      <c r="E49" s="20"/>
      <c r="F49" s="95"/>
    </row>
    <row r="50">
      <c r="A50" s="264" t="str">
        <f>'MSW10'!A50</f>
        <v/>
      </c>
      <c r="B50" s="265">
        <f>'MSW10'!B50</f>
        <v>210</v>
      </c>
      <c r="C50" s="266" t="str">
        <f>'MSW10'!C50</f>
        <v>REP OUT</v>
      </c>
      <c r="D50" s="267" t="str">
        <f>'MSW10'!D50</f>
        <v>1-3 MIN</v>
      </c>
      <c r="E50" s="268" t="str">
        <f>'MSW10'!E50</f>
        <v/>
      </c>
      <c r="F50" s="67" t="str">
        <f>'MSW10'!F50</f>
        <v/>
      </c>
    </row>
    <row r="51">
      <c r="A51" s="243" t="str">
        <f>'MSW10'!A51</f>
        <v/>
      </c>
      <c r="B51" s="237">
        <f>'MSW10'!B51</f>
        <v>185</v>
      </c>
      <c r="C51" s="245" t="str">
        <f>'MSW10'!C51</f>
        <v>REP OUT</v>
      </c>
      <c r="D51" s="65" t="str">
        <f>'MSW10'!D51</f>
        <v>1-3 MIN</v>
      </c>
      <c r="E51" s="258" t="str">
        <f>'MSW10'!E51</f>
        <v/>
      </c>
      <c r="F51" s="271" t="str">
        <f>'MSW10'!F51</f>
        <v/>
      </c>
    </row>
    <row r="52">
      <c r="A52" s="272" t="str">
        <f>'MSW10'!A52</f>
        <v>FINAL MAX</v>
      </c>
      <c r="B52" s="273">
        <f>'MSW10'!B52</f>
        <v>265</v>
      </c>
      <c r="C52" s="11"/>
      <c r="D52" s="11"/>
      <c r="E52" s="11"/>
      <c r="F52" s="46"/>
    </row>
    <row r="53">
      <c r="A53" s="292" t="str">
        <f>'MSW10'!A53</f>
        <v/>
      </c>
    </row>
    <row r="54">
      <c r="A54" s="73" t="str">
        <f>'MSW10'!A54</f>
        <v>4. HIGH ROW</v>
      </c>
      <c r="B54" s="53"/>
      <c r="C54" s="53"/>
      <c r="D54" s="53"/>
      <c r="E54" s="53"/>
      <c r="F54" s="54"/>
    </row>
    <row r="55">
      <c r="A55" s="282" t="str">
        <f>'MSW10'!A55</f>
        <v>CURRENT MAX</v>
      </c>
      <c r="B55" s="56" t="str">
        <f>'MSW10'!B55</f>
        <v/>
      </c>
      <c r="C55" s="13"/>
      <c r="D55" s="13"/>
      <c r="E55" s="13"/>
      <c r="F55" s="57"/>
    </row>
    <row r="56">
      <c r="A56" s="58" t="str">
        <f>'MSW10'!A56</f>
        <v>SET</v>
      </c>
      <c r="B56" s="59" t="str">
        <f>'MSW10'!B56</f>
        <v>WEIGHT</v>
      </c>
      <c r="C56" s="59" t="str">
        <f>'MSW10'!C56</f>
        <v>REPS</v>
      </c>
      <c r="D56" s="59" t="str">
        <f>'MSW10'!D56</f>
        <v>REST</v>
      </c>
      <c r="E56" s="60" t="str">
        <f>'MSW10'!E56</f>
        <v>PREVIOUS</v>
      </c>
      <c r="F56" s="61" t="str">
        <f>'MSW10'!F56</f>
        <v>REP LOG</v>
      </c>
    </row>
    <row r="57">
      <c r="A57" s="62">
        <f>'MSW10'!A57</f>
        <v>1</v>
      </c>
      <c r="B57" s="63">
        <f>'MSW10'!B57</f>
        <v>0</v>
      </c>
      <c r="C57" s="104" t="str">
        <f>'MSW10'!C57</f>
        <v>REP OUT</v>
      </c>
      <c r="D57" s="65" t="str">
        <f>'MSW10'!D57</f>
        <v>1 MIN</v>
      </c>
      <c r="E57" s="84" t="str">
        <f>'MSW10'!E57</f>
        <v/>
      </c>
      <c r="F57" s="67" t="str">
        <f>'MSW10'!F57</f>
        <v/>
      </c>
    </row>
    <row r="58">
      <c r="A58" s="62">
        <f>'MSW10'!A58</f>
        <v>2</v>
      </c>
      <c r="B58" s="63">
        <f>'MSW10'!B58</f>
        <v>0</v>
      </c>
      <c r="C58" s="104" t="str">
        <f>'MSW10'!C58</f>
        <v>REP OUT</v>
      </c>
      <c r="D58" s="65" t="str">
        <f>'MSW10'!D58</f>
        <v>1 MIN</v>
      </c>
      <c r="E58" s="84" t="str">
        <f>'MSW10'!E58</f>
        <v/>
      </c>
      <c r="F58" s="67" t="str">
        <f>'MSW10'!F58</f>
        <v/>
      </c>
    </row>
    <row r="59">
      <c r="A59" s="68">
        <f>'MSW10'!A59</f>
        <v>3</v>
      </c>
      <c r="B59" s="69">
        <f>'MSW10'!B59</f>
        <v>0</v>
      </c>
      <c r="C59" s="105" t="str">
        <f>'MSW10'!C59</f>
        <v>REP OUT</v>
      </c>
      <c r="D59" s="71" t="str">
        <f>'MSW10'!D59</f>
        <v>1 MIN</v>
      </c>
      <c r="E59" s="89" t="str">
        <f>'MSW10'!E59</f>
        <v/>
      </c>
      <c r="F59" s="67" t="str">
        <f>'MSW10'!F59</f>
        <v/>
      </c>
    </row>
    <row r="60">
      <c r="A60" s="657" t="str">
        <f>'MSW10'!A60</f>
        <v/>
      </c>
    </row>
    <row r="62">
      <c r="A62" s="440" t="str">
        <f>'MSW10'!A62</f>
        <v>5. LAT PULL DOWN</v>
      </c>
      <c r="B62" s="53"/>
      <c r="C62" s="53"/>
      <c r="D62" s="53"/>
      <c r="E62" s="53"/>
      <c r="F62" s="54"/>
    </row>
    <row r="63">
      <c r="A63" s="282" t="str">
        <f>'MSW10'!A63</f>
        <v>CURRENT MAX</v>
      </c>
      <c r="B63" s="56" t="str">
        <f>'MSW10'!B63</f>
        <v/>
      </c>
      <c r="C63" s="13"/>
      <c r="D63" s="13"/>
      <c r="E63" s="13"/>
      <c r="F63" s="57"/>
    </row>
    <row r="64">
      <c r="A64" s="58" t="str">
        <f>'MSW10'!A64</f>
        <v>SET</v>
      </c>
      <c r="B64" s="59" t="str">
        <f>'MSW10'!B64</f>
        <v>WEIGHT</v>
      </c>
      <c r="C64" s="59" t="str">
        <f>'MSW10'!C64</f>
        <v>REPS</v>
      </c>
      <c r="D64" s="59" t="str">
        <f>'MSW10'!D64</f>
        <v>REST</v>
      </c>
      <c r="E64" s="60" t="str">
        <f>'MSW10'!E64</f>
        <v>PREVIOUS</v>
      </c>
      <c r="F64" s="61" t="str">
        <f>'MSW10'!F64</f>
        <v>REP LOG</v>
      </c>
    </row>
    <row r="65">
      <c r="A65" s="62">
        <f>'MSW10'!A65</f>
        <v>1</v>
      </c>
      <c r="B65" s="63">
        <f>'MSW10'!B65</f>
        <v>0</v>
      </c>
      <c r="C65" s="104" t="str">
        <f>'MSW10'!C65</f>
        <v>REP OUT</v>
      </c>
      <c r="D65" s="65" t="str">
        <f>'MSW10'!D65</f>
        <v>1 MIN</v>
      </c>
      <c r="E65" s="66" t="str">
        <f>'MSW10'!E65</f>
        <v/>
      </c>
      <c r="F65" s="67" t="str">
        <f>'MSW10'!F65</f>
        <v/>
      </c>
    </row>
    <row r="66">
      <c r="A66" s="62">
        <f>'MSW10'!A66</f>
        <v>2</v>
      </c>
      <c r="B66" s="63">
        <f>'MSW10'!B66</f>
        <v>0</v>
      </c>
      <c r="C66" s="104" t="str">
        <f>'MSW10'!C66</f>
        <v>REP OUT</v>
      </c>
      <c r="D66" s="65" t="str">
        <f>'MSW10'!D66</f>
        <v>1 MIN</v>
      </c>
      <c r="E66" s="66" t="str">
        <f>'MSW10'!E66</f>
        <v/>
      </c>
      <c r="F66" s="67" t="str">
        <f>'MSW10'!F66</f>
        <v/>
      </c>
    </row>
    <row r="67">
      <c r="A67" s="68">
        <f>'MSW10'!A67</f>
        <v>3</v>
      </c>
      <c r="B67" s="69">
        <f>'MSW10'!B67</f>
        <v>0</v>
      </c>
      <c r="C67" s="105" t="str">
        <f>'MSW10'!C67</f>
        <v>REP OUT</v>
      </c>
      <c r="D67" s="71" t="str">
        <f>'MSW10'!D67</f>
        <v>1 MIN</v>
      </c>
      <c r="E67" s="72" t="str">
        <f>'MSW10'!E67</f>
        <v/>
      </c>
      <c r="F67" s="67" t="str">
        <f>'MSW10'!F67</f>
        <v/>
      </c>
    </row>
    <row r="68">
      <c r="A68" t="str">
        <f>'MSW10'!A68</f>
        <v/>
      </c>
    </row>
    <row r="70">
      <c r="A70" s="310" t="str">
        <f>'MSW10'!A70</f>
        <v>CLICK TO COMPLETE WORKOUT</v>
      </c>
      <c r="B70" s="36"/>
      <c r="C70" s="36"/>
      <c r="D70" s="36"/>
      <c r="E70" s="36"/>
      <c r="F70" s="1299"/>
    </row>
    <row r="71">
      <c r="A71" t="str">
        <f>'MSW10'!A71</f>
        <v/>
      </c>
    </row>
    <row r="72">
      <c r="A72" s="224" t="str">
        <f>'MSW10'!A72</f>
        <v>DAY 2 </v>
      </c>
      <c r="B72" s="36"/>
      <c r="C72" s="36"/>
      <c r="D72" s="36"/>
      <c r="E72" s="36"/>
      <c r="F72" s="1299"/>
    </row>
    <row r="73">
      <c r="A73" t="str">
        <f>'MSW10'!A73</f>
        <v/>
      </c>
    </row>
    <row r="75">
      <c r="A75" s="1261" t="str">
        <f>'MSW10'!A75</f>
        <v>1. MACHINE SQUAT</v>
      </c>
      <c r="B75" s="53"/>
      <c r="C75" s="53"/>
      <c r="D75" s="53"/>
      <c r="E75" s="53"/>
      <c r="F75" s="54"/>
    </row>
    <row r="76">
      <c r="A76" s="961" t="str">
        <f>'MSW10'!A76</f>
        <v>CURRENT MAX</v>
      </c>
      <c r="B76" s="1035">
        <f>'MSW10'!B76</f>
        <v>100</v>
      </c>
      <c r="C76" s="13"/>
      <c r="D76" s="13"/>
      <c r="E76" s="13"/>
      <c r="F76" s="57"/>
    </row>
    <row r="77">
      <c r="A77" s="231" t="str">
        <f>'MSW10'!A77</f>
        <v>SET</v>
      </c>
      <c r="B77" s="232" t="str">
        <f>'MSW10'!B77</f>
        <v>WEIGHT</v>
      </c>
      <c r="C77" s="232" t="str">
        <f>'MSW10'!C77</f>
        <v>REPS</v>
      </c>
      <c r="D77" s="232" t="str">
        <f>'MSW10'!D77</f>
        <v>REST</v>
      </c>
      <c r="E77" s="233" t="str">
        <f>'MSW10'!E77</f>
        <v>PREVIOUS</v>
      </c>
      <c r="F77" s="61" t="str">
        <f>'MSW10'!F77</f>
        <v>REP LOG</v>
      </c>
    </row>
    <row r="78">
      <c r="A78" s="236">
        <f>'MSW10'!A78</f>
        <v>1</v>
      </c>
      <c r="B78" s="237">
        <f>'MSW10'!B78</f>
        <v>35</v>
      </c>
      <c r="C78" s="238">
        <f>'MSW10'!C78</f>
        <v>10</v>
      </c>
      <c r="D78" s="238" t="str">
        <f>'MSW10'!D78</f>
        <v>30s</v>
      </c>
      <c r="E78" s="66" t="str">
        <f>'MSW10'!E78</f>
        <v/>
      </c>
      <c r="F78" s="1300"/>
    </row>
    <row r="79">
      <c r="A79" s="236">
        <f>'MSW10'!A79</f>
        <v>2</v>
      </c>
      <c r="B79" s="237">
        <f>'MSW10'!B79</f>
        <v>65</v>
      </c>
      <c r="C79" s="238">
        <f>'MSW10'!C79</f>
        <v>10</v>
      </c>
      <c r="D79" s="238" t="str">
        <f>'MSW10'!D79</f>
        <v>1-2 MIN</v>
      </c>
      <c r="E79" s="66" t="str">
        <f>'MSW10'!E79</f>
        <v/>
      </c>
      <c r="F79" s="1300"/>
    </row>
    <row r="80">
      <c r="A80" s="242">
        <f>'MSW10'!A80</f>
        <v>3</v>
      </c>
      <c r="B80" s="237">
        <f>'MSW10'!B80</f>
        <v>90</v>
      </c>
      <c r="C80" s="238">
        <f>'MSW10'!C80</f>
        <v>10</v>
      </c>
      <c r="D80" s="238" t="str">
        <f>'MSW10'!D80</f>
        <v>1-2 MIN</v>
      </c>
      <c r="E80" s="66" t="str">
        <f>'MSW10'!E80</f>
        <v/>
      </c>
      <c r="F80" s="1300"/>
    </row>
    <row r="81">
      <c r="A81" s="249">
        <f>'MSW10'!A81</f>
        <v>4</v>
      </c>
      <c r="B81" s="175">
        <f>'MSW10'!B81</f>
        <v>70</v>
      </c>
      <c r="C81" s="238">
        <f>'MSW10'!C81</f>
        <v>10</v>
      </c>
      <c r="D81" s="238" t="str">
        <f>'MSW10'!D81</f>
        <v>1-5 MIN</v>
      </c>
      <c r="E81" s="66" t="str">
        <f>'MSW10'!E81</f>
        <v/>
      </c>
      <c r="F81" s="1300"/>
    </row>
    <row r="82">
      <c r="A82" s="249">
        <f>'MSW10'!A82</f>
        <v>5</v>
      </c>
      <c r="B82" s="175">
        <f>'MSW10'!B82</f>
        <v>55</v>
      </c>
      <c r="C82" s="238">
        <f>'MSW10'!C82</f>
        <v>10</v>
      </c>
      <c r="D82" s="238" t="str">
        <f>'MSW10'!D82</f>
        <v>1-5 MIN</v>
      </c>
      <c r="E82" s="66" t="str">
        <f>'MSW10'!E82</f>
        <v/>
      </c>
      <c r="F82" s="1301"/>
    </row>
    <row r="83">
      <c r="A83" s="249">
        <f>'MSW10'!A83</f>
        <v>6</v>
      </c>
      <c r="B83" s="175">
        <f>'MSW10'!B83</f>
        <v>45</v>
      </c>
      <c r="C83" s="238">
        <f>'MSW10'!C83</f>
        <v>10</v>
      </c>
      <c r="D83" s="238" t="str">
        <f>'MSW10'!D83</f>
        <v>1-5 MIN</v>
      </c>
      <c r="E83" s="66" t="str">
        <f>'MSW10'!E83</f>
        <v/>
      </c>
      <c r="F83" s="1300"/>
    </row>
    <row r="84">
      <c r="A84" s="1038">
        <f>'MSW10'!A84</f>
        <v>7</v>
      </c>
      <c r="B84" s="175">
        <f>'MSW10'!B84</f>
        <v>35</v>
      </c>
      <c r="C84" s="238">
        <f>'MSW10'!C84</f>
        <v>10</v>
      </c>
      <c r="D84" s="238" t="str">
        <f>'MSW10'!D84</f>
        <v>1-5 MIN</v>
      </c>
      <c r="E84" s="66" t="str">
        <f>'MSW10'!E84</f>
        <v/>
      </c>
      <c r="F84" s="1300"/>
    </row>
    <row r="85">
      <c r="A85" s="249">
        <f>'MSW10'!A85</f>
        <v>8</v>
      </c>
      <c r="B85" s="175">
        <f>'MSW10'!B85</f>
        <v>30</v>
      </c>
      <c r="C85" s="238">
        <f>'MSW10'!C85</f>
        <v>10</v>
      </c>
      <c r="D85" s="238" t="str">
        <f>'MSW10'!D85</f>
        <v>1-5 MIN</v>
      </c>
      <c r="E85" s="66" t="str">
        <f>'MSW10'!E85</f>
        <v/>
      </c>
      <c r="F85" s="1300"/>
    </row>
    <row r="86">
      <c r="A86" s="272" t="str">
        <f>'MSW10'!A86</f>
        <v>4 REP MAX</v>
      </c>
      <c r="B86" s="1109">
        <f>'MSW10'!B86</f>
        <v>100</v>
      </c>
      <c r="C86" s="11"/>
      <c r="D86" s="11"/>
      <c r="E86" s="11"/>
      <c r="F86" s="46"/>
    </row>
    <row r="87">
      <c r="A87" s="10" t="str">
        <f>'MSW10'!A87</f>
        <v/>
      </c>
    </row>
    <row r="88">
      <c r="A88" s="11"/>
      <c r="B88" s="11"/>
      <c r="C88" s="11"/>
      <c r="D88" s="11"/>
      <c r="E88" s="11"/>
      <c r="F88" s="11"/>
    </row>
    <row r="89">
      <c r="A89" s="1044" t="str">
        <f>'MSW10'!A89</f>
        <v>2. LEG EXTENSION</v>
      </c>
      <c r="B89" s="13"/>
      <c r="C89" s="13"/>
      <c r="D89" s="13"/>
      <c r="E89" s="13"/>
      <c r="F89" s="57"/>
    </row>
    <row r="90">
      <c r="A90" s="1045" t="str">
        <f>'MSW10'!A90</f>
        <v>CURRENT MAX</v>
      </c>
      <c r="B90" s="1046">
        <f>'MSW10'!B90</f>
        <v>55</v>
      </c>
      <c r="C90" s="13"/>
      <c r="D90" s="13"/>
      <c r="E90" s="13"/>
      <c r="F90" s="57"/>
    </row>
    <row r="91">
      <c r="A91" s="567" t="str">
        <f>'MSW10'!A91</f>
        <v>SET</v>
      </c>
      <c r="B91" s="568" t="str">
        <f>'MSW10'!B91</f>
        <v>WEIGHT</v>
      </c>
      <c r="C91" s="568" t="str">
        <f>'MSW10'!C91</f>
        <v>REPS</v>
      </c>
      <c r="D91" s="568" t="str">
        <f>'MSW10'!D91</f>
        <v>REST</v>
      </c>
      <c r="E91" s="1047" t="str">
        <f>'MSW10'!E91</f>
        <v>PREVIOUS</v>
      </c>
      <c r="F91" s="1048" t="str">
        <f>'MSW10'!F91</f>
        <v>REP LOG</v>
      </c>
    </row>
    <row r="92">
      <c r="A92" s="1049">
        <f>'MSW10'!A92</f>
        <v>1</v>
      </c>
      <c r="B92" s="1050">
        <f>'MSW10'!B92</f>
        <v>55</v>
      </c>
      <c r="C92" s="1051" t="str">
        <f>'MSW10'!C92</f>
        <v>10 - 20</v>
      </c>
      <c r="D92" s="1052" t="str">
        <f>'MSW10'!D92</f>
        <v>1 MIN</v>
      </c>
      <c r="E92" s="1010" t="str">
        <f>'MSW10'!E92</f>
        <v/>
      </c>
      <c r="F92" s="1011"/>
    </row>
    <row r="93">
      <c r="A93" s="1049">
        <f>'MSW10'!A93</f>
        <v>2</v>
      </c>
      <c r="B93" s="1050">
        <f>'MSW10'!B93</f>
        <v>45</v>
      </c>
      <c r="C93" s="1051" t="str">
        <f>'MSW10'!C93</f>
        <v>10 - 20</v>
      </c>
      <c r="D93" s="1052" t="str">
        <f>'MSW10'!D93</f>
        <v>1 MIN</v>
      </c>
      <c r="E93" s="1010" t="str">
        <f>'MSW10'!E93</f>
        <v/>
      </c>
      <c r="F93" s="1011"/>
    </row>
    <row r="94">
      <c r="A94" s="1053">
        <f>'MSW10'!A94</f>
        <v>3</v>
      </c>
      <c r="B94" s="1054">
        <f>'MSW10'!B94</f>
        <v>35</v>
      </c>
      <c r="C94" s="1055" t="str">
        <f>'MSW10'!C94</f>
        <v>10 - 20</v>
      </c>
      <c r="D94" s="1056" t="str">
        <f>'MSW10'!D94</f>
        <v>1 MIN</v>
      </c>
      <c r="E94" s="1021" t="str">
        <f>'MSW10'!E94</f>
        <v/>
      </c>
      <c r="F94" s="1011"/>
    </row>
    <row r="95">
      <c r="A95" t="str">
        <f>'MSW10'!A95</f>
        <v/>
      </c>
    </row>
    <row r="97">
      <c r="A97" s="323" t="str">
        <f>'MSW10'!A97</f>
        <v>3. MACHINE LEG CURL</v>
      </c>
      <c r="B97" s="53"/>
      <c r="C97" s="53"/>
      <c r="D97" s="53"/>
      <c r="E97" s="53"/>
      <c r="F97" s="54"/>
      <c r="G97" s="141" t="str">
        <f>'MSW10'!G97</f>
        <v/>
      </c>
      <c r="H97" s="323" t="str">
        <f>'MSW10'!H97</f>
        <v>3. PRONE LEG CURL</v>
      </c>
      <c r="I97" s="53"/>
      <c r="J97" s="53"/>
      <c r="K97" s="53"/>
      <c r="L97" s="53"/>
      <c r="M97" s="54"/>
    </row>
    <row r="98">
      <c r="A98" s="1045" t="str">
        <f>'MSW10'!A98</f>
        <v>CURRENT MAX</v>
      </c>
      <c r="B98" s="1046">
        <f>'MSW10'!B98</f>
        <v>70</v>
      </c>
      <c r="C98" s="13"/>
      <c r="D98" s="13"/>
      <c r="E98" s="13"/>
      <c r="F98" s="57"/>
      <c r="H98" s="1045" t="str">
        <f>'MSW10'!H98</f>
        <v>CURRENT MAX</v>
      </c>
      <c r="I98" s="1046">
        <f>'MSW10'!I98</f>
        <v>70</v>
      </c>
      <c r="J98" s="13"/>
      <c r="K98" s="13"/>
      <c r="L98" s="13"/>
      <c r="M98" s="57"/>
    </row>
    <row r="99">
      <c r="A99" s="567" t="str">
        <f>'MSW10'!A99</f>
        <v>SET</v>
      </c>
      <c r="B99" s="568" t="str">
        <f>'MSW10'!B99</f>
        <v>WEIGHT</v>
      </c>
      <c r="C99" s="568" t="str">
        <f>'MSW10'!C99</f>
        <v>REPS</v>
      </c>
      <c r="D99" s="568" t="str">
        <f>'MSW10'!D99</f>
        <v>REST</v>
      </c>
      <c r="E99" s="1047" t="str">
        <f>'MSW10'!E99</f>
        <v>PREVIOUS</v>
      </c>
      <c r="F99" s="1048" t="str">
        <f>'MSW10'!F99</f>
        <v>REP LOG</v>
      </c>
      <c r="H99" s="567" t="str">
        <f>'MSW10'!H99</f>
        <v>SET</v>
      </c>
      <c r="I99" s="568" t="str">
        <f>'MSW10'!I99</f>
        <v>WEIGHT</v>
      </c>
      <c r="J99" s="568" t="str">
        <f>'MSW10'!J99</f>
        <v>REPS</v>
      </c>
      <c r="K99" s="568" t="str">
        <f>'MSW10'!K99</f>
        <v>REST</v>
      </c>
      <c r="L99" s="1047" t="str">
        <f>'MSW10'!L99</f>
        <v>PREVIOUS</v>
      </c>
      <c r="M99" s="1048" t="str">
        <f>'MSW10'!M99</f>
        <v>REP LOG</v>
      </c>
    </row>
    <row r="100">
      <c r="A100" s="1049">
        <f>'MSW10'!A100</f>
        <v>1</v>
      </c>
      <c r="B100" s="1050">
        <f>'MSW10'!B100</f>
        <v>70</v>
      </c>
      <c r="C100" s="1051" t="str">
        <f>'MSW10'!C100</f>
        <v>10 - 20</v>
      </c>
      <c r="D100" s="1052" t="str">
        <f>'MSW10'!D100</f>
        <v>1 MIN</v>
      </c>
      <c r="E100" s="1010" t="str">
        <f>'MSW10'!E100</f>
        <v/>
      </c>
      <c r="F100" s="1011"/>
      <c r="G100" s="434" t="str">
        <f>'MSW10'!G100</f>
        <v>ALTERNATE</v>
      </c>
      <c r="H100" s="1049">
        <f>'MSW10'!H100</f>
        <v>1</v>
      </c>
      <c r="I100" s="1050">
        <f>'MSW10'!I100</f>
        <v>70</v>
      </c>
      <c r="J100" s="1051" t="str">
        <f>'MSW10'!J100</f>
        <v>10 - 20</v>
      </c>
      <c r="K100" s="1052" t="str">
        <f>'MSW10'!K100</f>
        <v>1 MIN</v>
      </c>
      <c r="L100" s="1010" t="str">
        <f>'MSW10'!L100</f>
        <v/>
      </c>
      <c r="M100" s="1011"/>
    </row>
    <row r="101">
      <c r="A101" s="1049">
        <f>'MSW10'!A101</f>
        <v>2</v>
      </c>
      <c r="B101" s="1050">
        <f>'MSW10'!B101</f>
        <v>55</v>
      </c>
      <c r="C101" s="1051" t="str">
        <f>'MSW10'!C101</f>
        <v>10 - 20</v>
      </c>
      <c r="D101" s="1052" t="str">
        <f>'MSW10'!D101</f>
        <v>1 MIN</v>
      </c>
      <c r="E101" s="1010" t="str">
        <f>'MSW10'!E101</f>
        <v/>
      </c>
      <c r="F101" s="1011"/>
      <c r="H101" s="1049">
        <f>'MSW10'!H101</f>
        <v>2</v>
      </c>
      <c r="I101" s="1050">
        <f>'MSW10'!I101</f>
        <v>55</v>
      </c>
      <c r="J101" s="1051" t="str">
        <f>'MSW10'!J101</f>
        <v>10 - 20</v>
      </c>
      <c r="K101" s="1052" t="str">
        <f>'MSW10'!K101</f>
        <v>1 MIN</v>
      </c>
      <c r="L101" s="1010" t="str">
        <f>'MSW10'!L101</f>
        <v/>
      </c>
      <c r="M101" s="1011"/>
    </row>
    <row r="102">
      <c r="A102" s="1053">
        <f>'MSW10'!A102</f>
        <v>3</v>
      </c>
      <c r="B102" s="1054">
        <f>'MSW10'!B102</f>
        <v>45</v>
      </c>
      <c r="C102" s="1055" t="str">
        <f>'MSW10'!C102</f>
        <v>10 - 20</v>
      </c>
      <c r="D102" s="1056" t="str">
        <f>'MSW10'!D102</f>
        <v>1 MIN</v>
      </c>
      <c r="E102" s="1021" t="str">
        <f>'MSW10'!E102</f>
        <v/>
      </c>
      <c r="F102" s="1011"/>
      <c r="G102" s="682" t="str">
        <f>'MSW10'!G102</f>
        <v/>
      </c>
      <c r="H102" s="1053">
        <f>'MSW10'!H102</f>
        <v>3</v>
      </c>
      <c r="I102" s="1054">
        <f>'MSW10'!I102</f>
        <v>45</v>
      </c>
      <c r="J102" s="1055" t="str">
        <f>'MSW10'!J102</f>
        <v>10 - 20</v>
      </c>
      <c r="K102" s="1056" t="str">
        <f>'MSW10'!K102</f>
        <v>1 MIN</v>
      </c>
      <c r="L102" s="1021" t="str">
        <f>'MSW10'!L102</f>
        <v/>
      </c>
      <c r="M102" s="1011"/>
    </row>
    <row r="103">
      <c r="A103" s="849" t="str">
        <f>'MSW10'!A103</f>
        <v/>
      </c>
      <c r="G103" s="849" t="str">
        <f>'MSW10'!H103</f>
        <v/>
      </c>
    </row>
    <row r="105">
      <c r="A105" s="1120" t="str">
        <f>'MSW10'!A105</f>
        <v>DAY 3</v>
      </c>
      <c r="B105" s="36"/>
      <c r="C105" s="36"/>
      <c r="D105" s="36"/>
      <c r="E105" s="36"/>
      <c r="F105" s="37"/>
    </row>
    <row r="106">
      <c r="A106" t="str">
        <f>'MSW10'!A106</f>
        <v/>
      </c>
    </row>
    <row r="108">
      <c r="A108" s="44" t="str">
        <f>'MSW10'!A108</f>
        <v>SHOULDERS &amp; ARMS</v>
      </c>
      <c r="B108" s="36"/>
      <c r="C108" s="36"/>
      <c r="D108" s="36"/>
      <c r="E108" s="36"/>
      <c r="F108" s="37"/>
      <c r="G108" t="str">
        <f>'MSW10'!G108</f>
        <v/>
      </c>
      <c r="H108" s="44" t="str">
        <f>'MSW10'!H108</f>
        <v>SHOULDERS &amp; ARMS</v>
      </c>
      <c r="I108" s="36"/>
      <c r="J108" s="36"/>
      <c r="K108" s="36"/>
      <c r="L108" s="36"/>
      <c r="M108" s="37"/>
    </row>
    <row r="109">
      <c r="A109" s="112" t="str">
        <f>'MSW10'!A109</f>
        <v>1. SHOULDER PRESS</v>
      </c>
      <c r="B109" s="13"/>
      <c r="C109" s="13"/>
      <c r="D109" s="13"/>
      <c r="E109" s="13"/>
      <c r="F109" s="57"/>
      <c r="H109" s="1139" t="str">
        <f>'MSW10'!H109</f>
        <v>1. MACHINE SHOULDER PRESS</v>
      </c>
      <c r="I109" s="13"/>
      <c r="J109" s="13"/>
      <c r="K109" s="13"/>
      <c r="L109" s="13"/>
      <c r="M109" s="57"/>
    </row>
    <row r="110">
      <c r="A110" s="226" t="str">
        <f>'MSW10'!A110</f>
        <v>CURRENT MAX</v>
      </c>
      <c r="B110" s="227" t="str">
        <f>'MSW10'!B110</f>
        <v/>
      </c>
      <c r="C110" s="20"/>
      <c r="D110" s="20"/>
      <c r="E110" s="20"/>
      <c r="F110" s="95"/>
      <c r="H110" s="226" t="str">
        <f>'MSW10'!H110</f>
        <v>CURRENT MAX</v>
      </c>
      <c r="I110" s="227">
        <f>'MSW10'!I110</f>
        <v>150</v>
      </c>
      <c r="J110" s="20"/>
      <c r="K110" s="20"/>
      <c r="L110" s="20"/>
      <c r="M110" s="95"/>
    </row>
    <row r="111">
      <c r="A111" s="231" t="str">
        <f>'MSW10'!A111</f>
        <v>SET</v>
      </c>
      <c r="B111" s="232" t="str">
        <f>'MSW10'!B111</f>
        <v>WEIGHT</v>
      </c>
      <c r="C111" s="232" t="str">
        <f>'MSW10'!C111</f>
        <v>REPS</v>
      </c>
      <c r="D111" s="232" t="str">
        <f>'MSW10'!D111</f>
        <v>REST</v>
      </c>
      <c r="E111" s="233" t="str">
        <f>'MSW10'!E111</f>
        <v>PREVIOUS</v>
      </c>
      <c r="F111" s="61" t="str">
        <f>'MSW10'!F111</f>
        <v>REP LOG</v>
      </c>
      <c r="H111" s="231" t="str">
        <f>'MSW10'!H111</f>
        <v>SET</v>
      </c>
      <c r="I111" s="232" t="str">
        <f>'MSW10'!I111</f>
        <v>WEIGHT</v>
      </c>
      <c r="J111" s="232" t="str">
        <f>'MSW10'!J111</f>
        <v>REPS</v>
      </c>
      <c r="K111" s="232" t="str">
        <f>'MSW10'!K111</f>
        <v>REST</v>
      </c>
      <c r="L111" s="233" t="str">
        <f>'MSW10'!L111</f>
        <v>PREVIOUS</v>
      </c>
      <c r="M111" s="61" t="str">
        <f>'MSW10'!M111</f>
        <v>REP LOG</v>
      </c>
    </row>
    <row r="112">
      <c r="A112" s="1140">
        <f>'MSW10'!A112</f>
        <v>1</v>
      </c>
      <c r="B112" s="237">
        <f>'MSW10'!B112</f>
        <v>0</v>
      </c>
      <c r="C112" s="237">
        <f>'MSW10'!C112</f>
        <v>6</v>
      </c>
      <c r="D112" s="238" t="str">
        <f>'MSW10'!D112</f>
        <v>30s</v>
      </c>
      <c r="E112" s="66" t="str">
        <f>'MSW10'!E112</f>
        <v/>
      </c>
      <c r="F112" s="67"/>
      <c r="H112" s="1140">
        <f>'MSW10'!H112</f>
        <v>1</v>
      </c>
      <c r="I112" s="237">
        <f>'MSW10'!I112</f>
        <v>55</v>
      </c>
      <c r="J112" s="237">
        <f>'MSW10'!J112</f>
        <v>6</v>
      </c>
      <c r="K112" s="238" t="str">
        <f>'MSW10'!K112</f>
        <v>30s</v>
      </c>
      <c r="L112" s="66" t="str">
        <f>'MSW10'!L112</f>
        <v/>
      </c>
      <c r="M112" s="67"/>
    </row>
    <row r="113">
      <c r="A113" s="236">
        <f>'MSW10'!A113</f>
        <v>2</v>
      </c>
      <c r="B113" s="237">
        <f>'MSW10'!B113</f>
        <v>0</v>
      </c>
      <c r="C113" s="237">
        <f>'MSW10'!C113</f>
        <v>1</v>
      </c>
      <c r="D113" s="238" t="str">
        <f>'MSW10'!D113</f>
        <v>1-2 MIN</v>
      </c>
      <c r="E113" s="66" t="str">
        <f>'MSW10'!E113</f>
        <v/>
      </c>
      <c r="F113" s="67"/>
      <c r="H113" s="236">
        <f>'MSW10'!H113</f>
        <v>2</v>
      </c>
      <c r="I113" s="237">
        <f>'MSW10'!I113</f>
        <v>100</v>
      </c>
      <c r="J113" s="237">
        <f>'MSW10'!J113</f>
        <v>1</v>
      </c>
      <c r="K113" s="238" t="str">
        <f>'MSW10'!K113</f>
        <v>1-2 MIN</v>
      </c>
      <c r="L113" s="66" t="str">
        <f>'MSW10'!L113</f>
        <v/>
      </c>
      <c r="M113" s="67"/>
    </row>
    <row r="114">
      <c r="A114" s="242">
        <f>'MSW10'!A114</f>
        <v>3</v>
      </c>
      <c r="B114" s="237">
        <f>'MSW10'!B114</f>
        <v>0</v>
      </c>
      <c r="C114" s="82">
        <f>'MSW10'!C114</f>
        <v>1</v>
      </c>
      <c r="D114" s="238" t="str">
        <f>'MSW10'!D114</f>
        <v>1-2 MIN</v>
      </c>
      <c r="E114" s="66" t="str">
        <f>'MSW10'!E114</f>
        <v/>
      </c>
      <c r="F114" s="67"/>
      <c r="H114" s="242">
        <f>'MSW10'!H114</f>
        <v>3</v>
      </c>
      <c r="I114" s="237">
        <f>'MSW10'!I114</f>
        <v>135</v>
      </c>
      <c r="J114" s="82">
        <f>'MSW10'!J114</f>
        <v>1</v>
      </c>
      <c r="K114" s="238" t="str">
        <f>'MSW10'!K114</f>
        <v>1-2 MIN</v>
      </c>
      <c r="L114" s="66" t="str">
        <f>'MSW10'!L114</f>
        <v/>
      </c>
      <c r="M114" s="67"/>
    </row>
    <row r="115">
      <c r="A115" s="243">
        <f>'MSW10'!A115</f>
        <v>4</v>
      </c>
      <c r="B115" s="237" t="str">
        <f>'MSW10'!B115</f>
        <v/>
      </c>
      <c r="C115" s="257">
        <f>'MSW10'!C115</f>
        <v>1</v>
      </c>
      <c r="D115" s="238" t="str">
        <f>'MSW10'!D115</f>
        <v>1-5 MIN</v>
      </c>
      <c r="E115" s="66" t="str">
        <f>'MSW10'!E115</f>
        <v/>
      </c>
      <c r="F115" s="67"/>
      <c r="H115" s="243">
        <f>'MSW10'!H115</f>
        <v>4</v>
      </c>
      <c r="I115" s="237">
        <f>'MSW10'!I115</f>
        <v>150</v>
      </c>
      <c r="J115" s="257">
        <f>'MSW10'!J115</f>
        <v>1</v>
      </c>
      <c r="K115" s="238" t="str">
        <f>'MSW10'!K115</f>
        <v>1-5 MIN</v>
      </c>
      <c r="L115" s="66" t="str">
        <f>'MSW10'!L115</f>
        <v/>
      </c>
      <c r="M115" s="67"/>
    </row>
    <row r="116">
      <c r="A116" s="246" t="str">
        <f>'MSW10'!A116</f>
        <v>PROCEED TO DOWN SETS</v>
      </c>
      <c r="B116" s="20"/>
      <c r="C116" s="20"/>
      <c r="D116" s="20"/>
      <c r="E116" s="20"/>
      <c r="F116" s="95"/>
      <c r="H116" s="246" t="str">
        <f>'MSW10'!H116</f>
        <v>PROCEED TO DOWN SETS</v>
      </c>
      <c r="I116" s="20"/>
      <c r="J116" s="20"/>
      <c r="K116" s="20"/>
      <c r="L116" s="20"/>
      <c r="M116" s="95"/>
    </row>
    <row r="117">
      <c r="A117" s="249" t="str">
        <f>'MSW10'!A117</f>
        <v/>
      </c>
      <c r="B117" s="175" t="str">
        <f>'MSW10'!B117</f>
        <v/>
      </c>
      <c r="C117" s="238" t="str">
        <f>'MSW10'!C117</f>
        <v/>
      </c>
      <c r="D117" s="238" t="str">
        <f>'MSW10'!D117</f>
        <v/>
      </c>
      <c r="E117" s="250" t="str">
        <f>'MSW10'!E117</f>
        <v/>
      </c>
      <c r="F117" s="67"/>
      <c r="H117" s="249" t="str">
        <f>'MSW10'!H117</f>
        <v/>
      </c>
      <c r="I117" s="175" t="str">
        <f>'MSW10'!I117</f>
        <v/>
      </c>
      <c r="J117" s="238" t="str">
        <f>'MSW10'!J117</f>
        <v/>
      </c>
      <c r="K117" s="238" t="str">
        <f>'MSW10'!K117</f>
        <v/>
      </c>
      <c r="L117" s="250" t="str">
        <f>'MSW10'!L117</f>
        <v/>
      </c>
      <c r="M117" s="67"/>
    </row>
    <row r="118">
      <c r="A118" s="259" t="str">
        <f>'MSW10'!A118</f>
        <v/>
      </c>
      <c r="B118" s="237" t="str">
        <f>'MSW10'!B118</f>
        <v/>
      </c>
      <c r="C118" s="257" t="str">
        <f>'MSW10'!C118</f>
        <v/>
      </c>
      <c r="D118" s="257" t="str">
        <f>'MSW10'!D118</f>
        <v/>
      </c>
      <c r="E118" s="258" t="str">
        <f>'MSW10'!E118</f>
        <v/>
      </c>
      <c r="F118" s="67"/>
      <c r="H118" s="259" t="str">
        <f>'MSW10'!H118</f>
        <v/>
      </c>
      <c r="I118" s="237" t="str">
        <f>'MSW10'!I118</f>
        <v/>
      </c>
      <c r="J118" s="257" t="str">
        <f>'MSW10'!J118</f>
        <v/>
      </c>
      <c r="K118" s="257" t="str">
        <f>'MSW10'!K118</f>
        <v/>
      </c>
      <c r="L118" s="258" t="str">
        <f>'MSW10'!L118</f>
        <v/>
      </c>
      <c r="M118" s="67"/>
    </row>
    <row r="119">
      <c r="A119" s="246" t="str">
        <f>'MSW10'!A119</f>
        <v>DOWN SETS</v>
      </c>
      <c r="B119" s="20"/>
      <c r="C119" s="20"/>
      <c r="D119" s="20"/>
      <c r="E119" s="20"/>
      <c r="F119" s="95"/>
      <c r="H119" s="246" t="str">
        <f>'MSW10'!H119</f>
        <v>DOWN SETS</v>
      </c>
      <c r="I119" s="20"/>
      <c r="J119" s="20"/>
      <c r="K119" s="20"/>
      <c r="L119" s="20"/>
      <c r="M119" s="95"/>
    </row>
    <row r="120">
      <c r="A120" s="264" t="str">
        <f>'MSW10'!A120</f>
        <v/>
      </c>
      <c r="B120" s="265">
        <f>'MSW10'!B120</f>
        <v>0</v>
      </c>
      <c r="C120" s="266" t="str">
        <f>'MSW10'!C120</f>
        <v>REP OUT</v>
      </c>
      <c r="D120" s="267" t="str">
        <f>'MSW10'!D120</f>
        <v>1-3 MIN</v>
      </c>
      <c r="E120" s="268" t="str">
        <f>'MSW10'!E120</f>
        <v/>
      </c>
      <c r="F120" s="67"/>
      <c r="H120" s="264" t="str">
        <f>'MSW10'!H120</f>
        <v/>
      </c>
      <c r="I120" s="265">
        <f>'MSW10'!I120</f>
        <v>0</v>
      </c>
      <c r="J120" s="266" t="str">
        <f>'MSW10'!J120</f>
        <v>REP OUT</v>
      </c>
      <c r="K120" s="267" t="str">
        <f>'MSW10'!K120</f>
        <v>1-3 MIN</v>
      </c>
      <c r="L120" s="268" t="str">
        <f>'MSW10'!L120</f>
        <v/>
      </c>
      <c r="M120" s="67"/>
    </row>
    <row r="121">
      <c r="A121" s="243" t="str">
        <f>'MSW10'!A121</f>
        <v/>
      </c>
      <c r="B121" s="237">
        <f>'MSW10'!B121</f>
        <v>0</v>
      </c>
      <c r="C121" s="245" t="str">
        <f>'MSW10'!C121</f>
        <v>REP OUT</v>
      </c>
      <c r="D121" s="65" t="str">
        <f>'MSW10'!D121</f>
        <v>1-3 MIN</v>
      </c>
      <c r="E121" s="258" t="str">
        <f>'MSW10'!E121</f>
        <v/>
      </c>
      <c r="F121" s="271"/>
      <c r="H121" s="243" t="str">
        <f>'MSW10'!H121</f>
        <v/>
      </c>
      <c r="I121" s="237">
        <f>'MSW10'!I121</f>
        <v>0</v>
      </c>
      <c r="J121" s="245" t="str">
        <f>'MSW10'!J121</f>
        <v>REP OUT</v>
      </c>
      <c r="K121" s="65" t="str">
        <f>'MSW10'!K121</f>
        <v>1-3 MIN</v>
      </c>
      <c r="L121" s="258" t="str">
        <f>'MSW10'!L121</f>
        <v/>
      </c>
      <c r="M121" s="271"/>
    </row>
    <row r="122">
      <c r="A122" s="272" t="str">
        <f>'MSW10'!A122</f>
        <v>FINAL MAX</v>
      </c>
      <c r="B122" s="273" t="str">
        <f>'MSW10'!B122</f>
        <v/>
      </c>
      <c r="C122" s="11"/>
      <c r="D122" s="11"/>
      <c r="E122" s="11"/>
      <c r="F122" s="46"/>
      <c r="H122" s="272" t="str">
        <f>'MSW10'!H122</f>
        <v>FINAL MAX</v>
      </c>
      <c r="I122" s="273" t="str">
        <f>'MSW10'!I122</f>
        <v/>
      </c>
      <c r="J122" s="11"/>
      <c r="K122" s="11"/>
      <c r="L122" s="11"/>
      <c r="M122" s="46"/>
    </row>
    <row r="123">
      <c r="A123" t="str">
        <f>'MSW10'!A123</f>
        <v/>
      </c>
    </row>
    <row r="125">
      <c r="A125" s="1217" t="str">
        <f>'MSW10'!A125</f>
        <v>2. DUMBBELL REAR DELT FLY </v>
      </c>
      <c r="B125" s="53"/>
      <c r="C125" s="53"/>
      <c r="D125" s="53"/>
      <c r="E125" s="53"/>
      <c r="F125" s="54"/>
      <c r="G125" t="str">
        <f>'MSW10'!G125</f>
        <v/>
      </c>
      <c r="H125" s="1289" t="str">
        <f>'MSW10'!G125:H125</f>
        <v>2. MACHINE REAR DELT FLY</v>
      </c>
      <c r="I125" s="53"/>
      <c r="J125" s="53"/>
      <c r="K125" s="53"/>
      <c r="L125" s="53"/>
      <c r="M125" s="53"/>
    </row>
    <row r="126">
      <c r="A126" s="1268" t="s">
        <v>134</v>
      </c>
      <c r="B126" s="76">
        <f>'MSW10'!B126</f>
        <v>0</v>
      </c>
      <c r="C126" s="13"/>
      <c r="D126" s="13"/>
      <c r="E126" s="13"/>
      <c r="F126" s="57"/>
      <c r="H126" s="1268" t="s">
        <v>134</v>
      </c>
      <c r="I126" s="76" t="str">
        <f>'MSW10'!I126</f>
        <v/>
      </c>
      <c r="J126" s="13"/>
      <c r="K126" s="13"/>
      <c r="L126" s="13"/>
      <c r="M126" s="13"/>
    </row>
    <row r="127">
      <c r="A127" s="962" t="str">
        <f>'MSW10'!A127</f>
        <v>SET</v>
      </c>
      <c r="B127" s="963" t="str">
        <f>'MSW10'!B127</f>
        <v>WEIGHT</v>
      </c>
      <c r="C127" s="963" t="str">
        <f>'MSW10'!C127</f>
        <v>REPS</v>
      </c>
      <c r="D127" s="963" t="str">
        <f>'MSW10'!D127</f>
        <v>REST</v>
      </c>
      <c r="E127" s="1005" t="str">
        <f>'MSW10'!E127</f>
        <v>PREVIOUS</v>
      </c>
      <c r="F127" s="1006" t="str">
        <f>'MSW10'!F127</f>
        <v>REP LOG</v>
      </c>
      <c r="H127" s="962" t="str">
        <f>'MSW10'!G127:H127</f>
        <v>SET</v>
      </c>
      <c r="I127" s="963" t="str">
        <f>'MSW10'!H127:I127</f>
        <v>WEIGHT</v>
      </c>
      <c r="J127" s="963" t="str">
        <f>'MSW10'!I127:J127</f>
        <v>REPS</v>
      </c>
      <c r="K127" s="963" t="str">
        <f>'MSW10'!J127:K127</f>
        <v>REST</v>
      </c>
      <c r="L127" s="1073" t="str">
        <f>'MSW10'!K127:L127</f>
        <v>PREVIOUS</v>
      </c>
      <c r="M127" s="1302" t="str">
        <f>'MSW10'!L127:M127</f>
        <v>REP LOG</v>
      </c>
    </row>
    <row r="128">
      <c r="A128" s="967">
        <f>'MSW10'!A128</f>
        <v>1</v>
      </c>
      <c r="B128" s="1028">
        <f>'MSW10'!B128</f>
        <v>0</v>
      </c>
      <c r="C128" s="1269" t="str">
        <f>'MSW10'!C128</f>
        <v>5 - 15</v>
      </c>
      <c r="D128" s="1067" t="str">
        <f>'MSW10'!D128</f>
        <v>1-5 MIN</v>
      </c>
      <c r="E128" s="1010" t="str">
        <f>'MSW10'!E128</f>
        <v/>
      </c>
      <c r="F128" s="1011"/>
      <c r="H128" s="967">
        <f>'MSW10'!G128:H128</f>
        <v>1</v>
      </c>
      <c r="I128" s="1028">
        <f>'MSW10'!H128:I128</f>
        <v>0</v>
      </c>
      <c r="J128" s="1067" t="str">
        <f>'MSW10'!I128:J128</f>
        <v>10 - 15</v>
      </c>
      <c r="K128" s="968" t="str">
        <f>'MSW10'!J128:K128</f>
        <v>1-2 MIN</v>
      </c>
      <c r="L128" s="1235" t="str">
        <f>'MSW10'!K128:L128</f>
        <v/>
      </c>
      <c r="M128" s="1303"/>
    </row>
    <row r="129">
      <c r="A129" s="967">
        <f>'MSW10'!A129</f>
        <v>2</v>
      </c>
      <c r="B129" s="1028">
        <f>'MSW10'!B129</f>
        <v>0</v>
      </c>
      <c r="C129" s="1269" t="str">
        <f>'MSW10'!C129</f>
        <v>5 - 15</v>
      </c>
      <c r="D129" s="1067" t="str">
        <f>'MSW10'!D129</f>
        <v>1-5 MIN</v>
      </c>
      <c r="E129" s="1010" t="str">
        <f>'MSW10'!E129</f>
        <v/>
      </c>
      <c r="F129" s="1011"/>
      <c r="H129" s="967">
        <f>'MSW10'!G129:H129</f>
        <v>2</v>
      </c>
      <c r="I129" s="1028">
        <f>'MSW10'!I129</f>
        <v>0</v>
      </c>
      <c r="J129" s="1067" t="str">
        <f>'MSW10'!I129:J129</f>
        <v>10 - 15</v>
      </c>
      <c r="K129" s="968" t="str">
        <f>'MSW10'!J129:K129</f>
        <v>1-2 MIN</v>
      </c>
      <c r="L129" s="1235" t="str">
        <f>'MSW10'!K129:L129</f>
        <v/>
      </c>
      <c r="M129" s="1303"/>
    </row>
    <row r="130">
      <c r="A130" s="971">
        <f>'MSW10'!A130</f>
        <v>3</v>
      </c>
      <c r="B130" s="1123">
        <f>'MSW10'!B130</f>
        <v>0</v>
      </c>
      <c r="C130" s="1270" t="str">
        <f>'MSW10'!C130</f>
        <v>5 - 15</v>
      </c>
      <c r="D130" s="1220" t="str">
        <f>'MSW10'!D130</f>
        <v>1-5 MIN</v>
      </c>
      <c r="E130" s="1021" t="str">
        <f>'MSW10'!E130</f>
        <v/>
      </c>
      <c r="F130" s="1011"/>
      <c r="H130" s="971">
        <f>'MSW10'!G130:H130</f>
        <v>3</v>
      </c>
      <c r="I130" s="1123">
        <f>'MSW10'!I130</f>
        <v>0</v>
      </c>
      <c r="J130" s="1220" t="str">
        <f>'MSW10'!I130:J130</f>
        <v>10 - 15</v>
      </c>
      <c r="K130" s="972" t="str">
        <f>'MSW10'!J130:K130</f>
        <v>1-2 MIN</v>
      </c>
      <c r="L130" s="1271" t="str">
        <f>'MSW10'!K130:L130</f>
        <v/>
      </c>
      <c r="M130" s="1303"/>
    </row>
    <row r="131">
      <c r="A131" t="str">
        <f>'MSW10'!A131</f>
        <v/>
      </c>
    </row>
    <row r="133">
      <c r="A133" s="1217" t="str">
        <f>'MSW10'!A133</f>
        <v>3. DUMBBELL SIDE LATERAL RAISE</v>
      </c>
      <c r="B133" s="53"/>
      <c r="C133" s="53"/>
      <c r="D133" s="53"/>
      <c r="E133" s="53"/>
      <c r="F133" s="54"/>
      <c r="G133" t="str">
        <f>'MSW10'!G133</f>
        <v/>
      </c>
    </row>
    <row r="134">
      <c r="A134" s="1268" t="s">
        <v>134</v>
      </c>
      <c r="B134" s="76">
        <f>'MSW10'!B134</f>
        <v>85</v>
      </c>
      <c r="C134" s="13"/>
      <c r="D134" s="13"/>
      <c r="E134" s="13"/>
      <c r="F134" s="57"/>
    </row>
    <row r="135">
      <c r="A135" s="1071" t="str">
        <f>'MSW10'!A135</f>
        <v>SET</v>
      </c>
      <c r="B135" s="1072" t="str">
        <f>'MSW10'!B135</f>
        <v>WEIGHT</v>
      </c>
      <c r="C135" s="1072" t="str">
        <f>'MSW10'!C135</f>
        <v>REPS</v>
      </c>
      <c r="D135" s="1072" t="str">
        <f>'MSW10'!D135</f>
        <v>REST</v>
      </c>
      <c r="E135" s="1073" t="str">
        <f>'MSW10'!E135</f>
        <v>PREVIOUS</v>
      </c>
      <c r="F135" s="1006" t="str">
        <f>'MSW10'!F135</f>
        <v>REP LOG</v>
      </c>
    </row>
    <row r="136">
      <c r="A136" s="1074">
        <f>'MSW10'!A136</f>
        <v>1</v>
      </c>
      <c r="B136" s="968">
        <f>'MSW10'!B136</f>
        <v>15</v>
      </c>
      <c r="C136" s="1015" t="str">
        <f>'MSW10'!C136</f>
        <v>5 - 15</v>
      </c>
      <c r="D136" s="1076" t="str">
        <f>'MSW10'!D136</f>
        <v>1 MIN</v>
      </c>
      <c r="E136" s="1235" t="str">
        <f>'MSW10'!E136</f>
        <v/>
      </c>
      <c r="F136" s="1011"/>
    </row>
    <row r="137">
      <c r="A137" s="1074">
        <f>'MSW10'!A137</f>
        <v>2</v>
      </c>
      <c r="B137" s="968">
        <f>'MSW10'!B137</f>
        <v>12.5</v>
      </c>
      <c r="C137" s="1015" t="str">
        <f>'MSW10'!C137</f>
        <v>5 - 15</v>
      </c>
      <c r="D137" s="1076" t="str">
        <f>'MSW10'!D137</f>
        <v>1 MIN</v>
      </c>
      <c r="E137" s="1235" t="str">
        <f>'MSW10'!E137</f>
        <v/>
      </c>
      <c r="F137" s="1011"/>
    </row>
    <row r="138">
      <c r="A138" s="1078">
        <f>'MSW10'!A138</f>
        <v>3</v>
      </c>
      <c r="B138" s="972">
        <f>'MSW10'!B138</f>
        <v>7.5</v>
      </c>
      <c r="C138" s="1019" t="str">
        <f>'MSW10'!C138</f>
        <v>5 - 15</v>
      </c>
      <c r="D138" s="1080" t="str">
        <f>'MSW10'!D138</f>
        <v>1 MIN</v>
      </c>
      <c r="E138" s="1271" t="str">
        <f>'MSW10'!E138</f>
        <v/>
      </c>
      <c r="F138" s="1011"/>
    </row>
    <row r="139">
      <c r="A139" t="str">
        <f>'MSW10'!A139</f>
        <v/>
      </c>
    </row>
    <row r="141">
      <c r="A141" s="1295" t="str">
        <f>'MSW10'!A141</f>
        <v>3. DUMBBELL TRICEP EXTENSIONS</v>
      </c>
      <c r="B141" s="53"/>
      <c r="C141" s="53"/>
      <c r="D141" s="53"/>
      <c r="E141" s="53"/>
      <c r="F141" s="54"/>
    </row>
    <row r="142">
      <c r="A142" s="961" t="str">
        <f>'MSW10'!A142</f>
        <v>CURRENT MAX</v>
      </c>
      <c r="B142" s="76">
        <f>'MSW10'!B142</f>
        <v>30</v>
      </c>
      <c r="C142" s="13"/>
      <c r="D142" s="13"/>
      <c r="E142" s="13"/>
      <c r="F142" s="57"/>
    </row>
    <row r="143">
      <c r="A143" s="1071" t="str">
        <f>'MSW10'!A143</f>
        <v>SET</v>
      </c>
      <c r="B143" s="1072" t="str">
        <f>'MSW10'!B143</f>
        <v>WEIGHT</v>
      </c>
      <c r="C143" s="1072" t="str">
        <f>'MSW10'!C143</f>
        <v>REPS</v>
      </c>
      <c r="D143" s="1072" t="str">
        <f>'MSW10'!D143</f>
        <v>REST</v>
      </c>
      <c r="E143" s="1073" t="str">
        <f>'MSW10'!E143</f>
        <v>PREVIOUS</v>
      </c>
      <c r="F143" s="1006" t="str">
        <f>'MSW10'!F143</f>
        <v>REP LOG</v>
      </c>
    </row>
    <row r="144">
      <c r="A144" s="1074">
        <f>'MSW10'!A144</f>
        <v>1</v>
      </c>
      <c r="B144" s="968">
        <f>'MSW10'!B144</f>
        <v>30</v>
      </c>
      <c r="C144" s="1075" t="str">
        <f>'MSW10'!C144</f>
        <v>5 - 15</v>
      </c>
      <c r="D144" s="1076" t="str">
        <f>'MSW10'!D144</f>
        <v>1 MIN</v>
      </c>
      <c r="E144" s="1235" t="str">
        <f>'MSW10'!E144</f>
        <v/>
      </c>
      <c r="F144" s="1011"/>
    </row>
    <row r="145">
      <c r="A145" s="1074">
        <f>'MSW10'!A145</f>
        <v>2</v>
      </c>
      <c r="B145" s="968">
        <f>'MSW10'!B145</f>
        <v>5</v>
      </c>
      <c r="C145" s="1075" t="str">
        <f>'MSW10'!C145</f>
        <v>5 - 15</v>
      </c>
      <c r="D145" s="1076" t="str">
        <f>'MSW10'!D145</f>
        <v>1 MIN</v>
      </c>
      <c r="E145" s="1235" t="str">
        <f>'MSW10'!E145</f>
        <v/>
      </c>
      <c r="F145" s="1011"/>
    </row>
    <row r="146">
      <c r="A146" s="1078">
        <f>'MSW10'!A146</f>
        <v>3</v>
      </c>
      <c r="B146" s="972">
        <f>'MSW10'!B146</f>
        <v>2.5</v>
      </c>
      <c r="C146" s="1079" t="str">
        <f>'MSW10'!C146</f>
        <v>5 - 15</v>
      </c>
      <c r="D146" s="1080" t="str">
        <f>'MSW10'!D146</f>
        <v>1 MIN</v>
      </c>
      <c r="E146" s="1271" t="str">
        <f>'MSW10'!E146</f>
        <v/>
      </c>
      <c r="F146" s="1011"/>
    </row>
    <row r="147">
      <c r="A147" t="str">
        <f>'MSW10'!A147</f>
        <v/>
      </c>
    </row>
    <row r="149">
      <c r="A149" s="75" t="str">
        <f>'MSW10'!A149</f>
        <v>4. BICEP EZ BAR CURL</v>
      </c>
      <c r="B149" s="53"/>
      <c r="C149" s="53"/>
      <c r="D149" s="53"/>
      <c r="E149" s="53"/>
      <c r="F149" s="54"/>
    </row>
    <row r="150">
      <c r="A150" s="961" t="str">
        <f>'MSW10'!A150</f>
        <v>CURRENT MAX</v>
      </c>
      <c r="B150" s="76">
        <f>'MSW10'!B150</f>
        <v>100</v>
      </c>
      <c r="C150" s="13"/>
      <c r="D150" s="13"/>
      <c r="E150" s="13"/>
      <c r="F150" s="57"/>
    </row>
    <row r="151">
      <c r="A151" s="962" t="str">
        <f>'MSW10'!A151</f>
        <v>SET</v>
      </c>
      <c r="B151" s="963" t="str">
        <f>'MSW10'!B151</f>
        <v>WEIGHT</v>
      </c>
      <c r="C151" s="963" t="str">
        <f>'MSW10'!C151</f>
        <v>REPS</v>
      </c>
      <c r="D151" s="963" t="str">
        <f>'MSW10'!D151</f>
        <v>REST</v>
      </c>
      <c r="E151" s="1073" t="str">
        <f>'MSW10'!E151</f>
        <v>PREVIOUS</v>
      </c>
      <c r="F151" s="1006" t="str">
        <f>'MSW10'!F151</f>
        <v>REP LOG</v>
      </c>
    </row>
    <row r="152">
      <c r="A152" s="967">
        <f>'MSW10'!A152</f>
        <v>1</v>
      </c>
      <c r="B152" s="968">
        <f>'MSW10'!B152</f>
        <v>85</v>
      </c>
      <c r="C152" s="937" t="str">
        <f>'MSW10'!C152</f>
        <v>4 - 15</v>
      </c>
      <c r="D152" s="1296" t="str">
        <f>'MSW10'!D152</f>
        <v>1-3 MIN</v>
      </c>
      <c r="E152" s="1235" t="str">
        <f>'MSW10'!E152</f>
        <v/>
      </c>
      <c r="F152" s="984"/>
    </row>
    <row r="153">
      <c r="A153" s="967">
        <f>'MSW10'!A153</f>
        <v>2</v>
      </c>
      <c r="B153" s="968">
        <f>'MSW10'!B153</f>
        <v>65</v>
      </c>
      <c r="C153" s="937" t="str">
        <f>'MSW10'!C153</f>
        <v>4 - 15</v>
      </c>
      <c r="D153" s="1296" t="str">
        <f>'MSW10'!D153</f>
        <v>1-3 MIN</v>
      </c>
      <c r="E153" s="1235" t="str">
        <f>'MSW10'!E153</f>
        <v/>
      </c>
      <c r="F153" s="1131"/>
    </row>
    <row r="154">
      <c r="A154" s="971">
        <f>'MSW10'!A154</f>
        <v>3</v>
      </c>
      <c r="B154" s="972">
        <f>'MSW10'!B154</f>
        <v>50</v>
      </c>
      <c r="C154" s="1298" t="str">
        <f>'MSW10'!C154</f>
        <v>4 - 15</v>
      </c>
      <c r="D154" s="1304" t="str">
        <f>'MSW10'!D154</f>
        <v>1-3 MIN</v>
      </c>
      <c r="E154" s="1271" t="str">
        <f>'MSW10'!E154</f>
        <v/>
      </c>
      <c r="F154" s="984"/>
    </row>
    <row r="155">
      <c r="A155" t="str">
        <f>'MSW10'!A155</f>
        <v/>
      </c>
    </row>
    <row r="157">
      <c r="A157" s="1149" t="str">
        <f>'MSW10'!A157</f>
        <v>WORKOUT COMPLETE!</v>
      </c>
      <c r="B157" s="36"/>
      <c r="C157" s="36"/>
      <c r="D157" s="36"/>
      <c r="E157" s="36"/>
      <c r="F157" s="37"/>
    </row>
    <row r="158">
      <c r="A158" s="623" t="str">
        <f>'MSW10'!A158</f>
        <v/>
      </c>
    </row>
    <row r="159">
      <c r="A159" s="1275" t="str">
        <f>'MSW10'!A159</f>
        <v>WANT TO LEARN MORE?</v>
      </c>
      <c r="B159" s="25"/>
      <c r="C159" s="25"/>
      <c r="D159" s="25"/>
      <c r="E159" s="25"/>
      <c r="F159" s="26"/>
    </row>
    <row r="160">
      <c r="A160" s="336"/>
      <c r="B160" s="11"/>
      <c r="C160" s="11"/>
      <c r="D160" s="11"/>
      <c r="E160" s="11"/>
      <c r="F160" s="46"/>
    </row>
    <row r="161">
      <c r="A161" s="1276" t="str">
        <f>'MSW10'!A161</f>
        <v/>
      </c>
      <c r="B161" s="999" t="str">
        <f>'MSW10'!B161</f>
        <v/>
      </c>
      <c r="C161" s="1150" t="str">
        <f>'MSW10'!C161</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61" s="28"/>
    </row>
    <row r="162">
      <c r="A162" s="1276" t="str">
        <f>'MSW10'!A162</f>
        <v/>
      </c>
      <c r="B162" s="999" t="str">
        <f>'MSW10'!B162</f>
        <v/>
      </c>
      <c r="F162" s="28"/>
    </row>
    <row r="163">
      <c r="A163" s="1276" t="str">
        <f>'MSW10'!A163</f>
        <v/>
      </c>
      <c r="B163" s="999" t="str">
        <f>'MSW10'!B163</f>
        <v/>
      </c>
      <c r="F163" s="28"/>
    </row>
    <row r="164">
      <c r="A164" s="1276" t="str">
        <f>'MSW10'!A164</f>
        <v/>
      </c>
      <c r="B164" s="999" t="str">
        <f>'MSW10'!B164</f>
        <v/>
      </c>
      <c r="F164" s="28"/>
    </row>
    <row r="165">
      <c r="A165" s="1276" t="str">
        <f>'MSW10'!A165</f>
        <v/>
      </c>
      <c r="B165" s="999" t="str">
        <f>'MSW10'!B165</f>
        <v/>
      </c>
      <c r="F165" s="28"/>
    </row>
    <row r="166">
      <c r="A166" s="1276" t="str">
        <f>'MSW10'!A166</f>
        <v/>
      </c>
      <c r="B166" s="999" t="str">
        <f>'MSW10'!B166</f>
        <v/>
      </c>
      <c r="F166" s="28"/>
    </row>
    <row r="167">
      <c r="A167" s="1277" t="str">
        <f>'MSW10'!A167</f>
        <v/>
      </c>
      <c r="B167" s="999" t="str">
        <f>'MSW10'!B167</f>
        <v/>
      </c>
      <c r="F167" s="28"/>
    </row>
    <row r="168">
      <c r="A168" s="1276" t="str">
        <f>'MSW10'!A168</f>
        <v/>
      </c>
      <c r="B168" s="999" t="str">
        <f>'MSW10'!B168</f>
        <v/>
      </c>
      <c r="F168" s="28"/>
    </row>
    <row r="169">
      <c r="A169" s="1276" t="str">
        <f>'MSW10'!A169</f>
        <v/>
      </c>
      <c r="B169" s="999" t="str">
        <f>'MSW10'!B169</f>
        <v/>
      </c>
      <c r="F169" s="28"/>
    </row>
    <row r="170">
      <c r="A170" s="1278" t="str">
        <f>'MSW10'!A170</f>
        <v/>
      </c>
      <c r="B170" s="999" t="str">
        <f>'MSW10'!B170</f>
        <v/>
      </c>
      <c r="F170" s="28"/>
    </row>
    <row r="171">
      <c r="A171" s="1276" t="str">
        <f>'MSW10'!A171</f>
        <v/>
      </c>
      <c r="B171" s="999" t="str">
        <f>'MSW10'!B171</f>
        <v/>
      </c>
      <c r="F171" s="28"/>
    </row>
    <row r="172">
      <c r="A172" s="1276" t="str">
        <f>'MSW10'!A172</f>
        <v/>
      </c>
      <c r="B172" s="999" t="str">
        <f>'MSW10'!B172</f>
        <v/>
      </c>
      <c r="F172" s="28"/>
    </row>
    <row r="173">
      <c r="A173" s="1276" t="str">
        <f>'MSW10'!A173</f>
        <v/>
      </c>
      <c r="B173" s="999" t="str">
        <f>'MSW10'!B173</f>
        <v/>
      </c>
      <c r="F173" s="28"/>
    </row>
    <row r="174">
      <c r="A174" s="1276"/>
      <c r="B174" s="999"/>
      <c r="F174" s="28"/>
    </row>
    <row r="175">
      <c r="A175" s="1279"/>
      <c r="B175" s="1280"/>
      <c r="C175" s="11"/>
      <c r="D175" s="11"/>
      <c r="E175" s="11"/>
      <c r="F175" s="46"/>
    </row>
  </sheetData>
  <mergeCells count="100">
    <mergeCell ref="A89:F89"/>
    <mergeCell ref="B90:F90"/>
    <mergeCell ref="A71:F71"/>
    <mergeCell ref="A72:F72"/>
    <mergeCell ref="A73:F74"/>
    <mergeCell ref="A75:F75"/>
    <mergeCell ref="B76:F76"/>
    <mergeCell ref="B86:F86"/>
    <mergeCell ref="A87:F88"/>
    <mergeCell ref="A95:F96"/>
    <mergeCell ref="A97:F97"/>
    <mergeCell ref="G97:G99"/>
    <mergeCell ref="B98:F98"/>
    <mergeCell ref="G100:G101"/>
    <mergeCell ref="A103:F104"/>
    <mergeCell ref="A105:F105"/>
    <mergeCell ref="G108:G122"/>
    <mergeCell ref="G125:G130"/>
    <mergeCell ref="A106:F107"/>
    <mergeCell ref="A108:F108"/>
    <mergeCell ref="A109:F109"/>
    <mergeCell ref="B110:F110"/>
    <mergeCell ref="A116:F116"/>
    <mergeCell ref="A119:F119"/>
    <mergeCell ref="B122:F122"/>
    <mergeCell ref="B126:F126"/>
    <mergeCell ref="H108:M108"/>
    <mergeCell ref="H109:M109"/>
    <mergeCell ref="I110:M110"/>
    <mergeCell ref="H116:M116"/>
    <mergeCell ref="H119:M119"/>
    <mergeCell ref="I122:M122"/>
    <mergeCell ref="A123:M124"/>
    <mergeCell ref="A139:F140"/>
    <mergeCell ref="A141:F141"/>
    <mergeCell ref="B142:F142"/>
    <mergeCell ref="A147:F148"/>
    <mergeCell ref="A149:F149"/>
    <mergeCell ref="B150:F150"/>
    <mergeCell ref="A155:F156"/>
    <mergeCell ref="A157:F157"/>
    <mergeCell ref="A158:F158"/>
    <mergeCell ref="A159:F160"/>
    <mergeCell ref="A125:F125"/>
    <mergeCell ref="H125:M125"/>
    <mergeCell ref="I126:M126"/>
    <mergeCell ref="A131:M132"/>
    <mergeCell ref="A133:F133"/>
    <mergeCell ref="G133:M175"/>
    <mergeCell ref="B134:F134"/>
    <mergeCell ref="C161:F175"/>
    <mergeCell ref="A1:M8"/>
    <mergeCell ref="A9:F9"/>
    <mergeCell ref="G9:G14"/>
    <mergeCell ref="H9:M9"/>
    <mergeCell ref="A10:F11"/>
    <mergeCell ref="H10:M10"/>
    <mergeCell ref="A14:F14"/>
    <mergeCell ref="A12:F12"/>
    <mergeCell ref="A13:F13"/>
    <mergeCell ref="A15:F15"/>
    <mergeCell ref="G15:G24"/>
    <mergeCell ref="A16:F17"/>
    <mergeCell ref="A18:F18"/>
    <mergeCell ref="A19:F19"/>
    <mergeCell ref="H12:M14"/>
    <mergeCell ref="H15:M15"/>
    <mergeCell ref="H16:M17"/>
    <mergeCell ref="H18:M18"/>
    <mergeCell ref="H19:M19"/>
    <mergeCell ref="I20:M20"/>
    <mergeCell ref="H25:M25"/>
    <mergeCell ref="B20:F20"/>
    <mergeCell ref="A25:F25"/>
    <mergeCell ref="G25:G26"/>
    <mergeCell ref="G27:G36"/>
    <mergeCell ref="A30:F31"/>
    <mergeCell ref="A32:F32"/>
    <mergeCell ref="B33:F33"/>
    <mergeCell ref="A37:F38"/>
    <mergeCell ref="A39:F39"/>
    <mergeCell ref="B40:F40"/>
    <mergeCell ref="A46:F46"/>
    <mergeCell ref="A49:F49"/>
    <mergeCell ref="B52:F52"/>
    <mergeCell ref="A53:F53"/>
    <mergeCell ref="A54:F54"/>
    <mergeCell ref="B55:F55"/>
    <mergeCell ref="A60:F61"/>
    <mergeCell ref="A62:F62"/>
    <mergeCell ref="B63:F63"/>
    <mergeCell ref="A68:F69"/>
    <mergeCell ref="A70:F70"/>
    <mergeCell ref="H30:M31"/>
    <mergeCell ref="H32:M32"/>
    <mergeCell ref="I33:M33"/>
    <mergeCell ref="G37:M96"/>
    <mergeCell ref="H97:M97"/>
    <mergeCell ref="I98:M98"/>
    <mergeCell ref="G103:M107"/>
  </mergeCells>
  <dataValidations>
    <dataValidation type="decimal" allowBlank="1" showDropDown="1" showInputMessage="1" showErrorMessage="1" prompt="Enter a number between 0 and 30" sqref="F21:F24 M21:M24 F26:F29 M26:M29 F34:F36 M34:M36 F41:F45 F47:F48 F50:F51 F56:F59 F64:F67 F77:F85 F91:F94 F99:F102 M99:M102 F111:F115 M111:M115 F117:F118 M117:M118 F120:F121 M120:M121 F127:F130 M127:M130 F135:F138 F143:F146 F151:F154">
      <formula1>0.0</formula1>
      <formula2>30.0</formula2>
    </dataValidation>
    <dataValidation type="decimal" operator="greaterThan" allowBlank="1" showDropDown="1" showErrorMessage="1" sqref="M11">
      <formula1>0.0</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305" t="s">
        <v>220</v>
      </c>
      <c r="B9" s="36"/>
      <c r="C9" s="36"/>
      <c r="D9" s="36"/>
      <c r="E9" s="36"/>
      <c r="F9" s="37"/>
      <c r="G9" s="987"/>
      <c r="H9" s="24" t="s">
        <v>35</v>
      </c>
      <c r="I9" s="25"/>
      <c r="J9" s="25"/>
      <c r="K9" s="25"/>
      <c r="L9" s="25"/>
      <c r="M9" s="26"/>
    </row>
    <row r="10">
      <c r="A10" s="1306" t="str">
        <f>HYPERLINK("https://goo.gl/forms/3ibooB993Hi7SS2d2","PRESS TO RECORD BODY WEIGHT")</f>
        <v>PRESS TO RECORD BODY WEIGHT</v>
      </c>
      <c r="F10" s="28"/>
      <c r="G10" s="987"/>
      <c r="H10" s="147" t="s">
        <v>221</v>
      </c>
      <c r="M10" s="28"/>
    </row>
    <row r="11">
      <c r="A11" s="336"/>
      <c r="B11" s="11"/>
      <c r="C11" s="11"/>
      <c r="D11" s="11"/>
      <c r="E11" s="11"/>
      <c r="F11" s="46"/>
      <c r="G11" s="987"/>
      <c r="H11" s="29" t="s">
        <v>222</v>
      </c>
      <c r="I11" s="30"/>
      <c r="J11" s="30"/>
      <c r="K11" s="30"/>
      <c r="L11" s="30"/>
      <c r="M11" s="31"/>
    </row>
    <row r="12">
      <c r="A12" s="992" t="s">
        <v>69</v>
      </c>
      <c r="B12" s="11"/>
      <c r="C12" s="11"/>
      <c r="D12" s="11"/>
      <c r="E12" s="11"/>
      <c r="F12" s="46"/>
      <c r="G12" s="987"/>
      <c r="H12" s="987"/>
      <c r="I12" s="987"/>
      <c r="J12" s="987"/>
      <c r="K12" s="987"/>
      <c r="L12" s="987"/>
      <c r="M12" s="987"/>
    </row>
    <row r="13">
      <c r="A13" s="1128" t="s">
        <v>190</v>
      </c>
      <c r="B13" s="11"/>
      <c r="C13" s="11"/>
      <c r="D13" s="11"/>
      <c r="E13" s="11"/>
      <c r="F13" s="46"/>
      <c r="G13" s="987"/>
      <c r="H13" s="987"/>
      <c r="I13" s="987"/>
      <c r="J13" s="987"/>
      <c r="K13" s="987"/>
      <c r="L13" s="987"/>
      <c r="M13" s="987"/>
    </row>
    <row r="14">
      <c r="A14" s="994"/>
      <c r="B14" s="994"/>
      <c r="C14" s="994"/>
      <c r="D14" s="994"/>
      <c r="E14" s="994"/>
      <c r="F14" s="995"/>
      <c r="G14" s="987"/>
      <c r="H14" s="989"/>
      <c r="I14" s="989"/>
      <c r="J14" s="989"/>
      <c r="K14" s="989"/>
      <c r="L14" s="989"/>
      <c r="M14" s="989"/>
    </row>
    <row r="15">
      <c r="A15" s="996" t="s">
        <v>47</v>
      </c>
      <c r="B15" s="11"/>
      <c r="C15" s="11"/>
      <c r="D15" s="11"/>
      <c r="E15" s="11"/>
      <c r="F15" s="46"/>
      <c r="G15" s="997"/>
      <c r="H15" s="998" t="s">
        <v>118</v>
      </c>
      <c r="I15" s="11"/>
      <c r="J15" s="11"/>
      <c r="K15" s="11"/>
      <c r="L15" s="11"/>
      <c r="M15" s="46"/>
    </row>
    <row r="16">
      <c r="A16" s="987"/>
      <c r="B16" s="987"/>
      <c r="C16" s="987"/>
      <c r="D16" s="987"/>
      <c r="E16" s="987"/>
      <c r="F16" s="987"/>
      <c r="G16" s="623"/>
      <c r="H16" s="987"/>
      <c r="I16" s="987"/>
      <c r="J16" s="987"/>
      <c r="K16" s="987"/>
      <c r="L16" s="987"/>
      <c r="M16" s="987"/>
    </row>
    <row r="19">
      <c r="A19" s="51" t="s">
        <v>48</v>
      </c>
      <c r="B19" s="36"/>
      <c r="C19" s="36"/>
      <c r="D19" s="36"/>
      <c r="E19" s="36"/>
      <c r="F19" s="37"/>
      <c r="H19" s="51" t="s">
        <v>48</v>
      </c>
      <c r="I19" s="36"/>
      <c r="J19" s="36"/>
      <c r="K19" s="36"/>
      <c r="L19" s="36"/>
      <c r="M19" s="37"/>
      <c r="N19" s="141"/>
      <c r="O19" s="51" t="s">
        <v>48</v>
      </c>
      <c r="P19" s="36"/>
      <c r="Q19" s="36"/>
      <c r="R19" s="36"/>
      <c r="S19" s="36"/>
      <c r="T19" s="37"/>
    </row>
    <row r="20">
      <c r="A20" s="225" t="str">
        <f>HYPERLINK("https://www.youtube.com/watch?v=iLgUDezDMbU","1. BENCH PRESS")</f>
        <v>1. BENCH PRESS</v>
      </c>
      <c r="B20" s="13"/>
      <c r="C20" s="13"/>
      <c r="D20" s="13"/>
      <c r="E20" s="13"/>
      <c r="F20" s="57"/>
      <c r="H20" s="52" t="str">
        <f>HYPERLINK("https://youtu.be/ujVN-A0Z-ic","1. DUMBBELL INCLINE PRESS")</f>
        <v>1. DUMBBELL INCLINE PRESS</v>
      </c>
      <c r="I20" s="53"/>
      <c r="J20" s="53"/>
      <c r="K20" s="53"/>
      <c r="L20" s="53"/>
      <c r="M20" s="54"/>
      <c r="O20" s="52" t="str">
        <f>HYPERLINK("https://youtu.be/75e_H9Vq_Lw","1. MACHINE PRESS")</f>
        <v>1. MACHINE PRESS</v>
      </c>
      <c r="P20" s="53"/>
      <c r="Q20" s="53"/>
      <c r="R20" s="53"/>
      <c r="S20" s="53"/>
      <c r="T20" s="54"/>
    </row>
    <row r="21">
      <c r="A21" s="226" t="s">
        <v>119</v>
      </c>
      <c r="B21" s="227">
        <f>'WEEK 10'!B20</f>
        <v>225</v>
      </c>
      <c r="C21" s="20"/>
      <c r="D21" s="20"/>
      <c r="E21" s="20"/>
      <c r="F21" s="95"/>
      <c r="H21" s="228" t="s">
        <v>119</v>
      </c>
      <c r="I21" s="229">
        <f>IF('WEEK 8'!B34="",'WEEK 9'!I17,'WEEK 8'!B34)</f>
        <v>100</v>
      </c>
      <c r="J21" s="16"/>
      <c r="K21" s="16"/>
      <c r="L21" s="16"/>
      <c r="M21" s="230"/>
      <c r="O21" s="228" t="s">
        <v>119</v>
      </c>
      <c r="P21" s="229" t="str">
        <f>IF('WEEK 8'!I34="",'WEEK 10'!I20,'WEEK 8'!I34)</f>
        <v/>
      </c>
      <c r="Q21" s="16"/>
      <c r="R21" s="16"/>
      <c r="S21" s="16"/>
      <c r="T21" s="230"/>
    </row>
    <row r="22">
      <c r="A22" s="231" t="s">
        <v>50</v>
      </c>
      <c r="B22" s="232" t="s">
        <v>51</v>
      </c>
      <c r="C22" s="232" t="s">
        <v>52</v>
      </c>
      <c r="D22" s="232" t="s">
        <v>53</v>
      </c>
      <c r="E22" s="233" t="s">
        <v>54</v>
      </c>
      <c r="F22" s="61" t="s">
        <v>55</v>
      </c>
      <c r="H22" s="96" t="s">
        <v>50</v>
      </c>
      <c r="I22" s="97" t="s">
        <v>51</v>
      </c>
      <c r="J22" s="97" t="s">
        <v>52</v>
      </c>
      <c r="K22" s="97" t="s">
        <v>53</v>
      </c>
      <c r="L22" s="98" t="s">
        <v>54</v>
      </c>
      <c r="M22" s="235" t="s">
        <v>55</v>
      </c>
      <c r="O22" s="96" t="s">
        <v>50</v>
      </c>
      <c r="P22" s="97" t="s">
        <v>51</v>
      </c>
      <c r="Q22" s="97" t="s">
        <v>52</v>
      </c>
      <c r="R22" s="97" t="s">
        <v>53</v>
      </c>
      <c r="S22" s="98" t="s">
        <v>54</v>
      </c>
      <c r="T22" s="235" t="s">
        <v>55</v>
      </c>
    </row>
    <row r="23">
      <c r="A23" s="236">
        <v>1.0</v>
      </c>
      <c r="B23" s="237">
        <f>IF( 'WEEK 11'!B21&lt;125,45,mround('WEEK 11'!B21*0.35,5))</f>
        <v>80</v>
      </c>
      <c r="C23" s="237">
        <v>6.0</v>
      </c>
      <c r="D23" s="238" t="s">
        <v>120</v>
      </c>
      <c r="E23" s="66" t="str">
        <f>IF('WEEK 11'!B23='WEEK 7'!B23,'WEEK 7'!F23,"")</f>
        <v/>
      </c>
      <c r="F23" s="67">
        <v>6.0</v>
      </c>
      <c r="H23" s="244">
        <v>1.0</v>
      </c>
      <c r="I23" s="241">
        <f>mround('WEEK 11'!I21*0.35,5)</f>
        <v>35</v>
      </c>
      <c r="J23" s="63">
        <v>6.0</v>
      </c>
      <c r="K23" s="83" t="s">
        <v>127</v>
      </c>
      <c r="L23" s="66" t="str">
        <f>IF('WEEK 11'!I23='WEEK 7'!I23,'WEEK 7'!M23,"")</f>
        <v/>
      </c>
      <c r="M23" s="85"/>
      <c r="O23" s="244">
        <v>1.0</v>
      </c>
      <c r="P23" s="241">
        <f>mround('WEEK 11'!P21*0.35,5)</f>
        <v>0</v>
      </c>
      <c r="Q23" s="63">
        <v>6.0</v>
      </c>
      <c r="R23" s="83" t="s">
        <v>127</v>
      </c>
      <c r="S23" s="66" t="str">
        <f>IF('WEEK 11'!P23='WEEK 7'!P23,'WEEK 7'!T23,"")</f>
        <v/>
      </c>
      <c r="T23" s="85">
        <v>6.0</v>
      </c>
    </row>
    <row r="24">
      <c r="A24" s="236">
        <v>2.0</v>
      </c>
      <c r="B24" s="237">
        <f>mround('WEEK 11'!B21*0.8,5)</f>
        <v>180</v>
      </c>
      <c r="C24" s="237">
        <v>1.0</v>
      </c>
      <c r="D24" s="238" t="s">
        <v>121</v>
      </c>
      <c r="E24" s="66" t="str">
        <f>IF('WEEK 11'!B24='WEEK 7'!B24,'WEEK 7'!F24,"")</f>
        <v/>
      </c>
      <c r="F24" s="67">
        <v>1.0</v>
      </c>
      <c r="G24" s="1129" t="s">
        <v>191</v>
      </c>
      <c r="H24" s="240">
        <v>2.0</v>
      </c>
      <c r="I24" s="241">
        <f>mround('WEEK 11'!I21*0.65,5)</f>
        <v>65</v>
      </c>
      <c r="J24" s="241">
        <v>1.0</v>
      </c>
      <c r="K24" s="83" t="s">
        <v>127</v>
      </c>
      <c r="L24" s="66" t="str">
        <f>IF('WEEK 11'!I24='WEEK 7'!I24,'WEEK 7'!M24,"")</f>
        <v/>
      </c>
      <c r="M24" s="85"/>
      <c r="O24" s="240">
        <v>2.0</v>
      </c>
      <c r="P24" s="241">
        <f>mround('WEEK 11'!P21*0.65,5)</f>
        <v>0</v>
      </c>
      <c r="Q24" s="241">
        <v>1.0</v>
      </c>
      <c r="R24" s="83" t="s">
        <v>127</v>
      </c>
      <c r="S24" s="66" t="str">
        <f>IF('WEEK 11'!P24='WEEK 7'!P24,'WEEK 7'!T24,"")</f>
        <v/>
      </c>
      <c r="T24" s="85">
        <v>1.0</v>
      </c>
    </row>
    <row r="25">
      <c r="A25" s="242">
        <v>3.0</v>
      </c>
      <c r="B25" s="237">
        <f>mround('WEEK 11'!B21*0.9,5)</f>
        <v>205</v>
      </c>
      <c r="C25" s="82">
        <v>1.0</v>
      </c>
      <c r="D25" s="238" t="s">
        <v>121</v>
      </c>
      <c r="E25" s="66" t="str">
        <f>IF('WEEK 11'!B25='WEEK 7'!B25,'WEEK 7'!F25,"")</f>
        <v/>
      </c>
      <c r="F25" s="67">
        <v>1.0</v>
      </c>
      <c r="H25" s="240">
        <v>3.0</v>
      </c>
      <c r="I25" s="241">
        <f>mround('WEEK 11'!I21*0.85,5)</f>
        <v>85</v>
      </c>
      <c r="J25" s="63">
        <v>1.0</v>
      </c>
      <c r="K25" s="83" t="s">
        <v>127</v>
      </c>
      <c r="L25" s="66" t="str">
        <f>IF('WEEK 11'!I25='WEEK 7'!I25,'WEEK 7'!M25,"")</f>
        <v/>
      </c>
      <c r="M25" s="85"/>
      <c r="O25" s="240">
        <v>3.0</v>
      </c>
      <c r="P25" s="241">
        <f>mround('WEEK 11'!P21*0.85,5)</f>
        <v>0</v>
      </c>
      <c r="Q25" s="241">
        <v>1.0</v>
      </c>
      <c r="R25" s="83" t="s">
        <v>127</v>
      </c>
      <c r="S25" s="66" t="str">
        <f>IF('WEEK 11'!P25='WEEK 7'!P25,'WEEK 7'!T25,"")</f>
        <v/>
      </c>
      <c r="T25" s="85">
        <v>1.0</v>
      </c>
    </row>
    <row r="26">
      <c r="A26" s="243">
        <v>4.0</v>
      </c>
      <c r="B26" s="237">
        <f>'WEEK 11'!B21</f>
        <v>225</v>
      </c>
      <c r="C26" s="175">
        <v>1.0</v>
      </c>
      <c r="D26" s="238" t="s">
        <v>122</v>
      </c>
      <c r="E26" s="66" t="str">
        <f>IF('WEEK 11'!B26='WEEK 7'!B26,'WEEK 7'!F26,"")</f>
        <v/>
      </c>
      <c r="F26" s="67">
        <v>1.0</v>
      </c>
      <c r="H26" s="240">
        <v>4.0</v>
      </c>
      <c r="I26" s="241">
        <f>mround('WEEK 11'!I21*1,5)</f>
        <v>100</v>
      </c>
      <c r="J26" s="245" t="s">
        <v>65</v>
      </c>
      <c r="K26" s="83" t="s">
        <v>127</v>
      </c>
      <c r="L26" s="66" t="str">
        <f>IF('WEEK 11'!I26='WEEK 7'!I26,'WEEK 7'!M26,"")</f>
        <v/>
      </c>
      <c r="M26" s="85"/>
      <c r="O26" s="240">
        <v>4.0</v>
      </c>
      <c r="P26" s="241">
        <f>mround('WEEK 11'!P21*1,5)</f>
        <v>0</v>
      </c>
      <c r="Q26" s="245" t="s">
        <v>65</v>
      </c>
      <c r="R26" s="83" t="s">
        <v>127</v>
      </c>
      <c r="S26" s="66" t="str">
        <f>IF('WEEK 11'!P26='WEEK 7'!P26,'WEEK 7'!T26,"")</f>
        <v/>
      </c>
      <c r="T26" s="85">
        <v>8.0</v>
      </c>
    </row>
    <row r="27">
      <c r="A27" s="246" t="str">
        <f>IF('WEEK 11'!F26&lt;1,"PROCEED TO DOWN SETS","NEW 1 REP MAX ATTEMPT")</f>
        <v>PROCEED TO DOWN SETS</v>
      </c>
      <c r="B27" s="20"/>
      <c r="C27" s="20"/>
      <c r="D27" s="20"/>
      <c r="E27" s="20"/>
      <c r="F27" s="95"/>
      <c r="H27" s="248" t="str">
        <f>IF(OR(ISBLANK('WEEK 11'!M26),ISBLANK('WEEK 11'!M25),ISBLANK('WEEK 11'!M24)),"PROCEED TO DOWNSETS",if('WEEK 11'!M26&gt;=6,"NEW 4 REP MAX ATTEMPT","PROCEED TO DOWN SETS"))</f>
        <v>PROCEED TO DOWNSETS</v>
      </c>
      <c r="M27" s="28"/>
      <c r="N27" s="247" t="s">
        <v>123</v>
      </c>
      <c r="O27" s="248" t="str">
        <f>IF(OR(ISBLANK('WEEK 11'!T26),ISBLANK('WEEK 11'!T25),ISBLANK('WEEK 11'!T24)),"PROCEED TO DOWNSETS",if('WEEK 11'!T26&gt;=6,"NEW 4 REP MAX ATTEMPT","PROCEED TO DOWN SETS"))</f>
        <v>PROCEED TO DOWNSETS</v>
      </c>
      <c r="T27" s="28"/>
    </row>
    <row r="28">
      <c r="A28" s="249" t="str">
        <f>if('WEEK 11'!F26&lt;1,"",5)</f>
        <v/>
      </c>
      <c r="B28" s="175" t="str">
        <f>IF('WEEK 11'!F26&lt;1,"",'WEEK 11'!B26+5)</f>
        <v/>
      </c>
      <c r="C28" s="238" t="str">
        <f>if('WEEK 11'!F26&lt;1,"",1)</f>
        <v/>
      </c>
      <c r="D28" s="238" t="str">
        <f>if('WEEK 11'!F26&lt;1,"","1-5 MIN")</f>
        <v/>
      </c>
      <c r="E28" s="66" t="str">
        <f>IF('WEEK 11'!B28='WEEK 7'!B28,'WEEK 7'!F28,"")</f>
        <v/>
      </c>
      <c r="F28" s="67"/>
      <c r="H28" s="251" t="str">
        <f>IF(OR(ISBLANK('WEEK 11'!M26),ISBLANK('WEEK 11'!M25),ISBLANK('WEEK 11'!M24)),"",IF('WEEK 11'!M26&gt;=6,5,""))</f>
        <v/>
      </c>
      <c r="I28" s="252" t="str">
        <f>IF(OR(ISBLANK('WEEK 11'!M26),ISBLANK('WEEK 11'!M25),ISBLANK('WEEK 11'!M24)),"",IF('WEEK 11'!M26&gt;=6,'WEEK 11'!I21+5,""))</f>
        <v/>
      </c>
      <c r="J28" s="253" t="str">
        <f>IF(OR(ISBLANK('WEEK 11'!M26),ISBLANK('WEEK 11'!M25),ISBLANK('WEEK 11'!M24)),"",IF('WEEK 11'!M26&gt;=6,"REP OUT",""))</f>
        <v/>
      </c>
      <c r="K28" s="254" t="str">
        <f>IF(OR(ISBLANK('WEEK 11'!M26),ISBLANK('WEEK 11'!M25),ISBLANK('WEEK 11'!M24)),"",IF('WEEK 11'!M26&gt;5,"1-3 MIN",""))</f>
        <v/>
      </c>
      <c r="L28" s="66" t="str">
        <f>IF('WEEK 11'!I28='WEEK 7'!I28,'WEEK 7'!M28,"")</f>
        <v/>
      </c>
      <c r="M28" s="67"/>
      <c r="O28" s="251" t="str">
        <f>IF(OR(ISBLANK('WEEK 11'!T26),ISBLANK('WEEK 11'!T25),ISBLANK('WEEK 11'!T24)),"",IF('WEEK 11'!T26&gt;=6,5,""))</f>
        <v/>
      </c>
      <c r="P28" s="252" t="str">
        <f>IF(OR(ISBLANK('WEEK 11'!T26),ISBLANK('WEEK 11'!T25),ISBLANK('WEEK 11'!T24)),"",IF('WEEK 11'!T26&gt;=6,'WEEK 11'!P21+5,""))</f>
        <v/>
      </c>
      <c r="Q28" s="253" t="str">
        <f>IF(OR(ISBLANK('WEEK 11'!T26),ISBLANK('WEEK 11'!T25),ISBLANK('WEEK 11'!T24)),"",IF('WEEK 11'!T26&gt;=6,"REP OUT",""))</f>
        <v/>
      </c>
      <c r="R28" s="254" t="str">
        <f>IF(OR(ISBLANK('WEEK 11'!T26),ISBLANK('WEEK 11'!T25),ISBLANK('WEEK 11'!T24)),"",IF('WEEK 11'!T26&gt;5,"1-3 MIN",""))</f>
        <v/>
      </c>
      <c r="S28" s="66" t="str">
        <f>IF('WEEK 11'!P28='WEEK 7'!P28,'WEEK 7'!T28,"")</f>
        <v/>
      </c>
      <c r="T28" s="665">
        <v>4.0</v>
      </c>
    </row>
    <row r="29">
      <c r="A29" s="256" t="str">
        <f>IF('WEEK 11'!F28&lt;1,"","6")</f>
        <v/>
      </c>
      <c r="B29" s="237" t="str">
        <f>IF('WEEK 11'!F28&lt;1,"",'WEEK 11'!B28+5)</f>
        <v/>
      </c>
      <c r="C29" s="257" t="str">
        <f>IF('WEEK 11'!F28&lt;1,"","1")</f>
        <v/>
      </c>
      <c r="D29" s="257" t="str">
        <f>IF('WEEK 11'!F28&lt;1,"","1-5 MIN")</f>
        <v/>
      </c>
      <c r="E29" s="66" t="str">
        <f>IF('WEEK 11'!B29='WEEK 7'!B29,'WEEK 7'!F29,"")</f>
        <v/>
      </c>
      <c r="F29" s="67"/>
      <c r="H29" s="260" t="str">
        <f>IF(OR(ISBLANK('WEEK 11'!M26),ISBLANK('WEEK 11'!M25),ISBLANK('WEEK 11'!M24)),"FILL OUT REP LOG FIRST","DOWN SETS")</f>
        <v>FILL OUT REP LOG FIRST</v>
      </c>
      <c r="I29" s="16"/>
      <c r="J29" s="16"/>
      <c r="K29" s="16"/>
      <c r="L29" s="16"/>
      <c r="M29" s="230"/>
      <c r="N29" s="141"/>
      <c r="O29" s="260" t="str">
        <f>IF(OR(ISBLANK('WEEK 11'!T26),ISBLANK('WEEK 11'!T25),ISBLANK('WEEK 11'!T24)),"FILL OUT REP LOG FIRST","DOWN SETS")</f>
        <v>FILL OUT REP LOG FIRST</v>
      </c>
      <c r="P29" s="16"/>
      <c r="Q29" s="16"/>
      <c r="R29" s="16"/>
      <c r="S29" s="16"/>
      <c r="T29" s="230"/>
    </row>
    <row r="30">
      <c r="A30" s="246" t="str">
        <f>IF(OR(ISBLANK('WEEK 11'!F26),ISBLANK('WEEK 11'!F25),ISBLANK('WEEK 11'!F24)),"FILL OUT REP LOG FOR DOWN SETS","DOWN SETS")</f>
        <v>FILL OUT REP LOG FOR DOWN SETS</v>
      </c>
      <c r="B30" s="20"/>
      <c r="C30" s="20"/>
      <c r="D30" s="20"/>
      <c r="E30" s="20"/>
      <c r="F30" s="95"/>
      <c r="H30" s="91" t="str">
        <f>IF('WEEK 11'!M28&gt;=4,"",IF(OR(ISBLANK('WEEK 11'!M26),ISBLANK('WEEK 11'!M25),ISBLANK('WEEK 11'!M24)),"",IF('WEEK 11'!M26&gt;5,6,5)))</f>
        <v/>
      </c>
      <c r="I30" s="261" t="str">
        <f>IF('WEEK 11'!M28&gt;=4,"",IF(OR(ISBLANK('WEEK 11'!M26),ISBLANK('WEEK 11'!M25),ISBLANK('WEEK 11'!M24)),"",IF('WEEK 11'!M26&lt;6,mround('WEEK 11'!I21*0.8,5),IF('WEEK 11'!M26&lt;10,mround('WEEK 11'!I21*0.93,5),mround('WEEK 11'!I21*0.7,5)))))</f>
        <v/>
      </c>
      <c r="J30" s="262" t="str">
        <f>IF('WEEK 11'!M28&gt;=4,"",IF(OR(ISBLANK('WEEK 11'!M26),ISBLANK('WEEK 11'!M25),ISBLANK('WEEK 11'!M24)),"","REP OUT"))</f>
        <v/>
      </c>
      <c r="K30" s="65" t="str">
        <f>IF('WEEK 11'!M28&gt;=4,"",IF(OR(ISBLANK('WEEK 11'!M26),ISBLANK('WEEK 11'!M25),ISBLANK('WEEK 11'!M24)),"","1-3 MIN"))</f>
        <v/>
      </c>
      <c r="L30" s="66" t="str">
        <f>IF('WEEK 11'!I30='WEEK 7'!I30,'WEEK 7'!M30,"")</f>
        <v/>
      </c>
      <c r="M30" s="263"/>
      <c r="O30" s="91" t="str">
        <f>IF('WEEK 11'!T28&gt;=4,"",IF(OR(ISBLANK('WEEK 11'!T26),ISBLANK('WEEK 11'!T25),ISBLANK('WEEK 11'!T24)),"",IF('WEEK 11'!T26&gt;5,6,5)))</f>
        <v/>
      </c>
      <c r="P30" s="261" t="str">
        <f>IF('WEEK 11'!T28&gt;=4,"",IF(OR(ISBLANK('WEEK 11'!T26),ISBLANK('WEEK 11'!T25),ISBLANK('WEEK 11'!T24)),"",IF('WEEK 11'!T26&lt;6,mround('WEEK 11'!P21*0.8,5),IF('WEEK 11'!T26&lt;10,mround('WEEK 11'!P21*0.93,5),mround('WEEK 11'!P21*0.7,5)))))</f>
        <v/>
      </c>
      <c r="Q30" s="262" t="str">
        <f>IF('WEEK 11'!T28&gt;=4,"",IF(OR(ISBLANK('WEEK 11'!T26),ISBLANK('WEEK 11'!T25),ISBLANK('WEEK 11'!T24)),"","REP OUT"))</f>
        <v/>
      </c>
      <c r="R30" s="65" t="str">
        <f>IF('WEEK 11'!T28&gt;=4,"",IF(OR(ISBLANK('WEEK 11'!T26),ISBLANK('WEEK 11'!T25),ISBLANK('WEEK 11'!T24)),"","1-3 MIN"))</f>
        <v/>
      </c>
      <c r="S30" s="66" t="str">
        <f>IF('WEEK 11'!P30='WEEK 7'!P30,'WEEK 7'!T30,"")</f>
        <v/>
      </c>
      <c r="T30" s="263"/>
    </row>
    <row r="31">
      <c r="A31" s="264" t="str">
        <f>IF(OR(ISBLANK('WEEK 11'!F26),ISBLANK('WEEK 11'!F25),ISBLANK('WEEK 11'!F24)),"",IF((AND('WEEK 11'!A28="",'WEEK 11'!A29="")),5,IF((AND('WEEK 11'!A28&gt;1,'WEEK 11'!A29="")),6,7)))</f>
        <v/>
      </c>
      <c r="B31" s="265" t="str">
        <f>IF(OR(ISBLANK('WEEK 11'!F26),ISBLANK('WEEK 11'!F25),ISBLANK('WEEK 11'!F24)),"",MROUND('WEEK 11'!B33*0.9,5))</f>
        <v/>
      </c>
      <c r="C31" s="266" t="str">
        <f>IF(OR(ISBLANK('WEEK 11'!F26),ISBLANK('WEEK 11'!F25),ISBLANK('WEEK 11'!F24)),"","REP OUT")</f>
        <v/>
      </c>
      <c r="D31" s="267" t="str">
        <f>IF(OR(ISBLANK('WEEK 11'!F26),ISBLANK('WEEK 11'!F25),ISBLANK('WEEK 11'!F24)),"","1-3 MIN")</f>
        <v/>
      </c>
      <c r="E31" s="66" t="str">
        <f>IF('WEEK 11'!B31='WEEK 7'!B31,'WEEK 7'!F31,"")</f>
        <v/>
      </c>
      <c r="F31" s="67"/>
      <c r="H31" s="269" t="str">
        <f>IF('WEEK 11'!M28&gt;=4,"",IF(OR(ISBLANK('WEEK 11'!M26),ISBLANK('WEEK 11'!M25),ISBLANK('WEEK 11'!M24)),"",IF('WEEK 11'!M26&gt;5,7,6)))</f>
        <v/>
      </c>
      <c r="I31" s="254" t="str">
        <f>IF('WEEK 11'!M28&gt;=4,"",IF(OR(ISBLANK('WEEK 11'!M26),ISBLANK('WEEK 11'!M25),ISBLANK('WEEK 11'!M24)),"",IF('WEEK 11'!M26&lt;6,mround('WEEK 11'!I21*0.65,5),IF('WEEK 11'!M26&lt;10,mround('WEEK 11'!I21*0.7,5),mround('WEEK 11'!I21*0.65,5)))))</f>
        <v/>
      </c>
      <c r="J31" s="253" t="str">
        <f>IF('WEEK 11'!M28&gt;=4,"",IF(OR(ISBLANK('WEEK 11'!M26),ISBLANK('WEEK 11'!M25),ISBLANK('WEEK 11'!M24)),"","REP OUT"))</f>
        <v/>
      </c>
      <c r="K31" s="65" t="str">
        <f>IF('WEEK 11'!M28&gt;=4,"",IF(OR(ISBLANK('WEEK 11'!M26),ISBLANK('WEEK 11'!M25),ISBLANK('WEEK 11'!M24)),"","1-3 MIN"))</f>
        <v/>
      </c>
      <c r="L31" s="66" t="str">
        <f>IF('WEEK 11'!I31='WEEK 7'!I31,'WEEK 7'!M31,"")</f>
        <v/>
      </c>
      <c r="M31" s="270"/>
      <c r="O31" s="269" t="str">
        <f>IF('WEEK 11'!T28&gt;=4,"",IF(OR(ISBLANK('WEEK 11'!T26),ISBLANK('WEEK 11'!T25),ISBLANK('WEEK 11'!T24)),"",IF('WEEK 11'!T26&gt;5,7,6)))</f>
        <v/>
      </c>
      <c r="P31" s="254" t="str">
        <f>IF('WEEK 11'!T28&gt;=4,"",IF(OR(ISBLANK('WEEK 11'!T26),ISBLANK('WEEK 11'!T25),ISBLANK('WEEK 11'!T24)),"",IF('WEEK 11'!T26&lt;6,mround('WEEK 11'!P21*0.65,5),IF('WEEK 11'!T26&lt;10,mround('WEEK 11'!P21*0.7,5),mround('WEEK 11'!P21*0.65,5)))))</f>
        <v/>
      </c>
      <c r="Q31" s="253" t="str">
        <f>IF('WEEK 11'!T28&gt;=4,"",IF(OR(ISBLANK('WEEK 11'!T26),ISBLANK('WEEK 11'!T25),ISBLANK('WEEK 11'!T24)),"","REP OUT"))</f>
        <v/>
      </c>
      <c r="R31" s="65" t="str">
        <f>IF('WEEK 11'!T28&gt;=4,"",IF(OR(ISBLANK('WEEK 11'!T26),ISBLANK('WEEK 11'!T25),ISBLANK('WEEK 11'!T24)),"","1 MIN"))</f>
        <v/>
      </c>
      <c r="S31" s="66" t="str">
        <f>IF('WEEK 11'!P31='WEEK 7'!P31,'WEEK 7'!T31,"")</f>
        <v/>
      </c>
      <c r="T31" s="270"/>
    </row>
    <row r="32">
      <c r="A32" s="243" t="str">
        <f>IF(OR(ISBLANK('WEEK 11'!F26),ISBLANK('WEEK 11'!F25),ISBLANK('WEEK 11'!F24)),"",IF((AND('WEEK 11'!A28="",'WEEK 11'!A29="")),6,IF((AND('WEEK 11'!A28&gt;1,'WEEK 11'!A29="")),7,8)))</f>
        <v/>
      </c>
      <c r="B32" s="237" t="str">
        <f>IF(OR(ISBLANK('WEEK 11'!F26),ISBLANK('WEEK 11'!F25),ISBLANK('WEEK 11'!F24)),"",mround('WEEK 11'!B33*0.78,5))</f>
        <v/>
      </c>
      <c r="C32" s="245" t="str">
        <f>IF(OR(ISBLANK('WEEK 11'!F26),ISBLANK('WEEK 11'!F25),ISBLANK('WEEK 11'!F24)),"","REP OUT")</f>
        <v/>
      </c>
      <c r="D32" s="65" t="str">
        <f>IF(OR(ISBLANK('WEEK 11'!F26),ISBLANK('WEEK 11'!F25),ISBLANK('WEEK 11'!F24)),"","1-3 MIN")</f>
        <v/>
      </c>
      <c r="E32" s="66" t="str">
        <f>IF('WEEK 11'!B32='WEEK 7'!B32,'WEEK 7'!F32,"")</f>
        <v/>
      </c>
      <c r="F32" s="271"/>
      <c r="H32" s="269" t="str">
        <f>IF('WEEK 11'!M28&lt;4,"",IF(OR(ISBLANK('WEEK 11'!M26),ISBLANK('WEEK 11'!M25),ISBLANK('WEEK 11'!M24)),"",IF('WEEK 11'!M28&gt;3,6,5)))</f>
        <v/>
      </c>
      <c r="I32" s="254" t="str">
        <f>IF('WEEK 11'!M28&lt;4,"",IF(OR(ISBLANK('WEEK 11'!M26),ISBLANK('WEEK 11'!M25),ISBLANK('WEEK 11'!M24)),"",IF('WEEK 11'!M28&lt;6,mround('WEEK 11'!I34*0.7,5),IF('WEEK 11'!M28&lt;10,mround('WEEK 11'!I34*0.8,5),mround(I34*0.93,5)))))</f>
        <v/>
      </c>
      <c r="J32" s="253" t="str">
        <f>IF('WEEK 11'!M28&lt;4,"",IF(OR(ISBLANK('WEEK 11'!M26),ISBLANK('WEEK 11'!M25),ISBLANK('WEEK 11'!M24)),"","REP OUT"))</f>
        <v/>
      </c>
      <c r="K32" s="65" t="str">
        <f>IF('WEEK 11'!M28&lt;4,"",IF(OR(ISBLANK('WEEK 11'!M26),ISBLANK('WEEK 11'!M25),ISBLANK('WEEK 11'!M24)),"","1-3 MIN"))</f>
        <v/>
      </c>
      <c r="L32" s="66" t="str">
        <f>IF('WEEK 11'!I32='WEEK 7'!I32,'WEEK 7'!M32,"")</f>
        <v/>
      </c>
      <c r="M32" s="270"/>
      <c r="N32" s="141"/>
      <c r="O32" s="269" t="str">
        <f>IF('WEEK 11'!T28&lt;4,"",IF(OR(ISBLANK('WEEK 11'!T26),ISBLANK('WEEK 11'!T25),ISBLANK('WEEK 11'!T24)),"",IF('WEEK 11'!T28&gt;3,6,5)))</f>
        <v/>
      </c>
      <c r="P32" s="254" t="str">
        <f>IF('WEEK 11'!T28&lt;4,"",IF(OR(ISBLANK('WEEK 11'!T26),ISBLANK('WEEK 11'!T25),ISBLANK('WEEK 11'!T24)),"",IF('WEEK 11'!T28&lt;6,mround('WEEK 11'!P34*0.7,5),IF('WEEK 11'!T28&lt;10,mround('WEEK 11'!P34*0.8,5),mround(P34*0.93,5)))))</f>
        <v/>
      </c>
      <c r="Q32" s="253" t="str">
        <f>IF('WEEK 11'!T28&lt;4,"",IF(OR(ISBLANK('WEEK 11'!T26),ISBLANK('WEEK 11'!T25),ISBLANK('WEEK 11'!T24)),"","REP OUT"))</f>
        <v/>
      </c>
      <c r="R32" s="65" t="str">
        <f>IF('WEEK 11'!T28&lt;4,"",IF(OR(ISBLANK('WEEK 11'!T26),ISBLANK('WEEK 11'!T25),ISBLANK('WEEK 11'!T24)),"","1-3 MIN"))</f>
        <v/>
      </c>
      <c r="S32" s="66" t="str">
        <f>IF('WEEK 11'!P32='WEEK 7'!P32,'WEEK 7'!T32,"")</f>
        <v/>
      </c>
      <c r="T32" s="263"/>
    </row>
    <row r="33">
      <c r="A33" s="272" t="s">
        <v>124</v>
      </c>
      <c r="B33" s="273" t="str">
        <f>IF(OR(ISBLANK('WEEK 11'!F26),ISBLANK('WEEK 11'!F25),ISBLANK('WEEK 11'!F24)),"",IF('WEEK 11'!F29&gt;=1,'WEEK 11'!B29,IF('WEEK 11'!F28&gt;=1,'WEEK 11'!B28,IF('WEEK 11'!F26&lt;1,'WEEK 11'!B26-5,'WEEK 11'!B26))))</f>
        <v/>
      </c>
      <c r="C33" s="11"/>
      <c r="D33" s="11"/>
      <c r="E33" s="11"/>
      <c r="F33" s="46"/>
      <c r="H33" s="269" t="str">
        <f>IF('WEEK 11'!M28&lt;4,"",IF(OR(ISBLANK('WEEK 11'!M26),ISBLANK('WEEK 11'!M25),ISBLANK('WEEK 11'!M24)),"",IF('WEEK 11'!M28&gt;3,7,"")))</f>
        <v/>
      </c>
      <c r="I33" s="254" t="str">
        <f>IF('WEEK 11'!M28&lt;4,"",IF(OR(ISBLANK('WEEK 11'!M26),ISBLANK('WEEK 11'!M25),ISBLANK('WEEK 11'!M24)),"",IF('WEEK 11'!M28&lt;6,mround('WEEK 11'!I34*0.65,5),IF('WEEK 11'!M28&lt;10,mround('WEEK 11'!I34*0.7,5),mround(I34*0.75,5)))))</f>
        <v/>
      </c>
      <c r="J33" s="253" t="str">
        <f>IF('WEEK 11'!M28&lt;4,"",IF(OR(ISBLANK('WEEK 11'!M26),ISBLANK('WEEK 11'!M25),ISBLANK('WEEK 11'!M24)),"","REP OUT"))</f>
        <v/>
      </c>
      <c r="K33" s="65" t="str">
        <f>IF('WEEK 11'!M28&lt;4,"",IF(OR(ISBLANK('WEEK 11'!M26),ISBLANK('WEEK 11'!M25),ISBLANK('WEEK 11'!M24)),"","1-3 MIN"))</f>
        <v/>
      </c>
      <c r="L33" s="66" t="str">
        <f>IF('WEEK 11'!I33='WEEK 7'!I33,'WEEK 7'!M33,"")</f>
        <v/>
      </c>
      <c r="M33" s="270"/>
      <c r="N33" s="141"/>
      <c r="O33" s="269" t="str">
        <f>IF('WEEK 11'!T28&lt;4,"",IF(OR(ISBLANK('WEEK 11'!T26),ISBLANK('WEEK 11'!T25),ISBLANK('WEEK 11'!T24)),"",IF('WEEK 11'!T28&gt;3,7,"")))</f>
        <v/>
      </c>
      <c r="P33" s="254" t="str">
        <f>IF('WEEK 11'!T28&lt;4,"",IF(OR(ISBLANK('WEEK 11'!T26),ISBLANK('WEEK 11'!T25),ISBLANK('WEEK 11'!T24)),"",IF('WEEK 11'!T28&lt;6,mround('WEEK 11'!P34*0.65,5),IF('WEEK 11'!T28&lt;10,mround('WEEK 11'!P34*0.7,5),mround(P34*0.75,5)))))</f>
        <v/>
      </c>
      <c r="Q33" s="253" t="str">
        <f>IF('WEEK 11'!T28&lt;4,"",IF(OR(ISBLANK('WEEK 11'!T26),ISBLANK('WEEK 11'!T25),ISBLANK('WEEK 11'!T24)),"","REP OUT"))</f>
        <v/>
      </c>
      <c r="R33" s="65" t="str">
        <f>IF('WEEK 11'!T28&lt;4,"",IF(OR(ISBLANK('WEEK 11'!T26),ISBLANK('WEEK 11'!T25),ISBLANK('WEEK 11'!T24)),"","1-3 MIN"))</f>
        <v/>
      </c>
      <c r="S33" s="66" t="str">
        <f>IF('WEEK 11'!P33='WEEK 7'!P33,'WEEK 7'!T33,"")</f>
        <v/>
      </c>
      <c r="T33" s="263"/>
    </row>
    <row r="34">
      <c r="H34" s="280" t="s">
        <v>124</v>
      </c>
      <c r="I34" s="273" t="str">
        <f>IF(OR(ISBLANK('WEEK 11'!M24),ISBLANK('WEEK 11'!M25),ISBLANK('WEEK 11'!M26)),"",IF('WEEK 11'!M28&gt;=4,'WEEK 11'!I28,IF('WEEK 11'!M26&lt;=3,'WEEK 11'!I26-5,'WEEK 11'!I26)))</f>
        <v/>
      </c>
      <c r="J34" s="11"/>
      <c r="K34" s="11"/>
      <c r="L34" s="11"/>
      <c r="M34" s="46"/>
      <c r="N34" s="141"/>
      <c r="O34" s="280" t="s">
        <v>124</v>
      </c>
      <c r="P34" s="273" t="str">
        <f>IF(OR(ISBLANK('WEEK 11'!T24),ISBLANK('WEEK 11'!T25),ISBLANK('WEEK 11'!T26)),"",IF('WEEK 11'!T28&gt;=4,'WEEK 11'!P28,IF('WEEK 11'!T26&lt;=3,'WEEK 11'!P26-5,'WEEK 11'!P26)))</f>
        <v/>
      </c>
      <c r="Q34" s="11"/>
      <c r="R34" s="11"/>
      <c r="S34" s="11"/>
      <c r="T34" s="46"/>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215</v>
      </c>
      <c r="B38" s="548" t="str">
        <f>'WEEK 7'!I34</f>
        <v/>
      </c>
      <c r="C38" s="13"/>
      <c r="D38" s="13"/>
      <c r="E38" s="13"/>
      <c r="F38" s="57"/>
      <c r="H38" s="226" t="s">
        <v>215</v>
      </c>
      <c r="I38" s="548" t="str">
        <f>B38</f>
        <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11'!B38*0.29,2.5)</f>
        <v>0</v>
      </c>
      <c r="C40" s="241">
        <v>15.0</v>
      </c>
      <c r="D40" s="83" t="s">
        <v>127</v>
      </c>
      <c r="E40" s="84" t="str">
        <f>IF('WEEK 10'!B40='WEEK 7'!B40,'WEEK 10'!F40,"")</f>
        <v/>
      </c>
      <c r="F40" s="85"/>
      <c r="H40" s="240">
        <v>1.0</v>
      </c>
      <c r="I40" s="254">
        <f>mround('WEEK 11'!I38*2*0.75,10)</f>
        <v>0</v>
      </c>
      <c r="J40" s="241">
        <v>15.0</v>
      </c>
      <c r="K40" s="83" t="s">
        <v>127</v>
      </c>
      <c r="L40" s="84" t="str">
        <f>IF('WEEK 10'!I40='WEEK 7'!I40,'WEEK 10'!M40,"")</f>
        <v/>
      </c>
      <c r="M40" s="85"/>
    </row>
    <row r="41">
      <c r="A41" s="661">
        <v>2.0</v>
      </c>
      <c r="B41" s="662">
        <f>mround('WEEK 11'!B38*0.29,2.5)</f>
        <v>0</v>
      </c>
      <c r="C41" s="662">
        <v>15.0</v>
      </c>
      <c r="D41" s="88" t="s">
        <v>127</v>
      </c>
      <c r="E41" s="89" t="str">
        <f>IF('WEEK 10'!B41='WEEK 7'!B41,'WEEK 10'!F41,"")</f>
        <v/>
      </c>
      <c r="F41" s="85"/>
      <c r="H41" s="661">
        <v>2.0</v>
      </c>
      <c r="I41" s="662">
        <f>mround('WEEK 11'!I38*2*0.75,10)</f>
        <v>0</v>
      </c>
      <c r="J41" s="662">
        <v>15.0</v>
      </c>
      <c r="K41" s="88" t="s">
        <v>127</v>
      </c>
      <c r="L41" s="89" t="str">
        <f>IF('WEEK 10'!I41='WEEK 7'!I41,'WEEK 10'!M41,"")</f>
        <v/>
      </c>
      <c r="M41" s="85"/>
    </row>
    <row r="44">
      <c r="A44" s="73" t="str">
        <f>HYPERLINK("https://youtu.be/hMUUvL3FlkE","3. MACHINE HIGH ROW")</f>
        <v>3. MACHINE HIGH ROW</v>
      </c>
      <c r="B44" s="53"/>
      <c r="C44" s="53"/>
      <c r="D44" s="53"/>
      <c r="E44" s="53"/>
      <c r="F44" s="54"/>
    </row>
    <row r="45">
      <c r="A45" s="226" t="s">
        <v>119</v>
      </c>
      <c r="B45" s="227" t="str">
        <f>'WEEK 10'!B55</f>
        <v/>
      </c>
      <c r="C45" s="20"/>
      <c r="D45" s="20"/>
      <c r="E45" s="20"/>
      <c r="F45" s="95"/>
    </row>
    <row r="46">
      <c r="A46" s="231" t="s">
        <v>50</v>
      </c>
      <c r="B46" s="232" t="s">
        <v>51</v>
      </c>
      <c r="C46" s="232" t="s">
        <v>52</v>
      </c>
      <c r="D46" s="232" t="s">
        <v>53</v>
      </c>
      <c r="E46" s="233" t="s">
        <v>54</v>
      </c>
      <c r="F46" s="61" t="s">
        <v>55</v>
      </c>
    </row>
    <row r="47">
      <c r="A47" s="236">
        <v>1.0</v>
      </c>
      <c r="B47" s="237">
        <f>mround('WEEK 11'!B45*0.35,5)</f>
        <v>0</v>
      </c>
      <c r="C47" s="237">
        <v>6.0</v>
      </c>
      <c r="D47" s="238" t="s">
        <v>120</v>
      </c>
      <c r="E47" s="727" t="str">
        <f>IF('WEEK 11'!B47='WEEK 7'!E47,'WEEK 7'!F47,"")</f>
        <v/>
      </c>
      <c r="F47" s="67"/>
    </row>
    <row r="48">
      <c r="A48" s="236">
        <v>2.0</v>
      </c>
      <c r="B48" s="237">
        <f>mround('WEEK 11'!B45*0.65,5)</f>
        <v>0</v>
      </c>
      <c r="C48" s="238">
        <v>3.0</v>
      </c>
      <c r="D48" s="238" t="s">
        <v>121</v>
      </c>
      <c r="E48" s="727" t="str">
        <f>IF('WEEK 11'!B48='WEEK 7'!E48,'WEEK 7'!F48,"")</f>
        <v/>
      </c>
      <c r="F48" s="67"/>
    </row>
    <row r="49">
      <c r="A49" s="242">
        <v>3.0</v>
      </c>
      <c r="B49" s="237">
        <f>mround('WEEK 11'!B45*0.9,5)</f>
        <v>0</v>
      </c>
      <c r="C49" s="63">
        <v>2.0</v>
      </c>
      <c r="D49" s="238" t="s">
        <v>121</v>
      </c>
      <c r="E49" s="727" t="str">
        <f>IF('WEEK 11'!B49='WEEK 7'!E49,'WEEK 7'!F49,"")</f>
        <v/>
      </c>
      <c r="F49" s="67"/>
    </row>
    <row r="50">
      <c r="A50" s="243">
        <v>4.0</v>
      </c>
      <c r="B50" s="237" t="str">
        <f>'WEEK 11'!B45</f>
        <v/>
      </c>
      <c r="C50" s="257">
        <v>3.0</v>
      </c>
      <c r="D50" s="238" t="s">
        <v>122</v>
      </c>
      <c r="E50" s="727" t="str">
        <f>IF('WEEK 11'!B50='WEEK 7'!E50,'WEEK 7'!F50,"")</f>
        <v/>
      </c>
      <c r="F50" s="67"/>
    </row>
    <row r="51">
      <c r="A51" s="246" t="str">
        <f>IF('WEEK 11'!F50&lt;3,"PROCEED TO DOWN SETS","NEW 4 REP MAX ATTEMPT")</f>
        <v>PROCEED TO DOWN SETS</v>
      </c>
      <c r="B51" s="20"/>
      <c r="C51" s="20"/>
      <c r="D51" s="20"/>
      <c r="E51" s="20"/>
      <c r="F51" s="95"/>
    </row>
    <row r="52">
      <c r="A52" s="249" t="str">
        <f>if('WEEK 11'!F50&lt;=2,"",5)</f>
        <v/>
      </c>
      <c r="B52" s="175" t="str">
        <f>IF('WEEK 11'!F50&lt;=2,"",'WEEK 11'!B50+5)</f>
        <v/>
      </c>
      <c r="C52" s="238" t="str">
        <f>if('WEEK 11'!F50&lt;=2,"",4)</f>
        <v/>
      </c>
      <c r="D52" s="238" t="str">
        <f>if('WEEK 11'!F50&lt;=2,"","1-5 MIN")</f>
        <v/>
      </c>
      <c r="E52" s="727" t="str">
        <f>IF('WEEK 11'!B52='WEEK 7'!E52,'WEEK 7'!F52,"")</f>
        <v/>
      </c>
      <c r="F52" s="67"/>
    </row>
    <row r="53">
      <c r="A53" s="259" t="str">
        <f>IF('WEEK 11'!F52&lt;4,"","6")</f>
        <v/>
      </c>
      <c r="B53" s="237" t="str">
        <f>IF('WEEK 11'!F52&lt;4,"",'WEEK 11'!B52+5)</f>
        <v/>
      </c>
      <c r="C53" s="257" t="str">
        <f>IF('WEEK 11'!F52&lt;4,"","4")</f>
        <v/>
      </c>
      <c r="D53" s="257" t="str">
        <f>IF('WEEK 11'!F52&lt;4,"","1-5 MIN")</f>
        <v/>
      </c>
      <c r="E53" s="727" t="str">
        <f>IF('WEEK 11'!B53='WEEK 7'!E53,'WEEK 7'!F53,"")</f>
        <v/>
      </c>
      <c r="F53" s="67"/>
    </row>
    <row r="54">
      <c r="A54" s="246" t="s">
        <v>133</v>
      </c>
      <c r="B54" s="20"/>
      <c r="C54" s="20"/>
      <c r="D54" s="20"/>
      <c r="E54" s="20"/>
      <c r="F54" s="95"/>
    </row>
    <row r="55">
      <c r="A55" s="264">
        <f>IF('WEEK 11'!F52&gt;=1,7,IF('WEEK 11'!F50&lt;1,5,6))</f>
        <v>5</v>
      </c>
      <c r="B55" s="265">
        <f>MROUND('WEEK 11'!B57*0.8,5)</f>
        <v>0</v>
      </c>
      <c r="C55" s="266" t="s">
        <v>65</v>
      </c>
      <c r="D55" s="267" t="s">
        <v>127</v>
      </c>
      <c r="E55" s="727" t="str">
        <f>IF('WEEK 11'!B55='WEEK 7'!E55,'WEEK 7'!F55,"")</f>
        <v/>
      </c>
      <c r="F55" s="67"/>
    </row>
    <row r="56">
      <c r="A56" s="243">
        <f>IF('WEEK 11'!F52&gt;=1,8,IF('WEEK 11'!F50&lt;1,6,7))</f>
        <v>6</v>
      </c>
      <c r="B56" s="237">
        <f>mround('WEEK 11'!B57*0.7,5)</f>
        <v>0</v>
      </c>
      <c r="C56" s="245" t="s">
        <v>65</v>
      </c>
      <c r="D56" s="65" t="s">
        <v>127</v>
      </c>
      <c r="E56" s="727" t="str">
        <f>IF('WEEK 11'!B56='WEEK 7'!E56,'WEEK 7'!F56,"")</f>
        <v/>
      </c>
      <c r="F56" s="271"/>
    </row>
    <row r="57">
      <c r="A57" s="228" t="s">
        <v>124</v>
      </c>
      <c r="B57" s="549" t="str">
        <f>IF(OR(ISBLANK('WEEK 11'!F50),ISBLANK('WEEK 11'!F49),ISBLANK('WEEK 11'!F48)),"",IF('WEEK 11'!F53&gt;=4,'WEEK 11'!B53,IF('WEEK 11'!F52&gt;=1,'WEEK 11'!B52,IF('WEEK 11'!F50&lt;3,'WEEK 11'!B50-5,'WEEK 11'!B50))))</f>
        <v/>
      </c>
      <c r="F57" s="28"/>
    </row>
    <row r="58">
      <c r="A58" s="750"/>
      <c r="B58" s="750"/>
      <c r="C58" s="750"/>
      <c r="D58" s="750"/>
      <c r="E58" s="750"/>
      <c r="F58" s="750"/>
    </row>
    <row r="59">
      <c r="A59" s="751" t="str">
        <f>HYPERLINK("https://www.youtube.com/watch?v=PnaDzYh2axA","4. LAT PULL DOWN")</f>
        <v>4. LAT PULL DOWN</v>
      </c>
      <c r="B59" s="13"/>
      <c r="C59" s="13"/>
      <c r="D59" s="13"/>
      <c r="E59" s="13"/>
      <c r="F59" s="57"/>
    </row>
    <row r="60">
      <c r="A60" s="226" t="s">
        <v>119</v>
      </c>
      <c r="B60" s="691" t="str">
        <f>'WEEK 10'!B63</f>
        <v/>
      </c>
      <c r="C60" s="13"/>
      <c r="D60" s="13"/>
      <c r="E60" s="13"/>
      <c r="F60" s="57"/>
    </row>
    <row r="61">
      <c r="A61" s="96" t="s">
        <v>50</v>
      </c>
      <c r="B61" s="97" t="s">
        <v>51</v>
      </c>
      <c r="C61" s="97" t="s">
        <v>52</v>
      </c>
      <c r="D61" s="97" t="s">
        <v>53</v>
      </c>
      <c r="E61" s="341" t="s">
        <v>54</v>
      </c>
      <c r="F61" s="235" t="s">
        <v>55</v>
      </c>
    </row>
    <row r="62">
      <c r="A62" s="725">
        <v>1.0</v>
      </c>
      <c r="B62" s="344">
        <f> mround('WEEK 11'!B60*0.9,5)</f>
        <v>0</v>
      </c>
      <c r="C62" s="437" t="s">
        <v>65</v>
      </c>
      <c r="D62" s="343" t="s">
        <v>57</v>
      </c>
      <c r="E62" s="727" t="str">
        <f>IF('WEEK 11'!B62='WEEK 7'!B54,'WEEK 7'!F54,"")</f>
        <v/>
      </c>
      <c r="F62" s="85">
        <v>3.0</v>
      </c>
    </row>
    <row r="63">
      <c r="A63" s="725">
        <v>2.0</v>
      </c>
      <c r="B63" s="344">
        <f>IF('WEEK 11'!F62&lt;6,MROUND('WEEK 11'!B62*0.8,5),IF('WEEK 11'!F62&lt;=11,MROUND('WEEK 11'!B62*0.8,5),'WEEK 11'!B62))</f>
        <v>0</v>
      </c>
      <c r="C63" s="437" t="s">
        <v>65</v>
      </c>
      <c r="D63" s="343" t="s">
        <v>57</v>
      </c>
      <c r="E63" s="727" t="str">
        <f>IF('WEEK 11'!B63='WEEK 7'!B55,'WEEK 7'!F55,"")</f>
        <v/>
      </c>
      <c r="F63" s="85">
        <v>3.0</v>
      </c>
    </row>
    <row r="64">
      <c r="A64" s="753">
        <v>3.0</v>
      </c>
      <c r="B64" s="754">
        <f>IF('WEEK 11'!F63&lt;6,MROUND('WEEK 11'!B63*0.75,5),IF('WEEK 11'!F63&lt;=11,MROUND('WEEK 11'!B63*0.85,5),'WEEK 11'!B63))</f>
        <v>0</v>
      </c>
      <c r="C64" s="733" t="s">
        <v>65</v>
      </c>
      <c r="D64" s="486" t="s">
        <v>57</v>
      </c>
      <c r="E64" s="734" t="str">
        <f>IF('WEEK 11'!B64='WEEK 7'!B56,'WEEK 7'!F56,"")</f>
        <v/>
      </c>
      <c r="F64" s="85"/>
    </row>
    <row r="65">
      <c r="A65" s="756"/>
      <c r="B65" s="756"/>
      <c r="C65" s="756"/>
      <c r="D65" s="756"/>
      <c r="E65" s="757"/>
      <c r="F65" s="419"/>
    </row>
    <row r="66">
      <c r="A66" s="756"/>
      <c r="B66" s="756"/>
      <c r="C66" s="756"/>
      <c r="D66" s="756"/>
      <c r="E66" s="757"/>
      <c r="F66" s="419"/>
    </row>
    <row r="67">
      <c r="A67" s="73" t="str">
        <f>HYPERLINK("https://youtu.be/9YH1YvZbiY0","5. LOW ROW ")</f>
        <v>5. LOW ROW </v>
      </c>
      <c r="B67" s="53"/>
      <c r="C67" s="53"/>
      <c r="D67" s="53"/>
      <c r="E67" s="53"/>
      <c r="F67" s="54"/>
    </row>
    <row r="68">
      <c r="A68" s="226" t="s">
        <v>119</v>
      </c>
      <c r="B68" s="691">
        <f>if('WEEK 10'!B52="",'WEEK 10'!B40,'WEEK 10'!B52)</f>
        <v>265</v>
      </c>
      <c r="C68" s="13"/>
      <c r="D68" s="13"/>
      <c r="E68" s="13"/>
      <c r="F68" s="57"/>
    </row>
    <row r="69">
      <c r="A69" s="96" t="s">
        <v>50</v>
      </c>
      <c r="B69" s="97" t="s">
        <v>51</v>
      </c>
      <c r="C69" s="97" t="s">
        <v>52</v>
      </c>
      <c r="D69" s="97" t="s">
        <v>53</v>
      </c>
      <c r="E69" s="341" t="s">
        <v>54</v>
      </c>
      <c r="F69" s="235" t="s">
        <v>55</v>
      </c>
    </row>
    <row r="70">
      <c r="A70" s="725">
        <v>1.0</v>
      </c>
      <c r="B70" s="344">
        <f>mround('WEEK 11'!B68*0.85,5)</f>
        <v>225</v>
      </c>
      <c r="C70" s="437" t="s">
        <v>65</v>
      </c>
      <c r="D70" s="343" t="s">
        <v>127</v>
      </c>
      <c r="E70" s="727" t="str">
        <f>IF('WEEK 11'!B70='WEEK 7'!B62,'WEEK 7'!F62,"")</f>
        <v/>
      </c>
      <c r="F70" s="85"/>
    </row>
    <row r="71">
      <c r="A71" s="725">
        <v>2.0</v>
      </c>
      <c r="B71" s="344">
        <f>IF('WEEK 11'!F70&lt;6,MROUND('WEEK 11'!B70*0.75,5),IF('WEEK 11'!F70&lt;=11,MROUND('WEEK 11'!B70*0.75,5),'WEEK 11'!B70))</f>
        <v>170</v>
      </c>
      <c r="C71" s="437" t="s">
        <v>65</v>
      </c>
      <c r="D71" s="343" t="s">
        <v>127</v>
      </c>
      <c r="E71" s="727" t="str">
        <f>IF('WEEK 11'!B71='WEEK 7'!B63,'WEEK 7'!F63,"")</f>
        <v/>
      </c>
      <c r="F71" s="85"/>
    </row>
    <row r="72">
      <c r="A72" s="753">
        <v>3.0</v>
      </c>
      <c r="B72" s="754">
        <f>IF('WEEK 11'!F71&lt;6,MROUND('WEEK 11'!B71*0.8,5),IF('WEEK 11'!F71&lt;=11,MROUND('WEEK 11'!B68*0.75,5),'WEEK 11'!B71))</f>
        <v>135</v>
      </c>
      <c r="C72" s="733" t="s">
        <v>65</v>
      </c>
      <c r="D72" s="486" t="s">
        <v>127</v>
      </c>
      <c r="E72" s="727" t="str">
        <f>IF('WEEK 11'!B72='WEEK 7'!B64,'WEEK 7'!F64,"")</f>
        <v/>
      </c>
      <c r="F72" s="85"/>
    </row>
    <row r="73">
      <c r="A73" s="758"/>
      <c r="B73" s="736"/>
      <c r="C73" s="759"/>
      <c r="D73" s="760"/>
      <c r="E73" s="761"/>
      <c r="F73" s="762"/>
    </row>
    <row r="74">
      <c r="A74" s="310" t="str">
        <f>HYPERLINK("https://docs.google.com/a/fitnessresults.com/forms/d/e/1FAIpQLSd7MoczESe8Yjv6BKpmwAZGn9Aiymrs9-UdgfYIUpbr9t5NXg/viewform?usp=pp_url&amp;entry.93370101","CLICK TO COMPLETE WORKOUT")</f>
        <v>CLICK TO COMPLETE WORKOUT</v>
      </c>
      <c r="B74" s="36"/>
      <c r="C74" s="36"/>
      <c r="D74" s="36"/>
      <c r="E74" s="36"/>
      <c r="F74" s="37"/>
    </row>
    <row r="75">
      <c r="A75" s="763"/>
      <c r="B75" s="764"/>
      <c r="C75" s="764"/>
      <c r="D75" s="764"/>
      <c r="E75" s="764"/>
      <c r="F75" s="764"/>
    </row>
    <row r="76">
      <c r="A76" s="50" t="s">
        <v>128</v>
      </c>
      <c r="B76" s="36"/>
      <c r="C76" s="36"/>
      <c r="D76" s="36"/>
      <c r="E76" s="36"/>
      <c r="F76" s="37"/>
    </row>
    <row r="78">
      <c r="A78" s="960" t="str">
        <f>HYPERLINK("https://www.youtube.com/watch?v=dVterVQksD4","1. LEG PRESS")</f>
        <v>1. LEG PRESS</v>
      </c>
      <c r="B78" s="53"/>
      <c r="C78" s="53"/>
      <c r="D78" s="53"/>
      <c r="E78" s="53"/>
      <c r="F78" s="54"/>
    </row>
    <row r="79">
      <c r="A79" s="961" t="s">
        <v>119</v>
      </c>
      <c r="B79" s="1035">
        <f>'WEEK 7'!B79</f>
        <v>250</v>
      </c>
      <c r="C79" s="13"/>
      <c r="D79" s="13"/>
      <c r="E79" s="13"/>
      <c r="F79" s="57"/>
    </row>
    <row r="80">
      <c r="A80" s="962" t="s">
        <v>50</v>
      </c>
      <c r="B80" s="1203" t="s">
        <v>51</v>
      </c>
      <c r="C80" s="963" t="s">
        <v>52</v>
      </c>
      <c r="D80" s="963" t="s">
        <v>53</v>
      </c>
      <c r="E80" s="1073" t="s">
        <v>54</v>
      </c>
      <c r="F80" s="1006" t="s">
        <v>55</v>
      </c>
    </row>
    <row r="81">
      <c r="A81" s="1307">
        <v>1.0</v>
      </c>
      <c r="B81" s="1015">
        <f>mround('WEEK 11'!B79*0.5,5)</f>
        <v>125</v>
      </c>
      <c r="C81" s="1234">
        <v>30.0</v>
      </c>
      <c r="D81" s="1234" t="s">
        <v>122</v>
      </c>
      <c r="E81" s="1077"/>
      <c r="F81" s="1131"/>
    </row>
    <row r="82">
      <c r="A82" s="967">
        <v>2.0</v>
      </c>
      <c r="B82" s="1015">
        <f>mround('WEEK 11'!B79*0.5,5)</f>
        <v>125</v>
      </c>
      <c r="C82" s="1067">
        <v>30.0</v>
      </c>
      <c r="D82" s="1234" t="s">
        <v>122</v>
      </c>
      <c r="E82" s="1077"/>
      <c r="F82" s="1131"/>
    </row>
    <row r="83">
      <c r="A83" s="1308">
        <v>3.0</v>
      </c>
      <c r="B83" s="1205">
        <f>mround('WEEK 11'!B79*0.5,5)</f>
        <v>125</v>
      </c>
      <c r="C83" s="1239">
        <v>30.0</v>
      </c>
      <c r="D83" s="1234" t="s">
        <v>122</v>
      </c>
      <c r="E83" s="1077"/>
      <c r="F83" s="1131"/>
    </row>
    <row r="84">
      <c r="A84" s="1308" t="str">
        <f>IF(OR(ISBLANK('WEEK 11'!F81),ISBLANK('WEEK 11'!F82),ISBLANK('WEEK 11'!F83),),"",IF('WEEK 11'!F83&lt;10,"",4))</f>
        <v/>
      </c>
      <c r="B84" s="1028" t="str">
        <f>IF(OR(ISBLANK('WEEK 11'!F81),ISBLANK('WEEK 11'!F82),ISBLANK('WEEK 11'!F83),),"",IF('WEEK 11'!F83&lt;10,"",IF('WEEK 11'!F83&gt;=10,B83,)))</f>
        <v/>
      </c>
      <c r="C84" s="1205" t="str">
        <f>IF(OR(ISBLANK('WEEK 11'!F81),ISBLANK('WEEK 11'!F82),ISBLANK('WEEK 11'!F83)),"",IF('WEEK 11'!F83&lt;10,"",30))</f>
        <v/>
      </c>
      <c r="D84" s="1234" t="str">
        <f>IF(OR(ISBLANK('WEEK 11'!F81),ISBLANK('WEEK 11'!F82),ISBLANK('WEEK 11'!F83)),"",IF('WEEK 11'!F83&gt;=10,"1-5 MIN",""))</f>
        <v/>
      </c>
      <c r="E84" s="1211"/>
      <c r="F84" s="1309"/>
    </row>
    <row r="85">
      <c r="A85" s="1308" t="str">
        <f>IF(OR(ISBLANK('WEEK 11'!F81),ISBLANK('WEEK 11'!F82),ISBLANK('WEEK 11'!F83),ISBLANK('WEEK 11'!F84)), "",IF('WEEK 11'!F84&gt;=10,"5",""))</f>
        <v/>
      </c>
      <c r="B85" s="1205" t="str">
        <f>IF(OR(ISBLANK('WEEK 11'!F81),ISBLANK('WEEK 11'!F82),ISBLANK('WEEK 11'!F83),ISBLANK('WEEK 11'!F84)),"",IF('WEEK 11'!F84&lt;10,"",IF('WEEK 11'!F84&gt;=10,B84,)))</f>
        <v/>
      </c>
      <c r="C85" s="1234" t="str">
        <f>IF(OR(ISBLANK('WEEK 11'!F81),ISBLANK('WEEK 11'!F82),ISBLANK('WEEK 11'!F83),ISBLANK('WEEK 11'!F84)), "",IF('WEEK 11'!F84&gt;=10,"30",""))</f>
        <v/>
      </c>
      <c r="D85" s="1234" t="str">
        <f>IF(OR(ISBLANK('WEEK 11'!F81),ISBLANK('WEEK 11'!F82),ISBLANK('WEEK 11'!F83),ISBLANK('WEEK 11'!F84)), "",IF('WEEK 11'!F84&gt;=10,"1-5 MIN",""))</f>
        <v/>
      </c>
      <c r="E85" s="1010"/>
      <c r="F85" s="1131"/>
    </row>
    <row r="86">
      <c r="A86" s="1310" t="str">
        <f>IF(OR(ISBLANK('WEEK 11'!F81),ISBLANK('WEEK 11'!F82),ISBLANK('WEEK 11'!F83),ISBLANK('WEEK 11'!F84),ISBLANK('WEEK 11'!F85)), "",IF('WEEK 11'!F85&lt;10,"","6"))</f>
        <v/>
      </c>
      <c r="B86" s="1205" t="str">
        <f>IF(OR(ISBLANK('WEEK 11'!F81),ISBLANK('WEEK 11'!F82),ISBLANK('WEEK 11'!F83),ISBLANK('WEEK 11'!F84),ISBLANK('WEEK 11'!F85)), "",IF('WEEK 11'!F85&lt;10,"",IF('WEEK 11'!F85&gt;=10,B85,)))</f>
        <v/>
      </c>
      <c r="C86" s="1311" t="str">
        <f>IF(OR(ISBLANK('WEEK 11'!F81),ISBLANK('WEEK 11'!F82),ISBLANK('WEEK 11'!F83),ISBLANK('WEEK 11'!F84),ISBLANK('WEEK 11'!F85)), "",IF('WEEK 11'!F85&gt;=10,"30",""))</f>
        <v/>
      </c>
      <c r="D86" s="1234" t="str">
        <f>IF(OR(ISBLANK('WEEK 11'!F81),ISBLANK('WEEK 11'!F82),ISBLANK('WEEK 11'!F83),ISBLANK('WEEK 11'!F84),ISBLANK('WEEK 11'!F85)), "",IF('WEEK 11'!F85&gt;=10,"1-5 MIN",""))</f>
        <v/>
      </c>
      <c r="E86" s="1010"/>
      <c r="F86" s="1017"/>
    </row>
    <row r="87">
      <c r="A87" s="1310" t="str">
        <f>IF(OR(ISBLANK('WEEK 11'!F81),ISBLANK('WEEK 11'!F82),ISBLANK('WEEK 11'!F83),ISBLANK('WEEK 11'!F84),ISBLANK('WEEK 11'!F85),ISBLANK('WEEK 11'!F86)), "",IF('WEEK 11'!F86&lt;10,"",7))</f>
        <v/>
      </c>
      <c r="B87" s="1205" t="str">
        <f>IF(OR(ISBLANK('WEEK 11'!F81),ISBLANK('WEEK 11'!F82),ISBLANK('WEEK 11'!F83),ISBLANK('WEEK 11'!F84),ISBLANK('WEEK 11'!F85),ISBLANK('WEEK 11'!F86)), "",IF('WEEK 11'!F86&lt;10,"",IF('WEEK 11'!F86&gt;=10,B86,)))</f>
        <v/>
      </c>
      <c r="C87" s="1311" t="str">
        <f>IF(OR(ISBLANK('WEEK 11'!F81),ISBLANK('WEEK 11'!F82),ISBLANK('WEEK 11'!F83),ISBLANK('WEEK 11'!F84),ISBLANK('WEEK 11'!F85),ISBLANK('WEEK 11'!F86)), "",IF('WEEK 11'!F86&gt;=10,C86,""))</f>
        <v/>
      </c>
      <c r="D87" s="1234" t="str">
        <f>IF(OR(ISBLANK('WEEK 11'!F81),ISBLANK('WEEK 11'!F82),ISBLANK('WEEK 11'!F83),ISBLANK('WEEK 11'!F84),ISBLANK('WEEK 11'!F85),ISBLANK('WEEK 11'!F86)), "",IF('WEEK 11'!F86&gt;=10,D86,""))</f>
        <v/>
      </c>
      <c r="E87" s="1010"/>
      <c r="F87" s="1085"/>
    </row>
    <row r="88">
      <c r="A88" s="1310" t="str">
        <f>IF(OR(ISBLANK('WEEK 11'!F81),ISBLANK('WEEK 11'!F82),ISBLANK('WEEK 11'!F83),ISBLANK('WEEK 11'!F84),ISBLANK('WEEK 11'!F85),ISBLANK('WEEK 11'!F86),ISBLANK('WEEK 11'!F87)), "",IF('WEEK 11'!F87&lt;10,"","8"))</f>
        <v/>
      </c>
      <c r="B88" s="1205" t="str">
        <f>IF('WEEK 11'!F87&lt;10,"",IF('WEEK 11'!F87&gt;=10,B87,))</f>
        <v/>
      </c>
      <c r="C88" s="1311" t="str">
        <f>IF(OR(ISBLANK('WEEK 11'!F81),ISBLANK('WEEK 11'!F82),ISBLANK('WEEK 11'!F83),ISBLANK('WEEK 11'!F84),ISBLANK('WEEK 11'!F85),ISBLANK('WEEK 11'!F86),ISBLANK('WEEK 11'!F87)), "",IF('WEEK 11'!F87&gt;=10,"30",""))</f>
        <v/>
      </c>
      <c r="D88" s="1234" t="str">
        <f>IF(OR(ISBLANK('WEEK 11'!F81),ISBLANK('WEEK 11'!F82),ISBLANK('WEEK 11'!F83),ISBLANK('WEEK 11'!F84),ISBLANK('WEEK 11'!F85),ISBLANK('WEEK 11'!F86),ISBLANK('WEEK 11'!F87)), "",IF('WEEK 11'!F87&gt;=10,"1-5 MIN",""))</f>
        <v/>
      </c>
      <c r="E88" s="1312"/>
      <c r="F88" s="1313"/>
    </row>
    <row r="89">
      <c r="A89" s="1310" t="str">
        <f>IF(OR(ISBLANK('WEEK 11'!F81),ISBLANK('WEEK 11'!F82),ISBLANK('WEEK 11'!F83),ISBLANK('WEEK 11'!F84),ISBLANK('WEEK 11'!F85),ISBLANK('WEEK 11'!F86),ISBLANK('WEEK 11'!F87),ISBLANK('WEEK 11'!F88)), "",IF('WEEK 11'!F88&lt;10,"","9"))</f>
        <v/>
      </c>
      <c r="B89" s="1205" t="str">
        <f>IF('WEEK 11'!F88&lt;10,"",IF('WEEK 11'!F88&gt;=10,B88,))</f>
        <v/>
      </c>
      <c r="C89" s="1311" t="str">
        <f>IF(OR(ISBLANK('WEEK 11'!F81),ISBLANK('WEEK 11'!F82),ISBLANK('WEEK 11'!F83),ISBLANK('WEEK 11'!F84),ISBLANK('WEEK 11'!F85),ISBLANK('WEEK 11'!F86),ISBLANK('WEEK 11'!F87),ISBLANK('WEEK 11'!F88)), "",IF('WEEK 11'!F88&gt;=10,"30",""))</f>
        <v/>
      </c>
      <c r="D89" s="1234" t="str">
        <f>IF(OR(ISBLANK('WEEK 11'!F81),ISBLANK('WEEK 11'!F82),ISBLANK('WEEK 11'!F83),ISBLANK('WEEK 11'!F84),ISBLANK('WEEK 11'!F85),ISBLANK('WEEK 11'!F86),ISBLANK('WEEK 11'!F87),ISBLANK('WEEK 11'!F88)), "",IF('WEEK 11'!F88&gt;=10,"1-5 MIN",""))</f>
        <v/>
      </c>
      <c r="E89" s="1010"/>
      <c r="F89" s="1017"/>
    </row>
    <row r="90">
      <c r="A90" s="1310" t="str">
        <f>IF(OR(ISBLANK('WEEK 11'!F81),ISBLANK('WEEK 11'!F82),ISBLANK('WEEK 11'!F83),ISBLANK('WEEK 11'!F84),ISBLANK('WEEK 11'!F85),ISBLANK('WEEK 11'!F86),ISBLANK('WEEK 11'!F87),ISBLANK('WEEK 11'!F88),ISBLANK('WEEK 11'!F89)), "",IF('WEEK 11'!F89&lt;10,"","10"))</f>
        <v/>
      </c>
      <c r="B90" s="1205" t="str">
        <f>IF('WEEK 11'!F89&lt;10,"",IF('WEEK 11'!F89&gt;=10,B89,))</f>
        <v/>
      </c>
      <c r="C90" s="1311" t="str">
        <f>IF(OR(ISBLANK('WEEK 11'!F81),ISBLANK('WEEK 11'!F82),ISBLANK('WEEK 11'!F83),ISBLANK('WEEK 11'!F84),ISBLANK('WEEK 11'!F85),ISBLANK('WEEK 11'!F86),ISBLANK('WEEK 11'!F87),ISBLANK('WEEK 11'!F88),ISBLANK('WEEK 11'!F89)), "",IF('WEEK 11'!F89&gt;=10,"30",""))</f>
        <v/>
      </c>
      <c r="D90" s="1234" t="str">
        <f>IF(OR(ISBLANK('WEEK 11'!F81),ISBLANK('WEEK 11'!F82),ISBLANK('WEEK 11'!F83),ISBLANK('WEEK 11'!F84),ISBLANK('WEEK 11'!F85),ISBLANK('WEEK 11'!F86),ISBLANK('WEEK 11'!F87),ISBLANK('WEEK 11'!F88),ISBLANK('WEEK 11'!F89)), "",IF('WEEK 11'!F89&gt;=10,"1-5 MIN",""))</f>
        <v/>
      </c>
      <c r="E90" s="1010" t="str">
        <f>IF(OR(ISBLANK('WEEK 11'!F83),ISBLANK('WEEK 11'!F82),ISBLANK('WEEK 11'!F81)), "",)</f>
        <v/>
      </c>
      <c r="F90" s="1017"/>
    </row>
    <row r="91">
      <c r="A91" s="1314"/>
      <c r="B91" s="11"/>
      <c r="C91" s="11"/>
      <c r="D91" s="11"/>
      <c r="E91" s="11"/>
      <c r="F91" s="1315"/>
    </row>
    <row r="94">
      <c r="A94" s="1285" t="str">
        <f>HYPERLINK("https://www.youtube.com/watch?v=NZ9KiFtbiMs","2. LEG EXTENSION")</f>
        <v>2. LEG EXTENSION</v>
      </c>
      <c r="B94" s="53"/>
      <c r="C94" s="53"/>
      <c r="D94" s="53"/>
      <c r="E94" s="53"/>
      <c r="F94" s="54"/>
      <c r="G94" s="141"/>
      <c r="H94" s="141"/>
      <c r="I94" s="141"/>
      <c r="J94" s="141"/>
      <c r="K94" s="141"/>
      <c r="L94" s="141"/>
      <c r="M94" s="141"/>
    </row>
    <row r="95">
      <c r="A95" s="1045" t="s">
        <v>119</v>
      </c>
      <c r="B95" s="1046">
        <f>IF('WEEK 10'!B92='WEEK 10'!B94,'WEEK 10'!B92+5,IF('WEEK 10'!F92&lt;=9,MROUND('WEEK 10'!B90*0.95,5),'WEEK 10'!B92))</f>
        <v>50</v>
      </c>
      <c r="C95" s="13"/>
      <c r="D95" s="13"/>
      <c r="E95" s="13"/>
      <c r="F95" s="57"/>
      <c r="G95" s="141"/>
      <c r="H95" s="141"/>
      <c r="I95" s="141"/>
      <c r="J95" s="141"/>
      <c r="K95" s="141"/>
      <c r="L95" s="141"/>
      <c r="M95" s="141"/>
    </row>
    <row r="96">
      <c r="A96" s="567" t="s">
        <v>50</v>
      </c>
      <c r="B96" s="568" t="s">
        <v>51</v>
      </c>
      <c r="C96" s="568" t="s">
        <v>52</v>
      </c>
      <c r="D96" s="568" t="s">
        <v>53</v>
      </c>
      <c r="E96" s="1047" t="s">
        <v>54</v>
      </c>
      <c r="F96" s="1048" t="s">
        <v>55</v>
      </c>
      <c r="G96" s="141"/>
      <c r="H96" s="141"/>
      <c r="I96" s="141"/>
      <c r="J96" s="141"/>
      <c r="K96" s="141"/>
      <c r="L96" s="141"/>
      <c r="M96" s="141"/>
    </row>
    <row r="97">
      <c r="A97" s="1049">
        <v>1.0</v>
      </c>
      <c r="B97" s="1050">
        <f>'WEEK 11'!B95</f>
        <v>50</v>
      </c>
      <c r="C97" s="1051">
        <v>20.0</v>
      </c>
      <c r="D97" s="1052" t="s">
        <v>57</v>
      </c>
      <c r="E97" s="1244" t="str">
        <f>IF('WEEK 11'!B97='WEEK 10'!B92,'WEEK 10'!F92,"")</f>
        <v/>
      </c>
      <c r="F97" s="1133"/>
      <c r="G97" s="141"/>
      <c r="H97" s="141"/>
      <c r="I97" s="141"/>
      <c r="J97" s="141"/>
      <c r="K97" s="141"/>
      <c r="L97" s="141"/>
      <c r="M97" s="141"/>
    </row>
    <row r="98">
      <c r="A98" s="1316">
        <v>2.0</v>
      </c>
      <c r="B98" s="1317">
        <f>if('WEEK 11'!F97&lt;12,mround('WEEK 11'!B97*0.8,5),IF('WEEK 11'!F97&lt;=15,MROUND('WEEK 11'!B97*0.95,5),'WEEK 11'!B97))</f>
        <v>40</v>
      </c>
      <c r="C98" s="937">
        <v>20.0</v>
      </c>
      <c r="D98" s="1318" t="s">
        <v>57</v>
      </c>
      <c r="E98" s="1244" t="str">
        <f>IF('WEEK 11'!B98='WEEK 10'!B93,'WEEK 10'!F93,"")</f>
        <v/>
      </c>
      <c r="F98" s="1133"/>
      <c r="G98" s="141"/>
      <c r="H98" s="141"/>
      <c r="I98" s="141"/>
      <c r="J98" s="141"/>
      <c r="K98" s="141"/>
      <c r="L98" s="141"/>
      <c r="M98" s="141"/>
    </row>
    <row r="99">
      <c r="A99" s="1316">
        <v>3.0</v>
      </c>
      <c r="B99" s="1317">
        <f>if('WEEK 11'!F98&lt;12,mround('WEEK 11'!B98*0.8,5),IF('WEEK 11'!F98&lt;=15,MROUND('WEEK 11'!B98*0.95,5),'WEEK 11'!B98))</f>
        <v>30</v>
      </c>
      <c r="C99" s="937">
        <v>20.0</v>
      </c>
      <c r="D99" s="1318" t="s">
        <v>57</v>
      </c>
      <c r="E99" s="1244" t="str">
        <f>IF('WEEK 11'!B99='WEEK 10'!B94,'WEEK 10'!F94,"")</f>
        <v/>
      </c>
      <c r="F99" s="1133"/>
      <c r="G99" s="141"/>
      <c r="H99" s="141"/>
      <c r="I99" s="141"/>
      <c r="J99" s="141"/>
      <c r="K99" s="141"/>
      <c r="L99" s="141"/>
      <c r="M99" s="141"/>
    </row>
    <row r="100">
      <c r="A100" s="1319">
        <v>4.0</v>
      </c>
      <c r="B100" s="1320">
        <f>if('WEEK 11'!F99&lt;12,mround('WEEK 11'!B99*0.8,5),IF('WEEK 11'!F99&lt;=15,MROUND('WEEK 11'!B99*0.95,5),'WEEK 11'!B99))</f>
        <v>25</v>
      </c>
      <c r="C100" s="942">
        <v>20.0</v>
      </c>
      <c r="D100" s="1321" t="s">
        <v>57</v>
      </c>
      <c r="E100" s="1255" t="str">
        <f>IF('WEEK 11'!B100='WEEK 10'!B95,'WEEK 10'!F95,"")</f>
        <v/>
      </c>
      <c r="F100" s="1133"/>
      <c r="G100" s="141"/>
      <c r="H100" s="141"/>
      <c r="I100" s="141"/>
      <c r="J100" s="141"/>
      <c r="K100" s="141"/>
      <c r="L100" s="141"/>
      <c r="M100" s="141"/>
    </row>
    <row r="101">
      <c r="A101" s="1138"/>
      <c r="G101" s="141"/>
      <c r="H101" s="141"/>
      <c r="I101" s="141"/>
      <c r="J101" s="141"/>
      <c r="K101" s="141"/>
      <c r="L101" s="141"/>
      <c r="M101" s="141"/>
    </row>
    <row r="102">
      <c r="G102" s="141"/>
      <c r="H102" s="141"/>
      <c r="I102" s="141"/>
      <c r="J102" s="141"/>
      <c r="K102" s="141"/>
      <c r="L102" s="141"/>
      <c r="M102" s="141"/>
    </row>
    <row r="103">
      <c r="A103" s="323" t="str">
        <f>HYPERLINK("https://www.youtube.com/watch?v=XepOfsnGFJg","3. MACHINE LEG CURL")</f>
        <v>3. MACHINE LEG CURL</v>
      </c>
      <c r="B103" s="53"/>
      <c r="C103" s="53"/>
      <c r="D103" s="53"/>
      <c r="E103" s="53"/>
      <c r="F103" s="54"/>
      <c r="G103" s="141"/>
      <c r="H103" s="323" t="str">
        <f>HYPERLINK("https://youtu.be/kmN9cJ79PDE","3. PRONE LEG CURL")</f>
        <v>3. PRONE LEG CURL</v>
      </c>
      <c r="I103" s="53"/>
      <c r="J103" s="53"/>
      <c r="K103" s="53"/>
      <c r="L103" s="53"/>
      <c r="M103" s="54"/>
    </row>
    <row r="104">
      <c r="A104" s="226" t="s">
        <v>119</v>
      </c>
      <c r="B104" s="90">
        <f>IF('WEEK 10'!B100='WEEK 10'!B102,'WEEK 10'!B100+5,IF('WEEK 10'!F100&lt;=9,MROUND('WEEK 10'!B100*0.95,5),'WEEK 10'!B100))</f>
        <v>65</v>
      </c>
      <c r="C104" s="13"/>
      <c r="D104" s="13"/>
      <c r="E104" s="13"/>
      <c r="F104" s="57"/>
      <c r="H104" s="226" t="s">
        <v>119</v>
      </c>
      <c r="I104" s="316">
        <f>B104</f>
        <v>65</v>
      </c>
      <c r="J104" s="20"/>
      <c r="K104" s="20"/>
      <c r="L104" s="20"/>
      <c r="M104" s="95"/>
    </row>
    <row r="105">
      <c r="A105" s="567" t="s">
        <v>50</v>
      </c>
      <c r="B105" s="568" t="s">
        <v>51</v>
      </c>
      <c r="C105" s="568" t="s">
        <v>52</v>
      </c>
      <c r="D105" s="568" t="s">
        <v>53</v>
      </c>
      <c r="E105" s="1047" t="s">
        <v>54</v>
      </c>
      <c r="F105" s="1048" t="s">
        <v>55</v>
      </c>
      <c r="H105" s="567" t="s">
        <v>50</v>
      </c>
      <c r="I105" s="568" t="s">
        <v>51</v>
      </c>
      <c r="J105" s="568" t="s">
        <v>52</v>
      </c>
      <c r="K105" s="568" t="s">
        <v>53</v>
      </c>
      <c r="L105" s="1047" t="s">
        <v>54</v>
      </c>
      <c r="M105" s="1048" t="s">
        <v>55</v>
      </c>
    </row>
    <row r="106">
      <c r="A106" s="1049">
        <v>1.0</v>
      </c>
      <c r="B106" s="1050">
        <f>'WEEK 11'!B104</f>
        <v>65</v>
      </c>
      <c r="C106" s="1051">
        <v>20.0</v>
      </c>
      <c r="D106" s="1052" t="s">
        <v>57</v>
      </c>
      <c r="E106" s="1244" t="str">
        <f>IF('WEEK 11'!B106='WEEK 10'!B101,'WEEK 10'!F101,"")</f>
        <v/>
      </c>
      <c r="F106" s="1133"/>
      <c r="G106" s="434" t="s">
        <v>123</v>
      </c>
      <c r="H106" s="1049">
        <v>1.0</v>
      </c>
      <c r="I106" s="1050">
        <f>'WEEK 11'!I104</f>
        <v>65</v>
      </c>
      <c r="J106" s="1051">
        <v>20.0</v>
      </c>
      <c r="K106" s="1052" t="s">
        <v>57</v>
      </c>
      <c r="L106" s="1244" t="str">
        <f>IF('WEEK 11'!I106='WEEK 10'!I101,'WEEK 10'!M101,"")</f>
        <v/>
      </c>
      <c r="M106" s="1133"/>
    </row>
    <row r="107">
      <c r="A107" s="1316">
        <v>2.0</v>
      </c>
      <c r="B107" s="1317">
        <f>if('WEEK 11'!F106&lt;12,mround('WEEK 11'!B106*0.8,5),IF('WEEK 11'!F106&lt;=15,MROUND('WEEK 11'!B106*0.95,5),'WEEK 11'!B106))</f>
        <v>50</v>
      </c>
      <c r="C107" s="937">
        <v>20.0</v>
      </c>
      <c r="D107" s="1318" t="s">
        <v>57</v>
      </c>
      <c r="E107" s="1244" t="str">
        <f>IF('WEEK 11'!B107='WEEK 10'!B102,'WEEK 10'!F102,"")</f>
        <v/>
      </c>
      <c r="F107" s="1133"/>
      <c r="H107" s="1316">
        <v>2.0</v>
      </c>
      <c r="I107" s="1317">
        <f>if('WEEK 11'!M106&lt;12,mround('WEEK 11'!I106*0.8,5),IF('WEEK 11'!M106&lt;=15,MROUND('WEEK 11'!I106*0.95,5),'WEEK 11'!I106))</f>
        <v>50</v>
      </c>
      <c r="J107" s="937">
        <v>20.0</v>
      </c>
      <c r="K107" s="1318" t="s">
        <v>57</v>
      </c>
      <c r="L107" s="1244" t="str">
        <f>IF('WEEK 11'!I107='WEEK 10'!I102,'WEEK 10'!M102,"")</f>
        <v/>
      </c>
      <c r="M107" s="1133"/>
    </row>
    <row r="108">
      <c r="A108" s="1316">
        <v>3.0</v>
      </c>
      <c r="B108" s="1317">
        <f>if('WEEK 11'!F107&lt;12,mround('WEEK 11'!B107*0.8,5),IF('WEEK 11'!F107&lt;=15,MROUND('WEEK 11'!B107*0.95,5),'WEEK 11'!B107))</f>
        <v>40</v>
      </c>
      <c r="C108" s="937">
        <v>20.0</v>
      </c>
      <c r="D108" s="1318" t="s">
        <v>57</v>
      </c>
      <c r="E108" s="1244" t="str">
        <f>IF('WEEK 11'!B108='WEEK 10'!B103,'WEEK 10'!F103,"")</f>
        <v/>
      </c>
      <c r="F108" s="1133"/>
      <c r="G108" s="682"/>
      <c r="H108" s="1316">
        <v>3.0</v>
      </c>
      <c r="I108" s="1317">
        <f>if('WEEK 11'!M107&lt;12,mround('WEEK 11'!I107*0.8,5),IF('WEEK 11'!M107&lt;=15,MROUND('WEEK 11'!I107*0.95,5),'WEEK 11'!I107))</f>
        <v>40</v>
      </c>
      <c r="J108" s="937">
        <v>20.0</v>
      </c>
      <c r="K108" s="1318" t="s">
        <v>57</v>
      </c>
      <c r="L108" s="1244" t="str">
        <f>IF('WEEK 11'!I108='WEEK 10'!I103,'WEEK 10'!M103,"")</f>
        <v/>
      </c>
      <c r="M108" s="1133"/>
    </row>
    <row r="109">
      <c r="A109" s="1319">
        <v>4.0</v>
      </c>
      <c r="B109" s="1320">
        <f>if('WEEK 11'!F108&lt;12,mround('WEEK 11'!B108*0.8,5),IF('WEEK 11'!F108&lt;=15,MROUND('WEEK 11'!B108*0.95,5),'WEEK 11'!B108))</f>
        <v>30</v>
      </c>
      <c r="C109" s="942">
        <v>20.0</v>
      </c>
      <c r="D109" s="1321" t="s">
        <v>57</v>
      </c>
      <c r="E109" s="1255" t="str">
        <f>IF('WEEK 11'!B109='WEEK 10'!B104,'WEEK 10'!F104,"")</f>
        <v/>
      </c>
      <c r="F109" s="1133"/>
      <c r="H109" s="1319">
        <v>4.0</v>
      </c>
      <c r="I109" s="1320">
        <f>if('WEEK 11'!M108&lt;12,mround('WEEK 11'!I108*0.8,5),IF('WEEK 11'!M108&lt;=15,MROUND('WEEK 11'!I108*0.95,5),'WEEK 11'!I108))</f>
        <v>30</v>
      </c>
      <c r="J109" s="942">
        <v>20.0</v>
      </c>
      <c r="K109" s="1321" t="s">
        <v>57</v>
      </c>
      <c r="L109" s="1255" t="str">
        <f>IF('WEEK 11'!I109='WEEK 10'!I104,'WEEK 10'!M104,"")</f>
        <v/>
      </c>
      <c r="M109" s="1133"/>
      <c r="N109" s="635"/>
      <c r="O109" s="635"/>
      <c r="P109" s="635"/>
      <c r="Q109" s="635"/>
      <c r="R109" s="635"/>
      <c r="S109" s="635"/>
      <c r="T109" s="635"/>
    </row>
    <row r="111">
      <c r="A111" s="1120" t="s">
        <v>62</v>
      </c>
      <c r="B111" s="36"/>
      <c r="C111" s="36"/>
      <c r="D111" s="36"/>
      <c r="E111" s="36"/>
      <c r="F111" s="37"/>
    </row>
    <row r="114">
      <c r="A114" s="960" t="str">
        <f>HYPERLINK("https://youtu.be/ZhZ733bUA9Q","1. SHOULDER CLEANS")</f>
        <v>1. SHOULDER CLEANS</v>
      </c>
      <c r="B114" s="53"/>
      <c r="C114" s="53"/>
      <c r="D114" s="53"/>
      <c r="E114" s="53"/>
      <c r="F114" s="54"/>
    </row>
    <row r="115">
      <c r="A115" s="961" t="s">
        <v>119</v>
      </c>
      <c r="B115" s="76">
        <f>IF('WEEK 5'!B113='WEEK 5'!B115,'WEEK 5'!B113+5,IF('WEEK 5'!F113&lt;=15,MROUND('WEEK 5'!B111*0.85,5),'WEEK 5'!B13))</f>
        <v>70</v>
      </c>
      <c r="C115" s="13"/>
      <c r="D115" s="13"/>
      <c r="E115" s="13"/>
      <c r="F115" s="57"/>
    </row>
    <row r="116">
      <c r="A116" s="962" t="s">
        <v>50</v>
      </c>
      <c r="B116" s="963" t="s">
        <v>51</v>
      </c>
      <c r="C116" s="963" t="s">
        <v>52</v>
      </c>
      <c r="D116" s="981" t="s">
        <v>53</v>
      </c>
      <c r="E116" s="965" t="s">
        <v>54</v>
      </c>
      <c r="F116" s="966" t="s">
        <v>55</v>
      </c>
    </row>
    <row r="117">
      <c r="A117" s="967">
        <v>1.0</v>
      </c>
      <c r="B117" s="968">
        <f>'WEEK 11'!B115</f>
        <v>70</v>
      </c>
      <c r="C117" s="968">
        <v>20.0</v>
      </c>
      <c r="D117" s="969" t="s">
        <v>57</v>
      </c>
      <c r="E117" s="970"/>
      <c r="F117" s="982"/>
    </row>
    <row r="118">
      <c r="A118" s="967">
        <v>2.0</v>
      </c>
      <c r="B118" s="968">
        <f>if('WEEK 11'!F117&lt;20,mround('WEEK 11'!B117*0.75,5),'WEEK 11'!B117)</f>
        <v>55</v>
      </c>
      <c r="C118" s="968">
        <v>20.0</v>
      </c>
      <c r="D118" s="969" t="s">
        <v>57</v>
      </c>
      <c r="E118" s="970"/>
      <c r="F118" s="983"/>
    </row>
    <row r="119">
      <c r="A119" s="971">
        <v>3.0</v>
      </c>
      <c r="B119" s="972">
        <f>if('WEEK 11'!F118&lt;20,mround('WEEK 11'!B118*0.6,5),'WEEK 11'!B118)</f>
        <v>35</v>
      </c>
      <c r="C119" s="972">
        <v>20.0</v>
      </c>
      <c r="D119" s="973" t="s">
        <v>57</v>
      </c>
      <c r="E119" s="974"/>
      <c r="F119" s="984"/>
    </row>
    <row r="121">
      <c r="A121" s="361" t="str">
        <f>HYPERLINK("https://www.youtube.com/watch?v=gxWVN6F_uxo","2.  CABLE HIGH PULLEY ROW")</f>
        <v>2.  CABLE HIGH PULLEY ROW</v>
      </c>
      <c r="B121" s="53"/>
      <c r="C121" s="53"/>
      <c r="D121" s="53"/>
      <c r="E121" s="53"/>
      <c r="F121" s="54"/>
    </row>
    <row r="122">
      <c r="A122" s="226" t="s">
        <v>119</v>
      </c>
      <c r="B122" s="76">
        <f>IF('WEEK 7'!B133='WEEK 7'!B135,'WEEK 7'!B133+5,IF('WEEK 7'!F133&lt;=15,MROUND('WEEK 7'!B131*0.35,5),'WEEK 7'!B37))</f>
        <v>20</v>
      </c>
      <c r="C122" s="13"/>
      <c r="D122" s="13"/>
      <c r="E122" s="13"/>
      <c r="F122" s="57"/>
    </row>
    <row r="123">
      <c r="A123" s="77" t="s">
        <v>50</v>
      </c>
      <c r="B123" s="78" t="s">
        <v>51</v>
      </c>
      <c r="C123" s="78" t="s">
        <v>52</v>
      </c>
      <c r="D123" s="78" t="s">
        <v>53</v>
      </c>
      <c r="E123" s="80" t="s">
        <v>54</v>
      </c>
      <c r="F123" s="235" t="s">
        <v>55</v>
      </c>
    </row>
    <row r="124">
      <c r="A124" s="81">
        <v>1.0</v>
      </c>
      <c r="B124" s="82">
        <f> mround('WEEK 11'!B122*0.5,5)</f>
        <v>45</v>
      </c>
      <c r="C124" s="65">
        <v>20.0</v>
      </c>
      <c r="D124" s="83" t="s">
        <v>58</v>
      </c>
      <c r="E124" s="84" t="str">
        <f>IF('WEEK 1 '!B121=B124,'WEEK 1 '!F121,"")</f>
        <v/>
      </c>
      <c r="F124" s="85"/>
    </row>
    <row r="125">
      <c r="A125" s="81">
        <v>2.0</v>
      </c>
      <c r="B125" s="82">
        <f>if('WEEK 11'!F124&lt;10,mround(B124*0.8,5),IF('WEEK 11'!F124&lt;=14,MROUND('WEEK 11'!B124*0.95,5),'WEEK 11'!B124))</f>
        <v>35</v>
      </c>
      <c r="C125" s="65">
        <v>20.0</v>
      </c>
      <c r="D125" s="83" t="s">
        <v>58</v>
      </c>
      <c r="E125" s="84" t="str">
        <f>IF('WEEK 1 '!B122=B125,'WEEK 1 '!F122,"")</f>
        <v/>
      </c>
      <c r="F125" s="85"/>
    </row>
    <row r="126">
      <c r="A126" s="86">
        <v>3.0</v>
      </c>
      <c r="B126" s="87">
        <f>if('WEEK 11'!F125&lt;8,mround('WEEK 11'!B125*0.8,5),IF('WEEK 11'!F125&lt;=14,MROUND('WEEK 11'!B125*0.95,5),'WEEK 11'!B125))</f>
        <v>30</v>
      </c>
      <c r="C126" s="71">
        <v>20.0</v>
      </c>
      <c r="D126" s="88" t="s">
        <v>58</v>
      </c>
      <c r="E126" s="89" t="str">
        <f>IF('WEEK 1 '!B123=B126,'WEEK 1 '!F123,"")</f>
        <v/>
      </c>
      <c r="F126" s="85"/>
    </row>
    <row r="128">
      <c r="A128" s="513" t="str">
        <f>HYPERLINK("https://youtu.be/QUNZvtb6mnY","3. DUMBBELL SIDE LATERAL RAISE")</f>
        <v>3. DUMBBELL SIDE LATERAL RAISE</v>
      </c>
      <c r="B128" s="53"/>
      <c r="C128" s="53"/>
      <c r="D128" s="53"/>
      <c r="E128" s="53"/>
      <c r="F128" s="54"/>
    </row>
    <row r="129">
      <c r="A129" s="226" t="s">
        <v>134</v>
      </c>
      <c r="B129" s="90">
        <f>MROUND('WEEK 10'!B122*0.2,10)</f>
        <v>0</v>
      </c>
      <c r="C129" s="13"/>
      <c r="D129" s="13"/>
      <c r="E129" s="13"/>
      <c r="F129" s="57"/>
    </row>
    <row r="130">
      <c r="A130" s="376" t="s">
        <v>50</v>
      </c>
      <c r="B130" s="79" t="s">
        <v>51</v>
      </c>
      <c r="C130" s="79" t="s">
        <v>52</v>
      </c>
      <c r="D130" s="79" t="s">
        <v>53</v>
      </c>
      <c r="E130" s="98" t="s">
        <v>54</v>
      </c>
      <c r="F130" s="377" t="s">
        <v>55</v>
      </c>
    </row>
    <row r="131">
      <c r="A131" s="81">
        <v>1.0</v>
      </c>
      <c r="B131" s="82">
        <f>'WEEK 11'!B129*0.5</f>
        <v>0</v>
      </c>
      <c r="C131" s="65">
        <v>20.0</v>
      </c>
      <c r="D131" s="83" t="s">
        <v>57</v>
      </c>
      <c r="E131" s="378"/>
      <c r="F131" s="796"/>
    </row>
    <row r="132">
      <c r="A132" s="81">
        <v>2.0</v>
      </c>
      <c r="B132" s="82">
        <f>if('WEEK 11'!F131&lt;12,mround('WEEK 11'!B131*0.8,2.5),'WEEK 11'!B131)</f>
        <v>0</v>
      </c>
      <c r="C132" s="65">
        <v>20.0</v>
      </c>
      <c r="D132" s="83" t="s">
        <v>57</v>
      </c>
      <c r="E132" s="378"/>
      <c r="F132" s="330"/>
    </row>
    <row r="133">
      <c r="A133" s="86">
        <v>3.0</v>
      </c>
      <c r="B133" s="87">
        <f>if('WEEK 11'!F132&lt;12,mround('WEEK 11'!B132*0.8,2.5),'WEEK 11'!B132)</f>
        <v>0</v>
      </c>
      <c r="C133" s="71">
        <v>20.0</v>
      </c>
      <c r="D133" s="88" t="s">
        <v>57</v>
      </c>
      <c r="E133" s="379"/>
      <c r="F133" s="85"/>
    </row>
    <row r="134">
      <c r="G134" s="697"/>
      <c r="H134" s="697"/>
      <c r="I134" s="697"/>
      <c r="J134" s="697"/>
      <c r="K134" s="697"/>
      <c r="L134" s="697"/>
      <c r="M134" s="697"/>
    </row>
    <row r="135">
      <c r="G135" s="697"/>
      <c r="H135" s="697"/>
      <c r="I135" s="697"/>
      <c r="J135" s="697"/>
      <c r="K135" s="697"/>
      <c r="L135" s="697"/>
      <c r="M135" s="697"/>
    </row>
    <row r="136">
      <c r="A136" s="73" t="str">
        <f>HYPERLINK("https://youtu.be/Yke__29qVfo","4. TRICEP PUSH DOWNS")</f>
        <v>4. TRICEP PUSH DOWNS</v>
      </c>
      <c r="B136" s="53"/>
      <c r="C136" s="53"/>
      <c r="D136" s="53"/>
      <c r="E136" s="53"/>
      <c r="F136" s="54"/>
      <c r="G136" s="1322"/>
      <c r="H136" s="621"/>
      <c r="I136" s="621"/>
      <c r="J136" s="621"/>
      <c r="K136" s="621"/>
      <c r="L136" s="621"/>
      <c r="M136" s="621"/>
    </row>
    <row r="137">
      <c r="A137" s="226" t="s">
        <v>119</v>
      </c>
      <c r="B137" s="90">
        <f>IF('WEEK 5'!B142='WEEK 5'!B144,'WEEK 5'!B142+5,IF('WEEK 5'!F142&lt;=9,MROUND('WEEK 5'!B140*0.95,5),'WEEK 5'!B142))</f>
        <v>30</v>
      </c>
      <c r="C137" s="13"/>
      <c r="D137" s="13"/>
      <c r="E137" s="13"/>
      <c r="F137" s="57"/>
      <c r="G137" s="529"/>
      <c r="H137" s="621"/>
      <c r="I137" s="621"/>
      <c r="J137" s="621"/>
      <c r="K137" s="621"/>
      <c r="L137" s="621"/>
      <c r="M137" s="621"/>
    </row>
    <row r="138">
      <c r="A138" s="77" t="s">
        <v>50</v>
      </c>
      <c r="B138" s="78" t="s">
        <v>51</v>
      </c>
      <c r="C138" s="78" t="s">
        <v>52</v>
      </c>
      <c r="D138" s="78" t="s">
        <v>53</v>
      </c>
      <c r="E138" s="80" t="s">
        <v>54</v>
      </c>
      <c r="F138" s="235" t="s">
        <v>55</v>
      </c>
      <c r="G138" s="529"/>
      <c r="H138" s="621"/>
      <c r="I138" s="621"/>
      <c r="J138" s="621"/>
      <c r="K138" s="621"/>
      <c r="L138" s="621"/>
      <c r="M138" s="621"/>
    </row>
    <row r="139">
      <c r="A139" s="81">
        <v>1.0</v>
      </c>
      <c r="B139" s="82">
        <f>mround('WEEK 11'!B137*0.5,5)</f>
        <v>15</v>
      </c>
      <c r="C139" s="65">
        <v>20.0</v>
      </c>
      <c r="D139" s="83" t="s">
        <v>58</v>
      </c>
      <c r="E139" s="84" t="str">
        <f>IF('WEEK 2'!B152='WEEK 5'!B139,'WEEK 2'!F152,"")</f>
        <v/>
      </c>
      <c r="F139" s="85"/>
      <c r="G139" s="529"/>
      <c r="H139" s="621"/>
      <c r="I139" s="621"/>
      <c r="J139" s="621"/>
      <c r="K139" s="621"/>
      <c r="L139" s="621"/>
      <c r="M139" s="621"/>
    </row>
    <row r="140">
      <c r="A140" s="81">
        <v>2.0</v>
      </c>
      <c r="B140" s="82">
        <f>if('WEEK 11'!F139&lt;10,mround('WEEK 11'!B139*0.8,5),IF('WEEK 11'!F139&lt;=14,MROUND('WEEK 11'!B137*0.95,5),'WEEK 11'!B139))</f>
        <v>10</v>
      </c>
      <c r="C140" s="65">
        <v>20.0</v>
      </c>
      <c r="D140" s="83" t="s">
        <v>58</v>
      </c>
      <c r="E140" s="84" t="str">
        <f>IF('WEEK 2'!B153='WEEK 5'!B140,'WEEK 2'!F153,"")</f>
        <v/>
      </c>
      <c r="F140" s="85"/>
      <c r="G140" s="529"/>
      <c r="H140" s="621"/>
      <c r="I140" s="621"/>
      <c r="J140" s="621"/>
      <c r="K140" s="621"/>
      <c r="L140" s="621"/>
      <c r="M140" s="621"/>
    </row>
    <row r="141">
      <c r="A141" s="629">
        <v>3.0</v>
      </c>
      <c r="B141" s="630">
        <f>if('WEEK 11'!F140&lt;10,mround('WEEK 11'!B140*0.8,5),IF('WEEK 11'!F140&lt;=14,MROUND('WEEK 11'!B140*0.95,5),'WEEK 11'!B140))</f>
        <v>10</v>
      </c>
      <c r="C141" s="631">
        <v>20.0</v>
      </c>
      <c r="D141" s="328" t="s">
        <v>58</v>
      </c>
      <c r="E141" s="84" t="str">
        <f>IF('WEEK 2'!B154='WEEK 5'!B141,'WEEK 2'!F154,"")</f>
        <v>REP LOG</v>
      </c>
      <c r="F141" s="330"/>
      <c r="G141" s="529"/>
      <c r="H141" s="621"/>
      <c r="I141" s="621"/>
      <c r="J141" s="621"/>
      <c r="K141" s="621"/>
      <c r="L141" s="621"/>
      <c r="M141" s="621"/>
    </row>
    <row r="142">
      <c r="G142" s="529"/>
      <c r="H142" s="621"/>
      <c r="I142" s="621"/>
      <c r="J142" s="621"/>
      <c r="K142" s="621"/>
      <c r="L142" s="621"/>
      <c r="M142" s="621"/>
    </row>
    <row r="143">
      <c r="G143" s="141"/>
      <c r="H143" s="621"/>
      <c r="I143" s="621"/>
      <c r="J143" s="621"/>
      <c r="K143" s="621"/>
      <c r="L143" s="621"/>
      <c r="M143" s="621"/>
    </row>
    <row r="144">
      <c r="A144" s="75" t="str">
        <f>HYPERLINK("https://www.youtube.com/watch?v=9IqvmIhFxtY","5. BICEP CABLE CURL")</f>
        <v>5. BICEP CABLE CURL</v>
      </c>
      <c r="B144" s="53"/>
      <c r="C144" s="53"/>
      <c r="D144" s="53"/>
      <c r="E144" s="53"/>
      <c r="F144" s="54"/>
      <c r="G144" s="141"/>
      <c r="H144" s="75" t="str">
        <f>HYPERLINK("https://www.youtube.com/watch?v=Bi6Do6QIlpQ","5. BICEP EZ BAR CURL")</f>
        <v>5. BICEP EZ BAR CURL</v>
      </c>
      <c r="I144" s="53"/>
      <c r="J144" s="53"/>
      <c r="K144" s="53"/>
      <c r="L144" s="53"/>
      <c r="M144" s="54"/>
    </row>
    <row r="145">
      <c r="A145" s="226" t="s">
        <v>119</v>
      </c>
      <c r="B145" s="90">
        <f>IF('WEEK 5'!B142='WEEK 5'!B144,'WEEK 5'!B142+5,IF('WEEK 5'!F142&lt;=9,MROUND('WEEK 5'!B140*0.95,5),'WEEK 5'!B142))</f>
        <v>30</v>
      </c>
      <c r="C145" s="13"/>
      <c r="D145" s="13"/>
      <c r="E145" s="13"/>
      <c r="F145" s="57"/>
      <c r="G145" s="141"/>
      <c r="H145" s="226" t="s">
        <v>119</v>
      </c>
      <c r="I145" s="90">
        <f>IF('WEEK 10'!B152='WEEK 10'!B154,'WEEK 10'!B152+5,IF('WEEK 10'!F152&lt;=9,MROUND('WEEK 10'!B150*0.95,5),'WEEK 10'!B152))</f>
        <v>95</v>
      </c>
      <c r="J145" s="13"/>
      <c r="K145" s="13"/>
      <c r="L145" s="13"/>
      <c r="M145" s="57"/>
    </row>
    <row r="146">
      <c r="A146" s="77" t="s">
        <v>50</v>
      </c>
      <c r="B146" s="78" t="s">
        <v>51</v>
      </c>
      <c r="C146" s="78" t="s">
        <v>52</v>
      </c>
      <c r="D146" s="78" t="s">
        <v>53</v>
      </c>
      <c r="E146" s="80" t="s">
        <v>54</v>
      </c>
      <c r="F146" s="235" t="s">
        <v>55</v>
      </c>
      <c r="H146" s="77" t="s">
        <v>50</v>
      </c>
      <c r="I146" s="78" t="s">
        <v>51</v>
      </c>
      <c r="J146" s="78" t="s">
        <v>52</v>
      </c>
      <c r="K146" s="78" t="s">
        <v>53</v>
      </c>
      <c r="L146" s="80" t="s">
        <v>54</v>
      </c>
      <c r="M146" s="235" t="s">
        <v>55</v>
      </c>
    </row>
    <row r="147">
      <c r="A147" s="81">
        <v>1.0</v>
      </c>
      <c r="B147" s="82">
        <f>MROUND('WEEK 11'!B145*0.5,5)</f>
        <v>15</v>
      </c>
      <c r="C147" s="65">
        <v>20.0</v>
      </c>
      <c r="D147" s="83" t="s">
        <v>58</v>
      </c>
      <c r="E147" s="84" t="str">
        <f>IF('WEEK 3 '!B154='WEEK 5'!B147,'WEEK 3 '!F154,"")</f>
        <v/>
      </c>
      <c r="F147" s="85"/>
      <c r="H147" s="81">
        <v>1.0</v>
      </c>
      <c r="I147" s="82">
        <f>MROUND('WEEK 11'!I145*0.5,5)</f>
        <v>0</v>
      </c>
      <c r="J147" s="65">
        <v>20.0</v>
      </c>
      <c r="K147" s="83" t="s">
        <v>58</v>
      </c>
      <c r="L147" s="84" t="str">
        <f>IF('WEEK 3 '!I154='WEEK 5'!I147,'WEEK 3 '!M154,"")</f>
        <v/>
      </c>
      <c r="M147" s="85"/>
    </row>
    <row r="148">
      <c r="A148" s="81">
        <v>2.0</v>
      </c>
      <c r="B148" s="82">
        <f>if('WEEK 11'!F147&lt;15,mround('WEEK 11'!B147*0.8,5),IF('WEEK 11'!F147&lt;=18,MROUND('WEEK 11'!B145*0.95,5),'WEEK 11'!B147))</f>
        <v>10</v>
      </c>
      <c r="C148" s="65">
        <v>20.0</v>
      </c>
      <c r="D148" s="83" t="s">
        <v>58</v>
      </c>
      <c r="E148" s="84" t="str">
        <f>IF('WEEK 3 '!B155='WEEK 11'!B148,'WEEK 3 '!F155,"")</f>
        <v/>
      </c>
      <c r="F148" s="85"/>
      <c r="H148" s="81">
        <v>2.0</v>
      </c>
      <c r="I148" s="82">
        <f>if('WEEK 11'!M147&lt;15,mround('WEEK 11'!I147*0.8,5),IF('WEEK 11'!M147&lt;=18,MROUND('WEEK 11'!I145*0.95,5),'WEEK 11'!I147))</f>
        <v>0</v>
      </c>
      <c r="J148" s="65">
        <v>20.0</v>
      </c>
      <c r="K148" s="83" t="s">
        <v>58</v>
      </c>
      <c r="L148" s="84" t="str">
        <f>IF('WEEK 3 '!I155='WEEK 11'!I148,'WEEK 3 '!M155,"")</f>
        <v/>
      </c>
      <c r="M148" s="85"/>
    </row>
    <row r="149">
      <c r="A149" s="629">
        <v>3.0</v>
      </c>
      <c r="B149" s="630">
        <f>if('WEEK 11'!F148&lt;15,mround('WEEK 11'!B148*0.8,5),IF('WEEK 11'!F148&lt;=18,MROUND('WEEK 11'!B146*0.95,5),'WEEK 11'!B148))</f>
        <v>10</v>
      </c>
      <c r="C149" s="631">
        <v>20.0</v>
      </c>
      <c r="D149" s="328" t="s">
        <v>58</v>
      </c>
      <c r="E149" s="84" t="str">
        <f>IF('WEEK 3 '!B156='WEEK 11'!B149,'WEEK 3 '!F156,"")</f>
        <v/>
      </c>
      <c r="F149" s="330"/>
      <c r="H149" s="629">
        <v>3.0</v>
      </c>
      <c r="I149" s="630">
        <f>if('WEEK 11'!M148&lt;15,mround('WEEK 11'!I148*0.8,5),IF('WEEK 11'!M148&lt;=18,MROUND('WEEK 11'!I146*0.95,5),'WEEK 11'!I148))</f>
        <v>0</v>
      </c>
      <c r="J149" s="631">
        <v>20.0</v>
      </c>
      <c r="K149" s="328" t="s">
        <v>58</v>
      </c>
      <c r="L149" s="84" t="str">
        <f>IF('WEEK 3 '!I156='WEEK 11'!I149,'WEEK 3 '!M156,"")</f>
        <v/>
      </c>
      <c r="M149" s="330"/>
    </row>
    <row r="154">
      <c r="A154" s="310" t="str">
        <f>HYPERLINK("https://docs.google.com/a/fitnessresults.com/forms/d/e/1FAIpQLSd7MoczESe8Yjv6BKpmwAZGn9Aiymrs9-UdgfYIUpbr9t5NXg/viewform?usp=pp_url&amp;entry.93370101","CLICK TO COMPLETE WORKOUT")</f>
        <v>CLICK TO COMPLETE WORKOUT</v>
      </c>
      <c r="B154" s="36"/>
      <c r="C154" s="36"/>
      <c r="D154" s="36"/>
      <c r="E154" s="36"/>
      <c r="F154" s="37"/>
    </row>
    <row r="155">
      <c r="A155" s="598"/>
      <c r="B155" s="598"/>
      <c r="C155" s="598"/>
      <c r="D155" s="598"/>
      <c r="E155" s="598"/>
      <c r="F155" s="598"/>
    </row>
    <row r="156">
      <c r="A156" s="639" t="s">
        <v>135</v>
      </c>
      <c r="B156" s="36"/>
      <c r="C156" s="36"/>
      <c r="D156" s="36"/>
      <c r="E156" s="36"/>
      <c r="F156" s="37"/>
    </row>
    <row r="157">
      <c r="A157" s="883"/>
    </row>
    <row r="158">
      <c r="A158" s="884" t="str">
        <f>HYPERLINK("https://www.amazon.com/30-Minute-Body-Investment-Champion/dp/0692791892/ref=sr_1_1?ie=UTF8&amp;qid=1490447969&amp;sr=8-1&amp;keywords=30+minute+body","WANT TO LEARN MORE?")</f>
        <v>WANT TO LEARN MORE?</v>
      </c>
      <c r="B158" s="16"/>
      <c r="C158" s="16"/>
      <c r="D158" s="16"/>
      <c r="E158" s="16"/>
      <c r="F158" s="17"/>
    </row>
    <row r="159">
      <c r="A159" s="18"/>
      <c r="B159" s="13"/>
      <c r="C159" s="13"/>
      <c r="D159" s="13"/>
      <c r="E159" s="13"/>
      <c r="F159" s="14"/>
    </row>
    <row r="160">
      <c r="A160" s="885"/>
      <c r="B160" s="886"/>
      <c r="C160" s="644" t="s">
        <v>67</v>
      </c>
      <c r="D160" s="25"/>
      <c r="E160" s="25"/>
      <c r="F160" s="25"/>
    </row>
    <row r="161">
      <c r="A161" s="887"/>
      <c r="B161" s="888"/>
      <c r="C161" s="529"/>
    </row>
    <row r="162">
      <c r="A162" s="887"/>
      <c r="B162" s="888"/>
      <c r="C162" s="529"/>
    </row>
    <row r="163">
      <c r="A163" s="887"/>
      <c r="B163" s="888"/>
      <c r="C163" s="529"/>
    </row>
    <row r="164">
      <c r="A164" s="887"/>
      <c r="B164" s="888"/>
      <c r="C164" s="529"/>
    </row>
    <row r="165">
      <c r="A165" s="887"/>
      <c r="B165" s="888"/>
      <c r="C165" s="529"/>
    </row>
    <row r="166">
      <c r="A166" s="889"/>
      <c r="B166" s="888"/>
      <c r="C166" s="529"/>
    </row>
    <row r="167">
      <c r="A167" s="887"/>
      <c r="B167" s="888"/>
      <c r="C167" s="529"/>
    </row>
    <row r="168">
      <c r="A168" s="887"/>
      <c r="B168" s="888"/>
      <c r="C168" s="529"/>
    </row>
    <row r="169">
      <c r="A169" s="890"/>
      <c r="B169" s="888"/>
      <c r="C169" s="529"/>
    </row>
    <row r="170">
      <c r="A170" s="887"/>
      <c r="B170" s="888"/>
      <c r="C170" s="529"/>
    </row>
    <row r="171">
      <c r="A171" s="887"/>
      <c r="B171" s="888"/>
      <c r="C171" s="529"/>
    </row>
    <row r="172">
      <c r="A172" s="887"/>
      <c r="B172" s="888"/>
      <c r="C172" s="529"/>
    </row>
    <row r="173">
      <c r="A173" s="887"/>
      <c r="B173" s="888"/>
      <c r="C173" s="529"/>
    </row>
    <row r="174">
      <c r="A174" s="891"/>
      <c r="B174" s="892"/>
      <c r="C174" s="529"/>
    </row>
    <row r="175">
      <c r="A175" s="987"/>
      <c r="B175" s="987"/>
      <c r="C175" s="1150"/>
      <c r="D175" s="1150"/>
      <c r="E175" s="1150"/>
      <c r="F175" s="1150"/>
    </row>
    <row r="176">
      <c r="A176" s="987"/>
      <c r="B176" s="987"/>
      <c r="C176" s="1150"/>
      <c r="D176" s="1150"/>
      <c r="E176" s="1150"/>
      <c r="F176" s="1150"/>
    </row>
    <row r="177">
      <c r="A177" s="987"/>
      <c r="B177" s="987"/>
      <c r="C177" s="1150"/>
      <c r="D177" s="1150"/>
      <c r="E177" s="1150"/>
      <c r="F177" s="1150"/>
    </row>
    <row r="178">
      <c r="A178" s="987"/>
      <c r="B178" s="987"/>
      <c r="C178" s="1150"/>
      <c r="D178" s="1150"/>
      <c r="E178" s="1150"/>
      <c r="F178" s="1150"/>
    </row>
  </sheetData>
  <mergeCells count="82">
    <mergeCell ref="G24:G25"/>
    <mergeCell ref="A27:F27"/>
    <mergeCell ref="A30:F30"/>
    <mergeCell ref="B33:F33"/>
    <mergeCell ref="G37:G41"/>
    <mergeCell ref="B38:F38"/>
    <mergeCell ref="A44:F44"/>
    <mergeCell ref="B45:F45"/>
    <mergeCell ref="A51:F51"/>
    <mergeCell ref="A54:F54"/>
    <mergeCell ref="B57:F57"/>
    <mergeCell ref="A59:F59"/>
    <mergeCell ref="B60:F60"/>
    <mergeCell ref="A67:F67"/>
    <mergeCell ref="B68:F68"/>
    <mergeCell ref="A74:F74"/>
    <mergeCell ref="A76:F76"/>
    <mergeCell ref="A78:F78"/>
    <mergeCell ref="B79:F79"/>
    <mergeCell ref="A91:F91"/>
    <mergeCell ref="A94:F94"/>
    <mergeCell ref="B95:F95"/>
    <mergeCell ref="A101:F102"/>
    <mergeCell ref="A103:F103"/>
    <mergeCell ref="G103:G105"/>
    <mergeCell ref="H103:M103"/>
    <mergeCell ref="B104:F104"/>
    <mergeCell ref="I104:M104"/>
    <mergeCell ref="G106:G107"/>
    <mergeCell ref="G108:G109"/>
    <mergeCell ref="A111:F111"/>
    <mergeCell ref="A114:F114"/>
    <mergeCell ref="B115:F115"/>
    <mergeCell ref="A121:F121"/>
    <mergeCell ref="B122:F122"/>
    <mergeCell ref="A144:F144"/>
    <mergeCell ref="H144:M144"/>
    <mergeCell ref="B145:F145"/>
    <mergeCell ref="I145:M145"/>
    <mergeCell ref="A154:F154"/>
    <mergeCell ref="A156:F156"/>
    <mergeCell ref="A157:F157"/>
    <mergeCell ref="A158:F159"/>
    <mergeCell ref="C160:F174"/>
    <mergeCell ref="A128:F128"/>
    <mergeCell ref="B129:F129"/>
    <mergeCell ref="A134:F135"/>
    <mergeCell ref="A136:F136"/>
    <mergeCell ref="G136:G142"/>
    <mergeCell ref="B137:F137"/>
    <mergeCell ref="A142:F143"/>
    <mergeCell ref="A9:F9"/>
    <mergeCell ref="H9:M9"/>
    <mergeCell ref="A10:F11"/>
    <mergeCell ref="H10:M10"/>
    <mergeCell ref="A12:F12"/>
    <mergeCell ref="A13:F13"/>
    <mergeCell ref="H15:M15"/>
    <mergeCell ref="A20:F20"/>
    <mergeCell ref="B21:F21"/>
    <mergeCell ref="O20:T20"/>
    <mergeCell ref="P21:T21"/>
    <mergeCell ref="N19:N26"/>
    <mergeCell ref="N27:N28"/>
    <mergeCell ref="N29:N31"/>
    <mergeCell ref="N38:N41"/>
    <mergeCell ref="A15:F15"/>
    <mergeCell ref="A19:F19"/>
    <mergeCell ref="H19:M19"/>
    <mergeCell ref="O19:T19"/>
    <mergeCell ref="H20:M20"/>
    <mergeCell ref="I21:M21"/>
    <mergeCell ref="O27:T27"/>
    <mergeCell ref="H37:M37"/>
    <mergeCell ref="I38:M38"/>
    <mergeCell ref="H27:M27"/>
    <mergeCell ref="H29:M29"/>
    <mergeCell ref="O29:T29"/>
    <mergeCell ref="I34:M34"/>
    <mergeCell ref="P34:T34"/>
    <mergeCell ref="A35:N36"/>
    <mergeCell ref="A37:F37"/>
  </mergeCells>
  <dataValidations>
    <dataValidation type="decimal" operator="greaterThanOrEqual" allowBlank="1" showDropDown="1" showErrorMessage="1" sqref="M22:M26 F39:F41 F130:F133">
      <formula1>0.0</formula1>
    </dataValidation>
    <dataValidation type="decimal" operator="greaterThanOrEqual" allowBlank="1" showDropDown="1" sqref="F22:F26 F28 F31">
      <formula1>0.0</formula1>
    </dataValidation>
  </dataValidations>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'MSW11'!A1</f>
        <v/>
      </c>
    </row>
    <row r="8">
      <c r="A8" s="11"/>
      <c r="B8" s="11"/>
      <c r="C8" s="11"/>
      <c r="D8" s="11"/>
      <c r="E8" s="11"/>
      <c r="F8" s="11"/>
      <c r="G8" s="11"/>
      <c r="H8" s="11"/>
      <c r="I8" s="11"/>
      <c r="J8" s="11"/>
      <c r="K8" s="11"/>
      <c r="L8" s="11"/>
      <c r="M8" s="11"/>
      <c r="N8" s="11"/>
      <c r="O8" s="11"/>
      <c r="P8" s="11"/>
      <c r="Q8" s="11"/>
      <c r="R8" s="11"/>
      <c r="S8" s="11"/>
      <c r="T8" s="11"/>
    </row>
    <row r="9">
      <c r="A9" s="1127" t="str">
        <f>'MSW11'!A9</f>
        <v>Week 11</v>
      </c>
      <c r="B9" s="36"/>
      <c r="C9" s="36"/>
      <c r="D9" s="36"/>
      <c r="E9" s="36"/>
      <c r="F9" s="37"/>
      <c r="G9" s="987" t="str">
        <f>'MSW11'!G9</f>
        <v/>
      </c>
      <c r="H9" s="24" t="s">
        <v>35</v>
      </c>
      <c r="I9" s="25"/>
      <c r="J9" s="25"/>
      <c r="K9" s="25"/>
      <c r="L9" s="25"/>
      <c r="M9" s="26"/>
      <c r="N9" s="987"/>
    </row>
    <row r="10">
      <c r="A10" s="991" t="str">
        <f>'MSW11'!A10</f>
        <v>PRESS TO RECORD BODY WEIGHT</v>
      </c>
      <c r="F10" s="28"/>
      <c r="H10" s="27" t="s">
        <v>223</v>
      </c>
      <c r="M10" s="28"/>
    </row>
    <row r="11">
      <c r="A11" s="336"/>
      <c r="B11" s="11"/>
      <c r="C11" s="11"/>
      <c r="D11" s="11"/>
      <c r="E11" s="11"/>
      <c r="F11" s="46"/>
      <c r="H11" s="29" t="s">
        <v>224</v>
      </c>
      <c r="I11" s="30"/>
      <c r="J11" s="30"/>
      <c r="K11" s="30"/>
      <c r="L11" s="30"/>
      <c r="M11" s="31"/>
    </row>
    <row r="12">
      <c r="A12" s="992" t="str">
        <f>'MSW11'!A12</f>
        <v>This Weeks Goals</v>
      </c>
      <c r="B12" s="11"/>
      <c r="C12" s="11"/>
      <c r="D12" s="11"/>
      <c r="E12" s="11"/>
      <c r="F12" s="46"/>
      <c r="G12" s="987"/>
    </row>
    <row r="13">
      <c r="A13" s="1128" t="str">
        <f>'MSW11'!A13</f>
        <v>This week you will be attempting new max weights as well as experiencing high reps on leg day. Stay focused and remember rest and recovery are key to your results. Good luck!</v>
      </c>
      <c r="B13" s="11"/>
      <c r="C13" s="11"/>
      <c r="D13" s="11"/>
      <c r="E13" s="11"/>
      <c r="F13" s="46"/>
    </row>
    <row r="14">
      <c r="A14" s="994" t="str">
        <f>'MSW11'!A14</f>
        <v/>
      </c>
      <c r="B14" s="11"/>
      <c r="C14" s="11"/>
      <c r="D14" s="11"/>
      <c r="E14" s="11"/>
      <c r="F14" s="11"/>
    </row>
    <row r="15">
      <c r="A15" s="996" t="str">
        <f>'MSW11'!A15</f>
        <v>DAY 1 </v>
      </c>
      <c r="B15" s="11"/>
      <c r="C15" s="11"/>
      <c r="D15" s="11"/>
      <c r="E15" s="11"/>
      <c r="F15" s="46"/>
      <c r="G15" s="997" t="str">
        <f>'MSW11'!G15</f>
        <v/>
      </c>
      <c r="H15" s="998" t="str">
        <f>'MSW11'!H15</f>
        <v>ALTERNATE WORKOUTS</v>
      </c>
      <c r="I15" s="11"/>
      <c r="J15" s="11"/>
      <c r="K15" s="11"/>
      <c r="L15" s="11"/>
      <c r="M15" s="46"/>
      <c r="N15" t="str">
        <f>'MSW11'!N15</f>
        <v/>
      </c>
    </row>
    <row r="16">
      <c r="A16" s="987" t="str">
        <f>'MSW11'!A16</f>
        <v/>
      </c>
    </row>
    <row r="19">
      <c r="A19" s="51" t="str">
        <f>'MSW11'!A19</f>
        <v>CHEST &amp; BACK </v>
      </c>
      <c r="B19" s="36"/>
      <c r="C19" s="36"/>
      <c r="D19" s="36"/>
      <c r="E19" s="36"/>
      <c r="F19" s="37"/>
      <c r="G19" t="str">
        <f>'MSW11'!G19</f>
        <v/>
      </c>
      <c r="H19" s="51" t="str">
        <f>'MSW11'!H19</f>
        <v>CHEST &amp; BACK </v>
      </c>
      <c r="I19" s="36"/>
      <c r="J19" s="36"/>
      <c r="K19" s="36"/>
      <c r="L19" s="36"/>
      <c r="M19" s="37"/>
      <c r="N19" s="141" t="str">
        <f>'MSW11'!N19</f>
        <v/>
      </c>
      <c r="O19" s="51" t="str">
        <f>'MSW11'!O19</f>
        <v>CHEST &amp; BACK </v>
      </c>
      <c r="P19" s="36"/>
      <c r="Q19" s="36"/>
      <c r="R19" s="36"/>
      <c r="S19" s="36"/>
      <c r="T19" s="37"/>
    </row>
    <row r="20">
      <c r="A20" s="225" t="str">
        <f>'MSW11'!A20</f>
        <v>1. BENCH PRESS</v>
      </c>
      <c r="B20" s="13"/>
      <c r="C20" s="13"/>
      <c r="D20" s="13"/>
      <c r="E20" s="13"/>
      <c r="F20" s="57"/>
      <c r="G20" t="str">
        <f>'MSW11'!G20</f>
        <v/>
      </c>
      <c r="H20" s="52" t="str">
        <f>'MSW11'!H20</f>
        <v>1. DUMBBELL INCLINE PRESS</v>
      </c>
      <c r="I20" s="53"/>
      <c r="J20" s="53"/>
      <c r="K20" s="53"/>
      <c r="L20" s="53"/>
      <c r="M20" s="54"/>
      <c r="O20" s="52" t="str">
        <f>'MSW11'!O20</f>
        <v>1. MACHINE PRESS</v>
      </c>
      <c r="P20" s="53"/>
      <c r="Q20" s="53"/>
      <c r="R20" s="53"/>
      <c r="S20" s="53"/>
      <c r="T20" s="54"/>
    </row>
    <row r="21">
      <c r="A21" s="226" t="str">
        <f>'MSW11'!A21</f>
        <v>CURRENT MAX</v>
      </c>
      <c r="B21" s="227">
        <f>'MSW11'!B21</f>
        <v>225</v>
      </c>
      <c r="C21" s="20"/>
      <c r="D21" s="20"/>
      <c r="E21" s="20"/>
      <c r="F21" s="95"/>
      <c r="H21" s="228" t="str">
        <f>'MSW11'!H21</f>
        <v>CURRENT MAX</v>
      </c>
      <c r="I21" s="229">
        <f>'MSW11'!I21</f>
        <v>100</v>
      </c>
      <c r="J21" s="16"/>
      <c r="K21" s="16"/>
      <c r="L21" s="16"/>
      <c r="M21" s="230"/>
      <c r="O21" s="228" t="str">
        <f>'MSW11'!O21</f>
        <v>CURRENT MAX</v>
      </c>
      <c r="P21" s="229" t="str">
        <f>'MSW11'!P21</f>
        <v/>
      </c>
      <c r="Q21" s="16"/>
      <c r="R21" s="16"/>
      <c r="S21" s="16"/>
      <c r="T21" s="230"/>
    </row>
    <row r="22">
      <c r="A22" s="231" t="str">
        <f>'MSW11'!A22</f>
        <v>SET</v>
      </c>
      <c r="B22" s="232" t="str">
        <f>'MSW11'!B22</f>
        <v>WEIGHT</v>
      </c>
      <c r="C22" s="232" t="str">
        <f>'MSW11'!C22</f>
        <v>REPS</v>
      </c>
      <c r="D22" s="232" t="str">
        <f>'MSW11'!D22</f>
        <v>REST</v>
      </c>
      <c r="E22" s="233" t="str">
        <f>'MSW11'!E22</f>
        <v>PREVIOUS</v>
      </c>
      <c r="F22" s="61" t="str">
        <f>'MSW11'!F22</f>
        <v>REP LOG</v>
      </c>
      <c r="H22" s="96" t="str">
        <f>'MSW11'!H22</f>
        <v>SET</v>
      </c>
      <c r="I22" s="97" t="str">
        <f>'MSW11'!I22</f>
        <v>WEIGHT</v>
      </c>
      <c r="J22" s="97" t="str">
        <f>'MSW11'!J22</f>
        <v>REPS</v>
      </c>
      <c r="K22" s="97" t="str">
        <f>'MSW11'!K22</f>
        <v>REST</v>
      </c>
      <c r="L22" s="98" t="str">
        <f>'MSW11'!L22</f>
        <v>PREVIOUS</v>
      </c>
      <c r="M22" s="235" t="str">
        <f>'MSW11'!M22</f>
        <v>REP LOG</v>
      </c>
      <c r="O22" s="96" t="str">
        <f>'MSW11'!O22</f>
        <v>SET</v>
      </c>
      <c r="P22" s="97" t="str">
        <f>'MSW11'!P22</f>
        <v>WEIGHT</v>
      </c>
      <c r="Q22" s="97" t="str">
        <f>'MSW11'!Q22</f>
        <v>REPS</v>
      </c>
      <c r="R22" s="97" t="str">
        <f>'MSW11'!R22</f>
        <v>REST</v>
      </c>
      <c r="S22" s="98" t="str">
        <f>'MSW11'!S22</f>
        <v>PREVIOUS</v>
      </c>
      <c r="T22" s="235" t="str">
        <f>'MSW11'!T22</f>
        <v>REP LOG</v>
      </c>
    </row>
    <row r="23">
      <c r="A23" s="236">
        <f>'MSW11'!A23</f>
        <v>1</v>
      </c>
      <c r="B23" s="237">
        <f>'MSW11'!B23</f>
        <v>80</v>
      </c>
      <c r="C23" s="237">
        <f>'MSW11'!C23</f>
        <v>6</v>
      </c>
      <c r="D23" s="238" t="str">
        <f>'MSW11'!D23</f>
        <v>30s</v>
      </c>
      <c r="E23" s="66" t="str">
        <f>'MSW11'!E23</f>
        <v/>
      </c>
      <c r="F23" s="67"/>
      <c r="H23" s="244">
        <f>'MSW11'!H23</f>
        <v>1</v>
      </c>
      <c r="I23" s="241">
        <f>'MSW11'!I23</f>
        <v>35</v>
      </c>
      <c r="J23" s="63">
        <f>'MSW11'!J23</f>
        <v>6</v>
      </c>
      <c r="K23" s="83" t="str">
        <f>'MSW11'!K23</f>
        <v>1-3 MIN</v>
      </c>
      <c r="L23" s="84" t="str">
        <f>'MSW11'!L23</f>
        <v/>
      </c>
      <c r="M23" s="85"/>
      <c r="O23" s="244">
        <f>'MSW11'!O23</f>
        <v>1</v>
      </c>
      <c r="P23" s="241">
        <f>'MSW11'!P23</f>
        <v>0</v>
      </c>
      <c r="Q23" s="63">
        <f>'MSW11'!Q23</f>
        <v>6</v>
      </c>
      <c r="R23" s="83" t="str">
        <f>'MSW11'!R23</f>
        <v>1-3 MIN</v>
      </c>
      <c r="S23" s="84" t="str">
        <f>'MSW11'!S23</f>
        <v/>
      </c>
      <c r="T23" s="85"/>
    </row>
    <row r="24">
      <c r="A24" s="236">
        <f>'MSW11'!A24</f>
        <v>2</v>
      </c>
      <c r="B24" s="237">
        <f>'MSW11'!B24</f>
        <v>180</v>
      </c>
      <c r="C24" s="237">
        <f>'MSW11'!C24</f>
        <v>1</v>
      </c>
      <c r="D24" s="238" t="str">
        <f>'MSW11'!D24</f>
        <v>1-2 MIN</v>
      </c>
      <c r="E24" s="66" t="str">
        <f>'MSW11'!E24</f>
        <v/>
      </c>
      <c r="F24" s="67"/>
      <c r="G24" s="1129" t="str">
        <f>'MSW11'!G24</f>
        <v>Alternate</v>
      </c>
      <c r="H24" s="240">
        <f>'MSW11'!H24</f>
        <v>2</v>
      </c>
      <c r="I24" s="241">
        <f>'MSW11'!I24</f>
        <v>65</v>
      </c>
      <c r="J24" s="241">
        <f>'MSW11'!J24</f>
        <v>1</v>
      </c>
      <c r="K24" s="83" t="str">
        <f>'MSW11'!K24</f>
        <v>1-3 MIN</v>
      </c>
      <c r="L24" s="84" t="str">
        <f>'MSW11'!L24</f>
        <v/>
      </c>
      <c r="M24" s="85"/>
      <c r="O24" s="240">
        <f>'MSW11'!O24</f>
        <v>2</v>
      </c>
      <c r="P24" s="241">
        <f>'MSW11'!P24</f>
        <v>0</v>
      </c>
      <c r="Q24" s="241">
        <f>'MSW11'!Q24</f>
        <v>1</v>
      </c>
      <c r="R24" s="83" t="str">
        <f>'MSW11'!R24</f>
        <v>1-3 MIN</v>
      </c>
      <c r="S24" s="84" t="str">
        <f>'MSW11'!S24</f>
        <v/>
      </c>
      <c r="T24" s="85"/>
    </row>
    <row r="25">
      <c r="A25" s="242">
        <f>'MSW11'!A25</f>
        <v>3</v>
      </c>
      <c r="B25" s="237">
        <f>'MSW11'!B25</f>
        <v>205</v>
      </c>
      <c r="C25" s="82">
        <f>'MSW11'!C25</f>
        <v>1</v>
      </c>
      <c r="D25" s="238" t="str">
        <f>'MSW11'!D25</f>
        <v>1-2 MIN</v>
      </c>
      <c r="E25" s="66" t="str">
        <f>'MSW11'!E25</f>
        <v/>
      </c>
      <c r="F25" s="67"/>
      <c r="H25" s="240">
        <f>'MSW11'!H25</f>
        <v>3</v>
      </c>
      <c r="I25" s="241">
        <f>'MSW11'!I25</f>
        <v>85</v>
      </c>
      <c r="J25" s="63">
        <f>'MSW11'!J25</f>
        <v>1</v>
      </c>
      <c r="K25" s="83" t="str">
        <f>'MSW11'!K25</f>
        <v>1-3 MIN</v>
      </c>
      <c r="L25" s="84" t="str">
        <f>'MSW11'!L25</f>
        <v/>
      </c>
      <c r="M25" s="85"/>
      <c r="O25" s="240">
        <f>'MSW11'!O25</f>
        <v>3</v>
      </c>
      <c r="P25" s="241">
        <f>'MSW11'!P25</f>
        <v>0</v>
      </c>
      <c r="Q25" s="241">
        <f>'MSW11'!Q25</f>
        <v>1</v>
      </c>
      <c r="R25" s="83" t="str">
        <f>'MSW11'!R25</f>
        <v>1-3 MIN</v>
      </c>
      <c r="S25" s="84" t="str">
        <f>'MSW11'!S25</f>
        <v/>
      </c>
      <c r="T25" s="85"/>
    </row>
    <row r="26">
      <c r="A26" s="243">
        <f>'MSW11'!A26</f>
        <v>4</v>
      </c>
      <c r="B26" s="237">
        <f>'MSW11'!B26</f>
        <v>225</v>
      </c>
      <c r="C26" s="175">
        <f>'MSW11'!C26</f>
        <v>1</v>
      </c>
      <c r="D26" s="238" t="str">
        <f>'MSW11'!D26</f>
        <v>1-5 MIN</v>
      </c>
      <c r="E26" s="66" t="str">
        <f>'MSW11'!E26</f>
        <v/>
      </c>
      <c r="F26" s="67"/>
      <c r="G26" t="str">
        <f>'MSW11'!G26</f>
        <v/>
      </c>
      <c r="H26" s="240">
        <f>'MSW11'!H26</f>
        <v>4</v>
      </c>
      <c r="I26" s="241">
        <f>'MSW11'!I26</f>
        <v>100</v>
      </c>
      <c r="J26" s="245" t="str">
        <f>'MSW11'!J26</f>
        <v>REP OUT</v>
      </c>
      <c r="K26" s="83" t="str">
        <f>'MSW11'!K26</f>
        <v>1-3 MIN</v>
      </c>
      <c r="L26" s="84" t="str">
        <f>'MSW11'!L26</f>
        <v/>
      </c>
      <c r="M26" s="85"/>
      <c r="O26" s="240">
        <f>'MSW11'!O26</f>
        <v>4</v>
      </c>
      <c r="P26" s="241">
        <f>'MSW11'!P26</f>
        <v>0</v>
      </c>
      <c r="Q26" s="245" t="str">
        <f>'MSW11'!Q26</f>
        <v>REP OUT</v>
      </c>
      <c r="R26" s="83" t="str">
        <f>'MSW11'!R26</f>
        <v>1-3 MIN</v>
      </c>
      <c r="S26" s="84" t="str">
        <f>'MSW11'!S26</f>
        <v/>
      </c>
      <c r="T26" s="85"/>
    </row>
    <row r="27">
      <c r="A27" s="246" t="str">
        <f>'MSW11'!A27</f>
        <v>PROCEED TO DOWN SETS</v>
      </c>
      <c r="B27" s="20"/>
      <c r="C27" s="20"/>
      <c r="D27" s="20"/>
      <c r="E27" s="20"/>
      <c r="F27" s="95"/>
      <c r="H27" s="248" t="str">
        <f>'MSW11'!H27</f>
        <v>PROCEED TO DOWNSETS</v>
      </c>
      <c r="M27" s="28"/>
      <c r="N27" s="247" t="str">
        <f>'MSW11'!N27</f>
        <v>ALTERNATE</v>
      </c>
      <c r="O27" s="248" t="str">
        <f>'MSW11'!O27</f>
        <v>PROCEED TO DOWNSETS</v>
      </c>
      <c r="T27" s="28"/>
    </row>
    <row r="28">
      <c r="A28" s="249" t="str">
        <f>'MSW11'!A28</f>
        <v/>
      </c>
      <c r="B28" s="175" t="str">
        <f>'MSW11'!B28</f>
        <v/>
      </c>
      <c r="C28" s="238" t="str">
        <f>'MSW11'!C28</f>
        <v/>
      </c>
      <c r="D28" s="238" t="str">
        <f>'MSW11'!D28</f>
        <v/>
      </c>
      <c r="E28" s="250" t="str">
        <f>'MSW11'!E28</f>
        <v/>
      </c>
      <c r="F28" s="67"/>
      <c r="H28" s="251" t="str">
        <f>'MSW11'!H28</f>
        <v/>
      </c>
      <c r="I28" s="252" t="str">
        <f>'MSW11'!I28</f>
        <v/>
      </c>
      <c r="J28" s="253" t="str">
        <f>'MSW11'!J28</f>
        <v/>
      </c>
      <c r="K28" s="254" t="str">
        <f>'MSW11'!K28</f>
        <v/>
      </c>
      <c r="L28" s="84" t="str">
        <f>'MSW11'!L28</f>
        <v/>
      </c>
      <c r="M28" s="67"/>
      <c r="O28" s="251" t="str">
        <f>'MSW11'!O28</f>
        <v/>
      </c>
      <c r="P28" s="252" t="str">
        <f>'MSW11'!P28</f>
        <v/>
      </c>
      <c r="Q28" s="253" t="str">
        <f>'MSW11'!Q28</f>
        <v/>
      </c>
      <c r="R28" s="254" t="str">
        <f>'MSW11'!R28</f>
        <v/>
      </c>
      <c r="S28" s="84" t="str">
        <f>'MSW11'!S28</f>
        <v/>
      </c>
      <c r="T28" s="665"/>
    </row>
    <row r="29">
      <c r="A29" s="256" t="str">
        <f>'MSW11'!A29</f>
        <v/>
      </c>
      <c r="B29" s="237" t="str">
        <f>'MSW11'!B29</f>
        <v/>
      </c>
      <c r="C29" s="257" t="str">
        <f>'MSW11'!C29</f>
        <v/>
      </c>
      <c r="D29" s="257" t="str">
        <f>'MSW11'!D29</f>
        <v/>
      </c>
      <c r="E29" s="258" t="str">
        <f>'MSW11'!E29</f>
        <v/>
      </c>
      <c r="F29" s="67"/>
      <c r="H29" s="260" t="str">
        <f>'MSW11'!H29</f>
        <v>FILL OUT REP LOG FIRST</v>
      </c>
      <c r="I29" s="16"/>
      <c r="J29" s="16"/>
      <c r="K29" s="16"/>
      <c r="L29" s="16"/>
      <c r="M29" s="230"/>
      <c r="N29" s="141" t="str">
        <f>'MSW11'!N29</f>
        <v/>
      </c>
      <c r="O29" s="260" t="str">
        <f>'MSW11'!O29</f>
        <v>FILL OUT REP LOG FIRST</v>
      </c>
      <c r="P29" s="16"/>
      <c r="Q29" s="16"/>
      <c r="R29" s="16"/>
      <c r="S29" s="16"/>
      <c r="T29" s="230"/>
    </row>
    <row r="30">
      <c r="A30" s="246" t="str">
        <f>'MSW11'!A30</f>
        <v>FILL OUT REP LOG FOR DOWN SETS</v>
      </c>
      <c r="B30" s="20"/>
      <c r="C30" s="20"/>
      <c r="D30" s="20"/>
      <c r="E30" s="20"/>
      <c r="F30" s="95"/>
      <c r="H30" s="91" t="str">
        <f>'MSW11'!H30</f>
        <v/>
      </c>
      <c r="I30" s="261" t="str">
        <f>'MSW11'!I30</f>
        <v/>
      </c>
      <c r="J30" s="262" t="str">
        <f>'MSW11'!J30</f>
        <v/>
      </c>
      <c r="K30" s="65" t="str">
        <f>'MSW11'!K30</f>
        <v/>
      </c>
      <c r="L30" s="84" t="str">
        <f>'MSW11'!L30</f>
        <v/>
      </c>
      <c r="M30" s="263"/>
      <c r="O30" s="91" t="str">
        <f>'MSW11'!O30</f>
        <v/>
      </c>
      <c r="P30" s="261" t="str">
        <f>'MSW11'!P30</f>
        <v/>
      </c>
      <c r="Q30" s="262" t="str">
        <f>'MSW11'!Q30</f>
        <v/>
      </c>
      <c r="R30" s="65" t="str">
        <f>'MSW11'!R30</f>
        <v/>
      </c>
      <c r="S30" s="84" t="str">
        <f>'MSW11'!S30</f>
        <v/>
      </c>
      <c r="T30" s="263" t="str">
        <f>'MSW11'!T30</f>
        <v/>
      </c>
    </row>
    <row r="31">
      <c r="A31" s="264" t="str">
        <f>'MSW11'!A31</f>
        <v/>
      </c>
      <c r="B31" s="265" t="str">
        <f>'MSW11'!B31</f>
        <v/>
      </c>
      <c r="C31" s="266" t="str">
        <f>'MSW11'!C31</f>
        <v/>
      </c>
      <c r="D31" s="267" t="str">
        <f>'MSW11'!D31</f>
        <v/>
      </c>
      <c r="E31" s="268" t="str">
        <f>'MSW11'!E31</f>
        <v/>
      </c>
      <c r="F31" s="67"/>
      <c r="H31" s="269" t="str">
        <f>'MSW11'!H31</f>
        <v/>
      </c>
      <c r="I31" s="254" t="str">
        <f>'MSW11'!I31</f>
        <v/>
      </c>
      <c r="J31" s="253" t="str">
        <f>'MSW11'!J31</f>
        <v/>
      </c>
      <c r="K31" s="65" t="str">
        <f>'MSW11'!K31</f>
        <v/>
      </c>
      <c r="L31" s="84" t="str">
        <f>'MSW11'!L31</f>
        <v/>
      </c>
      <c r="M31" s="263"/>
      <c r="O31" s="269" t="str">
        <f>'MSW11'!O31</f>
        <v/>
      </c>
      <c r="P31" s="254" t="str">
        <f>'MSW11'!P31</f>
        <v/>
      </c>
      <c r="Q31" s="253" t="str">
        <f>'MSW11'!Q31</f>
        <v/>
      </c>
      <c r="R31" s="65" t="str">
        <f>'MSW11'!R31</f>
        <v/>
      </c>
      <c r="S31" s="84" t="str">
        <f>'MSW11'!S31</f>
        <v/>
      </c>
      <c r="T31" s="270" t="str">
        <f>'MSW11'!T31</f>
        <v/>
      </c>
    </row>
    <row r="32">
      <c r="A32" s="243" t="str">
        <f>'MSW11'!A32</f>
        <v/>
      </c>
      <c r="B32" s="237" t="str">
        <f>'MSW11'!B32</f>
        <v/>
      </c>
      <c r="C32" s="245" t="str">
        <f>'MSW11'!C32</f>
        <v/>
      </c>
      <c r="D32" s="65" t="str">
        <f>'MSW11'!D32</f>
        <v/>
      </c>
      <c r="E32" s="258" t="str">
        <f>'MSW11'!E32</f>
        <v/>
      </c>
      <c r="F32" s="271"/>
      <c r="H32" s="269" t="str">
        <f>'MSW11'!H32</f>
        <v/>
      </c>
      <c r="I32" s="254" t="str">
        <f>'MSW11'!I32</f>
        <v/>
      </c>
      <c r="J32" s="253" t="str">
        <f>'MSW11'!J32</f>
        <v/>
      </c>
      <c r="K32" s="65" t="str">
        <f>'MSW11'!K32</f>
        <v/>
      </c>
      <c r="L32" s="84" t="str">
        <f>'MSW11'!L32</f>
        <v/>
      </c>
      <c r="M32" s="263"/>
      <c r="O32" s="269" t="str">
        <f>'MSW11'!O32</f>
        <v/>
      </c>
      <c r="P32" s="254" t="str">
        <f>'MSW11'!P32</f>
        <v/>
      </c>
      <c r="Q32" s="253" t="str">
        <f>'MSW11'!Q32</f>
        <v/>
      </c>
      <c r="R32" s="65" t="str">
        <f>'MSW11'!R32</f>
        <v/>
      </c>
      <c r="S32" s="84" t="str">
        <f>'MSW11'!S32</f>
        <v/>
      </c>
      <c r="T32" s="263" t="str">
        <f>'MSW11'!T32</f>
        <v/>
      </c>
    </row>
    <row r="33">
      <c r="A33" s="272" t="str">
        <f>'MSW11'!A33</f>
        <v>FINAL MAX</v>
      </c>
      <c r="B33" s="273" t="str">
        <f>'MSW11'!B33</f>
        <v/>
      </c>
      <c r="C33" s="11"/>
      <c r="D33" s="11"/>
      <c r="E33" s="11"/>
      <c r="F33" s="46"/>
      <c r="H33" s="269" t="str">
        <f>'MSW11'!H33</f>
        <v/>
      </c>
      <c r="I33" s="254" t="str">
        <f>'MSW11'!I33</f>
        <v/>
      </c>
      <c r="J33" s="253" t="str">
        <f>'MSW11'!J33</f>
        <v/>
      </c>
      <c r="K33" s="65" t="str">
        <f>'MSW11'!K33</f>
        <v/>
      </c>
      <c r="L33" s="84" t="str">
        <f>'MSW11'!L33</f>
        <v/>
      </c>
      <c r="M33" s="263"/>
      <c r="O33" s="269" t="str">
        <f>'MSW11'!O33</f>
        <v/>
      </c>
      <c r="P33" s="254" t="str">
        <f>'MSW11'!P33</f>
        <v/>
      </c>
      <c r="Q33" s="253" t="str">
        <f>'MSW11'!Q33</f>
        <v/>
      </c>
      <c r="R33" s="65" t="str">
        <f>'MSW11'!R33</f>
        <v/>
      </c>
      <c r="S33" s="84" t="str">
        <f>'MSW11'!S33</f>
        <v/>
      </c>
      <c r="T33" s="263" t="str">
        <f>'MSW11'!T33</f>
        <v/>
      </c>
    </row>
    <row r="34">
      <c r="A34" t="str">
        <f>'MSW11'!A34</f>
        <v/>
      </c>
      <c r="H34" s="280" t="str">
        <f>'MSW11'!H34</f>
        <v>FINAL MAX</v>
      </c>
      <c r="I34" s="273" t="str">
        <f>'MSW11'!I34</f>
        <v/>
      </c>
      <c r="J34" s="11"/>
      <c r="K34" s="11"/>
      <c r="L34" s="11"/>
      <c r="M34" s="46"/>
      <c r="O34" s="280" t="str">
        <f>'MSW11'!O34</f>
        <v>FINAL MAX</v>
      </c>
      <c r="P34" s="273" t="str">
        <f>'MSW11'!P34</f>
        <v/>
      </c>
      <c r="Q34" s="11"/>
      <c r="R34" s="11"/>
      <c r="S34" s="11"/>
      <c r="T34" s="46"/>
    </row>
    <row r="35">
      <c r="A35" s="658" t="str">
        <f>'MSW11'!A35</f>
        <v/>
      </c>
      <c r="O35" t="str">
        <f>'MSW11'!O35</f>
        <v/>
      </c>
    </row>
    <row r="37">
      <c r="A37" s="440" t="str">
        <f>'MSW11'!A37</f>
        <v>2. DUMBBELL CHEST FLY</v>
      </c>
      <c r="B37" s="53"/>
      <c r="C37" s="53"/>
      <c r="D37" s="53"/>
      <c r="E37" s="53"/>
      <c r="F37" s="54"/>
      <c r="G37" s="659" t="str">
        <f>'MSW11'!G37</f>
        <v/>
      </c>
      <c r="H37" s="504" t="str">
        <f>'MSW11'!H37</f>
        <v>2. MACHINE CHEST FLY</v>
      </c>
      <c r="I37" s="53"/>
      <c r="J37" s="53"/>
      <c r="K37" s="53"/>
      <c r="L37" s="53"/>
      <c r="M37" s="54"/>
      <c r="N37" s="660" t="str">
        <f>'MSW11'!N37</f>
        <v/>
      </c>
    </row>
    <row r="38">
      <c r="A38" s="226" t="str">
        <f>'MSW11'!A38</f>
        <v>INCL DB PRSS MAX</v>
      </c>
      <c r="B38" s="548" t="str">
        <f>'MSW11'!B38</f>
        <v/>
      </c>
      <c r="C38" s="13"/>
      <c r="D38" s="13"/>
      <c r="E38" s="13"/>
      <c r="F38" s="57"/>
      <c r="H38" s="226" t="str">
        <f>'MSW11'!H38</f>
        <v>INCL DB PRSS MAX</v>
      </c>
      <c r="I38" s="548" t="str">
        <f>'MSW11'!I38</f>
        <v/>
      </c>
      <c r="J38" s="13"/>
      <c r="K38" s="13"/>
      <c r="L38" s="13"/>
      <c r="M38" s="57"/>
      <c r="N38" s="141" t="str">
        <f>'MSW11'!N38</f>
        <v/>
      </c>
    </row>
    <row r="39">
      <c r="A39" s="96" t="str">
        <f>'MSW11'!A39</f>
        <v>SET</v>
      </c>
      <c r="B39" s="97" t="str">
        <f>'MSW11'!B39</f>
        <v>WEIGHT</v>
      </c>
      <c r="C39" s="97" t="str">
        <f>'MSW11'!C39</f>
        <v>REPS</v>
      </c>
      <c r="D39" s="97" t="str">
        <f>'MSW11'!D39</f>
        <v>REST</v>
      </c>
      <c r="E39" s="98" t="str">
        <f>'MSW11'!E39</f>
        <v>PREVIOUS</v>
      </c>
      <c r="F39" s="235" t="str">
        <f>'MSW11'!F39</f>
        <v>REP LOG</v>
      </c>
      <c r="H39" s="96" t="str">
        <f>'MSW11'!H39</f>
        <v>SET</v>
      </c>
      <c r="I39" s="97" t="str">
        <f>'MSW11'!I39</f>
        <v>WEIGHT</v>
      </c>
      <c r="J39" s="97" t="str">
        <f>'MSW11'!J39</f>
        <v>REPS</v>
      </c>
      <c r="K39" s="97" t="str">
        <f>'MSW11'!K39</f>
        <v>REST</v>
      </c>
      <c r="L39" s="341" t="str">
        <f>'MSW11'!L39</f>
        <v>PREVIOUS</v>
      </c>
      <c r="M39" s="235" t="str">
        <f>'MSW11'!M39</f>
        <v>REP LOG</v>
      </c>
    </row>
    <row r="40">
      <c r="A40" s="240">
        <f>'MSW11'!A40</f>
        <v>1</v>
      </c>
      <c r="B40" s="254">
        <f>'MSW11'!B40</f>
        <v>0</v>
      </c>
      <c r="C40" s="241">
        <f>'MSW11'!C40</f>
        <v>15</v>
      </c>
      <c r="D40" s="83" t="str">
        <f>'MSW11'!D40</f>
        <v>1-3 MIN</v>
      </c>
      <c r="E40" s="84" t="str">
        <f>'MSW11'!E40</f>
        <v/>
      </c>
      <c r="F40" s="85"/>
      <c r="H40" s="240">
        <f>'MSW11'!H40</f>
        <v>1</v>
      </c>
      <c r="I40" s="254">
        <f>'MSW11'!I40</f>
        <v>0</v>
      </c>
      <c r="J40" s="241">
        <f>'MSW11'!J40</f>
        <v>15</v>
      </c>
      <c r="K40" s="83" t="str">
        <f>'MSW11'!K40</f>
        <v>1-3 MIN</v>
      </c>
      <c r="L40" s="84" t="str">
        <f>'MSW11'!L40</f>
        <v/>
      </c>
      <c r="M40" s="85"/>
    </row>
    <row r="41">
      <c r="A41" s="661">
        <f>'MSW11'!A41</f>
        <v>2</v>
      </c>
      <c r="B41" s="662">
        <f>'MSW11'!B41</f>
        <v>0</v>
      </c>
      <c r="C41" s="662">
        <f>'MSW11'!C41</f>
        <v>15</v>
      </c>
      <c r="D41" s="88" t="str">
        <f>'MSW11'!D41</f>
        <v>1-3 MIN</v>
      </c>
      <c r="E41" s="89" t="str">
        <f>'MSW11'!E41</f>
        <v/>
      </c>
      <c r="F41" s="85"/>
      <c r="H41" s="661">
        <f>'MSW11'!H41</f>
        <v>2</v>
      </c>
      <c r="I41" s="662">
        <f>'MSW11'!I41</f>
        <v>0</v>
      </c>
      <c r="J41" s="662">
        <f>'MSW11'!J41</f>
        <v>15</v>
      </c>
      <c r="K41" s="88" t="str">
        <f>'MSW11'!K41</f>
        <v>1-3 MIN</v>
      </c>
      <c r="L41" s="89" t="str">
        <f>'MSW11'!L41</f>
        <v/>
      </c>
      <c r="M41" s="85"/>
    </row>
    <row r="42">
      <c r="A42" t="str">
        <f>'MSW11'!A42</f>
        <v/>
      </c>
      <c r="G42" t="str">
        <f>'MSW11'!G42</f>
        <v/>
      </c>
    </row>
    <row r="44">
      <c r="A44" s="73" t="str">
        <f>'MSW11'!A44</f>
        <v>3. MACHINE HIGH ROW</v>
      </c>
      <c r="B44" s="53"/>
      <c r="C44" s="53"/>
      <c r="D44" s="53"/>
      <c r="E44" s="53"/>
      <c r="F44" s="54"/>
    </row>
    <row r="45">
      <c r="A45" s="226" t="str">
        <f>'MSW11'!A45</f>
        <v>CURRENT MAX</v>
      </c>
      <c r="B45" s="227" t="str">
        <f>'MSW11'!B45</f>
        <v/>
      </c>
      <c r="C45" s="20"/>
      <c r="D45" s="20"/>
      <c r="E45" s="20"/>
      <c r="F45" s="95"/>
    </row>
    <row r="46">
      <c r="A46" s="231" t="str">
        <f>'MSW11'!A46</f>
        <v>SET</v>
      </c>
      <c r="B46" s="232" t="str">
        <f>'MSW11'!B46</f>
        <v>WEIGHT</v>
      </c>
      <c r="C46" s="232" t="str">
        <f>'MSW11'!C46</f>
        <v>REPS</v>
      </c>
      <c r="D46" s="232" t="str">
        <f>'MSW11'!D46</f>
        <v>REST</v>
      </c>
      <c r="E46" s="233" t="str">
        <f>'MSW11'!E46</f>
        <v>PREVIOUS</v>
      </c>
      <c r="F46" s="61" t="str">
        <f>'MSW11'!F46</f>
        <v>REP LOG</v>
      </c>
    </row>
    <row r="47">
      <c r="A47" s="236">
        <f>'MSW11'!A47</f>
        <v>1</v>
      </c>
      <c r="B47" s="237">
        <f>'MSW11'!B47</f>
        <v>0</v>
      </c>
      <c r="C47" s="237">
        <f>'MSW11'!C47</f>
        <v>6</v>
      </c>
      <c r="D47" s="238" t="str">
        <f>'MSW11'!D47</f>
        <v>30s</v>
      </c>
      <c r="E47" s="66" t="str">
        <f>'MSW11'!E47</f>
        <v/>
      </c>
      <c r="F47" s="67"/>
    </row>
    <row r="48">
      <c r="A48" s="236">
        <f>'MSW11'!A48</f>
        <v>2</v>
      </c>
      <c r="B48" s="237">
        <f>'MSW11'!B48</f>
        <v>0</v>
      </c>
      <c r="C48" s="238">
        <f>'MSW11'!C48</f>
        <v>3</v>
      </c>
      <c r="D48" s="238" t="str">
        <f>'MSW11'!D48</f>
        <v>1-2 MIN</v>
      </c>
      <c r="E48" s="66" t="str">
        <f>'MSW11'!E48</f>
        <v/>
      </c>
      <c r="F48" s="67"/>
    </row>
    <row r="49">
      <c r="A49" s="242">
        <f>'MSW11'!A49</f>
        <v>3</v>
      </c>
      <c r="B49" s="237">
        <f>'MSW11'!B49</f>
        <v>0</v>
      </c>
      <c r="C49" s="63">
        <f>'MSW11'!C49</f>
        <v>2</v>
      </c>
      <c r="D49" s="238" t="str">
        <f>'MSW11'!D49</f>
        <v>1-2 MIN</v>
      </c>
      <c r="E49" s="66" t="str">
        <f>'MSW11'!E49</f>
        <v/>
      </c>
      <c r="F49" s="67"/>
    </row>
    <row r="50">
      <c r="A50" s="243">
        <f>'MSW11'!A50</f>
        <v>4</v>
      </c>
      <c r="B50" s="237" t="str">
        <f>'MSW11'!B50</f>
        <v/>
      </c>
      <c r="C50" s="257">
        <f>'MSW11'!C50</f>
        <v>3</v>
      </c>
      <c r="D50" s="238" t="str">
        <f>'MSW11'!D50</f>
        <v>1-5 MIN</v>
      </c>
      <c r="E50" s="66" t="str">
        <f>'MSW11'!E50</f>
        <v/>
      </c>
      <c r="F50" s="67"/>
    </row>
    <row r="51">
      <c r="A51" s="246" t="str">
        <f>'MSW11'!A51</f>
        <v>PROCEED TO DOWN SETS</v>
      </c>
      <c r="B51" s="20"/>
      <c r="C51" s="20"/>
      <c r="D51" s="20"/>
      <c r="E51" s="20"/>
      <c r="F51" s="95"/>
    </row>
    <row r="52">
      <c r="A52" s="249" t="str">
        <f>'MSW11'!A52</f>
        <v/>
      </c>
      <c r="B52" s="175" t="str">
        <f>'MSW11'!B52</f>
        <v/>
      </c>
      <c r="C52" s="238" t="str">
        <f>'MSW11'!C52</f>
        <v/>
      </c>
      <c r="D52" s="238" t="str">
        <f>'MSW11'!D52</f>
        <v/>
      </c>
      <c r="E52" s="250" t="str">
        <f>'MSW11'!E52</f>
        <v/>
      </c>
      <c r="F52" s="67"/>
    </row>
    <row r="53">
      <c r="A53" s="259" t="str">
        <f>'MSW11'!A53</f>
        <v/>
      </c>
      <c r="B53" s="237" t="str">
        <f>'MSW11'!B53</f>
        <v/>
      </c>
      <c r="C53" s="257" t="str">
        <f>'MSW11'!C53</f>
        <v/>
      </c>
      <c r="D53" s="257" t="str">
        <f>'MSW11'!D53</f>
        <v/>
      </c>
      <c r="E53" s="258" t="str">
        <f>'MSW11'!E53</f>
        <v/>
      </c>
      <c r="F53" s="67"/>
    </row>
    <row r="54">
      <c r="A54" s="246" t="str">
        <f>'MSW11'!A54</f>
        <v>DOWN SETS</v>
      </c>
      <c r="B54" s="20"/>
      <c r="C54" s="20"/>
      <c r="D54" s="20"/>
      <c r="E54" s="20"/>
      <c r="F54" s="95"/>
    </row>
    <row r="55">
      <c r="A55" s="264">
        <f>'MSW11'!A55</f>
        <v>5</v>
      </c>
      <c r="B55" s="265">
        <f>'MSW11'!B55</f>
        <v>0</v>
      </c>
      <c r="C55" s="266" t="str">
        <f>'MSW11'!C55</f>
        <v>REP OUT</v>
      </c>
      <c r="D55" s="267" t="str">
        <f>'MSW11'!D55</f>
        <v>1-3 MIN</v>
      </c>
      <c r="E55" s="268" t="str">
        <f>'MSW11'!E55</f>
        <v/>
      </c>
      <c r="F55" s="67"/>
    </row>
    <row r="56">
      <c r="A56" s="243">
        <f>'MSW11'!A56</f>
        <v>6</v>
      </c>
      <c r="B56" s="237">
        <f>'MSW11'!B56</f>
        <v>0</v>
      </c>
      <c r="C56" s="245" t="str">
        <f>'MSW11'!C56</f>
        <v>REP OUT</v>
      </c>
      <c r="D56" s="65" t="str">
        <f>'MSW11'!D56</f>
        <v>1-3 MIN</v>
      </c>
      <c r="E56" s="258" t="str">
        <f>'MSW11'!E56</f>
        <v/>
      </c>
      <c r="F56" s="271"/>
    </row>
    <row r="57">
      <c r="A57" s="228" t="str">
        <f>'MSW11'!A57</f>
        <v>FINAL MAX</v>
      </c>
      <c r="B57" s="549" t="str">
        <f>'MSW11'!B57</f>
        <v/>
      </c>
      <c r="F57" s="28"/>
    </row>
    <row r="58">
      <c r="A58" s="750" t="str">
        <f>'MSW11'!A58</f>
        <v/>
      </c>
      <c r="B58" s="750" t="str">
        <f>'MSW11'!B58</f>
        <v/>
      </c>
      <c r="C58" s="750" t="str">
        <f>'MSW11'!C58</f>
        <v/>
      </c>
      <c r="D58" s="750" t="str">
        <f>'MSW11'!D58</f>
        <v/>
      </c>
      <c r="E58" s="750" t="str">
        <f>'MSW11'!E58</f>
        <v/>
      </c>
      <c r="F58" s="750" t="str">
        <f>'MSW11'!F58</f>
        <v/>
      </c>
    </row>
    <row r="59">
      <c r="A59" s="751" t="str">
        <f>'MSW11'!A59</f>
        <v>4. LAT PULL DOWN</v>
      </c>
      <c r="B59" s="13"/>
      <c r="C59" s="13"/>
      <c r="D59" s="13"/>
      <c r="E59" s="13"/>
      <c r="F59" s="57"/>
    </row>
    <row r="60">
      <c r="A60" s="226" t="str">
        <f>'MSW11'!A60</f>
        <v>CURRENT MAX</v>
      </c>
      <c r="B60" s="691" t="str">
        <f>'MSW11'!B60</f>
        <v/>
      </c>
      <c r="C60" s="13"/>
      <c r="D60" s="13"/>
      <c r="E60" s="13"/>
      <c r="F60" s="57"/>
    </row>
    <row r="61">
      <c r="A61" s="96" t="str">
        <f>'MSW11'!A61</f>
        <v>SET</v>
      </c>
      <c r="B61" s="97" t="str">
        <f>'MSW11'!B61</f>
        <v>WEIGHT</v>
      </c>
      <c r="C61" s="97" t="str">
        <f>'MSW11'!C61</f>
        <v>REPS</v>
      </c>
      <c r="D61" s="97" t="str">
        <f>'MSW11'!D61</f>
        <v>REST</v>
      </c>
      <c r="E61" s="341" t="str">
        <f>'MSW11'!E61</f>
        <v>PREVIOUS</v>
      </c>
      <c r="F61" s="235" t="str">
        <f>'MSW11'!F61</f>
        <v>REP LOG</v>
      </c>
    </row>
    <row r="62">
      <c r="A62" s="725">
        <f>'MSW11'!A62</f>
        <v>1</v>
      </c>
      <c r="B62" s="344">
        <f>'MSW11'!B62</f>
        <v>0</v>
      </c>
      <c r="C62" s="437" t="str">
        <f>'MSW11'!C62</f>
        <v>REP OUT</v>
      </c>
      <c r="D62" s="343" t="str">
        <f>'MSW11'!D62</f>
        <v>1 MIN</v>
      </c>
      <c r="E62" s="752" t="str">
        <f>'MSW11'!E62</f>
        <v/>
      </c>
      <c r="F62" s="85"/>
    </row>
    <row r="63">
      <c r="A63" s="725">
        <f>'MSW11'!A63</f>
        <v>2</v>
      </c>
      <c r="B63" s="344">
        <f>'MSW11'!B63</f>
        <v>0</v>
      </c>
      <c r="C63" s="437" t="str">
        <f>'MSW11'!C63</f>
        <v>REP OUT</v>
      </c>
      <c r="D63" s="343" t="str">
        <f>'MSW11'!D63</f>
        <v>1 MIN</v>
      </c>
      <c r="E63" s="752" t="str">
        <f>'MSW11'!E63</f>
        <v/>
      </c>
      <c r="F63" s="85"/>
    </row>
    <row r="64">
      <c r="A64" s="753">
        <f>'MSW11'!A64</f>
        <v>3</v>
      </c>
      <c r="B64" s="754">
        <f>'MSW11'!B64</f>
        <v>0</v>
      </c>
      <c r="C64" s="733" t="str">
        <f>'MSW11'!C64</f>
        <v>REP OUT</v>
      </c>
      <c r="D64" s="486" t="str">
        <f>'MSW11'!D64</f>
        <v>1 MIN</v>
      </c>
      <c r="E64" s="755" t="str">
        <f>'MSW11'!E64</f>
        <v/>
      </c>
      <c r="F64" s="85"/>
    </row>
    <row r="65">
      <c r="A65" s="756" t="str">
        <f>'MSW11'!A65</f>
        <v/>
      </c>
    </row>
    <row r="67">
      <c r="A67" s="73" t="str">
        <f>'MSW11'!A67</f>
        <v>5. LOW ROW </v>
      </c>
      <c r="B67" s="53"/>
      <c r="C67" s="53"/>
      <c r="D67" s="53"/>
      <c r="E67" s="53"/>
      <c r="F67" s="54"/>
    </row>
    <row r="68">
      <c r="A68" s="226" t="str">
        <f>'MSW11'!A68</f>
        <v>CURRENT MAX</v>
      </c>
      <c r="B68" s="691">
        <f>'MSW11'!B68</f>
        <v>265</v>
      </c>
      <c r="C68" s="13"/>
      <c r="D68" s="13"/>
      <c r="E68" s="13"/>
      <c r="F68" s="57"/>
    </row>
    <row r="69">
      <c r="A69" s="96" t="str">
        <f>'MSW11'!A69</f>
        <v>SET</v>
      </c>
      <c r="B69" s="97" t="str">
        <f>'MSW11'!B69</f>
        <v>WEIGHT</v>
      </c>
      <c r="C69" s="97" t="str">
        <f>'MSW11'!C69</f>
        <v>REPS</v>
      </c>
      <c r="D69" s="97" t="str">
        <f>'MSW11'!D69</f>
        <v>REST</v>
      </c>
      <c r="E69" s="341" t="str">
        <f>'MSW11'!E69</f>
        <v>PREVIOUS</v>
      </c>
      <c r="F69" s="235" t="str">
        <f>'MSW11'!F69</f>
        <v>REP LOG</v>
      </c>
    </row>
    <row r="70">
      <c r="A70" s="725">
        <f>'MSW11'!A70</f>
        <v>1</v>
      </c>
      <c r="B70" s="344">
        <f>'MSW11'!B70</f>
        <v>225</v>
      </c>
      <c r="C70" s="437" t="str">
        <f>'MSW11'!C70</f>
        <v>REP OUT</v>
      </c>
      <c r="D70" s="343" t="str">
        <f>'MSW11'!D70</f>
        <v>1-3 MIN</v>
      </c>
      <c r="E70" s="727" t="str">
        <f>'MSW11'!E70</f>
        <v/>
      </c>
      <c r="F70" s="85"/>
    </row>
    <row r="71">
      <c r="A71" s="725">
        <f>'MSW11'!A71</f>
        <v>2</v>
      </c>
      <c r="B71" s="344">
        <f>'MSW11'!B71</f>
        <v>170</v>
      </c>
      <c r="C71" s="437" t="str">
        <f>'MSW11'!C71</f>
        <v>REP OUT</v>
      </c>
      <c r="D71" s="343" t="str">
        <f>'MSW11'!D71</f>
        <v>1-3 MIN</v>
      </c>
      <c r="E71" s="727" t="str">
        <f>'MSW11'!E71</f>
        <v/>
      </c>
      <c r="F71" s="85"/>
    </row>
    <row r="72">
      <c r="A72" s="753">
        <f>'MSW11'!A72</f>
        <v>3</v>
      </c>
      <c r="B72" s="754">
        <f>'MSW11'!B72</f>
        <v>135</v>
      </c>
      <c r="C72" s="733" t="str">
        <f>'MSW11'!C72</f>
        <v>REP OUT</v>
      </c>
      <c r="D72" s="486" t="str">
        <f>'MSW11'!D72</f>
        <v>1-3 MIN</v>
      </c>
      <c r="E72" s="734" t="str">
        <f>'MSW11'!E72</f>
        <v/>
      </c>
      <c r="F72" s="85"/>
    </row>
    <row r="73">
      <c r="A73" s="758" t="str">
        <f>'MSW11'!A73</f>
        <v/>
      </c>
      <c r="B73" s="736" t="str">
        <f>'MSW11'!B73</f>
        <v/>
      </c>
      <c r="C73" s="759" t="str">
        <f>'MSW11'!C73</f>
        <v/>
      </c>
      <c r="D73" s="760" t="str">
        <f>'MSW11'!D73</f>
        <v/>
      </c>
      <c r="E73" s="761" t="str">
        <f>'MSW11'!E73</f>
        <v/>
      </c>
      <c r="F73" s="762" t="str">
        <f>'MSW11'!F73</f>
        <v/>
      </c>
    </row>
    <row r="74">
      <c r="A74" s="310" t="str">
        <f>'MSW11'!A74</f>
        <v>CLICK TO COMPLETE WORKOUT</v>
      </c>
      <c r="B74" s="36"/>
      <c r="C74" s="36"/>
      <c r="D74" s="36"/>
      <c r="E74" s="36"/>
      <c r="F74" s="37"/>
    </row>
    <row r="75">
      <c r="A75" s="763" t="str">
        <f>'MSW11'!A75</f>
        <v/>
      </c>
      <c r="B75" s="764" t="str">
        <f>'MSW11'!B75</f>
        <v/>
      </c>
      <c r="C75" s="764" t="str">
        <f>'MSW11'!C75</f>
        <v/>
      </c>
      <c r="D75" s="764" t="str">
        <f>'MSW11'!D75</f>
        <v/>
      </c>
      <c r="E75" s="764" t="str">
        <f>'MSW11'!E75</f>
        <v/>
      </c>
      <c r="F75" s="764" t="str">
        <f>'MSW11'!F75</f>
        <v/>
      </c>
    </row>
    <row r="76">
      <c r="A76" s="50" t="str">
        <f>'MSW11'!A76</f>
        <v>DAY 2 </v>
      </c>
      <c r="B76" s="36"/>
      <c r="C76" s="36"/>
      <c r="D76" s="36"/>
      <c r="E76" s="36"/>
      <c r="F76" s="37"/>
    </row>
    <row r="77">
      <c r="A77" t="str">
        <f>'MSW11'!A77</f>
        <v/>
      </c>
      <c r="B77" t="str">
        <f>'MSW11'!B77</f>
        <v/>
      </c>
      <c r="C77" t="str">
        <f>'MSW11'!C77</f>
        <v/>
      </c>
      <c r="D77" t="str">
        <f>'MSW11'!D77</f>
        <v/>
      </c>
      <c r="E77" t="str">
        <f>'MSW11'!E77</f>
        <v/>
      </c>
      <c r="F77" t="str">
        <f>'MSW11'!F77</f>
        <v/>
      </c>
    </row>
    <row r="78">
      <c r="A78" s="960" t="str">
        <f>'MSW11'!A78</f>
        <v>1. LEG PRESS</v>
      </c>
      <c r="B78" s="53"/>
      <c r="C78" s="53"/>
      <c r="D78" s="53"/>
      <c r="E78" s="53"/>
      <c r="F78" s="54"/>
    </row>
    <row r="79">
      <c r="A79" s="961" t="str">
        <f>'MSW11'!A79</f>
        <v>CURRENT MAX</v>
      </c>
      <c r="B79" s="1035">
        <f>'MSW11'!B79</f>
        <v>250</v>
      </c>
      <c r="C79" s="13"/>
      <c r="D79" s="13"/>
      <c r="E79" s="13"/>
      <c r="F79" s="57"/>
    </row>
    <row r="80">
      <c r="A80" s="962" t="str">
        <f>'MSW11'!A80</f>
        <v>SET</v>
      </c>
      <c r="B80" s="963" t="str">
        <f>'MSW11'!B80</f>
        <v>WEIGHT</v>
      </c>
      <c r="C80" s="963" t="str">
        <f>'MSW11'!C80</f>
        <v>REPS</v>
      </c>
      <c r="D80" s="963" t="str">
        <f>'MSW11'!D80</f>
        <v>REST</v>
      </c>
      <c r="E80" s="1073" t="str">
        <f>'MSW11'!E80</f>
        <v>PREVIOUS</v>
      </c>
      <c r="F80" s="1006" t="str">
        <f>'MSW11'!F80</f>
        <v>REP LOG</v>
      </c>
    </row>
    <row r="81">
      <c r="A81" s="1307">
        <f>'MSW11'!A81</f>
        <v>1</v>
      </c>
      <c r="B81" s="1015">
        <f>'MSW11'!B81</f>
        <v>125</v>
      </c>
      <c r="C81" s="1234">
        <f>'MSW11'!C81</f>
        <v>30</v>
      </c>
      <c r="D81" s="1234" t="str">
        <f>'MSW11'!D81</f>
        <v>1-5 MIN</v>
      </c>
      <c r="E81" s="1077" t="str">
        <f>'MSW11'!E81</f>
        <v/>
      </c>
      <c r="F81" s="1158"/>
    </row>
    <row r="82">
      <c r="A82" s="967">
        <f>'MSW11'!A82</f>
        <v>2</v>
      </c>
      <c r="B82" s="1015">
        <f>'MSW11'!B82</f>
        <v>125</v>
      </c>
      <c r="C82" s="1067">
        <f>'MSW11'!C82</f>
        <v>30</v>
      </c>
      <c r="D82" s="1234" t="str">
        <f>'MSW11'!D82</f>
        <v>1-5 MIN</v>
      </c>
      <c r="E82" s="1077" t="str">
        <f>'MSW11'!E82</f>
        <v/>
      </c>
      <c r="F82" s="1158"/>
    </row>
    <row r="83">
      <c r="A83" s="1308">
        <f>'MSW11'!A83</f>
        <v>3</v>
      </c>
      <c r="B83" s="1205">
        <f>'MSW11'!B83</f>
        <v>125</v>
      </c>
      <c r="C83" s="1239">
        <f>'MSW11'!C83</f>
        <v>30</v>
      </c>
      <c r="D83" s="1234" t="str">
        <f>'MSW11'!D83</f>
        <v>1-5 MIN</v>
      </c>
      <c r="E83" s="1077" t="str">
        <f>'MSW11'!E83</f>
        <v/>
      </c>
      <c r="F83" s="1158"/>
    </row>
    <row r="84">
      <c r="A84" s="1308" t="str">
        <f>'MSW11'!A84</f>
        <v/>
      </c>
      <c r="B84" s="1028" t="str">
        <f>'MSW11'!B84</f>
        <v/>
      </c>
      <c r="C84" s="1205" t="str">
        <f>'MSW11'!C84</f>
        <v/>
      </c>
      <c r="D84" s="1234" t="str">
        <f>'MSW11'!D84</f>
        <v/>
      </c>
      <c r="E84" s="1211" t="str">
        <f>'MSW11'!E84</f>
        <v/>
      </c>
      <c r="F84" s="1323"/>
    </row>
    <row r="85">
      <c r="A85" s="1308" t="str">
        <f>'MSW11'!A85</f>
        <v/>
      </c>
      <c r="B85" s="1205" t="str">
        <f>'MSW11'!B85</f>
        <v/>
      </c>
      <c r="C85" s="1234" t="str">
        <f>'MSW11'!C85</f>
        <v/>
      </c>
      <c r="D85" s="1234" t="str">
        <f>'MSW11'!D85</f>
        <v/>
      </c>
      <c r="E85" s="1010" t="str">
        <f>'MSW11'!E85</f>
        <v/>
      </c>
      <c r="F85" s="1158"/>
    </row>
    <row r="86">
      <c r="A86" s="1310" t="str">
        <f>'MSW11'!A86</f>
        <v/>
      </c>
      <c r="B86" s="1205" t="str">
        <f>'MSW11'!B86</f>
        <v/>
      </c>
      <c r="C86" s="1311" t="str">
        <f>'MSW11'!C86</f>
        <v/>
      </c>
      <c r="D86" s="1234" t="str">
        <f>'MSW11'!D86</f>
        <v/>
      </c>
      <c r="E86" s="1010" t="str">
        <f>'MSW11'!E86</f>
        <v/>
      </c>
      <c r="F86" s="1159"/>
    </row>
    <row r="87">
      <c r="A87" s="1310" t="str">
        <f>'MSW11'!A87</f>
        <v/>
      </c>
      <c r="B87" s="1205" t="str">
        <f>'MSW11'!B87</f>
        <v/>
      </c>
      <c r="C87" s="1311" t="str">
        <f>'MSW11'!C87</f>
        <v/>
      </c>
      <c r="D87" s="1234" t="str">
        <f>'MSW11'!D87</f>
        <v/>
      </c>
      <c r="E87" s="1010" t="str">
        <f>'MSW11'!E87</f>
        <v/>
      </c>
      <c r="F87" s="1324"/>
    </row>
    <row r="88">
      <c r="A88" s="1310" t="str">
        <f>'MSW11'!A88</f>
        <v/>
      </c>
      <c r="B88" s="1205" t="str">
        <f>'MSW11'!B88</f>
        <v/>
      </c>
      <c r="C88" s="1311" t="str">
        <f>'MSW11'!C88</f>
        <v/>
      </c>
      <c r="D88" s="1234" t="str">
        <f>'MSW11'!D88</f>
        <v/>
      </c>
      <c r="E88" s="1312" t="str">
        <f>'MSW11'!E88</f>
        <v/>
      </c>
      <c r="F88" s="1325"/>
    </row>
    <row r="89">
      <c r="A89" s="1310" t="str">
        <f>'MSW11'!A89</f>
        <v/>
      </c>
      <c r="B89" s="1205" t="str">
        <f>'MSW11'!B89</f>
        <v/>
      </c>
      <c r="C89" s="1311" t="str">
        <f>'MSW11'!C89</f>
        <v/>
      </c>
      <c r="D89" s="1234" t="str">
        <f>'MSW11'!D89</f>
        <v/>
      </c>
      <c r="E89" s="1010" t="str">
        <f>'MSW11'!E89</f>
        <v/>
      </c>
      <c r="F89" s="1159"/>
    </row>
    <row r="90">
      <c r="A90" s="1326" t="str">
        <f>'MSW11'!A90</f>
        <v/>
      </c>
      <c r="B90" s="1327" t="str">
        <f>'MSW11'!B90</f>
        <v/>
      </c>
      <c r="C90" s="1328" t="str">
        <f>'MSW11'!C90</f>
        <v/>
      </c>
      <c r="D90" s="1329" t="str">
        <f>'MSW11'!D90</f>
        <v/>
      </c>
      <c r="E90" s="1065" t="str">
        <f>'MSW11'!E90</f>
        <v/>
      </c>
      <c r="F90" s="1324"/>
    </row>
    <row r="91">
      <c r="A91" s="1330" t="str">
        <f>'MSW11'!A91</f>
        <v/>
      </c>
      <c r="B91" s="25"/>
      <c r="C91" s="25"/>
      <c r="D91" s="25"/>
      <c r="E91" s="25"/>
      <c r="F91" s="25"/>
    </row>
    <row r="94">
      <c r="A94" s="1285" t="str">
        <f>'MSW11'!A94</f>
        <v>2. LEG EXTENSION</v>
      </c>
      <c r="B94" s="53"/>
      <c r="C94" s="53"/>
      <c r="D94" s="53"/>
      <c r="E94" s="53"/>
      <c r="F94" s="54"/>
    </row>
    <row r="95">
      <c r="A95" s="1045" t="str">
        <f>'MSW11'!A95</f>
        <v>CURRENT MAX</v>
      </c>
      <c r="B95" s="1046">
        <f>'MSW11'!B95</f>
        <v>50</v>
      </c>
      <c r="C95" s="13"/>
      <c r="D95" s="13"/>
      <c r="E95" s="13"/>
      <c r="F95" s="57"/>
    </row>
    <row r="96">
      <c r="A96" s="1331" t="str">
        <f>'MSW11'!A96</f>
        <v>SET</v>
      </c>
      <c r="B96" s="1332" t="str">
        <f>'MSW11'!B96</f>
        <v>WEIGHT</v>
      </c>
      <c r="C96" s="1332" t="str">
        <f>'MSW11'!C96</f>
        <v>REPS</v>
      </c>
      <c r="D96" s="1332" t="str">
        <f>'MSW11'!D96</f>
        <v>REST</v>
      </c>
      <c r="E96" s="1333" t="str">
        <f>'MSW11'!E96</f>
        <v>PREVIOUS</v>
      </c>
      <c r="F96" s="1334" t="str">
        <f>'MSW11'!F96</f>
        <v>REP LOG</v>
      </c>
    </row>
    <row r="97">
      <c r="A97" s="1316">
        <f>'MSW11'!A97</f>
        <v>1</v>
      </c>
      <c r="B97" s="1317">
        <f>'MSW11'!B97</f>
        <v>50</v>
      </c>
      <c r="C97" s="937">
        <f>'MSW11'!C97</f>
        <v>20</v>
      </c>
      <c r="D97" s="1318" t="str">
        <f>'MSW11'!D97</f>
        <v>1 MIN</v>
      </c>
      <c r="E97" s="1335" t="str">
        <f>'MSW11'!E97</f>
        <v/>
      </c>
      <c r="F97" s="1336"/>
    </row>
    <row r="98">
      <c r="A98" s="1316">
        <f>'MSW11'!A98</f>
        <v>2</v>
      </c>
      <c r="B98" s="1317">
        <f>'MSW11'!B98</f>
        <v>40</v>
      </c>
      <c r="C98" s="937">
        <f>'MSW11'!C98</f>
        <v>20</v>
      </c>
      <c r="D98" s="1318" t="str">
        <f>'MSW11'!D98</f>
        <v>1 MIN</v>
      </c>
      <c r="E98" s="1335" t="str">
        <f>'MSW11'!E98</f>
        <v/>
      </c>
      <c r="F98" s="1336"/>
    </row>
    <row r="99">
      <c r="A99" s="1316">
        <f>'MSW11'!A99</f>
        <v>3</v>
      </c>
      <c r="B99" s="1317">
        <f>'MSW11'!B99</f>
        <v>30</v>
      </c>
      <c r="C99" s="937">
        <f>'MSW11'!C99</f>
        <v>20</v>
      </c>
      <c r="D99" s="1318" t="str">
        <f>'MSW11'!D99</f>
        <v>1 MIN</v>
      </c>
      <c r="E99" s="1335" t="str">
        <f>'MSW11'!E99</f>
        <v/>
      </c>
      <c r="F99" s="1336"/>
    </row>
    <row r="100">
      <c r="A100" s="1337">
        <f>'MSW11'!A100</f>
        <v>4</v>
      </c>
      <c r="B100" s="1320">
        <f>'MSW11'!B100</f>
        <v>25</v>
      </c>
      <c r="C100" s="942">
        <f>'MSW11'!C100</f>
        <v>20</v>
      </c>
      <c r="D100" s="1338" t="str">
        <f>'MSW11'!D100</f>
        <v>1 MIN</v>
      </c>
      <c r="E100" s="1339" t="str">
        <f>'MSW11'!E100</f>
        <v/>
      </c>
      <c r="F100" s="1336"/>
    </row>
    <row r="101">
      <c r="A101" s="1138" t="str">
        <f>'MSW11'!A101</f>
        <v/>
      </c>
    </row>
    <row r="103">
      <c r="A103" s="323" t="str">
        <f>'MSW11'!A103</f>
        <v>3. MACHINE LEG CURL</v>
      </c>
      <c r="B103" s="53"/>
      <c r="C103" s="53"/>
      <c r="D103" s="53"/>
      <c r="E103" s="53"/>
      <c r="F103" s="54"/>
      <c r="G103" s="141" t="str">
        <f>'MSW11'!G103</f>
        <v/>
      </c>
      <c r="H103" s="323" t="str">
        <f>'MSW11'!H103</f>
        <v>3. PRONE LEG CURL</v>
      </c>
      <c r="I103" s="53"/>
      <c r="J103" s="53"/>
      <c r="K103" s="53"/>
      <c r="L103" s="53"/>
      <c r="M103" s="54"/>
      <c r="N103" t="str">
        <f>'MSW11'!N103</f>
        <v/>
      </c>
    </row>
    <row r="104">
      <c r="A104" s="226" t="str">
        <f>'MSW11'!A104</f>
        <v>CURRENT MAX</v>
      </c>
      <c r="B104" s="90">
        <f>'MSW11'!B104</f>
        <v>65</v>
      </c>
      <c r="C104" s="13"/>
      <c r="D104" s="13"/>
      <c r="E104" s="13"/>
      <c r="F104" s="57"/>
      <c r="H104" s="226" t="str">
        <f>'MSW11'!H104</f>
        <v>CURRENT MAX</v>
      </c>
      <c r="I104" s="316">
        <f>'MSW11'!I104</f>
        <v>65</v>
      </c>
      <c r="J104" s="20"/>
      <c r="K104" s="20"/>
      <c r="L104" s="20"/>
      <c r="M104" s="95"/>
    </row>
    <row r="105">
      <c r="A105" s="567" t="str">
        <f>'MSW11'!A105</f>
        <v>SET</v>
      </c>
      <c r="B105" s="568" t="str">
        <f>'MSW11'!B105</f>
        <v>WEIGHT</v>
      </c>
      <c r="C105" s="568" t="str">
        <f>'MSW11'!C105</f>
        <v>REPS</v>
      </c>
      <c r="D105" s="568" t="str">
        <f>'MSW11'!D105</f>
        <v>REST</v>
      </c>
      <c r="E105" s="1047" t="str">
        <f>'MSW11'!E105</f>
        <v>PREVIOUS</v>
      </c>
      <c r="F105" s="1048" t="str">
        <f>'MSW11'!F105</f>
        <v>REP LOG</v>
      </c>
      <c r="H105" s="567" t="str">
        <f>'MSW11'!H105</f>
        <v>SET</v>
      </c>
      <c r="I105" s="568" t="str">
        <f>'MSW11'!I105</f>
        <v>WEIGHT</v>
      </c>
      <c r="J105" s="568" t="str">
        <f>'MSW11'!J105</f>
        <v>REPS</v>
      </c>
      <c r="K105" s="568" t="str">
        <f>'MSW11'!K105</f>
        <v>REST</v>
      </c>
      <c r="L105" s="1047" t="str">
        <f>'MSW11'!L105</f>
        <v>PREVIOUS</v>
      </c>
      <c r="M105" s="1048" t="str">
        <f>'MSW11'!M105</f>
        <v>REP LOG</v>
      </c>
    </row>
    <row r="106">
      <c r="A106" s="1049">
        <f>'MSW11'!A106</f>
        <v>1</v>
      </c>
      <c r="B106" s="1050">
        <f>'MSW11'!B106</f>
        <v>65</v>
      </c>
      <c r="C106" s="1051">
        <f>'MSW11'!C106</f>
        <v>20</v>
      </c>
      <c r="D106" s="1052" t="str">
        <f>'MSW11'!D106</f>
        <v>1 MIN</v>
      </c>
      <c r="E106" s="1244" t="str">
        <f>'MSW11'!E106</f>
        <v/>
      </c>
      <c r="F106" s="1133"/>
      <c r="G106" s="434" t="str">
        <f>'MSW11'!G106</f>
        <v>ALTERNATE</v>
      </c>
      <c r="H106" s="1049">
        <f>'MSW11'!H106</f>
        <v>1</v>
      </c>
      <c r="I106" s="1050">
        <f>'MSW11'!I106</f>
        <v>65</v>
      </c>
      <c r="J106" s="1051">
        <f>'MSW11'!J106</f>
        <v>20</v>
      </c>
      <c r="K106" s="1052" t="str">
        <f>'MSW11'!K106</f>
        <v>1 MIN</v>
      </c>
      <c r="L106" s="1244" t="str">
        <f>'MSW11'!L106</f>
        <v/>
      </c>
      <c r="M106" s="1340"/>
    </row>
    <row r="107">
      <c r="A107" s="1316">
        <f>'MSW11'!A107</f>
        <v>2</v>
      </c>
      <c r="B107" s="1317">
        <f>'MSW11'!B107</f>
        <v>50</v>
      </c>
      <c r="C107" s="937">
        <f>'MSW11'!C107</f>
        <v>20</v>
      </c>
      <c r="D107" s="1318" t="str">
        <f>'MSW11'!D107</f>
        <v>1 MIN</v>
      </c>
      <c r="E107" s="1244" t="str">
        <f>'MSW11'!E107</f>
        <v/>
      </c>
      <c r="F107" s="1133"/>
      <c r="H107" s="1316">
        <f>'MSW11'!H107</f>
        <v>2</v>
      </c>
      <c r="I107" s="1317">
        <f>'MSW11'!I107</f>
        <v>50</v>
      </c>
      <c r="J107" s="937">
        <f>'MSW11'!J107</f>
        <v>20</v>
      </c>
      <c r="K107" s="1318" t="str">
        <f>'MSW11'!K107</f>
        <v>1 MIN</v>
      </c>
      <c r="L107" s="1244" t="str">
        <f>'MSW11'!L107</f>
        <v/>
      </c>
      <c r="M107" s="1340"/>
    </row>
    <row r="108">
      <c r="A108" s="1316">
        <f>'MSW11'!A108</f>
        <v>3</v>
      </c>
      <c r="B108" s="1317">
        <f>'MSW11'!B108</f>
        <v>40</v>
      </c>
      <c r="C108" s="937">
        <f>'MSW11'!C108</f>
        <v>20</v>
      </c>
      <c r="D108" s="1318" t="str">
        <f>'MSW11'!D108</f>
        <v>1 MIN</v>
      </c>
      <c r="E108" s="1244" t="str">
        <f>'MSW11'!E108</f>
        <v/>
      </c>
      <c r="F108" s="1133"/>
      <c r="G108" s="682" t="str">
        <f>'MSW11'!G108</f>
        <v/>
      </c>
      <c r="H108" s="1316">
        <f>'MSW11'!H108</f>
        <v>3</v>
      </c>
      <c r="I108" s="1317">
        <f>'MSW11'!I108</f>
        <v>40</v>
      </c>
      <c r="J108" s="937">
        <f>'MSW11'!J108</f>
        <v>20</v>
      </c>
      <c r="K108" s="1318" t="str">
        <f>'MSW11'!K108</f>
        <v>1 MIN</v>
      </c>
      <c r="L108" s="1244" t="str">
        <f>'MSW11'!L108</f>
        <v/>
      </c>
      <c r="M108" s="1340"/>
    </row>
    <row r="109">
      <c r="A109" s="1319">
        <f>'MSW11'!A109</f>
        <v>4</v>
      </c>
      <c r="B109" s="1320">
        <f>'MSW11'!B109</f>
        <v>30</v>
      </c>
      <c r="C109" s="1320">
        <f>'MSW11'!C109</f>
        <v>20</v>
      </c>
      <c r="D109" s="1320" t="str">
        <f>'MSW11'!D109</f>
        <v>1 MIN</v>
      </c>
      <c r="E109" s="1255" t="str">
        <f>'MSW11'!E109</f>
        <v/>
      </c>
      <c r="F109" s="1340"/>
      <c r="H109" s="1319">
        <f>'MSW11'!H109</f>
        <v>4</v>
      </c>
      <c r="I109" s="1320">
        <f>'MSW11'!I109</f>
        <v>30</v>
      </c>
      <c r="J109" s="1320">
        <f>'MSW11'!J109</f>
        <v>20</v>
      </c>
      <c r="K109" s="1320" t="str">
        <f>'MSW11'!K109</f>
        <v>1 MIN</v>
      </c>
      <c r="L109" s="1255" t="str">
        <f>'MSW11'!L109</f>
        <v/>
      </c>
      <c r="M109" s="1340"/>
    </row>
    <row r="110">
      <c r="A110" t="str">
        <f>'MSW11'!A110</f>
        <v/>
      </c>
      <c r="B110" t="str">
        <f>'MSW11'!B110</f>
        <v/>
      </c>
      <c r="C110" t="str">
        <f>'MSW11'!C110</f>
        <v/>
      </c>
      <c r="D110" t="str">
        <f>'MSW11'!D110</f>
        <v/>
      </c>
      <c r="E110" t="str">
        <f>'MSW11'!E110</f>
        <v/>
      </c>
      <c r="F110" t="str">
        <f>'MSW11'!F110</f>
        <v/>
      </c>
      <c r="G110" t="str">
        <f>'MSW11'!G110</f>
        <v/>
      </c>
    </row>
    <row r="111">
      <c r="A111" s="1120" t="str">
        <f>'MSW11'!A111</f>
        <v>DAY 3</v>
      </c>
      <c r="B111" s="36"/>
      <c r="C111" s="36"/>
      <c r="D111" s="36"/>
      <c r="E111" s="36"/>
      <c r="F111" s="37"/>
    </row>
    <row r="112">
      <c r="A112" t="str">
        <f>'MSW11'!A112</f>
        <v/>
      </c>
    </row>
    <row r="114">
      <c r="A114" s="960" t="str">
        <f>'MSW11'!A114</f>
        <v>1. SHOULDER CLEANS</v>
      </c>
      <c r="B114" s="53"/>
      <c r="C114" s="53"/>
      <c r="D114" s="53"/>
      <c r="E114" s="53"/>
      <c r="F114" s="54"/>
    </row>
    <row r="115">
      <c r="A115" s="961" t="str">
        <f>'MSW11'!A115</f>
        <v>CURRENT MAX</v>
      </c>
      <c r="B115" s="76">
        <f>'MSW11'!B115</f>
        <v>70</v>
      </c>
      <c r="C115" s="13"/>
      <c r="D115" s="13"/>
      <c r="E115" s="13"/>
      <c r="F115" s="57"/>
    </row>
    <row r="116">
      <c r="A116" s="962" t="str">
        <f>'MSW11'!A116</f>
        <v>SET</v>
      </c>
      <c r="B116" s="963" t="str">
        <f>'MSW11'!B116</f>
        <v>WEIGHT</v>
      </c>
      <c r="C116" s="963" t="str">
        <f>'MSW11'!C116</f>
        <v>REPS</v>
      </c>
      <c r="D116" s="981" t="str">
        <f>'MSW11'!D116</f>
        <v>REST</v>
      </c>
      <c r="E116" s="965" t="str">
        <f>'MSW11'!E116</f>
        <v>PREVIOUS</v>
      </c>
      <c r="F116" s="966" t="str">
        <f>'MSW11'!F116</f>
        <v>REP LOG</v>
      </c>
    </row>
    <row r="117">
      <c r="A117" s="967">
        <f>'MSW11'!A117</f>
        <v>1</v>
      </c>
      <c r="B117" s="968">
        <f>'MSW11'!B117</f>
        <v>70</v>
      </c>
      <c r="C117" s="968">
        <f>'MSW11'!C117</f>
        <v>20</v>
      </c>
      <c r="D117" s="969" t="str">
        <f>'MSW11'!D117</f>
        <v>1 MIN</v>
      </c>
      <c r="E117" s="970" t="str">
        <f>'MSW11'!E117</f>
        <v/>
      </c>
      <c r="F117" s="982"/>
    </row>
    <row r="118">
      <c r="A118" s="967">
        <f>'MSW11'!A118</f>
        <v>2</v>
      </c>
      <c r="B118" s="968">
        <f>'MSW11'!B118</f>
        <v>55</v>
      </c>
      <c r="C118" s="968">
        <f>'MSW11'!C118</f>
        <v>20</v>
      </c>
      <c r="D118" s="969" t="str">
        <f>'MSW11'!D118</f>
        <v>1 MIN</v>
      </c>
      <c r="E118" s="970" t="str">
        <f>'MSW11'!E118</f>
        <v/>
      </c>
      <c r="F118" s="982"/>
    </row>
    <row r="119">
      <c r="A119" s="971">
        <f>'MSW11'!A119</f>
        <v>3</v>
      </c>
      <c r="B119" s="972">
        <f>'MSW11'!B119</f>
        <v>35</v>
      </c>
      <c r="C119" s="972">
        <f>'MSW11'!C119</f>
        <v>20</v>
      </c>
      <c r="D119" s="973" t="str">
        <f>'MSW11'!D119</f>
        <v>1 MIN</v>
      </c>
      <c r="E119" s="974" t="str">
        <f>'MSW11'!E119</f>
        <v/>
      </c>
      <c r="F119" s="1131"/>
    </row>
    <row r="120">
      <c r="A120" t="str">
        <f>'MSW11'!A120</f>
        <v/>
      </c>
      <c r="B120" t="str">
        <f>'MSW11'!B120</f>
        <v/>
      </c>
      <c r="C120" t="str">
        <f>'MSW11'!C120</f>
        <v/>
      </c>
      <c r="D120" t="str">
        <f>'MSW11'!D120</f>
        <v/>
      </c>
      <c r="E120" t="str">
        <f>'MSW11'!E120</f>
        <v/>
      </c>
      <c r="F120" t="str">
        <f>'MSW11'!F120</f>
        <v/>
      </c>
    </row>
    <row r="121">
      <c r="A121" s="361" t="str">
        <f>'MSW11'!A121</f>
        <v>2.  CABLE HIGH PULLEY ROW</v>
      </c>
      <c r="B121" s="53"/>
      <c r="C121" s="53"/>
      <c r="D121" s="53"/>
      <c r="E121" s="53"/>
      <c r="F121" s="54"/>
    </row>
    <row r="122">
      <c r="A122" s="226" t="str">
        <f>'MSW11'!A122</f>
        <v>CURRENT MAX</v>
      </c>
      <c r="B122" s="90">
        <v>90.0</v>
      </c>
      <c r="C122" s="13"/>
      <c r="D122" s="13"/>
      <c r="E122" s="13"/>
      <c r="F122" s="57"/>
    </row>
    <row r="123">
      <c r="A123" s="77" t="str">
        <f>'MSW11'!A123</f>
        <v>SET</v>
      </c>
      <c r="B123" s="78" t="str">
        <f>'MSW11'!B123</f>
        <v>WEIGHT</v>
      </c>
      <c r="C123" s="78" t="str">
        <f>'MSW11'!C123</f>
        <v>REPS</v>
      </c>
      <c r="D123" s="78" t="str">
        <f>'MSW11'!D123</f>
        <v>REST</v>
      </c>
      <c r="E123" s="80" t="str">
        <f>'MSW11'!E123</f>
        <v>PREVIOUS</v>
      </c>
      <c r="F123" s="235" t="str">
        <f>'MSW11'!F123</f>
        <v>REP LOG</v>
      </c>
    </row>
    <row r="124">
      <c r="A124" s="81">
        <f>'MSW11'!A124</f>
        <v>1</v>
      </c>
      <c r="B124" s="82">
        <f>'MSW11'!B124</f>
        <v>45</v>
      </c>
      <c r="C124" s="65">
        <f>'MSW11'!C124</f>
        <v>20</v>
      </c>
      <c r="D124" s="83" t="str">
        <f>'MSW11'!D124</f>
        <v>1MIN</v>
      </c>
      <c r="E124" s="84" t="str">
        <f>'MSW11'!E124</f>
        <v/>
      </c>
      <c r="F124" s="85"/>
    </row>
    <row r="125">
      <c r="A125" s="81">
        <f>'MSW11'!A125</f>
        <v>2</v>
      </c>
      <c r="B125" s="82">
        <f>'MSW11'!B125</f>
        <v>35</v>
      </c>
      <c r="C125" s="65">
        <f>'MSW11'!C125</f>
        <v>20</v>
      </c>
      <c r="D125" s="83" t="str">
        <f>'MSW11'!D125</f>
        <v>1MIN</v>
      </c>
      <c r="E125" s="84" t="str">
        <f>'MSW11'!E125</f>
        <v/>
      </c>
      <c r="F125" s="85"/>
    </row>
    <row r="126">
      <c r="A126" s="86">
        <f>'MSW11'!A126</f>
        <v>3</v>
      </c>
      <c r="B126" s="87">
        <f>'MSW11'!B126</f>
        <v>30</v>
      </c>
      <c r="C126" s="71">
        <f>'MSW11'!C126</f>
        <v>20</v>
      </c>
      <c r="D126" s="88" t="str">
        <f>'MSW11'!D126</f>
        <v>1MIN</v>
      </c>
      <c r="E126" s="89" t="str">
        <f>'MSW11'!E126</f>
        <v/>
      </c>
      <c r="F126" s="85" t="str">
        <f>'MSW11'!F126</f>
        <v/>
      </c>
    </row>
    <row r="127">
      <c r="A127" t="str">
        <f>'MSW11'!A127</f>
        <v/>
      </c>
      <c r="B127" t="str">
        <f>'MSW11'!B127</f>
        <v/>
      </c>
      <c r="C127" t="str">
        <f>'MSW11'!C127</f>
        <v/>
      </c>
      <c r="D127" t="str">
        <f>'MSW11'!D127</f>
        <v/>
      </c>
      <c r="E127" t="str">
        <f>'MSW11'!E127</f>
        <v/>
      </c>
      <c r="F127" t="str">
        <f>'MSW11'!F127</f>
        <v/>
      </c>
    </row>
    <row r="128">
      <c r="A128" s="513" t="str">
        <f>'MSW11'!A128</f>
        <v>3. DUMBBELL SIDE LATERAL RAISE</v>
      </c>
      <c r="B128" s="53"/>
      <c r="C128" s="53"/>
      <c r="D128" s="53"/>
      <c r="E128" s="53"/>
      <c r="F128" s="54"/>
    </row>
    <row r="129">
      <c r="A129" s="226" t="str">
        <f>'MSW11'!A129</f>
        <v>SHLDR PRSS MAX</v>
      </c>
      <c r="B129" s="90">
        <f>'MSW11'!B129</f>
        <v>0</v>
      </c>
      <c r="C129" s="13"/>
      <c r="D129" s="13"/>
      <c r="E129" s="13"/>
      <c r="F129" s="57"/>
    </row>
    <row r="130">
      <c r="A130" s="376" t="str">
        <f>'MSW11'!A130</f>
        <v>SET</v>
      </c>
      <c r="B130" s="79" t="str">
        <f>'MSW11'!B130</f>
        <v>WEIGHT</v>
      </c>
      <c r="C130" s="79" t="str">
        <f>'MSW11'!C130</f>
        <v>REPS</v>
      </c>
      <c r="D130" s="79" t="str">
        <f>'MSW11'!D130</f>
        <v>REST</v>
      </c>
      <c r="E130" s="98" t="str">
        <f>'MSW11'!E130</f>
        <v>PREVIOUS</v>
      </c>
      <c r="F130" s="377" t="str">
        <f>'MSW11'!F130</f>
        <v>REP LOG</v>
      </c>
    </row>
    <row r="131">
      <c r="A131" s="81">
        <f>'MSW11'!A131</f>
        <v>1</v>
      </c>
      <c r="B131" s="82">
        <f>'MSW11'!B131</f>
        <v>0</v>
      </c>
      <c r="C131" s="65">
        <f>'MSW11'!C131</f>
        <v>20</v>
      </c>
      <c r="D131" s="83" t="str">
        <f>'MSW11'!D131</f>
        <v>1 MIN</v>
      </c>
      <c r="E131" s="378" t="str">
        <f>'MSW11'!E131</f>
        <v/>
      </c>
      <c r="F131" s="796"/>
    </row>
    <row r="132">
      <c r="A132" s="81">
        <f>'MSW11'!A132</f>
        <v>2</v>
      </c>
      <c r="B132" s="82">
        <f>'MSW11'!B132</f>
        <v>0</v>
      </c>
      <c r="C132" s="65">
        <f>'MSW11'!C132</f>
        <v>20</v>
      </c>
      <c r="D132" s="83" t="str">
        <f>'MSW11'!D132</f>
        <v>1 MIN</v>
      </c>
      <c r="E132" s="378" t="str">
        <f>'MSW11'!E132</f>
        <v/>
      </c>
      <c r="F132" s="330"/>
    </row>
    <row r="133">
      <c r="A133" s="86">
        <f>'MSW11'!A133</f>
        <v>3</v>
      </c>
      <c r="B133" s="87">
        <f>'MSW11'!B133</f>
        <v>0</v>
      </c>
      <c r="C133" s="71">
        <f>'MSW11'!C133</f>
        <v>20</v>
      </c>
      <c r="D133" s="88" t="str">
        <f>'MSW11'!D133</f>
        <v>1 MIN</v>
      </c>
      <c r="E133" s="379" t="str">
        <f>'MSW11'!E133</f>
        <v/>
      </c>
      <c r="F133" s="85"/>
    </row>
    <row r="134">
      <c r="A134" t="str">
        <f>'MSW11'!A134</f>
        <v/>
      </c>
    </row>
    <row r="136">
      <c r="A136" s="73" t="str">
        <f>'MSW11'!A136</f>
        <v>4. TRICEP PUSH DOWNS</v>
      </c>
      <c r="B136" s="53"/>
      <c r="C136" s="53"/>
      <c r="D136" s="53"/>
      <c r="E136" s="53"/>
      <c r="F136" s="54"/>
    </row>
    <row r="137">
      <c r="A137" s="226" t="str">
        <f>'MSW11'!A137</f>
        <v>CURRENT MAX</v>
      </c>
      <c r="B137" s="90">
        <f>'MSW11'!B137</f>
        <v>30</v>
      </c>
      <c r="C137" s="13"/>
      <c r="D137" s="13"/>
      <c r="E137" s="13"/>
      <c r="F137" s="57"/>
    </row>
    <row r="138">
      <c r="A138" s="77" t="str">
        <f>'MSW11'!A138</f>
        <v>SET</v>
      </c>
      <c r="B138" s="78" t="str">
        <f>'MSW11'!B138</f>
        <v>WEIGHT</v>
      </c>
      <c r="C138" s="78" t="str">
        <f>'MSW11'!C138</f>
        <v>REPS</v>
      </c>
      <c r="D138" s="78" t="str">
        <f>'MSW11'!D138</f>
        <v>REST</v>
      </c>
      <c r="E138" s="80" t="str">
        <f>'MSW11'!E138</f>
        <v>PREVIOUS</v>
      </c>
      <c r="F138" s="235" t="str">
        <f>'MSW11'!F138</f>
        <v>REP LOG</v>
      </c>
    </row>
    <row r="139">
      <c r="A139" s="81">
        <f>'MSW11'!A139</f>
        <v>1</v>
      </c>
      <c r="B139" s="82">
        <f>'MSW11'!B139</f>
        <v>15</v>
      </c>
      <c r="C139" s="65">
        <f>'MSW11'!C139</f>
        <v>20</v>
      </c>
      <c r="D139" s="83" t="str">
        <f>'MSW11'!D139</f>
        <v>1MIN</v>
      </c>
      <c r="E139" s="84" t="str">
        <f>'MSW11'!E139</f>
        <v/>
      </c>
      <c r="F139" s="85" t="str">
        <f>'MSW11'!F139</f>
        <v/>
      </c>
    </row>
    <row r="140">
      <c r="A140" s="81">
        <f>'MSW11'!A140</f>
        <v>2</v>
      </c>
      <c r="B140" s="82">
        <f>'MSW11'!B140</f>
        <v>10</v>
      </c>
      <c r="C140" s="65">
        <f>'MSW11'!C140</f>
        <v>20</v>
      </c>
      <c r="D140" s="83" t="str">
        <f>'MSW11'!D140</f>
        <v>1MIN</v>
      </c>
      <c r="E140" s="84"/>
      <c r="F140" s="85" t="str">
        <f>'MSW11'!F140</f>
        <v/>
      </c>
    </row>
    <row r="141">
      <c r="A141" s="86">
        <f>'MSW11'!A141</f>
        <v>3</v>
      </c>
      <c r="B141" s="87">
        <f>'MSW11'!B141</f>
        <v>10</v>
      </c>
      <c r="C141" s="71">
        <f>'MSW11'!C141</f>
        <v>20</v>
      </c>
      <c r="D141" s="88" t="str">
        <f>'MSW11'!D141</f>
        <v>1MIN</v>
      </c>
      <c r="E141" s="1341" t="str">
        <f>'MSW11'!E141</f>
        <v>REP LOG</v>
      </c>
      <c r="F141" s="85" t="str">
        <f>'MSW11'!F141</f>
        <v/>
      </c>
    </row>
    <row r="142">
      <c r="A142" t="str">
        <f>'MSW11'!A142</f>
        <v/>
      </c>
    </row>
    <row r="144">
      <c r="A144" s="75" t="str">
        <f>'MSW11'!A144</f>
        <v>5. BICEP CABLE CURL</v>
      </c>
      <c r="B144" s="53"/>
      <c r="C144" s="53"/>
      <c r="D144" s="53"/>
      <c r="E144" s="53"/>
      <c r="F144" s="54"/>
    </row>
    <row r="145">
      <c r="A145" s="226" t="str">
        <f>'MSW11'!A145</f>
        <v>CURRENT MAX</v>
      </c>
      <c r="B145" s="90">
        <f>'MSW11'!B145</f>
        <v>30</v>
      </c>
      <c r="C145" s="13"/>
      <c r="D145" s="13"/>
      <c r="E145" s="13"/>
      <c r="F145" s="57"/>
    </row>
    <row r="146">
      <c r="A146" s="77" t="str">
        <f>'MSW11'!A146</f>
        <v>SET</v>
      </c>
      <c r="B146" s="78" t="str">
        <f>'MSW11'!B146</f>
        <v>WEIGHT</v>
      </c>
      <c r="C146" s="78" t="str">
        <f>'MSW11'!C146</f>
        <v>REPS</v>
      </c>
      <c r="D146" s="78" t="str">
        <f>'MSW11'!D146</f>
        <v>REST</v>
      </c>
      <c r="E146" s="80" t="str">
        <f>'MSW11'!E146</f>
        <v>PREVIOUS</v>
      </c>
      <c r="F146" s="235" t="str">
        <f>'MSW11'!F146</f>
        <v>REP LOG</v>
      </c>
    </row>
    <row r="147">
      <c r="A147" s="81">
        <f>'MSW11'!A147</f>
        <v>1</v>
      </c>
      <c r="B147" s="82">
        <f>'MSW11'!B147</f>
        <v>15</v>
      </c>
      <c r="C147" s="65">
        <f>'MSW11'!C147</f>
        <v>20</v>
      </c>
      <c r="D147" s="83" t="str">
        <f>'MSW11'!D147</f>
        <v>1MIN</v>
      </c>
      <c r="E147" s="84" t="str">
        <f>'MSW11'!E147</f>
        <v/>
      </c>
      <c r="F147" s="85" t="str">
        <f>'MSW11'!F147</f>
        <v/>
      </c>
    </row>
    <row r="148">
      <c r="A148" s="81">
        <f>'MSW11'!A148</f>
        <v>2</v>
      </c>
      <c r="B148" s="82">
        <f>'MSW11'!B148</f>
        <v>10</v>
      </c>
      <c r="C148" s="65">
        <f>'MSW11'!C148</f>
        <v>20</v>
      </c>
      <c r="D148" s="83" t="str">
        <f>'MSW11'!D148</f>
        <v>1MIN</v>
      </c>
      <c r="E148" s="84" t="str">
        <f>'MSW11'!E148</f>
        <v/>
      </c>
      <c r="F148" s="85" t="str">
        <f>'MSW11'!F148</f>
        <v/>
      </c>
    </row>
    <row r="149">
      <c r="A149" s="86">
        <f>'MSW11'!A149</f>
        <v>3</v>
      </c>
      <c r="B149" s="87">
        <f>'MSW11'!B149</f>
        <v>10</v>
      </c>
      <c r="C149" s="71">
        <f>'MSW11'!C149</f>
        <v>20</v>
      </c>
      <c r="D149" s="88" t="str">
        <f>'MSW11'!D149</f>
        <v>1MIN</v>
      </c>
      <c r="E149" s="89" t="str">
        <f>'MSW11'!E149</f>
        <v/>
      </c>
      <c r="F149" s="85" t="str">
        <f>'MSW11'!F149</f>
        <v/>
      </c>
    </row>
    <row r="150">
      <c r="A150" t="str">
        <f>'MSW11'!A150</f>
        <v/>
      </c>
      <c r="G150" t="str">
        <f>'MSW11'!G150</f>
        <v/>
      </c>
    </row>
    <row r="154">
      <c r="A154" s="310" t="str">
        <f>'MSW11'!A154</f>
        <v>CLICK TO COMPLETE WORKOUT</v>
      </c>
      <c r="B154" s="36"/>
      <c r="C154" s="36"/>
      <c r="D154" s="36"/>
      <c r="E154" s="36"/>
      <c r="F154" s="37"/>
    </row>
    <row r="155">
      <c r="A155" s="598" t="str">
        <f>'MSW11'!A155</f>
        <v/>
      </c>
      <c r="B155" s="598" t="str">
        <f>'MSW11'!B155</f>
        <v/>
      </c>
      <c r="C155" s="598" t="str">
        <f>'MSW11'!C155</f>
        <v/>
      </c>
      <c r="D155" s="598" t="str">
        <f>'MSW11'!D155</f>
        <v/>
      </c>
      <c r="E155" s="598" t="str">
        <f>'MSW11'!E155</f>
        <v/>
      </c>
      <c r="F155" s="598" t="str">
        <f>'MSW11'!F155</f>
        <v/>
      </c>
    </row>
    <row r="156">
      <c r="A156" s="639" t="str">
        <f>'MSW11'!A156</f>
        <v>WORKOUT COMPLETE!</v>
      </c>
      <c r="B156" s="36"/>
      <c r="C156" s="36"/>
      <c r="D156" s="36"/>
      <c r="E156" s="36"/>
      <c r="F156" s="37"/>
    </row>
    <row r="157">
      <c r="A157" s="883" t="str">
        <f>'MSW11'!A157</f>
        <v/>
      </c>
    </row>
    <row r="158">
      <c r="A158" s="1342" t="str">
        <f>'MSW11'!A158</f>
        <v>WANT TO LEARN MORE?</v>
      </c>
      <c r="B158" s="25"/>
      <c r="C158" s="25"/>
      <c r="D158" s="25"/>
      <c r="E158" s="25"/>
      <c r="F158" s="26"/>
    </row>
    <row r="159">
      <c r="A159" s="1343"/>
      <c r="B159" s="13"/>
      <c r="C159" s="13"/>
      <c r="D159" s="13"/>
      <c r="E159" s="13"/>
      <c r="F159" s="57"/>
    </row>
    <row r="160">
      <c r="A160" s="885" t="str">
        <f>'MSW11'!A160</f>
        <v/>
      </c>
      <c r="B160" s="886" t="str">
        <f>'MSW11'!B160</f>
        <v/>
      </c>
      <c r="C160" s="644" t="str">
        <f>'MSW11'!C160</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60" s="25"/>
      <c r="E160" s="25"/>
      <c r="F160" s="26"/>
    </row>
    <row r="161">
      <c r="A161" s="887" t="str">
        <f>'MSW11'!A161</f>
        <v/>
      </c>
      <c r="B161" s="888" t="str">
        <f>'MSW11'!B161</f>
        <v/>
      </c>
      <c r="C161" s="529"/>
      <c r="F161" s="28"/>
    </row>
    <row r="162">
      <c r="A162" s="887" t="str">
        <f>'MSW11'!A162</f>
        <v/>
      </c>
      <c r="B162" s="888" t="str">
        <f>'MSW11'!B162</f>
        <v/>
      </c>
      <c r="C162" s="529"/>
      <c r="F162" s="28"/>
    </row>
    <row r="163">
      <c r="A163" s="887" t="str">
        <f>'MSW11'!A163</f>
        <v/>
      </c>
      <c r="B163" s="888" t="str">
        <f>'MSW11'!B163</f>
        <v/>
      </c>
      <c r="C163" s="529"/>
      <c r="F163" s="28"/>
    </row>
    <row r="164">
      <c r="A164" s="887" t="str">
        <f>'MSW11'!A164</f>
        <v/>
      </c>
      <c r="B164" s="888" t="str">
        <f>'MSW11'!B164</f>
        <v/>
      </c>
      <c r="C164" s="529"/>
      <c r="F164" s="28"/>
    </row>
    <row r="165">
      <c r="A165" s="887" t="str">
        <f>'MSW11'!A165</f>
        <v/>
      </c>
      <c r="B165" s="888" t="str">
        <f>'MSW11'!B165</f>
        <v/>
      </c>
      <c r="C165" s="529"/>
      <c r="F165" s="28"/>
    </row>
    <row r="166">
      <c r="A166" s="889" t="str">
        <f>'MSW11'!A166</f>
        <v/>
      </c>
      <c r="B166" s="888" t="str">
        <f>'MSW11'!B166</f>
        <v/>
      </c>
      <c r="C166" s="529"/>
      <c r="F166" s="28"/>
    </row>
    <row r="167">
      <c r="A167" s="887" t="str">
        <f>'MSW11'!A167</f>
        <v/>
      </c>
      <c r="B167" s="888" t="str">
        <f>'MSW11'!B167</f>
        <v/>
      </c>
      <c r="C167" s="529"/>
      <c r="F167" s="28"/>
    </row>
    <row r="168">
      <c r="A168" s="887" t="str">
        <f>'MSW11'!A168</f>
        <v/>
      </c>
      <c r="B168" s="888" t="str">
        <f>'MSW11'!B168</f>
        <v/>
      </c>
      <c r="C168" s="529"/>
      <c r="F168" s="28"/>
    </row>
    <row r="169">
      <c r="A169" s="890" t="str">
        <f>'MSW11'!A169</f>
        <v/>
      </c>
      <c r="B169" s="888" t="str">
        <f>'MSW11'!B169</f>
        <v/>
      </c>
      <c r="C169" s="529"/>
      <c r="F169" s="28"/>
    </row>
    <row r="170">
      <c r="A170" s="887" t="str">
        <f>'MSW11'!A170</f>
        <v/>
      </c>
      <c r="B170" s="888" t="str">
        <f>'MSW11'!B170</f>
        <v/>
      </c>
      <c r="C170" s="529"/>
      <c r="F170" s="28"/>
    </row>
    <row r="171">
      <c r="A171" s="887" t="str">
        <f>'MSW11'!A171</f>
        <v/>
      </c>
      <c r="B171" s="888" t="str">
        <f>'MSW11'!B171</f>
        <v/>
      </c>
      <c r="C171" s="529"/>
      <c r="F171" s="28"/>
    </row>
    <row r="172">
      <c r="A172" s="887" t="str">
        <f>'MSW11'!A172</f>
        <v/>
      </c>
      <c r="B172" s="888" t="str">
        <f>'MSW11'!B172</f>
        <v/>
      </c>
      <c r="C172" s="529"/>
      <c r="F172" s="28"/>
    </row>
    <row r="173">
      <c r="A173" s="887" t="str">
        <f>'MSW11'!A173</f>
        <v/>
      </c>
      <c r="B173" s="888" t="str">
        <f>'MSW11'!B173</f>
        <v/>
      </c>
      <c r="C173" s="529"/>
      <c r="F173" s="28"/>
    </row>
    <row r="174">
      <c r="A174" s="891" t="str">
        <f>'MSW11'!A174</f>
        <v/>
      </c>
      <c r="B174" s="892" t="str">
        <f>'MSW11'!B174</f>
        <v/>
      </c>
      <c r="C174" s="336"/>
      <c r="D174" s="11"/>
      <c r="E174" s="11"/>
      <c r="F174" s="46"/>
    </row>
  </sheetData>
  <mergeCells count="98">
    <mergeCell ref="A27:F27"/>
    <mergeCell ref="H27:M27"/>
    <mergeCell ref="N27:N28"/>
    <mergeCell ref="O27:T27"/>
    <mergeCell ref="H29:M29"/>
    <mergeCell ref="O29:T29"/>
    <mergeCell ref="A30:F30"/>
    <mergeCell ref="B33:F33"/>
    <mergeCell ref="A34:G34"/>
    <mergeCell ref="P34:T34"/>
    <mergeCell ref="A35:N36"/>
    <mergeCell ref="A37:F37"/>
    <mergeCell ref="H37:M37"/>
    <mergeCell ref="I38:M38"/>
    <mergeCell ref="A78:F78"/>
    <mergeCell ref="B79:F79"/>
    <mergeCell ref="A59:F59"/>
    <mergeCell ref="B60:F60"/>
    <mergeCell ref="A65:F66"/>
    <mergeCell ref="A67:F67"/>
    <mergeCell ref="B68:F68"/>
    <mergeCell ref="A74:F74"/>
    <mergeCell ref="A76:F76"/>
    <mergeCell ref="G20:G23"/>
    <mergeCell ref="G24:G25"/>
    <mergeCell ref="G26:G33"/>
    <mergeCell ref="G37:G41"/>
    <mergeCell ref="H20:M20"/>
    <mergeCell ref="I21:M21"/>
    <mergeCell ref="N29:N34"/>
    <mergeCell ref="I34:M34"/>
    <mergeCell ref="N38:N41"/>
    <mergeCell ref="G42:N102"/>
    <mergeCell ref="G103:G105"/>
    <mergeCell ref="I104:M104"/>
    <mergeCell ref="A91:F93"/>
    <mergeCell ref="A94:F94"/>
    <mergeCell ref="B95:F95"/>
    <mergeCell ref="A101:F102"/>
    <mergeCell ref="A103:F103"/>
    <mergeCell ref="B104:F104"/>
    <mergeCell ref="A111:F111"/>
    <mergeCell ref="A112:F113"/>
    <mergeCell ref="A114:F114"/>
    <mergeCell ref="B115:F115"/>
    <mergeCell ref="A121:F121"/>
    <mergeCell ref="B122:F122"/>
    <mergeCell ref="A128:F128"/>
    <mergeCell ref="B129:F129"/>
    <mergeCell ref="A1:T8"/>
    <mergeCell ref="A9:F9"/>
    <mergeCell ref="G9:G11"/>
    <mergeCell ref="H9:M9"/>
    <mergeCell ref="N9:T11"/>
    <mergeCell ref="A10:F11"/>
    <mergeCell ref="H10:M10"/>
    <mergeCell ref="A12:F12"/>
    <mergeCell ref="G12:T14"/>
    <mergeCell ref="A13:F13"/>
    <mergeCell ref="A14:F14"/>
    <mergeCell ref="A15:F15"/>
    <mergeCell ref="H15:M15"/>
    <mergeCell ref="N15:T15"/>
    <mergeCell ref="O19:T19"/>
    <mergeCell ref="O20:T20"/>
    <mergeCell ref="O35:T174"/>
    <mergeCell ref="A16:T18"/>
    <mergeCell ref="A19:F19"/>
    <mergeCell ref="H19:M19"/>
    <mergeCell ref="N19:N26"/>
    <mergeCell ref="A20:F20"/>
    <mergeCell ref="B21:F21"/>
    <mergeCell ref="P21:T21"/>
    <mergeCell ref="B38:F38"/>
    <mergeCell ref="A42:F43"/>
    <mergeCell ref="A44:F44"/>
    <mergeCell ref="B45:F45"/>
    <mergeCell ref="A51:F51"/>
    <mergeCell ref="A54:F54"/>
    <mergeCell ref="B57:F57"/>
    <mergeCell ref="H103:M103"/>
    <mergeCell ref="N103:N109"/>
    <mergeCell ref="G106:G107"/>
    <mergeCell ref="G108:G109"/>
    <mergeCell ref="G110:N149"/>
    <mergeCell ref="G150:N174"/>
    <mergeCell ref="A154:F154"/>
    <mergeCell ref="A156:F156"/>
    <mergeCell ref="A157:F157"/>
    <mergeCell ref="A158:F159"/>
    <mergeCell ref="C160:F174"/>
    <mergeCell ref="A134:F135"/>
    <mergeCell ref="A136:F136"/>
    <mergeCell ref="B137:F137"/>
    <mergeCell ref="A142:F143"/>
    <mergeCell ref="A144:F144"/>
    <mergeCell ref="B145:F145"/>
    <mergeCell ref="A150:F153"/>
  </mergeCells>
  <dataValidations>
    <dataValidation type="decimal" allowBlank="1" showDropDown="1" showInputMessage="1" showErrorMessage="1" prompt="Enter a number between 0 and 30" sqref="F22:F26 M22:M26 T22:T26 M28 T28 F28:F29 F31:F32 M30:M33 T30:T33 F39:F41 M39:M41 F46:F50 F52:F53 F55:F56 F58 F61:F64 F69:F73 F75 F77 F80:F90 F96:F100 M105:M109 F105:F110 F116:F120 F123:F127 F130:F133 F138:F141 F146:F149 F155">
      <formula1>0.0</formula1>
      <formula2>30.0</formula2>
    </dataValidation>
    <dataValidation type="decimal" operator="greaterThan" allowBlank="1" showDropDown="1" showErrorMessage="1" sqref="M11">
      <formula1>0.0</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225</v>
      </c>
      <c r="B9" s="20"/>
      <c r="C9" s="20"/>
      <c r="D9" s="20"/>
      <c r="E9" s="20"/>
      <c r="F9" s="21"/>
      <c r="G9" s="103"/>
      <c r="H9" s="24" t="s">
        <v>35</v>
      </c>
      <c r="I9" s="25"/>
      <c r="J9" s="25"/>
      <c r="K9" s="25"/>
      <c r="L9" s="25"/>
      <c r="M9" s="26"/>
      <c r="N9" s="103"/>
    </row>
    <row r="10">
      <c r="A10" s="15" t="str">
        <f>HYPERLINK("https://goo.gl/forms/3ibooB993Hi7SS2d2","PRESS TO RECORD BODY WEIGHT")</f>
        <v>PRESS TO RECORD BODY WEIGHT</v>
      </c>
      <c r="B10" s="16"/>
      <c r="C10" s="16"/>
      <c r="D10" s="16"/>
      <c r="E10" s="16"/>
      <c r="F10" s="17"/>
      <c r="G10" s="103"/>
      <c r="H10" s="147" t="s">
        <v>226</v>
      </c>
      <c r="M10" s="28"/>
      <c r="N10" s="103"/>
    </row>
    <row r="11">
      <c r="A11" s="18"/>
      <c r="B11" s="13"/>
      <c r="C11" s="13"/>
      <c r="D11" s="13"/>
      <c r="E11" s="13"/>
      <c r="F11" s="14"/>
      <c r="G11" s="103"/>
      <c r="H11" s="29" t="s">
        <v>227</v>
      </c>
      <c r="I11" s="30"/>
      <c r="J11" s="30"/>
      <c r="K11" s="30"/>
      <c r="L11" s="30"/>
      <c r="M11" s="31"/>
      <c r="N11" s="103"/>
    </row>
    <row r="12">
      <c r="A12" s="19" t="s">
        <v>69</v>
      </c>
      <c r="B12" s="20"/>
      <c r="C12" s="20"/>
      <c r="D12" s="20"/>
      <c r="E12" s="20"/>
      <c r="F12" s="21"/>
      <c r="G12" s="103"/>
      <c r="H12" s="219"/>
      <c r="I12" s="220"/>
      <c r="J12" s="221"/>
      <c r="K12" s="219"/>
      <c r="L12" s="222"/>
      <c r="M12" s="103"/>
      <c r="N12" s="103"/>
    </row>
    <row r="13">
      <c r="A13" s="22" t="s">
        <v>177</v>
      </c>
      <c r="B13" s="20"/>
      <c r="C13" s="20"/>
      <c r="D13" s="20"/>
      <c r="E13" s="20"/>
      <c r="F13" s="21"/>
      <c r="G13" s="103"/>
      <c r="H13" s="103"/>
      <c r="I13" s="103"/>
      <c r="J13" s="103"/>
      <c r="K13" s="103"/>
      <c r="L13" s="222"/>
      <c r="M13" s="103"/>
      <c r="N13" s="103"/>
    </row>
    <row r="14">
      <c r="A14" s="219"/>
      <c r="B14" s="219"/>
      <c r="C14" s="219"/>
      <c r="D14" s="219"/>
      <c r="E14" s="223"/>
      <c r="F14" s="103"/>
      <c r="G14" s="103"/>
      <c r="H14" s="219"/>
      <c r="I14" s="219"/>
      <c r="J14" s="219"/>
      <c r="K14" s="103"/>
      <c r="L14" s="222"/>
      <c r="M14" s="103"/>
      <c r="N14" s="103"/>
    </row>
    <row r="15">
      <c r="A15" s="209"/>
      <c r="G15" s="277"/>
      <c r="H15" s="850"/>
      <c r="N15" s="277"/>
    </row>
    <row r="16">
      <c r="A16" s="50" t="s">
        <v>79</v>
      </c>
      <c r="B16" s="36"/>
      <c r="C16" s="36"/>
      <c r="D16" s="36"/>
      <c r="E16" s="36"/>
      <c r="F16" s="37"/>
      <c r="G16" s="141"/>
      <c r="H16" s="50" t="s">
        <v>118</v>
      </c>
      <c r="I16" s="36"/>
      <c r="J16" s="36"/>
      <c r="K16" s="36"/>
      <c r="L16" s="36"/>
      <c r="M16" s="37"/>
      <c r="N16" s="141"/>
    </row>
    <row r="17">
      <c r="A17" s="657"/>
    </row>
    <row r="19">
      <c r="A19" s="1344" t="s">
        <v>48</v>
      </c>
      <c r="B19" s="36"/>
      <c r="C19" s="36"/>
      <c r="D19" s="36"/>
      <c r="E19" s="36"/>
      <c r="F19" s="37"/>
      <c r="G19" s="141"/>
      <c r="H19" s="51" t="s">
        <v>48</v>
      </c>
      <c r="I19" s="36"/>
      <c r="J19" s="36"/>
      <c r="K19" s="36"/>
      <c r="L19" s="36"/>
      <c r="M19" s="37"/>
      <c r="N19" s="141"/>
    </row>
    <row r="20">
      <c r="A20" s="52" t="str">
        <f>HYPERLINK("https://youtu.be/ujVN-A0Z-ic","1. DUMBBELL INCLINE PRESS")</f>
        <v>1. DUMBBELL INCLINE PRESS</v>
      </c>
      <c r="B20" s="53"/>
      <c r="C20" s="53"/>
      <c r="D20" s="53"/>
      <c r="E20" s="53"/>
      <c r="F20" s="54"/>
      <c r="H20" s="52" t="str">
        <f>HYPERLINK("https://youtu.be/75e_H9Vq_Lw","1. MACHINE PRESS")</f>
        <v>1. MACHINE PRESS</v>
      </c>
      <c r="I20" s="53"/>
      <c r="J20" s="53"/>
      <c r="K20" s="53"/>
      <c r="L20" s="53"/>
      <c r="M20" s="54"/>
    </row>
    <row r="21">
      <c r="A21" s="228" t="s">
        <v>119</v>
      </c>
      <c r="B21" s="229" t="str">
        <f>IF('WEEK 11'!I34="",'WEEK 8'!B34,'WEEK 11'!I34)</f>
        <v/>
      </c>
      <c r="C21" s="16"/>
      <c r="D21" s="16"/>
      <c r="E21" s="16"/>
      <c r="F21" s="230"/>
      <c r="H21" s="228" t="s">
        <v>119</v>
      </c>
      <c r="I21" s="229" t="str">
        <f>if('WEEK 7'!P34="",'WEEK 5'!I34,'WEEK 7'!P34)</f>
        <v/>
      </c>
      <c r="J21" s="16"/>
      <c r="K21" s="16"/>
      <c r="L21" s="16"/>
      <c r="M21" s="230"/>
    </row>
    <row r="22">
      <c r="A22" s="96" t="s">
        <v>50</v>
      </c>
      <c r="B22" s="97" t="s">
        <v>51</v>
      </c>
      <c r="C22" s="97" t="s">
        <v>52</v>
      </c>
      <c r="D22" s="97" t="s">
        <v>53</v>
      </c>
      <c r="E22" s="98" t="s">
        <v>54</v>
      </c>
      <c r="F22" s="235" t="s">
        <v>55</v>
      </c>
      <c r="H22" s="96" t="s">
        <v>50</v>
      </c>
      <c r="I22" s="97" t="s">
        <v>51</v>
      </c>
      <c r="J22" s="97" t="s">
        <v>52</v>
      </c>
      <c r="K22" s="97" t="s">
        <v>53</v>
      </c>
      <c r="L22" s="98" t="s">
        <v>54</v>
      </c>
      <c r="M22" s="235" t="s">
        <v>55</v>
      </c>
    </row>
    <row r="23">
      <c r="A23" s="244">
        <v>1.0</v>
      </c>
      <c r="B23" s="241">
        <f>mround('WEEK 12'!B21*0.35,5)</f>
        <v>0</v>
      </c>
      <c r="C23" s="63">
        <v>6.0</v>
      </c>
      <c r="D23" s="83" t="s">
        <v>57</v>
      </c>
      <c r="E23" s="84" t="str">
        <f>IF('WEEK 5'!F23='WEEK 12'!B23,'WEEK 5'!F22,"")</f>
        <v>REP LOG</v>
      </c>
      <c r="F23" s="85"/>
      <c r="H23" s="244">
        <v>1.0</v>
      </c>
      <c r="I23" s="241">
        <f>mround('WEEK 12'!I21*0.35,5)</f>
        <v>0</v>
      </c>
      <c r="J23" s="63">
        <v>6.0</v>
      </c>
      <c r="K23" s="83" t="s">
        <v>57</v>
      </c>
      <c r="L23" s="84" t="str">
        <f>IF('WEEK 5'!M23='WEEK 12'!I23,'WEEK 5'!M22,"")</f>
        <v>REP LOG</v>
      </c>
      <c r="M23" s="85"/>
    </row>
    <row r="24">
      <c r="A24" s="240">
        <v>2.0</v>
      </c>
      <c r="B24" s="241">
        <f>mround('WEEK 12'!B21*0.65,5)</f>
        <v>0</v>
      </c>
      <c r="C24" s="241">
        <v>1.0</v>
      </c>
      <c r="D24" s="83" t="s">
        <v>57</v>
      </c>
      <c r="E24" s="84" t="str">
        <f>IF('WEEK 5'!F24='WEEK 12'!B24,'WEEK 5'!F24,"")</f>
        <v/>
      </c>
      <c r="F24" s="85"/>
      <c r="H24" s="240">
        <v>2.0</v>
      </c>
      <c r="I24" s="241">
        <f>mround('WEEK 12'!I21*0.65,5)</f>
        <v>0</v>
      </c>
      <c r="J24" s="241">
        <v>1.0</v>
      </c>
      <c r="K24" s="83" t="s">
        <v>57</v>
      </c>
      <c r="L24" s="84" t="str">
        <f>IF('WEEK 5'!M24='WEEK 12'!I24,'WEEK 5'!M24,"")</f>
        <v/>
      </c>
      <c r="M24" s="85"/>
    </row>
    <row r="25">
      <c r="A25" s="240">
        <v>3.0</v>
      </c>
      <c r="B25" s="241">
        <f>mround('WEEK 12'!B21*0.85,5)</f>
        <v>0</v>
      </c>
      <c r="C25" s="63">
        <v>1.0</v>
      </c>
      <c r="D25" s="83" t="s">
        <v>57</v>
      </c>
      <c r="E25" s="84" t="str">
        <f>IF('WEEK 5'!F25='WEEK 12'!B25,'WEEK 5'!F25,"")</f>
        <v/>
      </c>
      <c r="F25" s="85"/>
      <c r="H25" s="240">
        <v>3.0</v>
      </c>
      <c r="I25" s="241">
        <f>mround('WEEK 12'!I21*0.85,5)</f>
        <v>0</v>
      </c>
      <c r="J25" s="241">
        <v>1.0</v>
      </c>
      <c r="K25" s="83" t="s">
        <v>57</v>
      </c>
      <c r="L25" s="84" t="str">
        <f>IF('WEEK 5'!M25='WEEK 12'!I25,'WEEK 5'!M25,"")</f>
        <v/>
      </c>
      <c r="M25" s="85"/>
    </row>
    <row r="26">
      <c r="A26" s="240">
        <v>4.0</v>
      </c>
      <c r="B26" s="241">
        <f>mround('WEEK 12'!B21*1,5)</f>
        <v>0</v>
      </c>
      <c r="C26" s="245" t="s">
        <v>65</v>
      </c>
      <c r="D26" s="83" t="s">
        <v>57</v>
      </c>
      <c r="E26" s="84" t="str">
        <f>IF('WEEK 5'!F26='WEEK 12'!B26,'WEEK 5'!F26,"")</f>
        <v/>
      </c>
      <c r="F26" s="85"/>
      <c r="H26" s="240">
        <v>4.0</v>
      </c>
      <c r="I26" s="241">
        <f>mround('WEEK 12'!I21*1,5)</f>
        <v>0</v>
      </c>
      <c r="J26" s="245" t="s">
        <v>65</v>
      </c>
      <c r="K26" s="83" t="s">
        <v>57</v>
      </c>
      <c r="L26" s="84" t="str">
        <f>IF('WEEK 5'!M26='WEEK 12'!I26,'WEEK 5'!M26,"")</f>
        <v/>
      </c>
      <c r="M26" s="85"/>
    </row>
    <row r="27">
      <c r="A27" s="248" t="str">
        <f>IF(OR(ISBLANK('WEEK 12'!F26),ISBLANK('WEEK 12'!F25),ISBLANK('WEEK 12'!F24)),"PROCEED TO DOWNSETS",if('WEEK 12'!F26&gt;=6,"NEW 4 REP MAX ATTEMPT","PROCEED TO DOWN SETS"))</f>
        <v>PROCEED TO DOWNSETS</v>
      </c>
      <c r="F27" s="28"/>
      <c r="G27" s="247" t="s">
        <v>123</v>
      </c>
      <c r="H27" s="248" t="str">
        <f>IF(OR(ISBLANK('WEEK 12'!M26),ISBLANK('WEEK 12'!M25),ISBLANK('WEEK 12'!M24)),"PROCEED TO DOWNSETS",if('WEEK 12'!M26&gt;=6,"NEW 4 REP MAX ATTEMPT","PROCEED TO DOWN SETS"))</f>
        <v>PROCEED TO DOWNSETS</v>
      </c>
      <c r="M27" s="28"/>
    </row>
    <row r="28">
      <c r="A28" s="251" t="str">
        <f>IF(OR(ISBLANK('WEEK 12'!F26),ISBLANK('WEEK 12'!F25),ISBLANK('WEEK 12'!F24)),"",IF('WEEK 12'!F26&gt;=6,5,""))</f>
        <v/>
      </c>
      <c r="B28" s="252" t="str">
        <f>IF(OR(ISBLANK('WEEK 12'!F26),ISBLANK('WEEK 12'!F25),ISBLANK('WEEK 12'!F24)),"",IF('WEEK 12'!F26&gt;=6,'WEEK 12'!B21+5,""))</f>
        <v/>
      </c>
      <c r="C28" s="253" t="str">
        <f>IF(OR(ISBLANK('WEEK 12'!F26),ISBLANK('WEEK 12'!F25),ISBLANK('WEEK 12'!F24)),"",IF('WEEK 12'!F26&gt;=6,"REP OUT",""))</f>
        <v/>
      </c>
      <c r="D28" s="254" t="str">
        <f>IF(OR(ISBLANK('WEEK 12'!F26),ISBLANK('WEEK 12'!F25),ISBLANK('WEEK 12'!F24)),"",IF('WEEK 12'!F26&gt;5,"1 MIN",""))</f>
        <v/>
      </c>
      <c r="E28" s="84" t="str">
        <f>IF('WEEK 5'!F28='WEEK 12'!B28,'WEEK 5'!F28,"")</f>
        <v/>
      </c>
      <c r="F28" s="67"/>
      <c r="H28" s="251" t="str">
        <f>IF(OR(ISBLANK('WEEK 12'!M26),ISBLANK('WEEK 12'!M25),ISBLANK('WEEK 12'!M24)),"",IF('WEEK 12'!M26&gt;=6,5,""))</f>
        <v/>
      </c>
      <c r="I28" s="252" t="str">
        <f>IF(OR(ISBLANK('WEEK 12'!M26),ISBLANK('WEEK 12'!M25),ISBLANK('WEEK 12'!M24)),"",IF('WEEK 12'!M26&gt;=6,'WEEK 12'!I21+5,""))</f>
        <v/>
      </c>
      <c r="J28" s="253" t="str">
        <f>IF(OR(ISBLANK('WEEK 12'!M26),ISBLANK('WEEK 12'!M25),ISBLANK('WEEK 12'!M24)),"",IF('WEEK 12'!M26&gt;=6,"REP OUT",""))</f>
        <v/>
      </c>
      <c r="K28" s="254" t="str">
        <f>IF(OR(ISBLANK('WEEK 12'!M26),ISBLANK('WEEK 12'!M25),ISBLANK('WEEK 12'!M24)),"",IF('WEEK 12'!M26&gt;5,"1 MIN",""))</f>
        <v/>
      </c>
      <c r="L28" s="84" t="str">
        <f>IF('WEEK 5'!M28='WEEK 12'!I28,'WEEK 5'!M28,"")</f>
        <v/>
      </c>
      <c r="M28" s="67"/>
    </row>
    <row r="29">
      <c r="A29" s="260" t="str">
        <f>IF(OR(ISBLANK('WEEK 12'!F26),ISBLANK('WEEK 12'!F25),ISBLANK('WEEK 12'!F24)),"FILL OUT REP LOG FIRST","DOWN SETS")</f>
        <v>FILL OUT REP LOG FIRST</v>
      </c>
      <c r="B29" s="16"/>
      <c r="C29" s="16"/>
      <c r="D29" s="16"/>
      <c r="E29" s="16"/>
      <c r="F29" s="230"/>
      <c r="G29" s="141"/>
      <c r="H29" s="260" t="str">
        <f>IF(OR(ISBLANK('WEEK 12'!M26),ISBLANK('WEEK 12'!M25),ISBLANK('WEEK 12'!M24)),"FILL OUT REP LOG FIRST","DOWN SETS")</f>
        <v>FILL OUT REP LOG FIRST</v>
      </c>
      <c r="I29" s="16"/>
      <c r="J29" s="16"/>
      <c r="K29" s="16"/>
      <c r="L29" s="16"/>
      <c r="M29" s="230"/>
    </row>
    <row r="30">
      <c r="A30" s="545" t="str">
        <f>IF('WEEK 12'!F28&gt;=4,"",IF(OR(ISBLANK('WEEK 12'!F26),ISBLANK('WEEK 12'!F25),ISBLANK('WEEK 12'!F24)),"",IF('WEEK 12'!F26&gt;5,6,5)))</f>
        <v/>
      </c>
      <c r="B30" s="261" t="str">
        <f>IF('WEEK 12'!F28&gt;=4,"",IF(OR(ISBLANK('WEEK 12'!F26),ISBLANK('WEEK 12'!F25),ISBLANK('WEEK 12'!F24)),"",IF('WEEK 12'!F26&lt;6,mround('WEEK 12'!B21*0.8,5),IF('WEEK 12'!F26&lt;10,mround('WEEK 12'!B21*0.93,5),mround('WEEK 12'!B21*0.7,5)))))</f>
        <v/>
      </c>
      <c r="C30" s="262" t="str">
        <f>IF('WEEK 12'!F28&gt;=4,"",IF(OR(ISBLANK('WEEK 12'!F26),ISBLANK('WEEK 12'!F25),ISBLANK('WEEK 12'!F24)),"","REP OUT"))</f>
        <v/>
      </c>
      <c r="D30" s="65" t="str">
        <f>IF('WEEK 12'!F28&gt;=4,"",IF(OR(ISBLANK('WEEK 12'!F26),ISBLANK('WEEK 12'!F25),ISBLANK('WEEK 12'!F24)),"","1 MIN"))</f>
        <v/>
      </c>
      <c r="E30" s="84" t="str">
        <f>IF('WEEK 5'!F30='WEEK 12'!B30,'WEEK 5'!F30,"")</f>
        <v/>
      </c>
      <c r="F30" s="263"/>
      <c r="H30" s="91" t="str">
        <f>IF('WEEK 12'!M28&gt;=4,"",IF(OR(ISBLANK('WEEK 12'!M26),ISBLANK('WEEK 12'!M25),ISBLANK('WEEK 12'!M24)),"",IF('WEEK 12'!M26&gt;5,6,5)))</f>
        <v/>
      </c>
      <c r="I30" s="261" t="str">
        <f>IF('WEEK 12'!M28&gt;=4,"",IF(OR(ISBLANK('WEEK 12'!M26),ISBLANK('WEEK 12'!M25),ISBLANK('WEEK 12'!M24)),"",IF('WEEK 12'!M26&lt;6,mround('WEEK 12'!I21*0.8,5),IF('WEEK 12'!M26&lt;10,mround('WEEK 12'!I21*0.93,5),mround('WEEK 12'!I21*0.7,5)))))</f>
        <v/>
      </c>
      <c r="J30" s="262" t="str">
        <f>IF('WEEK 12'!M28&gt;=4,"",IF(OR(ISBLANK('WEEK 12'!M26),ISBLANK('WEEK 12'!M25),ISBLANK('WEEK 12'!M24)),"","REP OUT"))</f>
        <v/>
      </c>
      <c r="K30" s="65" t="str">
        <f>IF('WEEK 12'!M28&gt;=4,"",IF(OR(ISBLANK('WEEK 12'!M26),ISBLANK('WEEK 12'!M25),ISBLANK('WEEK 12'!M24)),"","1 MIN"))</f>
        <v/>
      </c>
      <c r="L30" s="84" t="str">
        <f>IF('WEEK 5'!M30='WEEK 12'!I30,'WEEK 5'!M30,"")</f>
        <v/>
      </c>
      <c r="M30" s="263"/>
    </row>
    <row r="31">
      <c r="A31" s="546" t="str">
        <f>IF('WEEK 12'!F28&gt;=4,"",IF(OR(ISBLANK('WEEK 12'!F26),ISBLANK('WEEK 12'!F25),ISBLANK('WEEK 12'!F24)),"",IF('WEEK 12'!F26&gt;5,7,6)))</f>
        <v/>
      </c>
      <c r="B31" s="254" t="str">
        <f>IF('WEEK 12'!F28&gt;=4,"",IF(OR(ISBLANK('WEEK 12'!F26),ISBLANK('WEEK 12'!F25),ISBLANK('WEEK 12'!F24)),"",IF('WEEK 12'!F26&lt;6,mround('WEEK 12'!B21*0.65,5),IF('WEEK 12'!F26&lt;10,mround('WEEK 12'!B21*0.7,5),mround('WEEK 12'!B21*0.65,5)))))</f>
        <v/>
      </c>
      <c r="C31" s="253" t="str">
        <f>IF('WEEK 12'!F28&gt;=4,"",IF(OR(ISBLANK('WEEK 12'!F26),ISBLANK('WEEK 12'!F25),ISBLANK('WEEK 12'!F24)),"","REP OUT"))</f>
        <v/>
      </c>
      <c r="D31" s="65" t="str">
        <f>IF('WEEK 12'!F28&gt;=4,"",IF(OR(ISBLANK('WEEK 12'!F26),ISBLANK('WEEK 12'!F25),ISBLANK('WEEK 12'!F24)),"","1 MIN"))</f>
        <v/>
      </c>
      <c r="E31" s="84" t="str">
        <f>IF('WEEK 5'!F31='WEEK 12'!B31,'WEEK 5'!F31,"")</f>
        <v/>
      </c>
      <c r="F31" s="270"/>
      <c r="H31" s="269" t="str">
        <f>IF('WEEK 12'!M28&gt;=4,"",IF(OR(ISBLANK('WEEK 12'!M26),ISBLANK('WEEK 12'!M25),ISBLANK('WEEK 12'!M24)),"",IF('WEEK 12'!M26&gt;5,7,6)))</f>
        <v/>
      </c>
      <c r="I31" s="254" t="str">
        <f>IF('WEEK 12'!M28&gt;=4,"",IF(OR(ISBLANK('WEEK 12'!M26),ISBLANK('WEEK 12'!M25),ISBLANK('WEEK 12'!M24)),"",IF('WEEK 12'!M26&lt;6,mround('WEEK 12'!I21*0.65,5),IF('WEEK 12'!M26&lt;10,mround('WEEK 12'!I21*0.7,5),mround('WEEK 12'!I21*0.65,5)))))</f>
        <v/>
      </c>
      <c r="J31" s="253" t="str">
        <f>IF('WEEK 12'!M28&gt;=4,"",IF(OR(ISBLANK('WEEK 12'!M26),ISBLANK('WEEK 12'!M25),ISBLANK('WEEK 12'!M24)),"","REP OUT"))</f>
        <v/>
      </c>
      <c r="K31" s="65" t="str">
        <f>IF('WEEK 12'!M28&gt;=4,"",IF(OR(ISBLANK('WEEK 12'!M26),ISBLANK('WEEK 12'!M25),ISBLANK('WEEK 12'!M24)),"","1 MIN"))</f>
        <v/>
      </c>
      <c r="L31" s="84" t="str">
        <f>IF('WEEK 5'!M31='WEEK 12'!I31,'WEEK 5'!M31,"")</f>
        <v/>
      </c>
      <c r="M31" s="270"/>
    </row>
    <row r="32">
      <c r="A32" s="546" t="str">
        <f>IF('WEEK 12'!F28&lt;4,"",IF(OR(ISBLANK('WEEK 12'!F26),ISBLANK('WEEK 12'!F25),ISBLANK('WEEK 12'!F24)),"",IF('WEEK 12'!F28&gt;3,6,5)))</f>
        <v/>
      </c>
      <c r="B32" s="254" t="str">
        <f>IF('WEEK 12'!F28&lt;4,"",IF(OR(ISBLANK('WEEK 12'!F26),ISBLANK('WEEK 12'!F25),ISBLANK('WEEK 12'!F24)),"",IF('WEEK 12'!F28&lt;6,mround('WEEK 12'!B34*0.8,5),IF('WEEK 12'!F28&lt;10,mround('WEEK 12'!B34*0.93,5),mround(B34*0.7,5)))))</f>
        <v/>
      </c>
      <c r="C32" s="253" t="str">
        <f>IF('WEEK 12'!F28&lt;4,"",IF(OR(ISBLANK('WEEK 12'!F26),ISBLANK('WEEK 12'!F25),ISBLANK('WEEK 12'!F24)),"","REP OUT"))</f>
        <v/>
      </c>
      <c r="D32" s="65" t="str">
        <f>IF('WEEK 12'!F28&lt;4,"",IF(OR(ISBLANK('WEEK 12'!F26),ISBLANK('WEEK 12'!F25),ISBLANK('WEEK 12'!F24)),"","1 MIN"))</f>
        <v/>
      </c>
      <c r="E32" s="84" t="str">
        <f>IF('WEEK 5'!F32='WEEK 12'!B32,'WEEK 5'!F32,"")</f>
        <v/>
      </c>
      <c r="F32" s="270"/>
      <c r="G32" s="141"/>
      <c r="H32" s="269" t="str">
        <f>IF('WEEK 12'!M28&lt;4,"",IF(OR(ISBLANK('WEEK 12'!M26),ISBLANK('WEEK 12'!M25),ISBLANK('WEEK 12'!M24)),"",IF('WEEK 12'!M28&gt;3,6,5)))</f>
        <v/>
      </c>
      <c r="I32" s="254" t="str">
        <f>IF('WEEK 12'!M28&lt;4,"",IF(OR(ISBLANK('WEEK 12'!M26),ISBLANK('WEEK 12'!M25),ISBLANK('WEEK 12'!M24)),"",IF('WEEK 12'!M28&lt;6,mround('WEEK 12'!I34*0.7,5),IF('WEEK 12'!M28&lt;10,mround('WEEK 12'!I34*0.8,5),mround(I34*0.93,5)))))</f>
        <v/>
      </c>
      <c r="J32" s="253" t="str">
        <f>IF('WEEK 12'!M28&lt;4,"",IF(OR(ISBLANK('WEEK 12'!M26),ISBLANK('WEEK 12'!M25),ISBLANK('WEEK 12'!M24)),"","REP OUT"))</f>
        <v/>
      </c>
      <c r="K32" s="65" t="str">
        <f>IF('WEEK 12'!M28&lt;4,"",IF(OR(ISBLANK('WEEK 12'!M26),ISBLANK('WEEK 12'!M25),ISBLANK('WEEK 12'!M24)),"","1 MIN"))</f>
        <v/>
      </c>
      <c r="L32" s="84" t="str">
        <f>IF('WEEK 5'!M32='WEEK 12'!I32,'WEEK 5'!M32,"")</f>
        <v/>
      </c>
      <c r="M32" s="270"/>
      <c r="N32" s="141"/>
    </row>
    <row r="33">
      <c r="A33" s="546" t="str">
        <f>IF('WEEK 12'!F28&lt;4,"",IF(OR(ISBLANK('WEEK 12'!F26),ISBLANK('WEEK 12'!F25),ISBLANK('WEEK 12'!F24)),"",IF('WEEK 12'!F28&gt;3,7,"")))</f>
        <v/>
      </c>
      <c r="B33" s="254" t="str">
        <f>IF('WEEK 12'!F28&lt;4,"",IF(OR(ISBLANK('WEEK 12'!F26),ISBLANK('WEEK 12'!F25),ISBLANK('WEEK 12'!F24)),"",IF('WEEK 12'!F28&lt;6,mround('WEEK 12'!B34*0.65,5),IF('WEEK 12'!F28&lt;10,mround('WEEK 12'!B34*0.7,5),mround(B34*0.65,5)))))</f>
        <v/>
      </c>
      <c r="C33" s="253" t="str">
        <f>IF('WEEK 12'!F28&lt;4,"",IF(OR(ISBLANK('WEEK 12'!F26),ISBLANK('WEEK 12'!F25),ISBLANK('WEEK 12'!F24)),"","REP OUT"))</f>
        <v/>
      </c>
      <c r="D33" s="65" t="str">
        <f>IF('WEEK 12'!F28&lt;4,"",IF(OR(ISBLANK('WEEK 12'!F26),ISBLANK('WEEK 12'!F25),ISBLANK('WEEK 12'!F24)),"","1 MIN"))</f>
        <v/>
      </c>
      <c r="E33" s="84" t="str">
        <f>IF('WEEK 5'!F33='WEEK 12'!B33,'WEEK 5'!F33,"")</f>
        <v/>
      </c>
      <c r="F33" s="270"/>
      <c r="G33" s="141"/>
      <c r="H33" s="269" t="str">
        <f>IF('WEEK 12'!M28&lt;4,"",IF(OR(ISBLANK('WEEK 12'!M26),ISBLANK('WEEK 12'!M25),ISBLANK('WEEK 12'!M24)),"",IF('WEEK 12'!M28&gt;3,7,"")))</f>
        <v/>
      </c>
      <c r="I33" s="254" t="str">
        <f>IF('WEEK 12'!M28&lt;4,"",IF(OR(ISBLANK('WEEK 12'!M26),ISBLANK('WEEK 12'!M25),ISBLANK('WEEK 12'!M24)),"",IF('WEEK 12'!M28&lt;6,mround('WEEK 12'!I34*0.65,5),IF('WEEK 12'!M28&lt;10,mround('WEEK 12'!I34*0.7,5),mround(I34*0.75,5)))))</f>
        <v/>
      </c>
      <c r="J33" s="253" t="str">
        <f>IF('WEEK 12'!M28&lt;4,"",IF(OR(ISBLANK('WEEK 12'!M26),ISBLANK('WEEK 12'!M25),ISBLANK('WEEK 12'!M24)),"","REP OUT"))</f>
        <v/>
      </c>
      <c r="K33" s="65" t="str">
        <f>IF('WEEK 12'!M28&lt;4,"",IF(OR(ISBLANK('WEEK 12'!M26),ISBLANK('WEEK 12'!M25),ISBLANK('WEEK 12'!M24)),"","1 MIN"))</f>
        <v/>
      </c>
      <c r="L33" s="84" t="str">
        <f>IF('WEEK 5'!M33='WEEK 12'!I33,'WEEK 5'!M33,"")</f>
        <v/>
      </c>
      <c r="M33" s="270"/>
      <c r="N33" s="141"/>
    </row>
    <row r="34">
      <c r="A34" s="280" t="s">
        <v>124</v>
      </c>
      <c r="B34" s="273" t="str">
        <f>IF(OR(ISBLANK('WEEK 12'!F24),ISBLANK('WEEK 12'!F25),ISBLANK('WEEK 12'!F26)),"",IF('WEEK 12'!F28&gt;=4,'WEEK 12'!B28,IF('WEEK 12'!F26&lt;=3,'WEEK 12'!B26-5,'WEEK 12'!B26)))</f>
        <v/>
      </c>
      <c r="C34" s="11"/>
      <c r="D34" s="11"/>
      <c r="E34" s="11"/>
      <c r="F34" s="46"/>
      <c r="G34" s="141"/>
      <c r="H34" s="280" t="s">
        <v>124</v>
      </c>
      <c r="I34" s="273" t="str">
        <f>IF(OR(ISBLANK('WEEK 12'!M24),ISBLANK('WEEK 12'!M25),ISBLANK('WEEK 12'!M26)),"",IF('WEEK 12'!M28&gt;=4,'WEEK 12'!I28,IF('WEEK 12'!M26&lt;=3,'WEEK 12'!I26-5,'WEEK 12'!I26)))</f>
        <v/>
      </c>
      <c r="J34" s="11"/>
      <c r="K34" s="11"/>
      <c r="L34" s="11"/>
      <c r="M34" s="46"/>
      <c r="N34" s="141"/>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228</v>
      </c>
      <c r="B38" s="548">
        <f>if('WEEK 12'!B34="",'WEEK 11'!I21,'WEEK 12'!B34)</f>
        <v>100</v>
      </c>
      <c r="C38" s="13"/>
      <c r="D38" s="13"/>
      <c r="E38" s="13"/>
      <c r="F38" s="57"/>
      <c r="G38" s="247" t="s">
        <v>123</v>
      </c>
      <c r="H38" s="226" t="s">
        <v>228</v>
      </c>
      <c r="I38" s="548" t="str">
        <f>'WEEK 12'!B38</f>
        <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12'!B38*0.29,2.5)</f>
        <v>0</v>
      </c>
      <c r="C40" s="241">
        <v>15.0</v>
      </c>
      <c r="D40" s="83" t="s">
        <v>57</v>
      </c>
      <c r="E40" s="84" t="str">
        <f>IF('WEEK 5'!F40='WEEK 12'!B40,'WEEK 5'!F40,"")</f>
        <v/>
      </c>
      <c r="F40" s="85"/>
      <c r="G40" s="659"/>
      <c r="H40" s="240">
        <v>1.0</v>
      </c>
      <c r="I40" s="254">
        <f>mround('WEEK 12'!I38*2*0.75,10)</f>
        <v>0</v>
      </c>
      <c r="J40" s="241">
        <v>15.0</v>
      </c>
      <c r="K40" s="83" t="s">
        <v>57</v>
      </c>
      <c r="L40" s="84" t="str">
        <f>IF('WEEK 5'!M40='WEEK 12'!I40,'WEEK 5'!M40,"")</f>
        <v/>
      </c>
      <c r="M40" s="85"/>
    </row>
    <row r="41">
      <c r="A41" s="661">
        <v>2.0</v>
      </c>
      <c r="B41" s="662">
        <f>mround('WEEK 12'!B38*0.29,2.5)</f>
        <v>0</v>
      </c>
      <c r="C41" s="69">
        <v>15.0</v>
      </c>
      <c r="D41" s="88" t="s">
        <v>57</v>
      </c>
      <c r="E41" s="89" t="str">
        <f>IF('WEEK 5'!F41='WEEK 12'!B41,'WEEK 5'!F41,"")</f>
        <v/>
      </c>
      <c r="F41" s="85"/>
      <c r="H41" s="661">
        <v>2.0</v>
      </c>
      <c r="I41" s="662">
        <f>mround('WEEK 12'!I38*2*0.75,10)</f>
        <v>0</v>
      </c>
      <c r="J41" s="662">
        <v>15.0</v>
      </c>
      <c r="K41" s="88" t="s">
        <v>57</v>
      </c>
      <c r="L41" s="89" t="str">
        <f>IF('WEEK 5'!M41='WEEK 12'!I41,'WEEK 5'!M41,"")</f>
        <v/>
      </c>
      <c r="M41" s="85"/>
    </row>
    <row r="44">
      <c r="A44" s="1176" t="str">
        <f>HYPERLINK("https://www.youtube.com/watch?v=JDPkRuVBZ90","2. SUPER SET")</f>
        <v>2. SUPER SET</v>
      </c>
      <c r="B44" s="36"/>
      <c r="C44" s="36"/>
      <c r="D44" s="36"/>
      <c r="E44" s="36"/>
      <c r="F44" s="37"/>
    </row>
    <row r="45">
      <c r="A45" s="1177" t="s">
        <v>119</v>
      </c>
      <c r="B45" s="1178" t="str">
        <f>'MSW11'!B57</f>
        <v/>
      </c>
      <c r="C45" s="46"/>
      <c r="D45" s="1178" t="str">
        <f>'WEEK 11'!B60</f>
        <v/>
      </c>
      <c r="E45" s="11"/>
      <c r="F45" s="46"/>
    </row>
    <row r="46">
      <c r="A46" s="1179" t="s">
        <v>50</v>
      </c>
      <c r="B46" s="1180" t="s">
        <v>200</v>
      </c>
      <c r="C46" s="1181" t="s">
        <v>51</v>
      </c>
      <c r="D46" s="1181" t="s">
        <v>52</v>
      </c>
      <c r="E46" s="1182" t="s">
        <v>54</v>
      </c>
      <c r="F46" s="1006" t="s">
        <v>55</v>
      </c>
    </row>
    <row r="47">
      <c r="A47" s="1183">
        <v>1.0</v>
      </c>
      <c r="B47" s="1345" t="str">
        <f>HYPERLINK("https://www.youtube.com/watch?v=hMUUvL3FlkE&amp;feature=youtu.be","MACH HIGH ROW")</f>
        <v>MACH HIGH ROW</v>
      </c>
      <c r="C47" s="1346">
        <f>MROUND('WEEK 12'!B45*0.45,5)</f>
        <v>0</v>
      </c>
      <c r="D47" s="1347">
        <v>20.0</v>
      </c>
      <c r="E47" s="1187"/>
      <c r="F47" s="1188"/>
    </row>
    <row r="48">
      <c r="A48" s="1189"/>
      <c r="B48" s="1190" t="str">
        <f>HYPERLINK("https://www.youtube.com/watch?v=9YH1YvZbiY0","LOW ROW")</f>
        <v>LOW ROW</v>
      </c>
      <c r="C48" s="1191">
        <f>MROUND('WEEK 12'!D45*0.45,5)</f>
        <v>0</v>
      </c>
      <c r="D48" s="1192">
        <v>20.0</v>
      </c>
      <c r="E48" s="1193"/>
      <c r="F48" s="1188"/>
    </row>
    <row r="49">
      <c r="A49" s="1194" t="s">
        <v>201</v>
      </c>
      <c r="B49" s="11"/>
      <c r="C49" s="11"/>
      <c r="D49" s="11"/>
      <c r="E49" s="11"/>
      <c r="F49" s="46"/>
    </row>
    <row r="50">
      <c r="A50" s="1195">
        <v>2.0</v>
      </c>
      <c r="B50" s="1345" t="str">
        <f>HYPERLINK("https://www.youtube.com/watch?v=hMUUvL3FlkE&amp;feature=youtu.be","MACH HIGH ROW")</f>
        <v>MACH HIGH ROW</v>
      </c>
      <c r="C50" s="1346">
        <f>IF('WEEK 12'!F47&gt;=15,'WEEK 12'!C47,MROUND('WEEK 12'!C47*0.9,5))</f>
        <v>0</v>
      </c>
      <c r="D50" s="1347">
        <v>20.0</v>
      </c>
      <c r="E50" s="1187"/>
      <c r="F50" s="1188"/>
    </row>
    <row r="51">
      <c r="A51" s="1196"/>
      <c r="B51" s="1190" t="str">
        <f>HYPERLINK("https://www.youtube.com/watch?v=9YH1YvZbiY0","LOW ROW")</f>
        <v>LOW ROW</v>
      </c>
      <c r="C51" s="1191">
        <f>IF('WEEK 12'!F48&gt;=15,'WEEK 12'!C48,MROUND('WEEK 12'!C48*0.9,5))</f>
        <v>0</v>
      </c>
      <c r="D51" s="1192">
        <v>20.0</v>
      </c>
      <c r="E51" s="1193"/>
      <c r="F51" s="1188"/>
    </row>
    <row r="52">
      <c r="A52" s="1194" t="s">
        <v>201</v>
      </c>
      <c r="B52" s="11"/>
      <c r="C52" s="11"/>
      <c r="D52" s="11"/>
      <c r="E52" s="11"/>
      <c r="F52" s="46"/>
    </row>
    <row r="53">
      <c r="A53" s="1195">
        <v>3.0</v>
      </c>
      <c r="B53" s="1345" t="str">
        <f>HYPERLINK("https://www.youtube.com/watch?v=hMUUvL3FlkE&amp;feature=youtu.be","MACH HIGH ROW")</f>
        <v>MACH HIGH ROW</v>
      </c>
      <c r="C53" s="1346">
        <f>IF('WEEK 12'!F50&gt;=15,'WEEK 12'!C50,MROUND('WEEK 12'!C50*0.9,5))</f>
        <v>0</v>
      </c>
      <c r="D53" s="1347">
        <v>20.0</v>
      </c>
      <c r="E53" s="1187"/>
      <c r="F53" s="1133"/>
    </row>
    <row r="54">
      <c r="A54" s="1196"/>
      <c r="B54" s="1190" t="str">
        <f>HYPERLINK("https://www.youtube.com/watch?v=9YH1YvZbiY0","LOW ROW")</f>
        <v>LOW ROW</v>
      </c>
      <c r="C54" s="1191">
        <f>IF('WEEK 12'!F51&gt;=15,'WEEK 12'!C51,MROUND('WEEK 12'!C51*0.9,5))</f>
        <v>0</v>
      </c>
      <c r="D54" s="1192">
        <v>20.0</v>
      </c>
      <c r="E54" s="1193"/>
      <c r="F54" s="1133"/>
    </row>
    <row r="55">
      <c r="A55" s="1194" t="s">
        <v>201</v>
      </c>
      <c r="B55" s="11"/>
      <c r="C55" s="11"/>
      <c r="D55" s="11"/>
      <c r="E55" s="11"/>
      <c r="F55" s="46"/>
    </row>
    <row r="56">
      <c r="A56" s="1197">
        <v>4.0</v>
      </c>
      <c r="B56" s="1345" t="str">
        <f>HYPERLINK("https://www.youtube.com/watch?v=hMUUvL3FlkE&amp;feature=youtu.be","MACH HIGH ROW")</f>
        <v>MACH HIGH ROW</v>
      </c>
      <c r="C56" s="1346">
        <f>IF('WEEK 12'!F53&gt;=15,'WEEK 12'!C53,MROUND('WEEK 12'!C53*0.9,5))</f>
        <v>0</v>
      </c>
      <c r="D56" s="1347">
        <v>20.0</v>
      </c>
      <c r="E56" s="1187"/>
      <c r="F56" s="1133"/>
    </row>
    <row r="57">
      <c r="A57" s="1196"/>
      <c r="B57" s="1190" t="str">
        <f>HYPERLINK("https://www.youtube.com/watch?v=9YH1YvZbiY0","LOW ROW")</f>
        <v>LOW ROW</v>
      </c>
      <c r="C57" s="1191">
        <f>IF('WEEK 12'!F54&gt;=15,'WEEK 12'!C54,MROUND('WEEK 12'!C54*0.9,5))</f>
        <v>0</v>
      </c>
      <c r="D57" s="1192">
        <v>20.0</v>
      </c>
      <c r="E57" s="1193"/>
      <c r="F57" s="1133"/>
    </row>
    <row r="59">
      <c r="A59" s="103"/>
      <c r="B59" s="103"/>
      <c r="C59" s="103"/>
      <c r="D59" s="103"/>
      <c r="E59" s="222"/>
      <c r="F59" s="103"/>
    </row>
    <row r="60">
      <c r="A60" s="310" t="str">
        <f>HYPERLINK("https://docs.google.com/a/fitnessresults.com/forms/d/e/1FAIpQLSd7MoczESe8Yjv6BKpmwAZGn9Aiymrs9-UdgfYIUpbr9t5NXg/viewform?usp=pp_url&amp;entry.93370101","CLICK TO COMPLETE WORKOUT")</f>
        <v>CLICK TO COMPLETE WORKOUT</v>
      </c>
      <c r="B60" s="36"/>
      <c r="C60" s="36"/>
      <c r="D60" s="36"/>
      <c r="E60" s="36"/>
      <c r="F60" s="37"/>
    </row>
    <row r="62">
      <c r="A62" s="224" t="s">
        <v>128</v>
      </c>
      <c r="B62" s="36"/>
      <c r="C62" s="36"/>
      <c r="D62" s="36"/>
      <c r="E62" s="36"/>
      <c r="F62" s="37"/>
    </row>
    <row r="65">
      <c r="A65" s="1261" t="str">
        <f>'MSW10'!A75</f>
        <v>1. MACHINE SQUAT</v>
      </c>
      <c r="B65" s="53"/>
      <c r="C65" s="53"/>
      <c r="D65" s="53"/>
      <c r="E65" s="53"/>
      <c r="F65" s="54"/>
    </row>
    <row r="66">
      <c r="A66" s="961" t="s">
        <v>119</v>
      </c>
      <c r="B66" s="1035">
        <f>'WEEK 8'!B74</f>
        <v>100</v>
      </c>
      <c r="C66" s="13"/>
      <c r="D66" s="13"/>
      <c r="E66" s="13"/>
      <c r="F66" s="57"/>
    </row>
    <row r="67">
      <c r="A67" s="231" t="s">
        <v>50</v>
      </c>
      <c r="B67" s="232" t="s">
        <v>51</v>
      </c>
      <c r="C67" s="232" t="s">
        <v>52</v>
      </c>
      <c r="D67" s="232" t="s">
        <v>53</v>
      </c>
      <c r="E67" s="1073" t="s">
        <v>54</v>
      </c>
      <c r="F67" s="1006" t="s">
        <v>55</v>
      </c>
    </row>
    <row r="68">
      <c r="A68" s="236">
        <v>1.0</v>
      </c>
      <c r="B68" s="237">
        <f>mround('WEEK 12'!B66*0.35,5)</f>
        <v>35</v>
      </c>
      <c r="C68" s="238">
        <v>10.0</v>
      </c>
      <c r="D68" s="238" t="s">
        <v>120</v>
      </c>
      <c r="E68" s="1130" t="str">
        <f>IF('WEEK 12'!B68='WEEK 8'!B68,'WEEK 8'!F68,"")</f>
        <v/>
      </c>
      <c r="F68" s="1131"/>
    </row>
    <row r="69">
      <c r="A69" s="236">
        <v>2.0</v>
      </c>
      <c r="B69" s="237">
        <f>mround('WEEK 12'!B66*0.65,5)</f>
        <v>65</v>
      </c>
      <c r="C69" s="238">
        <v>10.0</v>
      </c>
      <c r="D69" s="238" t="s">
        <v>121</v>
      </c>
      <c r="E69" s="1130" t="str">
        <f>IF('WEEK 12'!B69='WEEK 8'!B69,'WEEK 8'!F69,"")</f>
        <v/>
      </c>
      <c r="F69" s="1017"/>
    </row>
    <row r="70">
      <c r="A70" s="242">
        <v>3.0</v>
      </c>
      <c r="B70" s="237">
        <f>mround('WEEK 12'!B66*0.9,5)</f>
        <v>90</v>
      </c>
      <c r="C70" s="238">
        <v>10.0</v>
      </c>
      <c r="D70" s="238" t="s">
        <v>121</v>
      </c>
      <c r="E70" s="1130" t="str">
        <f>IF('WEEK 12'!B70='WEEK 8'!B70,'WEEK 8'!F70,"")</f>
        <v/>
      </c>
      <c r="F70" s="1017"/>
    </row>
    <row r="71">
      <c r="A71" s="249">
        <v>4.0</v>
      </c>
      <c r="B71" s="175">
        <f>if('WEEK 12'!F70&lt;10,MROUND('WEEK 12'!B70-('WEEK 12'!B70*20%),5),'WEEK 12'!B66)</f>
        <v>70</v>
      </c>
      <c r="C71" s="238">
        <v>10.0</v>
      </c>
      <c r="D71" s="238" t="s">
        <v>122</v>
      </c>
      <c r="E71" s="1130" t="str">
        <f>IF('WEEK 12'!B71='WEEK 8'!B71,'WEEK 8'!F71,"")</f>
        <v/>
      </c>
      <c r="F71" s="1132"/>
    </row>
    <row r="72">
      <c r="A72" s="249">
        <v>5.0</v>
      </c>
      <c r="B72" s="175">
        <f>IF((AND('WEEK 12'!B71&lt;='WEEK 12'!B70,'WEEK 12'!F71&gt;=10)),'WEEK 12'!B71,IF('WEEK 12'!F71&lt;10,MROUND('WEEK 12'!B71-('WEEK 12'!B71*20%),5),if( 'WEEK 12'!F71&lt;10,MROUND('WEEK 12'!B71-('WEEK 12'!B71*10%),5),MROUND('WEEK 12'!B71+('WEEK 12'!B71*10%),5))))</f>
        <v>55</v>
      </c>
      <c r="C72" s="238">
        <v>10.0</v>
      </c>
      <c r="D72" s="238" t="s">
        <v>122</v>
      </c>
      <c r="E72" s="1130" t="str">
        <f>IF('WEEK 12'!B72='WEEK 8'!B72,'WEEK 8'!F72,"")</f>
        <v/>
      </c>
      <c r="F72" s="1017"/>
    </row>
    <row r="73">
      <c r="A73" s="249">
        <f>if(F71&lt;10,6,6)</f>
        <v>6</v>
      </c>
      <c r="B73" s="175">
        <f>IF((AND('WEEK 12'!B72&lt;='WEEK 12'!B71,'WEEK 12'!F72&gt;=10)),'WEEK 12'!B72,IF('WEEK 12'!F72&lt;10,MROUND('WEEK 12'!B72-('WEEK 12'!B72*20%),5),if( 'WEEK 12'!F72&lt;10,MROUND('WEEK 12'!B72-('WEEK 12'!B72*10%),5),MROUND('WEEK 12'!B72+('WEEK 12'!B72*10%),5))))</f>
        <v>45</v>
      </c>
      <c r="C73" s="238">
        <v>10.0</v>
      </c>
      <c r="D73" s="238" t="s">
        <v>122</v>
      </c>
      <c r="E73" s="1130" t="str">
        <f>IF('WEEK 12'!B73='WEEK 8'!B73,'WEEK 8'!F73,"")</f>
        <v/>
      </c>
      <c r="F73" s="1017"/>
    </row>
    <row r="74">
      <c r="A74" s="1038">
        <f>IF(F73&lt;10,7,"7")</f>
        <v>7</v>
      </c>
      <c r="B74" s="175">
        <f>IF((AND('WEEK 12'!B73&lt;='WEEK 12'!B72,'WEEK 12'!F73&gt;=10)),'WEEK 12'!B73,IF('WEEK 12'!F73&lt;10,MROUND('WEEK 12'!B73-('WEEK 12'!B73*20%),5),if( 'WEEK 12'!F73&lt;10,MROUND('WEEK 12'!B73-('WEEK 12'!B73*10%),5),MROUND('WEEK 12'!B73+('WEEK 12'!B73*10%),5))))</f>
        <v>35</v>
      </c>
      <c r="C74" s="238">
        <v>10.0</v>
      </c>
      <c r="D74" s="238" t="s">
        <v>122</v>
      </c>
      <c r="E74" s="1130" t="str">
        <f>IF('WEEK 12'!B74='WEEK 8'!B80,'WEEK 8'!F80,"")</f>
        <v/>
      </c>
      <c r="F74" s="1133"/>
    </row>
    <row r="75">
      <c r="A75" s="249">
        <f>IF(F74&lt;10,8,"8")</f>
        <v>8</v>
      </c>
      <c r="B75" s="175">
        <f>IF((AND('WEEK 12'!B74&lt;='WEEK 12'!B73,'WEEK 12'!F74&gt;=10)),'WEEK 12'!B74,IF('WEEK 12'!F74&lt;10,MROUND('WEEK 12'!B74-('WEEK 12'!B74*20%),5),if( 'WEEK 12'!F74&lt;10,MROUND('WEEK 12'!B74-('WEEK 12'!B74*10%),5),MROUND('WEEK 12'!B74+('WEEK 12'!B74*10%),5))))</f>
        <v>30</v>
      </c>
      <c r="C75" s="238">
        <v>10.0</v>
      </c>
      <c r="D75" s="238" t="s">
        <v>122</v>
      </c>
      <c r="E75" s="1130" t="str">
        <f>IF('WEEK 12'!B75='WEEK 8'!B81,'WEEK 8'!F81,"")</f>
        <v/>
      </c>
      <c r="F75" s="1133"/>
    </row>
    <row r="76">
      <c r="A76" s="272" t="s">
        <v>192</v>
      </c>
      <c r="B76" s="1039">
        <f>IF((AND('WEEK 12'!F75&gt;=10,'WEEK 12'!B75&gt;'WEEK 12'!B74)),'WEEK 12'!B75,IF((AND('WEEK 12'!F74&gt;=10,'WEEK 12'!B74&gt;'WEEK 12'!B73)),'WEEK 12'!B74,IF((AND('WEEK 12'!F73&gt;=10,'WEEK 12'!B73&gt;'WEEK 12'!B72)),'WEEK 12'!B73,IF((AND('WEEK 12'!F72&gt;=10,'WEEK 12'!B72&gt;'WEEK 12'!B71)),'WEEK 12'!B72,IF((AND('WEEK 12'!F71&gt;=10,'WEEK 12'!B71&gt;'WEEK 12'!B70)),'WEEK 12'!B71,IF((AND('WEEK 12'!F70&gt;=10,'WEEK 12'!B70&gt;'WEEK 12'!B69)),'WEEK 12'!B70,IF((AND('WEEK 12'!F69&gt;=10,'WEEK 12'!B69&gt;'WEEK 12'!B68)),'WEEK 12'!B69,IF((AND('WEEK 12'!F68&gt;=10,'WEEK 12'!B68&gt;'WEEK 12'!B67)),'WEEK 12'!B68,IF((AND('WEEK 12'!F67&gt;=10,'WEEK 12'!B67&gt;'WEEK 12'!B66)),'WEEK 12'!B66)))))))))</f>
        <v>100</v>
      </c>
      <c r="C76" s="11"/>
      <c r="D76" s="11"/>
      <c r="E76" s="11"/>
      <c r="F76" s="46"/>
    </row>
    <row r="79">
      <c r="A79" s="1044" t="str">
        <f>HYPERLINK("https://www.youtube.com/watch?v=NZ9KiFtbiMs","2. LEG EXTENSION")</f>
        <v>2. LEG EXTENSION</v>
      </c>
      <c r="B79" s="13"/>
      <c r="C79" s="13"/>
      <c r="D79" s="13"/>
      <c r="E79" s="13"/>
      <c r="F79" s="57"/>
    </row>
    <row r="80">
      <c r="A80" s="1045" t="s">
        <v>119</v>
      </c>
      <c r="B80" s="1046">
        <f>IF('WEEK 11'!B97='WEEK 11'!B99,'WEEK 11'!B97+5,IF('WEEK 11'!F97&lt;=9,MROUND('WEEK 11'!B95*0.95,5),'WEEK 11'!B97))</f>
        <v>50</v>
      </c>
      <c r="C80" s="13"/>
      <c r="D80" s="13"/>
      <c r="E80" s="13"/>
      <c r="F80" s="57"/>
    </row>
    <row r="81">
      <c r="A81" s="567" t="s">
        <v>50</v>
      </c>
      <c r="B81" s="568" t="s">
        <v>51</v>
      </c>
      <c r="C81" s="568" t="s">
        <v>52</v>
      </c>
      <c r="D81" s="568" t="s">
        <v>53</v>
      </c>
      <c r="E81" s="1047" t="s">
        <v>54</v>
      </c>
      <c r="F81" s="1048" t="s">
        <v>55</v>
      </c>
    </row>
    <row r="82">
      <c r="A82" s="1049">
        <v>1.0</v>
      </c>
      <c r="B82" s="1050">
        <f>'WEEK 12'!B80</f>
        <v>50</v>
      </c>
      <c r="C82" s="1051" t="s">
        <v>144</v>
      </c>
      <c r="D82" s="1052" t="s">
        <v>57</v>
      </c>
      <c r="E82" s="1130" t="str">
        <f>IF('WEEK 11'!B97='WEEK 12'!B82,'WEEK 11'!F97,"")</f>
        <v/>
      </c>
      <c r="F82" s="1017"/>
    </row>
    <row r="83">
      <c r="A83" s="1049">
        <v>2.0</v>
      </c>
      <c r="B83" s="1050">
        <f>if('WEEK 12'!F82&lt;12,mround('WEEK 12'!B82*0.8,5),IF('WEEK 12'!F82&lt;=19,MROUND('WEEK 12'!B82*0.95,5),'WEEK 12'!B82))</f>
        <v>40</v>
      </c>
      <c r="C83" s="1051" t="s">
        <v>144</v>
      </c>
      <c r="D83" s="1052" t="s">
        <v>57</v>
      </c>
      <c r="E83" s="1130" t="str">
        <f>IF('WEEK 11'!B98='WEEK 12'!B83,'WEEK 11'!F98,"")</f>
        <v/>
      </c>
      <c r="F83" s="1017"/>
    </row>
    <row r="84">
      <c r="A84" s="1053">
        <v>3.0</v>
      </c>
      <c r="B84" s="1054">
        <f>if('WEEK 12'!F83&lt;12,mround('WEEK 12'!B83*0.8,5),IF('WEEK 12'!F83&lt;=19,MROUND('WEEK 12'!B83*0.95,5),'WEEK 12'!B83))</f>
        <v>30</v>
      </c>
      <c r="C84" s="1055" t="s">
        <v>144</v>
      </c>
      <c r="D84" s="1056" t="s">
        <v>57</v>
      </c>
      <c r="E84" s="1348" t="str">
        <f>IF('WEEK 11'!B99='WEEK 12'!B84,'WEEK 11'!F99,"")</f>
        <v/>
      </c>
      <c r="F84" s="1017"/>
    </row>
    <row r="87">
      <c r="A87" s="323" t="str">
        <f>HYPERLINK("https://www.youtube.com/watch?v=XepOfsnGFJg","3. MACHINE LEG CURL")</f>
        <v>3. MACHINE LEG CURL</v>
      </c>
      <c r="B87" s="53"/>
      <c r="C87" s="53"/>
      <c r="D87" s="53"/>
      <c r="E87" s="53"/>
      <c r="F87" s="54"/>
      <c r="G87" s="141"/>
      <c r="H87" s="323" t="str">
        <f>HYPERLINK("https://youtu.be/kmN9cJ79PDE","3. PRONE LEG CURL")</f>
        <v>3. PRONE LEG CURL</v>
      </c>
      <c r="I87" s="53"/>
      <c r="J87" s="53"/>
      <c r="K87" s="53"/>
      <c r="L87" s="53"/>
      <c r="M87" s="54"/>
    </row>
    <row r="88">
      <c r="A88" s="1045" t="s">
        <v>119</v>
      </c>
      <c r="B88" s="1046">
        <f>IF('WEEK 11'!B106='WEEK 11'!B108,'WEEK 11'!B106+5,IF('WEEK 11'!F106&lt;=9,MROUND('WEEK 11'!B104*0.95,5),'WEEK 11'!B106))</f>
        <v>60</v>
      </c>
      <c r="C88" s="13"/>
      <c r="D88" s="13"/>
      <c r="E88" s="13"/>
      <c r="F88" s="57"/>
      <c r="H88" s="1045" t="s">
        <v>119</v>
      </c>
      <c r="I88" s="1046">
        <f>IF('WEEK 11'!I106='WEEK 11'!I108,'WEEK 11'!I106+5,IF('WEEK 11'!M106&lt;=9,MROUND('WEEK 11'!I104*0.95,5),'WEEK 11'!I106))</f>
        <v>60</v>
      </c>
      <c r="J88" s="13"/>
      <c r="K88" s="13"/>
      <c r="L88" s="13"/>
      <c r="M88" s="57"/>
    </row>
    <row r="89">
      <c r="A89" s="567" t="s">
        <v>50</v>
      </c>
      <c r="B89" s="568" t="s">
        <v>51</v>
      </c>
      <c r="C89" s="568" t="s">
        <v>52</v>
      </c>
      <c r="D89" s="568" t="s">
        <v>53</v>
      </c>
      <c r="E89" s="1047" t="s">
        <v>54</v>
      </c>
      <c r="F89" s="1048" t="s">
        <v>55</v>
      </c>
      <c r="H89" s="567" t="s">
        <v>50</v>
      </c>
      <c r="I89" s="568" t="s">
        <v>51</v>
      </c>
      <c r="J89" s="568" t="s">
        <v>52</v>
      </c>
      <c r="K89" s="568" t="s">
        <v>53</v>
      </c>
      <c r="L89" s="1047" t="s">
        <v>54</v>
      </c>
      <c r="M89" s="1048" t="s">
        <v>55</v>
      </c>
    </row>
    <row r="90">
      <c r="A90" s="1049">
        <v>1.0</v>
      </c>
      <c r="B90" s="1050">
        <f>'WEEK 12'!B88</f>
        <v>60</v>
      </c>
      <c r="C90" s="1051" t="s">
        <v>144</v>
      </c>
      <c r="D90" s="1052" t="s">
        <v>57</v>
      </c>
      <c r="E90" s="1349" t="str">
        <f>IF('WEEK 11'!B106=B90,'WEEK 11'!F106,"")</f>
        <v/>
      </c>
      <c r="F90" s="1017"/>
      <c r="G90" s="434" t="s">
        <v>123</v>
      </c>
      <c r="H90" s="1049">
        <v>1.0</v>
      </c>
      <c r="I90" s="1050">
        <f>'WEEK 12'!I88</f>
        <v>60</v>
      </c>
      <c r="J90" s="1051" t="s">
        <v>144</v>
      </c>
      <c r="K90" s="1052" t="s">
        <v>57</v>
      </c>
      <c r="L90" s="1349" t="str">
        <f>IF('WEEK 11'!I106=I90,'WEEK 11'!M106,"")</f>
        <v/>
      </c>
      <c r="M90" s="1017"/>
    </row>
    <row r="91">
      <c r="A91" s="1049">
        <v>2.0</v>
      </c>
      <c r="B91" s="1050">
        <f>if('WEEK 12'!F90&lt;12,mround('WEEK 12'!B90*0.8,5),IF('WEEK 12'!F90&lt;=19,MROUND('WEEK 12'!B90*0.95,5),'WEEK 12'!B90))</f>
        <v>50</v>
      </c>
      <c r="C91" s="1051" t="s">
        <v>144</v>
      </c>
      <c r="D91" s="1052" t="s">
        <v>57</v>
      </c>
      <c r="E91" s="1349" t="str">
        <f>IF('WEEK 11'!B107=B91,'WEEK 11'!F107,"")</f>
        <v/>
      </c>
      <c r="F91" s="1017"/>
      <c r="H91" s="1049">
        <v>2.0</v>
      </c>
      <c r="I91" s="1050">
        <f>if('WEEK 12'!M90&lt;12,mround('WEEK 12'!I90*0.8,5),IF('WEEK 12'!M90&lt;=19,MROUND('WEEK 12'!I90*0.95,5),'WEEK 12'!I90))</f>
        <v>50</v>
      </c>
      <c r="J91" s="1051" t="s">
        <v>144</v>
      </c>
      <c r="K91" s="1052" t="s">
        <v>57</v>
      </c>
      <c r="L91" s="1349" t="str">
        <f>IF('WEEK 11'!I107=I91,'WEEK 11'!M107,"")</f>
        <v/>
      </c>
      <c r="M91" s="1017"/>
    </row>
    <row r="92">
      <c r="A92" s="1053">
        <v>3.0</v>
      </c>
      <c r="B92" s="1054">
        <f>if('WEEK 12'!F91&lt;12,mround('WEEK 12'!B91*0.8,5),IF('WEEK 12'!F91&lt;=19,MROUND('WEEK 12'!B91*0.95,5),'WEEK 12'!B91))</f>
        <v>40</v>
      </c>
      <c r="C92" s="1055" t="s">
        <v>144</v>
      </c>
      <c r="D92" s="1056" t="s">
        <v>57</v>
      </c>
      <c r="E92" s="1350" t="str">
        <f>IF('WEEK 11'!B108=B92,'WEEK 11'!F108,"")</f>
        <v/>
      </c>
      <c r="F92" s="1017"/>
      <c r="G92" s="682"/>
      <c r="H92" s="1053">
        <v>3.0</v>
      </c>
      <c r="I92" s="1054">
        <f>if('WEEK 12'!M91&lt;12,mround('WEEK 12'!I91*0.8,5),IF('WEEK 12'!M91&lt;=19,MROUND('WEEK 12'!I91*0.95,5),'WEEK 12'!I91))</f>
        <v>40</v>
      </c>
      <c r="J92" s="1055" t="s">
        <v>144</v>
      </c>
      <c r="K92" s="1056" t="s">
        <v>57</v>
      </c>
      <c r="L92" s="1350" t="str">
        <f>IF('WEEK 11'!I108=I92,'WEEK 11'!M108,"")</f>
        <v/>
      </c>
      <c r="M92" s="1017"/>
    </row>
    <row r="93">
      <c r="A93" s="849"/>
      <c r="B93" s="849"/>
      <c r="C93" s="849"/>
      <c r="D93" s="849"/>
      <c r="E93" s="849"/>
      <c r="F93" s="849"/>
      <c r="H93" s="849"/>
      <c r="I93" s="850"/>
      <c r="J93" s="850"/>
      <c r="K93" s="850"/>
      <c r="L93" s="850"/>
      <c r="M93" s="850"/>
    </row>
    <row r="95">
      <c r="A95" s="1120" t="s">
        <v>62</v>
      </c>
      <c r="B95" s="36"/>
      <c r="C95" s="36"/>
      <c r="D95" s="36"/>
      <c r="E95" s="36"/>
      <c r="F95" s="37"/>
    </row>
    <row r="98">
      <c r="A98" s="51" t="s">
        <v>131</v>
      </c>
      <c r="B98" s="36"/>
      <c r="C98" s="36"/>
      <c r="D98" s="36"/>
      <c r="E98" s="36"/>
      <c r="F98" s="37"/>
      <c r="G98" s="419"/>
      <c r="H98" s="51" t="s">
        <v>131</v>
      </c>
      <c r="I98" s="36"/>
      <c r="J98" s="36"/>
      <c r="K98" s="36"/>
      <c r="L98" s="36"/>
      <c r="M98" s="37"/>
    </row>
    <row r="99">
      <c r="A99" s="504" t="str">
        <f>HYPERLINK("https://youtu.be/rmxOkkd2hUk","1. SHOULDER PRESS")</f>
        <v>1. SHOULDER PRESS</v>
      </c>
      <c r="B99" s="53"/>
      <c r="C99" s="53"/>
      <c r="D99" s="53"/>
      <c r="E99" s="53"/>
      <c r="F99" s="54"/>
      <c r="G99" s="419"/>
      <c r="H99" s="778" t="str">
        <f>HYPERLINK("https://www.youtube.com/watch?v=-cSBPE-y38M","1. MACHINE SHOULDER PRESS")</f>
        <v>1. MACHINE SHOULDER PRESS</v>
      </c>
      <c r="I99" s="53"/>
      <c r="J99" s="53"/>
      <c r="K99" s="53"/>
      <c r="L99" s="53"/>
      <c r="M99" s="54"/>
    </row>
    <row r="100">
      <c r="A100" s="589" t="s">
        <v>119</v>
      </c>
      <c r="B100" s="227" t="str">
        <f>'WEEK 10'!B122</f>
        <v/>
      </c>
      <c r="C100" s="20"/>
      <c r="D100" s="20"/>
      <c r="E100" s="20"/>
      <c r="F100" s="95"/>
      <c r="G100" s="419"/>
      <c r="H100" s="589" t="s">
        <v>119</v>
      </c>
      <c r="I100" s="227">
        <f>IF('WEEK 10'!I122="",'WEEK 4 '!B116,'WEEK 10'!I122)</f>
        <v>228</v>
      </c>
      <c r="J100" s="20"/>
      <c r="K100" s="20"/>
      <c r="L100" s="20"/>
      <c r="M100" s="95"/>
    </row>
    <row r="101">
      <c r="A101" s="364" t="s">
        <v>50</v>
      </c>
      <c r="B101" s="365" t="s">
        <v>51</v>
      </c>
      <c r="C101" s="365" t="s">
        <v>52</v>
      </c>
      <c r="D101" s="365" t="s">
        <v>53</v>
      </c>
      <c r="E101" s="609" t="s">
        <v>54</v>
      </c>
      <c r="F101" s="61" t="s">
        <v>55</v>
      </c>
      <c r="G101" s="724"/>
      <c r="H101" s="364" t="s">
        <v>50</v>
      </c>
      <c r="I101" s="365" t="s">
        <v>51</v>
      </c>
      <c r="J101" s="365" t="s">
        <v>52</v>
      </c>
      <c r="K101" s="365" t="s">
        <v>53</v>
      </c>
      <c r="L101" s="609" t="s">
        <v>54</v>
      </c>
      <c r="M101" s="61" t="s">
        <v>55</v>
      </c>
    </row>
    <row r="102">
      <c r="A102" s="236">
        <v>1.0</v>
      </c>
      <c r="B102" s="237">
        <f>mround('WEEK 12'!B100*0.35,5)</f>
        <v>0</v>
      </c>
      <c r="C102" s="237">
        <v>6.0</v>
      </c>
      <c r="D102" s="238" t="s">
        <v>120</v>
      </c>
      <c r="E102" s="66" t="str">
        <f>IF(B102='WEEK 9'!B103,'WEEK 9'!F103,"")</f>
        <v/>
      </c>
      <c r="F102" s="67"/>
      <c r="G102" s="728"/>
      <c r="H102" s="236">
        <v>1.0</v>
      </c>
      <c r="I102" s="237">
        <f>mround('WEEK 12'!I100*0.35,5)</f>
        <v>80</v>
      </c>
      <c r="J102" s="237">
        <v>6.0</v>
      </c>
      <c r="K102" s="238" t="s">
        <v>120</v>
      </c>
      <c r="L102" s="66" t="str">
        <f>IF(I102='WEEK 9'!I103,'WEEK 9'!M103,"")</f>
        <v/>
      </c>
      <c r="M102" s="67"/>
    </row>
    <row r="103">
      <c r="A103" s="236">
        <v>2.0</v>
      </c>
      <c r="B103" s="237">
        <f>mround('WEEK 12'!B100*0.65,5)</f>
        <v>0</v>
      </c>
      <c r="C103" s="237">
        <v>1.0</v>
      </c>
      <c r="D103" s="238" t="s">
        <v>57</v>
      </c>
      <c r="E103" s="1108" t="str">
        <f>IF(B103='WEEK 9'!B104,'WEEK 9'!F104,"")</f>
        <v/>
      </c>
      <c r="F103" s="67"/>
      <c r="G103" s="728"/>
      <c r="H103" s="236">
        <v>2.0</v>
      </c>
      <c r="I103" s="237">
        <f>mround('WEEK 12'!I100*0.65,5)</f>
        <v>150</v>
      </c>
      <c r="J103" s="237">
        <v>1.0</v>
      </c>
      <c r="K103" s="238" t="s">
        <v>57</v>
      </c>
      <c r="L103" s="1108" t="str">
        <f>IF(I103='WEEK 9'!I104,'WEEK 9'!M104,"")</f>
        <v/>
      </c>
      <c r="M103" s="67"/>
    </row>
    <row r="104">
      <c r="A104" s="779">
        <v>4.0</v>
      </c>
      <c r="B104" s="780">
        <f> mround('WEEK 12'!B100*0.9,5)</f>
        <v>0</v>
      </c>
      <c r="C104" s="781" t="s">
        <v>65</v>
      </c>
      <c r="D104" s="782" t="s">
        <v>57</v>
      </c>
      <c r="E104" s="1108" t="str">
        <f>IF(B104='WEEK 9'!B105,'WEEK 9'!F105,"")</f>
        <v/>
      </c>
      <c r="F104" s="784"/>
      <c r="G104" s="728"/>
      <c r="H104" s="779">
        <v>4.0</v>
      </c>
      <c r="I104" s="780">
        <f> mround('WEEK 12'!I100*0.9,5)</f>
        <v>205</v>
      </c>
      <c r="J104" s="781" t="s">
        <v>65</v>
      </c>
      <c r="K104" s="782" t="s">
        <v>57</v>
      </c>
      <c r="L104" s="1108" t="str">
        <f>IF(I104='WEEK 9'!I105,'WEEK 9'!M105,"")</f>
        <v/>
      </c>
      <c r="M104" s="784"/>
    </row>
    <row r="105">
      <c r="A105" s="785">
        <v>5.0</v>
      </c>
      <c r="B105" s="388">
        <f>if('WEEK 12'!F104&lt;20,mround('WEEK 12'!B104*0.85,5),'WEEK 12'!B104)</f>
        <v>0</v>
      </c>
      <c r="C105" s="781" t="s">
        <v>65</v>
      </c>
      <c r="D105" s="390" t="s">
        <v>57</v>
      </c>
      <c r="E105" s="1108" t="str">
        <f>IF(B105='WEEK 9'!B106,'WEEK 9'!F106,"")</f>
        <v/>
      </c>
      <c r="F105" s="392"/>
      <c r="G105" s="728"/>
      <c r="H105" s="785">
        <v>5.0</v>
      </c>
      <c r="I105" s="388">
        <f>if('WEEK 12'!M104&lt;20,mround('WEEK 12'!I104*0.85,5),'WEEK 12'!I104)</f>
        <v>175</v>
      </c>
      <c r="J105" s="781" t="s">
        <v>65</v>
      </c>
      <c r="K105" s="390" t="s">
        <v>57</v>
      </c>
      <c r="L105" s="1108" t="str">
        <f>IF(I105='WEEK 9'!I106,'WEEK 9'!M106,"")</f>
        <v/>
      </c>
      <c r="M105" s="392"/>
    </row>
    <row r="106">
      <c r="A106" s="787">
        <v>6.0</v>
      </c>
      <c r="B106" s="788">
        <f>if('WEEK 12'!F105&lt;20,mround('WEEK 12'!B105*0.85,2.5),'WEEK 12'!B105)</f>
        <v>0</v>
      </c>
      <c r="C106" s="789" t="s">
        <v>65</v>
      </c>
      <c r="D106" s="397" t="s">
        <v>57</v>
      </c>
      <c r="E106" s="1351" t="str">
        <f>IF(B106='WEEK 9'!B107,'WEEK 9'!F107,"")</f>
        <v/>
      </c>
      <c r="F106" s="392"/>
      <c r="G106" s="724"/>
      <c r="H106" s="787">
        <v>6.0</v>
      </c>
      <c r="I106" s="788">
        <f>if('WEEK 12'!M105&lt;20,mround('WEEK 12'!I105*0.85,10),'WEEK 12'!I105)</f>
        <v>150</v>
      </c>
      <c r="J106" s="789" t="s">
        <v>65</v>
      </c>
      <c r="K106" s="397" t="s">
        <v>57</v>
      </c>
      <c r="L106" s="1351" t="str">
        <f>IF(I106='WEEK 9'!I107,'WEEK 9'!M107,"")</f>
        <v/>
      </c>
      <c r="M106" s="392"/>
    </row>
    <row r="107">
      <c r="A107" s="623"/>
      <c r="B107" s="623"/>
      <c r="C107" s="623"/>
      <c r="D107" s="623"/>
      <c r="E107" s="1265"/>
      <c r="F107" s="623"/>
    </row>
    <row r="108">
      <c r="A108" s="995"/>
      <c r="B108" s="995"/>
      <c r="C108" s="995"/>
      <c r="D108" s="995"/>
      <c r="E108" s="1266"/>
      <c r="F108" s="995"/>
    </row>
    <row r="109">
      <c r="A109" s="361" t="str">
        <f>HYPERLINK("https://www.youtube.com/watch?v=gxWVN6F_uxo","2.  CABLE HIGH PULLEY ROW")</f>
        <v>2.  CABLE HIGH PULLEY ROW</v>
      </c>
      <c r="B109" s="53"/>
      <c r="C109" s="53"/>
      <c r="D109" s="53"/>
      <c r="E109" s="53"/>
      <c r="F109" s="54"/>
      <c r="G109" s="635"/>
      <c r="H109" s="1267" t="str">
        <f>HYPERLINK("https://www.youtube.com/watch?v=0BaHgGyCFJY&amp;feature=youtu.be","2. MACHINE REAR DELT FLY")</f>
        <v>2. MACHINE REAR DELT FLY</v>
      </c>
      <c r="I109" s="53"/>
      <c r="J109" s="53"/>
      <c r="K109" s="53"/>
      <c r="L109" s="53"/>
      <c r="M109" s="54"/>
    </row>
    <row r="110">
      <c r="A110" s="226" t="s">
        <v>119</v>
      </c>
      <c r="B110" s="76">
        <f>'WEEK 11'!B122</f>
        <v>90</v>
      </c>
      <c r="C110" s="13"/>
      <c r="D110" s="13"/>
      <c r="E110" s="13"/>
      <c r="F110" s="57"/>
      <c r="H110" s="961" t="s">
        <v>119</v>
      </c>
      <c r="I110" s="76">
        <f>'WEEK 9'!I111</f>
        <v>60</v>
      </c>
      <c r="J110" s="13"/>
      <c r="K110" s="13"/>
      <c r="L110" s="13"/>
      <c r="M110" s="57"/>
    </row>
    <row r="111">
      <c r="A111" s="77" t="s">
        <v>50</v>
      </c>
      <c r="B111" s="78" t="s">
        <v>51</v>
      </c>
      <c r="C111" s="78" t="s">
        <v>52</v>
      </c>
      <c r="D111" s="78" t="s">
        <v>53</v>
      </c>
      <c r="E111" s="80" t="s">
        <v>54</v>
      </c>
      <c r="F111" s="235" t="s">
        <v>55</v>
      </c>
      <c r="H111" s="962" t="s">
        <v>50</v>
      </c>
      <c r="I111" s="963" t="s">
        <v>51</v>
      </c>
      <c r="J111" s="963" t="s">
        <v>52</v>
      </c>
      <c r="K111" s="963" t="s">
        <v>53</v>
      </c>
      <c r="L111" s="1073" t="s">
        <v>54</v>
      </c>
      <c r="M111" s="1006" t="s">
        <v>55</v>
      </c>
    </row>
    <row r="112">
      <c r="A112" s="81">
        <v>1.0</v>
      </c>
      <c r="B112" s="82">
        <f> mround('WEEK 12'!B110*0.9,5)</f>
        <v>80</v>
      </c>
      <c r="C112" s="65">
        <v>20.0</v>
      </c>
      <c r="D112" s="83" t="s">
        <v>58</v>
      </c>
      <c r="E112" s="84" t="str">
        <f>IF('WEEK 11'!B124='WEEK 12'!B112,'WEEK 11'!F124,"")</f>
        <v/>
      </c>
      <c r="F112" s="85"/>
      <c r="H112" s="967">
        <v>1.0</v>
      </c>
      <c r="I112" s="1028">
        <f>MROUND('WEEK 12'!I110*0.9,5)</f>
        <v>55</v>
      </c>
      <c r="J112" s="1067" t="s">
        <v>61</v>
      </c>
      <c r="K112" s="968" t="s">
        <v>121</v>
      </c>
      <c r="L112" s="1244" t="str">
        <f>IF(I112='WEEK 10'!I128,'WEEK 10'!M128,"")</f>
        <v/>
      </c>
      <c r="M112" s="1017"/>
    </row>
    <row r="113">
      <c r="A113" s="81">
        <v>2.0</v>
      </c>
      <c r="B113" s="82">
        <f>if('WEEK 12'!F112&lt;10,mround(B112*0.8,5),IF('WEEK 12'!F112&lt;=14,MROUND('WEEK 12'!B112*0.95,5),'WEEK 12'!B112))</f>
        <v>65</v>
      </c>
      <c r="C113" s="65">
        <v>20.0</v>
      </c>
      <c r="D113" s="83" t="s">
        <v>58</v>
      </c>
      <c r="E113" s="84" t="str">
        <f>IF('WEEK 11'!B125='WEEK 12'!B113,'WEEK 11'!F125,"")</f>
        <v/>
      </c>
      <c r="F113" s="85"/>
      <c r="H113" s="967">
        <v>2.0</v>
      </c>
      <c r="I113" s="1028">
        <f>if('WEEK 12'!M112&lt;10,mround('WEEK 12'!I112*0.8,5),IF('WEEK 12'!M112&lt;15,MROUND('WEEK 12'!I112*0.95,5),'WEEK 12'!I112))</f>
        <v>45</v>
      </c>
      <c r="J113" s="1067" t="s">
        <v>61</v>
      </c>
      <c r="K113" s="968" t="s">
        <v>121</v>
      </c>
      <c r="L113" s="1244" t="str">
        <f>IF(I113='WEEK 10'!I129,'WEEK 10'!M129,"")</f>
        <v/>
      </c>
      <c r="M113" s="1017"/>
    </row>
    <row r="114">
      <c r="A114" s="86">
        <v>3.0</v>
      </c>
      <c r="B114" s="87">
        <f>if('WEEK 12'!F113&lt;8,mround('WEEK 12'!B113*0.8,5),IF('WEEK 12'!F113&lt;=14,MROUND('WEEK 12'!B113*0.95,5),'WEEK 12'!B113))</f>
        <v>50</v>
      </c>
      <c r="C114" s="71">
        <v>20.0</v>
      </c>
      <c r="D114" s="88" t="s">
        <v>58</v>
      </c>
      <c r="E114" s="84" t="str">
        <f>IF('WEEK 11'!B126='WEEK 12'!B114,'WEEK 11'!F126,"")</f>
        <v/>
      </c>
      <c r="F114" s="85"/>
      <c r="H114" s="971">
        <v>3.0</v>
      </c>
      <c r="I114" s="1123">
        <f>if('WEEK 12'!M113&lt;10,mround('WEEK 12'!I113*0.8,5),IF('WEEK 12'!M113&lt;15,MROUND('WEEK 12'!I113*0.95,5),'WEEK 12'!I113))</f>
        <v>35</v>
      </c>
      <c r="J114" s="1220" t="s">
        <v>61</v>
      </c>
      <c r="K114" s="972" t="s">
        <v>121</v>
      </c>
      <c r="L114" s="1255" t="str">
        <f>IF(I114='WEEK 10'!I130,'WEEK 10'!M130,"")</f>
        <v/>
      </c>
      <c r="M114" s="1017"/>
    </row>
    <row r="115">
      <c r="A115" s="1068"/>
      <c r="B115" s="1068"/>
      <c r="C115" s="1068"/>
      <c r="D115" s="623"/>
      <c r="E115" s="1265"/>
      <c r="F115" s="623"/>
    </row>
    <row r="116">
      <c r="A116" s="1069"/>
      <c r="B116" s="1069"/>
      <c r="C116" s="1069"/>
      <c r="D116" s="995"/>
      <c r="E116" s="1266"/>
      <c r="F116" s="995"/>
    </row>
    <row r="117">
      <c r="A117" s="1217" t="str">
        <f>HYPERLINK("https://youtu.be/QUNZvtb6mnY","3. DUMBBELL SIDE LATERAL RAISE")</f>
        <v>3. DUMBBELL SIDE LATERAL RAISE</v>
      </c>
      <c r="B117" s="53"/>
      <c r="C117" s="53"/>
      <c r="D117" s="53"/>
      <c r="E117" s="53"/>
      <c r="F117" s="54"/>
    </row>
    <row r="118">
      <c r="A118" s="1268" t="s">
        <v>134</v>
      </c>
      <c r="B118" s="76" t="str">
        <f>'WEEK 12'!B100</f>
        <v/>
      </c>
      <c r="C118" s="13"/>
      <c r="D118" s="13"/>
      <c r="E118" s="13"/>
      <c r="F118" s="57"/>
    </row>
    <row r="119">
      <c r="A119" s="1071" t="s">
        <v>50</v>
      </c>
      <c r="B119" s="1072" t="s">
        <v>51</v>
      </c>
      <c r="C119" s="1072" t="s">
        <v>52</v>
      </c>
      <c r="D119" s="1072" t="s">
        <v>53</v>
      </c>
      <c r="E119" s="1073" t="s">
        <v>54</v>
      </c>
      <c r="F119" s="1006" t="s">
        <v>55</v>
      </c>
    </row>
    <row r="120">
      <c r="A120" s="1074">
        <v>1.0</v>
      </c>
      <c r="B120" s="968">
        <f> mround('WEEK 12'!B118*0.2*0.9,5)</f>
        <v>0</v>
      </c>
      <c r="C120" s="1075" t="s">
        <v>61</v>
      </c>
      <c r="D120" s="1076" t="s">
        <v>57</v>
      </c>
      <c r="E120" s="1352" t="str">
        <f>IF(B120='WEEK 10'!B136,'WEEK 10'!F136,"")</f>
        <v/>
      </c>
      <c r="F120" s="1017"/>
    </row>
    <row r="121">
      <c r="A121" s="1074">
        <v>2.0</v>
      </c>
      <c r="B121" s="968">
        <f>if('WEEK 12'!F120&lt;12,mround('WEEK 12'!B118*0.15,2.5),'WEEK 12'!B120)</f>
        <v>0</v>
      </c>
      <c r="C121" s="1075" t="s">
        <v>61</v>
      </c>
      <c r="D121" s="1076" t="s">
        <v>57</v>
      </c>
      <c r="E121" s="1353" t="str">
        <f>IF(B121='WEEK 10'!B137,'WEEK 10'!F137,"")</f>
        <v/>
      </c>
      <c r="F121" s="1017"/>
    </row>
    <row r="122">
      <c r="A122" s="1078">
        <v>3.0</v>
      </c>
      <c r="B122" s="972">
        <f>if('WEEK 12'!F121&lt;12,mround('WEEK 12'!B118*0.1,2.5),'WEEK 12'!B121)</f>
        <v>0</v>
      </c>
      <c r="C122" s="1079" t="s">
        <v>61</v>
      </c>
      <c r="D122" s="1080" t="s">
        <v>57</v>
      </c>
      <c r="E122" s="1354" t="str">
        <f>IF(B122='WEEK 10'!B138,'WEEK 10'!F138,"")</f>
        <v/>
      </c>
      <c r="F122" s="1017"/>
    </row>
    <row r="123">
      <c r="E123" s="1248"/>
    </row>
    <row r="124">
      <c r="E124" s="1248"/>
    </row>
    <row r="125">
      <c r="A125" s="361" t="str">
        <f>HYPERLINK("https://www.youtube.com/watch?v=Zt0LwrUdpNs","2.  TRICEP OVERHEAD ROPE EXTENSION")</f>
        <v>2.  TRICEP OVERHEAD ROPE EXTENSION</v>
      </c>
      <c r="B125" s="53"/>
      <c r="C125" s="53"/>
      <c r="D125" s="53"/>
      <c r="E125" s="53"/>
      <c r="F125" s="54"/>
    </row>
    <row r="126">
      <c r="A126" s="226" t="s">
        <v>119</v>
      </c>
      <c r="B126" s="839">
        <f>IF('WEEK 9'!B129='WEEK 9'!B131,'WEEK 9'!B127,IF('WEEK 9'!F129&lt;=15,MROUND('WEEK 9'!B127*0.9,5),'WEEK 9'!B127))</f>
        <v>25</v>
      </c>
    </row>
    <row r="127">
      <c r="A127" s="77" t="s">
        <v>50</v>
      </c>
      <c r="B127" s="78" t="s">
        <v>51</v>
      </c>
      <c r="C127" s="78" t="s">
        <v>52</v>
      </c>
      <c r="D127" s="78" t="s">
        <v>53</v>
      </c>
      <c r="E127" s="80" t="s">
        <v>54</v>
      </c>
      <c r="F127" s="1003" t="s">
        <v>55</v>
      </c>
    </row>
    <row r="128">
      <c r="A128" s="81">
        <v>1.0</v>
      </c>
      <c r="B128" s="82">
        <f>mround('WEEK 12'!B126*0.9,5)</f>
        <v>25</v>
      </c>
      <c r="C128" s="65" t="s">
        <v>61</v>
      </c>
      <c r="D128" s="83" t="s">
        <v>58</v>
      </c>
      <c r="E128" s="1077" t="str">
        <f>IF(B128='WEEK 8'!B125,'WEEK 8'!F125,"")</f>
        <v/>
      </c>
      <c r="F128" s="85"/>
    </row>
    <row r="129">
      <c r="A129" s="81">
        <v>2.0</v>
      </c>
      <c r="B129" s="82">
        <f>if('WEEK 12'!F128&lt;10,mround('WEEK 12'!B128*0.8,5),IF('WEEK 12'!F128&lt;=14,MROUND('WEEK 12'!B128*0.95,5),'WEEK 12'!B128))</f>
        <v>20</v>
      </c>
      <c r="C129" s="65" t="s">
        <v>61</v>
      </c>
      <c r="D129" s="83" t="s">
        <v>58</v>
      </c>
      <c r="E129" s="1077" t="str">
        <f>IF(B129='WEEK 8'!B126,'WEEK 8'!F126,"")</f>
        <v/>
      </c>
      <c r="F129" s="85"/>
    </row>
    <row r="130">
      <c r="A130" s="86">
        <v>3.0</v>
      </c>
      <c r="B130" s="87">
        <f>if('WEEK 12'!F129&lt;10,mround('WEEK 12'!B129*0.8,5),IF('WEEK 12'!F129&lt;=14,MROUND('WEEK 12'!B129*0.95,5),'WEEK 12'!B129))</f>
        <v>15</v>
      </c>
      <c r="C130" s="71" t="s">
        <v>61</v>
      </c>
      <c r="D130" s="88" t="s">
        <v>58</v>
      </c>
      <c r="E130" s="31" t="str">
        <f>IF(B130='WEEK 8'!B127,'WEEK 8'!F127,"")</f>
        <v/>
      </c>
      <c r="F130" s="85"/>
    </row>
    <row r="131">
      <c r="E131" s="1248"/>
    </row>
    <row r="132">
      <c r="E132" s="1248"/>
    </row>
    <row r="133">
      <c r="A133" s="1217" t="str">
        <f>HYPERLINK("https://youtu.be/TorWpKwLCSg","4. ALTERNATING DUMBBELL BICEP CURLS")</f>
        <v>4. ALTERNATING DUMBBELL BICEP CURLS</v>
      </c>
      <c r="B133" s="53"/>
      <c r="C133" s="53"/>
      <c r="D133" s="53"/>
      <c r="E133" s="53"/>
      <c r="F133" s="54"/>
    </row>
    <row r="134">
      <c r="A134" s="961" t="s">
        <v>119</v>
      </c>
      <c r="B134" s="76">
        <f>'WEEK 9'!B135</f>
        <v>40</v>
      </c>
      <c r="C134" s="13"/>
      <c r="D134" s="13"/>
      <c r="E134" s="13"/>
      <c r="F134" s="57"/>
    </row>
    <row r="135">
      <c r="A135" s="962" t="s">
        <v>50</v>
      </c>
      <c r="B135" s="963" t="s">
        <v>51</v>
      </c>
      <c r="C135" s="963" t="s">
        <v>52</v>
      </c>
      <c r="D135" s="963" t="s">
        <v>53</v>
      </c>
      <c r="E135" s="1073" t="s">
        <v>54</v>
      </c>
      <c r="F135" s="1006" t="s">
        <v>55</v>
      </c>
    </row>
    <row r="136">
      <c r="A136" s="967">
        <v>1.0</v>
      </c>
      <c r="B136" s="968">
        <f> mround('WEEK 12'!B134*0.9,5)</f>
        <v>35</v>
      </c>
      <c r="C136" s="1067" t="s">
        <v>61</v>
      </c>
      <c r="D136" s="1076" t="s">
        <v>57</v>
      </c>
      <c r="E136" s="1235" t="str">
        <f>if(B136='WEEK 6'!B137,'WEEK 6'!F137,"")</f>
        <v/>
      </c>
      <c r="F136" s="984">
        <v>10.0</v>
      </c>
    </row>
    <row r="137">
      <c r="A137" s="967">
        <v>2.0</v>
      </c>
      <c r="B137" s="968">
        <f>if('WEEK 12'!F136&lt;10,mround('WEEK 12'!B134*0.35,5),'WEEK 12'!B136)</f>
        <v>15</v>
      </c>
      <c r="C137" s="1067" t="s">
        <v>61</v>
      </c>
      <c r="D137" s="1076" t="s">
        <v>57</v>
      </c>
      <c r="E137" s="1235" t="str">
        <f>if(B137='WEEK 6'!B138,'WEEK 6'!F138,"")</f>
        <v/>
      </c>
      <c r="F137" s="984">
        <v>10.0</v>
      </c>
    </row>
    <row r="138">
      <c r="A138" s="971">
        <v>3.0</v>
      </c>
      <c r="B138" s="972">
        <f>if('WEEK 12'!F137&lt;10,mround('WEEK 12'!B137*0.75,5),'WEEK 12'!B137)</f>
        <v>10</v>
      </c>
      <c r="C138" s="1220" t="s">
        <v>61</v>
      </c>
      <c r="D138" s="1080" t="s">
        <v>57</v>
      </c>
      <c r="E138" s="1271" t="str">
        <f>if(B138='WEEK 6'!B139,'WEEK 6'!F139,"")</f>
        <v/>
      </c>
      <c r="F138" s="984">
        <v>5.0</v>
      </c>
    </row>
    <row r="139">
      <c r="E139" s="1248"/>
    </row>
    <row r="140">
      <c r="E140" s="1248"/>
    </row>
    <row r="141">
      <c r="A141" s="1149" t="s">
        <v>135</v>
      </c>
      <c r="B141" s="36"/>
      <c r="C141" s="36"/>
      <c r="D141" s="36"/>
      <c r="E141" s="36"/>
      <c r="F141" s="37"/>
    </row>
    <row r="142">
      <c r="A142" s="623"/>
      <c r="B142" s="623"/>
      <c r="C142" s="623"/>
      <c r="D142" s="623"/>
      <c r="E142" s="1274"/>
      <c r="F142" s="623"/>
    </row>
    <row r="143">
      <c r="A143" s="1275" t="str">
        <f>HYPERLINK("https://www.amazon.com/30-Minute-Body-Investment-Champion/dp/0692791892/ref=sr_1_1?ie=UTF8&amp;qid=1490447969&amp;sr=8-1&amp;keywords=30+minute+body","WANT TO LEARN MORE?")</f>
        <v>WANT TO LEARN MORE?</v>
      </c>
      <c r="B143" s="25"/>
      <c r="C143" s="25"/>
      <c r="D143" s="25"/>
      <c r="E143" s="25"/>
      <c r="F143" s="26"/>
    </row>
    <row r="144">
      <c r="A144" s="529"/>
      <c r="F144" s="28"/>
    </row>
    <row r="145">
      <c r="A145" s="1276"/>
      <c r="B145" s="999"/>
      <c r="C145" s="1150" t="s">
        <v>67</v>
      </c>
      <c r="F145" s="28"/>
    </row>
    <row r="146">
      <c r="A146" s="1276"/>
      <c r="B146" s="999"/>
      <c r="F146" s="28"/>
    </row>
    <row r="147">
      <c r="A147" s="1276"/>
      <c r="B147" s="999"/>
      <c r="F147" s="28"/>
    </row>
    <row r="148">
      <c r="A148" s="1276"/>
      <c r="B148" s="999"/>
      <c r="F148" s="28"/>
    </row>
    <row r="149">
      <c r="A149" s="1276"/>
      <c r="B149" s="999"/>
      <c r="F149" s="28"/>
    </row>
    <row r="150">
      <c r="A150" s="1276"/>
      <c r="B150" s="999"/>
      <c r="F150" s="28"/>
    </row>
    <row r="151">
      <c r="A151" s="1277"/>
      <c r="B151" s="999"/>
      <c r="F151" s="28"/>
    </row>
    <row r="152">
      <c r="A152" s="1276"/>
      <c r="B152" s="999"/>
      <c r="F152" s="28"/>
    </row>
    <row r="153">
      <c r="A153" s="1276"/>
      <c r="B153" s="999"/>
      <c r="F153" s="28"/>
    </row>
    <row r="154">
      <c r="A154" s="1278"/>
      <c r="B154" s="999"/>
      <c r="F154" s="28"/>
    </row>
    <row r="155">
      <c r="A155" s="1276"/>
      <c r="B155" s="999"/>
      <c r="F155" s="28"/>
    </row>
    <row r="156">
      <c r="A156" s="1276"/>
      <c r="B156" s="999"/>
      <c r="F156" s="28"/>
    </row>
    <row r="157">
      <c r="A157" s="1276"/>
      <c r="B157" s="999"/>
      <c r="F157" s="28"/>
    </row>
    <row r="158">
      <c r="A158" s="1276"/>
      <c r="B158" s="999"/>
      <c r="F158" s="28"/>
    </row>
    <row r="159">
      <c r="A159" s="1279"/>
      <c r="B159" s="1280"/>
      <c r="C159" s="11"/>
      <c r="D159" s="11"/>
      <c r="E159" s="11"/>
      <c r="F159" s="46"/>
    </row>
  </sheetData>
  <mergeCells count="79">
    <mergeCell ref="I34:M34"/>
    <mergeCell ref="A35:N36"/>
    <mergeCell ref="A37:F37"/>
    <mergeCell ref="H37:M37"/>
    <mergeCell ref="B38:F38"/>
    <mergeCell ref="I38:M38"/>
    <mergeCell ref="N38:N41"/>
    <mergeCell ref="A50:A51"/>
    <mergeCell ref="A53:A54"/>
    <mergeCell ref="A56:A57"/>
    <mergeCell ref="G40:G41"/>
    <mergeCell ref="A44:F44"/>
    <mergeCell ref="B45:C45"/>
    <mergeCell ref="D45:F45"/>
    <mergeCell ref="A47:A48"/>
    <mergeCell ref="A49:F49"/>
    <mergeCell ref="A52:F52"/>
    <mergeCell ref="A55:F55"/>
    <mergeCell ref="A60:F60"/>
    <mergeCell ref="A62:F62"/>
    <mergeCell ref="A65:F65"/>
    <mergeCell ref="B66:F66"/>
    <mergeCell ref="B76:F76"/>
    <mergeCell ref="A79:F79"/>
    <mergeCell ref="B80:F80"/>
    <mergeCell ref="A87:F87"/>
    <mergeCell ref="G87:G89"/>
    <mergeCell ref="H87:M87"/>
    <mergeCell ref="B88:F88"/>
    <mergeCell ref="I88:M88"/>
    <mergeCell ref="G90:G91"/>
    <mergeCell ref="G92:G93"/>
    <mergeCell ref="A95:F95"/>
    <mergeCell ref="A98:F98"/>
    <mergeCell ref="H98:M98"/>
    <mergeCell ref="A99:F99"/>
    <mergeCell ref="H99:M99"/>
    <mergeCell ref="I100:M100"/>
    <mergeCell ref="A125:F125"/>
    <mergeCell ref="B126:F126"/>
    <mergeCell ref="A133:F133"/>
    <mergeCell ref="B134:F134"/>
    <mergeCell ref="A141:F141"/>
    <mergeCell ref="A143:F144"/>
    <mergeCell ref="C145:F159"/>
    <mergeCell ref="B100:F100"/>
    <mergeCell ref="A109:F109"/>
    <mergeCell ref="H109:M109"/>
    <mergeCell ref="B110:F110"/>
    <mergeCell ref="I110:M110"/>
    <mergeCell ref="A117:F117"/>
    <mergeCell ref="B118:F118"/>
    <mergeCell ref="H16:M16"/>
    <mergeCell ref="A17:N18"/>
    <mergeCell ref="A19:F19"/>
    <mergeCell ref="H19:M19"/>
    <mergeCell ref="A9:F9"/>
    <mergeCell ref="H9:M9"/>
    <mergeCell ref="A10:F11"/>
    <mergeCell ref="H10:M10"/>
    <mergeCell ref="A12:F12"/>
    <mergeCell ref="A13:F13"/>
    <mergeCell ref="H15:M15"/>
    <mergeCell ref="B21:F21"/>
    <mergeCell ref="A27:F27"/>
    <mergeCell ref="G27:G28"/>
    <mergeCell ref="H27:M27"/>
    <mergeCell ref="G19:G26"/>
    <mergeCell ref="G29:G31"/>
    <mergeCell ref="G38:G39"/>
    <mergeCell ref="A29:F29"/>
    <mergeCell ref="B34:F34"/>
    <mergeCell ref="A15:F15"/>
    <mergeCell ref="A16:F16"/>
    <mergeCell ref="N19:N31"/>
    <mergeCell ref="A20:F20"/>
    <mergeCell ref="H20:M20"/>
    <mergeCell ref="I21:M21"/>
    <mergeCell ref="H29:M29"/>
  </mergeCells>
  <dataValidations>
    <dataValidation type="decimal" operator="greaterThanOrEqual" allowBlank="1" showDropDown="1" showErrorMessage="1" sqref="M12:M14 F22:F26 F39:F41">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14 F59">
      <formula1>0.0</formula1>
    </dataValidation>
  </dataValidations>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293" t="s">
        <v>229</v>
      </c>
      <c r="B9" s="36"/>
      <c r="C9" s="36"/>
      <c r="D9" s="36"/>
      <c r="E9" s="36"/>
      <c r="F9" s="37"/>
      <c r="G9" s="419"/>
      <c r="H9" s="24" t="s">
        <v>35</v>
      </c>
      <c r="I9" s="25"/>
      <c r="J9" s="25"/>
      <c r="K9" s="25"/>
      <c r="L9" s="25"/>
      <c r="M9" s="26"/>
    </row>
    <row r="10">
      <c r="A10" s="719" t="str">
        <f>HYPERLINK("https://goo.gl/forms/3ibooB993Hi7SS2d2","PRESS TO RECORD BODY WEIGHT")</f>
        <v>PRESS TO RECORD BODY WEIGHT</v>
      </c>
      <c r="B10" s="25"/>
      <c r="C10" s="25"/>
      <c r="D10" s="25"/>
      <c r="E10" s="25"/>
      <c r="F10" s="26"/>
      <c r="G10" s="419"/>
      <c r="H10" s="147" t="s">
        <v>230</v>
      </c>
      <c r="M10" s="28"/>
    </row>
    <row r="11">
      <c r="A11" s="336"/>
      <c r="B11" s="11"/>
      <c r="C11" s="11"/>
      <c r="D11" s="11"/>
      <c r="E11" s="11"/>
      <c r="F11" s="46"/>
      <c r="G11" s="419"/>
      <c r="H11" s="29" t="s">
        <v>231</v>
      </c>
      <c r="I11" s="30"/>
      <c r="J11" s="30"/>
      <c r="K11" s="30"/>
      <c r="L11" s="30"/>
      <c r="M11" s="31"/>
    </row>
    <row r="12">
      <c r="A12" s="720" t="s">
        <v>69</v>
      </c>
      <c r="B12" s="36"/>
      <c r="C12" s="36"/>
      <c r="D12" s="36"/>
      <c r="E12" s="36"/>
      <c r="F12" s="37"/>
      <c r="G12" s="419"/>
      <c r="H12" s="419"/>
      <c r="I12" s="419"/>
      <c r="J12" s="419"/>
      <c r="K12" s="419"/>
      <c r="L12" s="717"/>
      <c r="M12" s="419"/>
    </row>
    <row r="13">
      <c r="A13" s="721" t="s">
        <v>149</v>
      </c>
      <c r="B13" s="36"/>
      <c r="C13" s="36"/>
      <c r="D13" s="36"/>
      <c r="E13" s="36"/>
      <c r="F13" s="37"/>
      <c r="G13" s="419"/>
      <c r="H13" s="419"/>
      <c r="I13" s="419"/>
      <c r="J13" s="419"/>
      <c r="K13" s="419"/>
      <c r="L13" s="717"/>
      <c r="M13" s="419"/>
    </row>
    <row r="14">
      <c r="A14" s="653"/>
      <c r="B14" s="653"/>
      <c r="C14" s="653"/>
      <c r="D14" s="653"/>
      <c r="E14" s="654"/>
      <c r="F14" s="141"/>
      <c r="G14" s="419"/>
      <c r="H14" s="419"/>
      <c r="I14" s="419"/>
      <c r="J14" s="419"/>
      <c r="K14" s="419"/>
      <c r="L14" s="717"/>
      <c r="M14" s="419"/>
    </row>
    <row r="15">
      <c r="A15" s="50" t="s">
        <v>47</v>
      </c>
      <c r="B15" s="36"/>
      <c r="C15" s="36"/>
      <c r="D15" s="36"/>
      <c r="E15" s="36"/>
      <c r="F15" s="37"/>
      <c r="G15" s="722"/>
      <c r="H15" s="429" t="s">
        <v>118</v>
      </c>
      <c r="I15" s="36"/>
      <c r="J15" s="36"/>
      <c r="K15" s="36"/>
      <c r="L15" s="36"/>
      <c r="M15" s="37"/>
    </row>
    <row r="16">
      <c r="A16" s="657"/>
      <c r="B16" s="657"/>
      <c r="C16" s="657"/>
      <c r="D16" s="657"/>
      <c r="E16" s="657"/>
      <c r="F16" s="657"/>
      <c r="G16" s="722"/>
      <c r="H16" s="657"/>
      <c r="I16" s="657"/>
      <c r="J16" s="657"/>
      <c r="K16" s="657"/>
      <c r="L16" s="657"/>
      <c r="M16" s="657"/>
    </row>
    <row r="17">
      <c r="A17" s="657"/>
      <c r="B17" s="657"/>
      <c r="C17" s="657"/>
      <c r="D17" s="657"/>
      <c r="E17" s="657"/>
      <c r="F17" s="657"/>
      <c r="G17" s="722"/>
      <c r="H17" s="657"/>
      <c r="I17" s="657"/>
      <c r="J17" s="657"/>
      <c r="K17" s="657"/>
      <c r="L17" s="657"/>
      <c r="M17" s="657"/>
    </row>
    <row r="18">
      <c r="A18" s="51" t="s">
        <v>48</v>
      </c>
      <c r="B18" s="36"/>
      <c r="C18" s="36"/>
      <c r="D18" s="36"/>
      <c r="E18" s="36"/>
      <c r="F18" s="37"/>
      <c r="G18" s="722"/>
      <c r="H18" s="51" t="s">
        <v>48</v>
      </c>
      <c r="I18" s="36"/>
      <c r="J18" s="36"/>
      <c r="K18" s="36"/>
      <c r="L18" s="36"/>
      <c r="M18" s="37"/>
    </row>
    <row r="19">
      <c r="A19" s="93" t="str">
        <f>HYPERLINK("https://youtu.be/iLgUDezDMbU","1. BENCH PRESS")</f>
        <v>1. BENCH PRESS</v>
      </c>
      <c r="B19" s="53"/>
      <c r="C19" s="53"/>
      <c r="D19" s="53"/>
      <c r="E19" s="53"/>
      <c r="F19" s="54"/>
      <c r="G19" s="722"/>
      <c r="H19" s="93" t="str">
        <f>HYPERLINK("https://youtu.be/75e_H9Vq_Lw","1. MACHINE PRESS")</f>
        <v>1. MACHINE PRESS</v>
      </c>
      <c r="I19" s="53"/>
      <c r="J19" s="53"/>
      <c r="K19" s="53"/>
      <c r="L19" s="53"/>
      <c r="M19" s="54"/>
    </row>
    <row r="20">
      <c r="A20" s="226" t="s">
        <v>119</v>
      </c>
      <c r="B20" s="691" t="str">
        <f>'WEEK 11'!B33</f>
        <v/>
      </c>
      <c r="C20" s="13"/>
      <c r="D20" s="13"/>
      <c r="E20" s="13"/>
      <c r="F20" s="57"/>
      <c r="G20" s="722"/>
      <c r="H20" s="226" t="s">
        <v>119</v>
      </c>
      <c r="I20" s="691" t="str">
        <f>if('WEEK 12'!I34="",'WEEK 10'!I20)</f>
        <v/>
      </c>
      <c r="J20" s="13"/>
      <c r="K20" s="13"/>
      <c r="L20" s="13"/>
      <c r="M20" s="57"/>
    </row>
    <row r="21">
      <c r="A21" s="96" t="s">
        <v>50</v>
      </c>
      <c r="B21" s="97" t="s">
        <v>51</v>
      </c>
      <c r="C21" s="97" t="s">
        <v>52</v>
      </c>
      <c r="D21" s="97" t="s">
        <v>53</v>
      </c>
      <c r="E21" s="341" t="s">
        <v>54</v>
      </c>
      <c r="F21" s="235" t="s">
        <v>55</v>
      </c>
      <c r="G21" s="723"/>
      <c r="H21" s="96" t="s">
        <v>50</v>
      </c>
      <c r="I21" s="97" t="s">
        <v>51</v>
      </c>
      <c r="J21" s="97" t="s">
        <v>52</v>
      </c>
      <c r="K21" s="97" t="s">
        <v>53</v>
      </c>
      <c r="L21" s="341" t="s">
        <v>54</v>
      </c>
      <c r="M21" s="235" t="s">
        <v>55</v>
      </c>
    </row>
    <row r="22">
      <c r="A22" s="725">
        <v>1.0</v>
      </c>
      <c r="B22" s="726">
        <f>IF( 'WEEK 13'!B20&lt;125,45, mround('WEEK 13'!B20*0.9*0.35,5))</f>
        <v>0</v>
      </c>
      <c r="C22" s="344">
        <v>6.0</v>
      </c>
      <c r="D22" s="343" t="s">
        <v>150</v>
      </c>
      <c r="E22" s="66" t="str">
        <f>IF('WEEK 13'!B22='WEEK 6'!B22,'WEEK 6'!F22,"")</f>
        <v/>
      </c>
      <c r="F22" s="85"/>
      <c r="G22" s="423"/>
      <c r="H22" s="725">
        <v>1.0</v>
      </c>
      <c r="I22" s="344">
        <f>mround('WEEK 13'!I20*0.9*0.35,5)</f>
        <v>0</v>
      </c>
      <c r="J22" s="344">
        <v>6.0</v>
      </c>
      <c r="K22" s="343" t="s">
        <v>150</v>
      </c>
      <c r="L22" s="66" t="str">
        <f>IF('WEEK 13'!I22='WEEK 6'!T22,'WEEK 6'!T22,"")</f>
        <v/>
      </c>
      <c r="M22" s="85"/>
    </row>
    <row r="23">
      <c r="A23" s="725">
        <v>2.0</v>
      </c>
      <c r="B23" s="729">
        <f>IF( 'WEEK 13'!B20&lt;70,MROUND('WEEK 13'!B20*0.78,5),MROUND('WEEK 13'!B20*0.9*0.72,5))</f>
        <v>0</v>
      </c>
      <c r="C23" s="344">
        <v>1.0</v>
      </c>
      <c r="D23" s="343" t="s">
        <v>151</v>
      </c>
      <c r="E23" s="66" t="str">
        <f>IF('WEEK 13'!B23='WEEK 6'!B23,'WEEK 6'!F23,"")</f>
        <v/>
      </c>
      <c r="F23" s="85"/>
      <c r="G23" s="423"/>
      <c r="H23" s="725">
        <v>2.0</v>
      </c>
      <c r="I23" s="344">
        <f>mround('WEEK 13'!I20*0.9*0.72,5)</f>
        <v>0</v>
      </c>
      <c r="J23" s="344">
        <v>1.0</v>
      </c>
      <c r="K23" s="343" t="s">
        <v>151</v>
      </c>
      <c r="L23" s="66" t="str">
        <f>IF('WEEK 13'!I23='WEEK 6'!T23,'WEEK 6'!T23,"")</f>
        <v/>
      </c>
      <c r="M23" s="85"/>
    </row>
    <row r="24">
      <c r="A24" s="725">
        <v>3.0</v>
      </c>
      <c r="B24" s="344">
        <f>mround('WEEK 13'!B20*0.9*0.9,5)</f>
        <v>0</v>
      </c>
      <c r="C24" s="344">
        <v>1.0</v>
      </c>
      <c r="D24" s="343" t="s">
        <v>57</v>
      </c>
      <c r="E24" s="66" t="str">
        <f>IF('WEEK 13'!B24='WEEK 6'!B24,'WEEK 6'!F24,"")</f>
        <v/>
      </c>
      <c r="F24" s="85"/>
      <c r="G24" s="423"/>
      <c r="H24" s="725">
        <v>3.0</v>
      </c>
      <c r="I24" s="344">
        <f>mround('WEEK 13'!I20*0.9*0.9,5)</f>
        <v>0</v>
      </c>
      <c r="J24" s="344">
        <v>1.0</v>
      </c>
      <c r="K24" s="343" t="s">
        <v>57</v>
      </c>
      <c r="L24" s="66" t="str">
        <f>IF('WEEK 13'!I24='WEEK 6'!T24,'WEEK 6'!T24,"")</f>
        <v/>
      </c>
      <c r="M24" s="85"/>
    </row>
    <row r="25">
      <c r="A25" s="730" t="s">
        <v>152</v>
      </c>
      <c r="B25" s="13"/>
      <c r="C25" s="13"/>
      <c r="D25" s="13"/>
      <c r="E25" s="13"/>
      <c r="F25" s="57"/>
      <c r="G25" s="731" t="s">
        <v>123</v>
      </c>
      <c r="H25" s="730" t="s">
        <v>152</v>
      </c>
      <c r="I25" s="13"/>
      <c r="J25" s="13"/>
      <c r="K25" s="13"/>
      <c r="L25" s="13"/>
      <c r="M25" s="57"/>
    </row>
    <row r="26">
      <c r="A26" s="96" t="s">
        <v>50</v>
      </c>
      <c r="B26" s="97" t="s">
        <v>51</v>
      </c>
      <c r="C26" s="97" t="s">
        <v>52</v>
      </c>
      <c r="D26" s="97" t="s">
        <v>53</v>
      </c>
      <c r="E26" s="341" t="s">
        <v>54</v>
      </c>
      <c r="F26" s="235" t="s">
        <v>55</v>
      </c>
      <c r="H26" s="96" t="s">
        <v>50</v>
      </c>
      <c r="I26" s="97" t="s">
        <v>51</v>
      </c>
      <c r="J26" s="97" t="s">
        <v>52</v>
      </c>
      <c r="K26" s="97" t="s">
        <v>53</v>
      </c>
      <c r="L26" s="341" t="s">
        <v>54</v>
      </c>
      <c r="M26" s="235" t="s">
        <v>55</v>
      </c>
    </row>
    <row r="27">
      <c r="A27" s="342">
        <v>1.0</v>
      </c>
      <c r="B27" s="348">
        <f>mround('WEEK 13'!B20*1*0.9,5)</f>
        <v>0</v>
      </c>
      <c r="C27" s="437" t="s">
        <v>65</v>
      </c>
      <c r="D27" s="343" t="s">
        <v>122</v>
      </c>
      <c r="E27" s="66" t="str">
        <f>IF('WEEK 13'!B27='WEEK 6'!B27,'WEEK 6'!F27,"")</f>
        <v/>
      </c>
      <c r="F27" s="85"/>
      <c r="G27" s="423"/>
      <c r="H27" s="725">
        <v>1.0</v>
      </c>
      <c r="I27" s="348">
        <f>mround('WEEK 13'!I20*1*0.9,5)</f>
        <v>0</v>
      </c>
      <c r="J27" s="437" t="s">
        <v>65</v>
      </c>
      <c r="K27" s="343" t="s">
        <v>122</v>
      </c>
      <c r="L27" s="66" t="str">
        <f>IF('WEEK 13'!I27='WEEK 6'!T27,'WEEK 6'!T27,"")</f>
        <v/>
      </c>
      <c r="M27" s="85"/>
    </row>
    <row r="28">
      <c r="A28" s="725">
        <v>2.0</v>
      </c>
      <c r="B28" s="348">
        <f>IF('WEEK 13'!F27&lt;3,MROUND('WEEK 13'!B27*0.75,5),IF('WEEK 13'!F27&lt;6,MROUND('WEEK 13'!B27*0.85,5),mround('WEEK 13'!B27*0.9,5)))</f>
        <v>0</v>
      </c>
      <c r="C28" s="437" t="s">
        <v>65</v>
      </c>
      <c r="D28" s="343" t="s">
        <v>122</v>
      </c>
      <c r="E28" s="66" t="str">
        <f>IF('WEEK 13'!B28='WEEK 6'!B28,'WEEK 6'!F28,"")</f>
        <v/>
      </c>
      <c r="F28" s="85"/>
      <c r="G28" s="722"/>
      <c r="H28" s="725">
        <v>2.0</v>
      </c>
      <c r="I28" s="348">
        <f>IF('WEEK 13'!M27&lt;3,MROUND('WEEK 13'!I27*0.75,5),IF('WEEK 13'!M27&lt;6,MROUND('WEEK 13'!I27*0.85,5),mround('WEEK 13'!I27*0.9,5)))</f>
        <v>0</v>
      </c>
      <c r="J28" s="437" t="s">
        <v>65</v>
      </c>
      <c r="K28" s="343" t="s">
        <v>122</v>
      </c>
      <c r="L28" s="66" t="str">
        <f>IF('WEEK 13'!I28='WEEK 6'!T28,'WEEK 6'!T28,"")</f>
        <v/>
      </c>
      <c r="M28" s="85"/>
    </row>
    <row r="29">
      <c r="A29" s="485">
        <v>3.0</v>
      </c>
      <c r="B29" s="732">
        <f>IF('WEEK 13'!F28&lt;3,MROUND('WEEK 13'!B28*0.75,5),IF('WEEK 13'!F28&lt;6,MROUND('WEEK 13'!B28*0.85,5),mround('WEEK 13'!B28*0.9,5)))</f>
        <v>0</v>
      </c>
      <c r="C29" s="733" t="s">
        <v>65</v>
      </c>
      <c r="D29" s="486" t="s">
        <v>122</v>
      </c>
      <c r="E29" s="72" t="str">
        <f>IF('WEEK 13'!B29='WEEK 6'!B29,'WEEK 6'!F29,"")</f>
        <v/>
      </c>
      <c r="F29" s="85"/>
      <c r="G29" s="722"/>
      <c r="H29" s="735">
        <v>3.0</v>
      </c>
      <c r="I29" s="736">
        <f>IF('WEEK 13'!M28&lt;3,MROUND('WEEK 13'!I28*0.75,5),IF('WEEK 13'!M28&lt;6,MROUND('WEEK 13'!I28*0.85,5),mround('WEEK 13'!I28*0.9,5)))</f>
        <v>0</v>
      </c>
      <c r="J29" s="737" t="s">
        <v>65</v>
      </c>
      <c r="K29" s="738" t="s">
        <v>122</v>
      </c>
      <c r="L29" s="66" t="str">
        <f>IF('WEEK 13'!I29='WEEK 6'!T29,'WEEK 6'!T29,"")</f>
        <v/>
      </c>
      <c r="M29" s="330"/>
    </row>
    <row r="30">
      <c r="A30" s="740"/>
      <c r="B30" s="740"/>
      <c r="C30" s="740"/>
      <c r="D30" s="740"/>
      <c r="E30" s="741"/>
      <c r="F30" s="419"/>
      <c r="G30" s="722"/>
      <c r="H30" s="742"/>
      <c r="I30" s="742"/>
      <c r="J30" s="742"/>
      <c r="K30" s="742"/>
      <c r="L30" s="742"/>
      <c r="M30" s="742"/>
    </row>
    <row r="31">
      <c r="A31" s="740"/>
      <c r="B31" s="740"/>
      <c r="C31" s="740"/>
      <c r="D31" s="740"/>
      <c r="E31" s="741"/>
      <c r="F31" s="419"/>
      <c r="G31" s="419"/>
      <c r="H31" s="657"/>
      <c r="I31" s="657"/>
      <c r="J31" s="657"/>
      <c r="K31" s="657"/>
      <c r="L31" s="657"/>
      <c r="M31" s="657"/>
    </row>
    <row r="32">
      <c r="A32" s="440" t="str">
        <f>HYPERLINK("https://www.youtube.com/watch?v=mGv8D2DGyNQ","2. DB CHEST FLY")</f>
        <v>2. DB CHEST FLY</v>
      </c>
      <c r="B32" s="53"/>
      <c r="C32" s="53"/>
      <c r="D32" s="53"/>
      <c r="E32" s="53"/>
      <c r="F32" s="54"/>
      <c r="G32" s="419"/>
      <c r="H32" s="504" t="str">
        <f>HYPERLINK("https://www.youtube.com/watch?v=THb0dhfIu1k","2. MACHINE CHEST FLY")</f>
        <v>2. MACHINE CHEST FLY</v>
      </c>
      <c r="I32" s="53"/>
      <c r="J32" s="53"/>
      <c r="K32" s="53"/>
      <c r="L32" s="53"/>
      <c r="M32" s="54"/>
    </row>
    <row r="33">
      <c r="A33" s="226" t="s">
        <v>228</v>
      </c>
      <c r="B33" s="691" t="str">
        <f>'WEEK 12'!B38</f>
        <v/>
      </c>
      <c r="C33" s="13"/>
      <c r="D33" s="13"/>
      <c r="E33" s="13"/>
      <c r="F33" s="57"/>
      <c r="G33" s="419"/>
      <c r="H33" s="226" t="s">
        <v>228</v>
      </c>
      <c r="I33" s="548" t="str">
        <f>B33</f>
        <v/>
      </c>
      <c r="J33" s="13"/>
      <c r="K33" s="13"/>
      <c r="L33" s="13"/>
      <c r="M33" s="57"/>
    </row>
    <row r="34">
      <c r="A34" s="743" t="s">
        <v>50</v>
      </c>
      <c r="B34" s="744" t="s">
        <v>51</v>
      </c>
      <c r="C34" s="744" t="s">
        <v>52</v>
      </c>
      <c r="D34" s="744" t="s">
        <v>53</v>
      </c>
      <c r="E34" s="745" t="s">
        <v>54</v>
      </c>
      <c r="F34" s="746" t="s">
        <v>55</v>
      </c>
      <c r="G34" s="724"/>
      <c r="H34" s="96" t="s">
        <v>50</v>
      </c>
      <c r="I34" s="97" t="s">
        <v>51</v>
      </c>
      <c r="J34" s="97" t="s">
        <v>52</v>
      </c>
      <c r="K34" s="97" t="s">
        <v>53</v>
      </c>
      <c r="L34" s="341" t="s">
        <v>54</v>
      </c>
      <c r="M34" s="235" t="s">
        <v>55</v>
      </c>
    </row>
    <row r="35">
      <c r="A35" s="725">
        <v>1.0</v>
      </c>
      <c r="B35" s="254">
        <f>mround('WEEK 13'!B33*0.29,2.5)</f>
        <v>0</v>
      </c>
      <c r="C35" s="344">
        <v>15.0</v>
      </c>
      <c r="D35" s="343" t="s">
        <v>57</v>
      </c>
      <c r="E35" s="66" t="str">
        <f>IF('WEEK 13'!B35='WEEK 6'!B35,'WEEK 6'!F35,"")</f>
        <v/>
      </c>
      <c r="F35" s="85"/>
      <c r="G35" s="728"/>
      <c r="H35" s="240">
        <v>1.0</v>
      </c>
      <c r="I35" s="254">
        <f>mround('WEEK 13'!I33*2*0.75,10)</f>
        <v>0</v>
      </c>
      <c r="J35" s="241">
        <v>15.0</v>
      </c>
      <c r="K35" s="83" t="s">
        <v>57</v>
      </c>
      <c r="L35" s="66" t="str">
        <f>IF('WEEK 13'!I35='WEEK 6'!I35,'WEEK 6'!M35,"")</f>
        <v/>
      </c>
      <c r="M35" s="85"/>
    </row>
    <row r="36">
      <c r="A36" s="747">
        <v>2.0</v>
      </c>
      <c r="B36" s="662">
        <f>mround('WEEK 13'!B33*0.29,2.5)</f>
        <v>0</v>
      </c>
      <c r="C36" s="813">
        <v>15.0</v>
      </c>
      <c r="D36" s="486" t="s">
        <v>57</v>
      </c>
      <c r="E36" s="72" t="str">
        <f>IF('WEEK 13'!B36='WEEK 6'!B36,'WEEK 6'!F36,"")</f>
        <v/>
      </c>
      <c r="F36" s="85"/>
      <c r="G36" s="728"/>
      <c r="H36" s="661">
        <v>2.0</v>
      </c>
      <c r="I36" s="662">
        <f>mround('WEEK 13'!I33*2*0.75,10)</f>
        <v>0</v>
      </c>
      <c r="J36" s="662">
        <v>15.0</v>
      </c>
      <c r="K36" s="88" t="s">
        <v>57</v>
      </c>
      <c r="L36" s="72" t="str">
        <f>IF('WEEK 13'!I36='WEEK 6'!I36,'WEEK 6'!M36,"")</f>
        <v/>
      </c>
      <c r="M36" s="85"/>
    </row>
    <row r="39">
      <c r="A39" s="73" t="str">
        <f>HYPERLINK("https://www.youtube.com/watch?v=PnaDzYh2axA","3. LAT PULL DOWN")</f>
        <v>3. LAT PULL DOWN</v>
      </c>
      <c r="B39" s="53"/>
      <c r="C39" s="53"/>
      <c r="D39" s="53"/>
      <c r="E39" s="53"/>
      <c r="F39" s="53"/>
    </row>
    <row r="40">
      <c r="A40" s="226" t="s">
        <v>119</v>
      </c>
      <c r="B40" s="227" t="str">
        <f>'WEEK 12'!D45</f>
        <v/>
      </c>
      <c r="C40" s="20"/>
      <c r="D40" s="20"/>
      <c r="E40" s="20"/>
      <c r="F40" s="20"/>
    </row>
    <row r="41">
      <c r="A41" s="231" t="s">
        <v>50</v>
      </c>
      <c r="B41" s="232" t="s">
        <v>51</v>
      </c>
      <c r="C41" s="232" t="s">
        <v>52</v>
      </c>
      <c r="D41" s="232" t="s">
        <v>53</v>
      </c>
      <c r="E41" s="233" t="s">
        <v>54</v>
      </c>
      <c r="F41" s="286" t="s">
        <v>55</v>
      </c>
    </row>
    <row r="42">
      <c r="A42" s="236">
        <v>1.0</v>
      </c>
      <c r="B42" s="237">
        <f>mround('WEEK 13'!B40*0.35,5)</f>
        <v>0</v>
      </c>
      <c r="C42" s="238">
        <v>6.0</v>
      </c>
      <c r="D42" s="238" t="s">
        <v>120</v>
      </c>
      <c r="E42" s="66"/>
      <c r="F42" s="67"/>
    </row>
    <row r="43">
      <c r="A43" s="236">
        <v>2.0</v>
      </c>
      <c r="B43" s="237">
        <f>mround('WEEK 13'!B40*0.65,5)</f>
        <v>0</v>
      </c>
      <c r="C43" s="238">
        <v>3.0</v>
      </c>
      <c r="D43" s="238" t="s">
        <v>121</v>
      </c>
      <c r="E43" s="66"/>
      <c r="F43" s="67"/>
    </row>
    <row r="44">
      <c r="A44" s="242">
        <v>3.0</v>
      </c>
      <c r="B44" s="237">
        <f>mround('WEEK 13'!B40*0.9,5)</f>
        <v>0</v>
      </c>
      <c r="C44" s="63">
        <v>2.0</v>
      </c>
      <c r="D44" s="238" t="s">
        <v>121</v>
      </c>
      <c r="E44" s="66"/>
      <c r="F44" s="67"/>
    </row>
    <row r="45">
      <c r="A45" s="243">
        <v>4.0</v>
      </c>
      <c r="B45" s="237" t="str">
        <f>'WEEK 13'!B40</f>
        <v/>
      </c>
      <c r="C45" s="257">
        <v>3.0</v>
      </c>
      <c r="D45" s="238" t="s">
        <v>122</v>
      </c>
      <c r="E45" s="66"/>
      <c r="F45" s="665"/>
    </row>
    <row r="46">
      <c r="A46" s="246" t="str">
        <f>IF('WEEK 13'!F45&lt;3,"PROCEED TO DOWN SETS","NEW 4 REP MAX ATTEMPT")</f>
        <v>PROCEED TO DOWN SETS</v>
      </c>
      <c r="B46" s="20"/>
      <c r="C46" s="20"/>
      <c r="D46" s="20"/>
      <c r="E46" s="20"/>
      <c r="F46" s="20"/>
    </row>
    <row r="47">
      <c r="A47" s="249" t="str">
        <f>if('WEEK 13'!F45&lt;=2,"",5)</f>
        <v/>
      </c>
      <c r="B47" s="175" t="str">
        <f>IF('WEEK 13'!F45&lt;=2,"",B45+5)</f>
        <v/>
      </c>
      <c r="C47" s="238" t="str">
        <f>if('WEEK 13'!F45&lt;=2,"",4)</f>
        <v/>
      </c>
      <c r="D47" s="238" t="str">
        <f>if('WEEK 13'!F45&lt;=2,"","1-5 MIN")</f>
        <v/>
      </c>
      <c r="E47" s="250"/>
      <c r="F47" s="271"/>
    </row>
    <row r="48">
      <c r="A48" s="256" t="str">
        <f>IF('WEEK 13'!F47&lt;4,"","6")</f>
        <v/>
      </c>
      <c r="B48" s="237" t="str">
        <f>IF('WEEK 13'!F47&lt;4,"",B47+5)</f>
        <v/>
      </c>
      <c r="C48" s="257" t="str">
        <f>IF('WEEK 13'!F47&lt;4,"","4")</f>
        <v/>
      </c>
      <c r="D48" s="257" t="str">
        <f>IF('WEEK 13'!F47&lt;4,"","1-5 MIN")</f>
        <v/>
      </c>
      <c r="E48" s="258"/>
      <c r="F48" s="665"/>
    </row>
    <row r="49">
      <c r="A49" s="246" t="str">
        <f>IF(OR(ISBLANK('WEEK 13'!F45),ISBLANK('WEEK 13'!F44),ISBLANK('WEEK 13'!F43)),"FILL OUT REP LOG FOR DOWN SETS","DOWN SETS")</f>
        <v>FILL OUT REP LOG FOR DOWN SETS</v>
      </c>
      <c r="B49" s="20"/>
      <c r="C49" s="20"/>
      <c r="D49" s="20"/>
      <c r="E49" s="20"/>
      <c r="F49" s="20"/>
    </row>
    <row r="50">
      <c r="A50" s="264" t="str">
        <f>IF(OR(ISBLANK('WEEK 13'!F45),ISBLANK('WEEK 13'!F44),ISBLANK('WEEK 13'!F43)),"",IF((AND(A47="",A48="")),5,IF((AND(A47&gt;1,A48="")),6,7)))</f>
        <v/>
      </c>
      <c r="B50" s="265">
        <f>MROUND('WEEK 13'!B52*0.8,5)</f>
        <v>0</v>
      </c>
      <c r="C50" s="266" t="s">
        <v>65</v>
      </c>
      <c r="D50" s="267" t="s">
        <v>127</v>
      </c>
      <c r="E50" s="268"/>
      <c r="F50" s="271"/>
    </row>
    <row r="51">
      <c r="A51" s="243" t="str">
        <f>IF(OR(ISBLANK('WEEK 13'!F45),ISBLANK('WEEK 13'!F44),ISBLANK('WEEK 13'!F43)),"",IF((AND(A47="",A48="")),6,IF((AND(A47&gt;1,A48="")),7,8)))</f>
        <v/>
      </c>
      <c r="B51" s="237">
        <f>mround('WEEK 13'!B52*0.7,5)</f>
        <v>0</v>
      </c>
      <c r="C51" s="245" t="s">
        <v>65</v>
      </c>
      <c r="D51" s="65" t="s">
        <v>127</v>
      </c>
      <c r="E51" s="258"/>
      <c r="F51" s="271"/>
    </row>
    <row r="52">
      <c r="A52" s="272" t="s">
        <v>124</v>
      </c>
      <c r="B52" s="273" t="str">
        <f>IF(OR(ISBLANK('WEEK 13'!F45),ISBLANK('WEEK 13'!F44),ISBLANK('WEEK 13'!F43)),"",IF('WEEK 13'!F48&gt;=4,'WEEK 13'!B48,IF('WEEK 13'!F47&gt;=1,'WEEK 13'!B47,IF('WEEK 13'!F45&lt;3,'WEEK 13'!B45-5,'WEEK 13'!B45))))</f>
        <v/>
      </c>
      <c r="C52" s="11"/>
      <c r="D52" s="11"/>
      <c r="E52" s="11"/>
      <c r="F52" s="46"/>
    </row>
    <row r="53">
      <c r="A53" s="302"/>
      <c r="B53" s="302"/>
      <c r="C53" s="302"/>
      <c r="D53" s="302"/>
      <c r="E53" s="303"/>
      <c r="F53" s="103"/>
    </row>
    <row r="54">
      <c r="A54" s="302"/>
      <c r="B54" s="302"/>
      <c r="C54" s="302"/>
      <c r="D54" s="302"/>
      <c r="E54" s="303"/>
      <c r="F54" s="103"/>
    </row>
    <row r="55">
      <c r="A55" s="73" t="str">
        <f>HYPERLINK("https://www.youtube.com/watch?v=9YH1YvZbiY0","4. MACHINE LOW ROW")</f>
        <v>4. MACHINE LOW ROW</v>
      </c>
      <c r="B55" s="53"/>
      <c r="C55" s="53"/>
      <c r="D55" s="53"/>
      <c r="E55" s="53"/>
      <c r="F55" s="53"/>
    </row>
    <row r="56">
      <c r="A56" s="282" t="s">
        <v>119</v>
      </c>
      <c r="B56" s="56">
        <f>'WEEK 11'!B68</f>
        <v>265</v>
      </c>
      <c r="C56" s="13"/>
      <c r="D56" s="13"/>
      <c r="E56" s="13"/>
      <c r="F56" s="13"/>
    </row>
    <row r="57">
      <c r="A57" s="58" t="s">
        <v>50</v>
      </c>
      <c r="B57" s="59" t="s">
        <v>51</v>
      </c>
      <c r="C57" s="59" t="s">
        <v>52</v>
      </c>
      <c r="D57" s="59" t="s">
        <v>53</v>
      </c>
      <c r="E57" s="584" t="s">
        <v>54</v>
      </c>
      <c r="F57" s="286" t="s">
        <v>55</v>
      </c>
    </row>
    <row r="58">
      <c r="A58" s="62">
        <v>1.0</v>
      </c>
      <c r="B58" s="63">
        <f> mround('WEEK 13'!B56*0.9,5)</f>
        <v>240</v>
      </c>
      <c r="C58" s="104" t="s">
        <v>65</v>
      </c>
      <c r="D58" s="65" t="s">
        <v>57</v>
      </c>
      <c r="E58" s="66"/>
      <c r="F58" s="67"/>
    </row>
    <row r="59">
      <c r="A59" s="62">
        <v>2.0</v>
      </c>
      <c r="B59" s="63">
        <f>IF('WEEK 13'!F58&lt;6,MROUND('WEEK 13'!B58*0.87,5),IF('WEEK 13'!F58&lt;=11,MROUND('WEEK 13'!B58*0.95,5),'WEEK 13'!B58))</f>
        <v>210</v>
      </c>
      <c r="C59" s="104" t="s">
        <v>65</v>
      </c>
      <c r="D59" s="65" t="s">
        <v>57</v>
      </c>
      <c r="E59" s="66"/>
      <c r="F59" s="67"/>
    </row>
    <row r="60">
      <c r="A60" s="68">
        <v>3.0</v>
      </c>
      <c r="B60" s="69">
        <f>IF('WEEK 13'!F59&lt;6,MROUND('WEEK 13'!B59*0.87,5),IF('WEEK 13'!F59&lt;=11,MROUND('WEEK 13'!B59*0.95,5),'WEEK 13'!B59))</f>
        <v>185</v>
      </c>
      <c r="C60" s="105" t="s">
        <v>65</v>
      </c>
      <c r="D60" s="71" t="s">
        <v>57</v>
      </c>
      <c r="E60" s="72"/>
      <c r="F60" s="67"/>
    </row>
    <row r="61">
      <c r="A61" s="103"/>
      <c r="B61" s="103"/>
      <c r="C61" s="103"/>
      <c r="D61" s="103"/>
      <c r="E61" s="222"/>
      <c r="F61" s="103"/>
    </row>
    <row r="62">
      <c r="A62" s="103"/>
      <c r="B62" s="103"/>
      <c r="C62" s="103"/>
      <c r="D62" s="103"/>
      <c r="E62" s="222"/>
      <c r="F62" s="103"/>
    </row>
    <row r="63">
      <c r="A63" s="73" t="str">
        <f>HYPERLINK("https://youtu.be/5-SUS-OVULY","5. MACHINE HIGH ROW")</f>
        <v>5. MACHINE HIGH ROW</v>
      </c>
      <c r="B63" s="53"/>
      <c r="C63" s="53"/>
      <c r="D63" s="53"/>
      <c r="E63" s="53"/>
      <c r="F63" s="53"/>
    </row>
    <row r="64">
      <c r="A64" s="282" t="s">
        <v>119</v>
      </c>
      <c r="B64" s="56" t="str">
        <f>'WEEK 11'!B57</f>
        <v/>
      </c>
      <c r="C64" s="13"/>
      <c r="D64" s="13"/>
      <c r="E64" s="13"/>
      <c r="F64" s="13"/>
    </row>
    <row r="65">
      <c r="A65" s="58" t="s">
        <v>50</v>
      </c>
      <c r="B65" s="59" t="s">
        <v>51</v>
      </c>
      <c r="C65" s="59" t="s">
        <v>52</v>
      </c>
      <c r="D65" s="59" t="s">
        <v>53</v>
      </c>
      <c r="E65" s="584" t="s">
        <v>54</v>
      </c>
      <c r="F65" s="286" t="s">
        <v>55</v>
      </c>
    </row>
    <row r="66">
      <c r="A66" s="62">
        <v>1.0</v>
      </c>
      <c r="B66" s="63">
        <f> mround('WEEK 13'!B64*0.85,5)</f>
        <v>0</v>
      </c>
      <c r="C66" s="104" t="s">
        <v>65</v>
      </c>
      <c r="D66" s="65" t="s">
        <v>57</v>
      </c>
      <c r="E66" s="66"/>
      <c r="F66" s="67"/>
    </row>
    <row r="67">
      <c r="A67" s="62">
        <v>2.0</v>
      </c>
      <c r="B67" s="63">
        <f>IF('WEEK 13'!F66&lt;6,MROUND('WEEK 13'!B64*0.7,5),IF('WEEK 13'!F66&lt;=11,MROUND('WEEK 13'!B64*0.75,5),'WEEK 13'!B66))</f>
        <v>0</v>
      </c>
      <c r="C67" s="104" t="s">
        <v>65</v>
      </c>
      <c r="D67" s="65" t="s">
        <v>57</v>
      </c>
      <c r="E67" s="66"/>
      <c r="F67" s="67"/>
    </row>
    <row r="68">
      <c r="A68" s="68">
        <v>3.0</v>
      </c>
      <c r="B68" s="87">
        <f>IF('WEEK 13'!F67&lt;6,MROUND('WEEK 13'!B67*0.8,5),IF('WEEK 13'!F67&lt;=11,MROUND('WEEK 13'!B67*0.85,5),'WEEK 13'!B67))</f>
        <v>0</v>
      </c>
      <c r="C68" s="105" t="s">
        <v>65</v>
      </c>
      <c r="D68" s="309" t="s">
        <v>57</v>
      </c>
      <c r="E68" s="72"/>
      <c r="F68" s="67"/>
    </row>
    <row r="71">
      <c r="A71" s="310" t="str">
        <f>HYPERLINK("https://docs.google.com/a/fitnessresults.com/forms/d/e/1FAIpQLSd7MoczESe8Yjv6BKpmwAZGn9Aiymrs9-UdgfYIUpbr9t5NXg/viewform?usp=pp_url&amp;entry.93370101","CLICK TO COMPLETE WORKOUT")</f>
        <v>CLICK TO COMPLETE WORKOUT</v>
      </c>
      <c r="B71" s="36"/>
      <c r="C71" s="36"/>
      <c r="D71" s="36"/>
      <c r="E71" s="36"/>
      <c r="F71" s="37"/>
    </row>
    <row r="73">
      <c r="A73" s="224" t="s">
        <v>128</v>
      </c>
      <c r="B73" s="36"/>
      <c r="C73" s="36"/>
      <c r="D73" s="36"/>
      <c r="E73" s="36"/>
      <c r="F73" s="37"/>
    </row>
    <row r="76">
      <c r="A76" s="1355" t="str">
        <f>HYPERLINK("https://www.youtube.com/watch?v=5UOeRbRoFOI","1. MACHINE SQUAT")</f>
        <v>1. MACHINE SQUAT</v>
      </c>
      <c r="B76" s="53"/>
      <c r="C76" s="53"/>
      <c r="D76" s="53"/>
      <c r="E76" s="53"/>
      <c r="F76" s="54"/>
    </row>
    <row r="77">
      <c r="A77" s="1262" t="s">
        <v>209</v>
      </c>
      <c r="B77" s="1035">
        <f>'WEEK 9'!B76</f>
        <v>65</v>
      </c>
      <c r="C77" s="13"/>
      <c r="D77" s="13"/>
      <c r="E77" s="13"/>
      <c r="F77" s="57"/>
    </row>
    <row r="78">
      <c r="A78" s="231" t="s">
        <v>50</v>
      </c>
      <c r="B78" s="232" t="s">
        <v>51</v>
      </c>
      <c r="C78" s="232" t="s">
        <v>52</v>
      </c>
      <c r="D78" s="232" t="s">
        <v>53</v>
      </c>
      <c r="E78" s="1073" t="s">
        <v>54</v>
      </c>
      <c r="F78" s="1006" t="s">
        <v>55</v>
      </c>
    </row>
    <row r="79">
      <c r="A79" s="236">
        <v>1.0</v>
      </c>
      <c r="B79" s="237">
        <f>mround('WEEK 13'!B77*0.35,5)</f>
        <v>25</v>
      </c>
      <c r="C79" s="238">
        <v>10.0</v>
      </c>
      <c r="D79" s="238" t="s">
        <v>120</v>
      </c>
      <c r="E79" s="1130" t="str">
        <f>IF('WEEK 13'!B79='WEEK 12'!B68,'WEEK 12'!F68,"")</f>
        <v/>
      </c>
      <c r="F79" s="1131"/>
      <c r="G79" s="1130"/>
    </row>
    <row r="80">
      <c r="A80" s="236">
        <v>2.0</v>
      </c>
      <c r="B80" s="237">
        <f>mround('WEEK 13'!B77*0.65,5)</f>
        <v>40</v>
      </c>
      <c r="C80" s="238">
        <v>10.0</v>
      </c>
      <c r="D80" s="238" t="s">
        <v>121</v>
      </c>
      <c r="E80" s="1130" t="str">
        <f>IF('WEEK 13'!B80='WEEK 12'!B69,'WEEK 12'!F69,"")</f>
        <v/>
      </c>
      <c r="F80" s="1017"/>
    </row>
    <row r="81">
      <c r="A81" s="242">
        <v>3.0</v>
      </c>
      <c r="B81" s="237">
        <f>mround('WEEK 13'!B77*0.9,5)</f>
        <v>60</v>
      </c>
      <c r="C81" s="238">
        <v>10.0</v>
      </c>
      <c r="D81" s="238" t="s">
        <v>121</v>
      </c>
      <c r="E81" s="1130" t="str">
        <f>IF('WEEK 13'!B81='WEEK 12'!B70,'WEEK 12'!F70,"")</f>
        <v/>
      </c>
      <c r="F81" s="1017"/>
    </row>
    <row r="82">
      <c r="A82" s="249">
        <v>4.0</v>
      </c>
      <c r="B82" s="175">
        <f>if('WEEK 13'!F81&lt;6,MROUND('WEEK 13'!B81-('WEEK 13'!B81*20%),5),'WEEK 13'!B77)</f>
        <v>65</v>
      </c>
      <c r="C82" s="238">
        <v>10.0</v>
      </c>
      <c r="D82" s="238" t="s">
        <v>122</v>
      </c>
      <c r="E82" s="1130" t="str">
        <f>IF('WEEK 13'!B82='WEEK 12'!B71,'WEEK 12'!F71,"")</f>
        <v/>
      </c>
      <c r="F82" s="1132"/>
    </row>
    <row r="83">
      <c r="A83" s="249">
        <v>5.0</v>
      </c>
      <c r="B83" s="175">
        <f>IF((AND('WEEK 13'!B82&lt;='WEEK 13'!B81,'WEEK 13'!F82&gt;=6)),'WEEK 13'!B82,IF('WEEK 13'!F82&lt;6,MROUND('WEEK 13'!B82-('WEEK 13'!B82*20%),5),if( 'WEEK 13'!F82&lt;6,MROUND('WEEK 13'!B82-('WEEK 13'!B82*10%),5),MROUND('WEEK 13'!B82+('WEEK 13'!B82*10%),5))))</f>
        <v>70</v>
      </c>
      <c r="C83" s="238">
        <v>10.0</v>
      </c>
      <c r="D83" s="238" t="s">
        <v>122</v>
      </c>
      <c r="E83" s="1130" t="str">
        <f>IF('WEEK 13'!B83='WEEK 12'!B72,'WEEK 12'!F72,"")</f>
        <v/>
      </c>
      <c r="F83" s="1017"/>
    </row>
    <row r="84">
      <c r="A84" s="249">
        <f>if(F82&lt;6,6,6)</f>
        <v>6</v>
      </c>
      <c r="B84" s="175">
        <f>IF((AND('WEEK 13'!B83&lt;='WEEK 13'!B82,'WEEK 13'!F83&gt;=6)),'WEEK 13'!B83,IF('WEEK 13'!F83&lt;6,MROUND('WEEK 13'!B83-('WEEK 13'!B83*20%),5),if( 'WEEK 13'!F83&lt;6,MROUND('WEEK 13'!B83-('WEEK 13'!B83*10%),5),MROUND('WEEK 13'!B83+('WEEK 13'!B83*10%),5))))</f>
        <v>75</v>
      </c>
      <c r="C84" s="238">
        <v>10.0</v>
      </c>
      <c r="D84" s="238" t="s">
        <v>122</v>
      </c>
      <c r="E84" s="1130" t="str">
        <f>IF('WEEK 13'!B84='WEEK 12'!B73,'WEEK 12'!F73,"")</f>
        <v/>
      </c>
      <c r="F84" s="1017"/>
    </row>
    <row r="85">
      <c r="A85" s="1038">
        <f>IF(F84&lt;6,7,"7")</f>
        <v>7</v>
      </c>
      <c r="B85" s="175">
        <f>IF((AND('WEEK 13'!B84&lt;='WEEK 13'!B83,'WEEK 13'!F84&gt;=6)),'WEEK 13'!B84,IF('WEEK 13'!F84&lt;6,MROUND('WEEK 13'!B84-('WEEK 13'!B84*20%),5),if( 'WEEK 13'!F84&lt;6,MROUND('WEEK 13'!B84-('WEEK 13'!B84*10%),5),MROUND('WEEK 13'!B84+('WEEK 13'!B84*10%),5))))</f>
        <v>85</v>
      </c>
      <c r="C85" s="238">
        <v>10.0</v>
      </c>
      <c r="D85" s="238" t="s">
        <v>122</v>
      </c>
      <c r="E85" s="1130" t="str">
        <f>IF('WEEK 13'!B85='WEEK 12'!B74,'WEEK 12'!F74,"")</f>
        <v/>
      </c>
      <c r="F85" s="1133"/>
    </row>
    <row r="86">
      <c r="A86" s="249">
        <f>IF(F85&lt;6,8,"8")</f>
        <v>8</v>
      </c>
      <c r="B86" s="175">
        <f>IF((AND('WEEK 13'!B85&lt;='WEEK 13'!B84,'WEEK 13'!F85&gt;=6)),'WEEK 13'!B85,IF('WEEK 13'!F85&lt;6,MROUND('WEEK 13'!B85-('WEEK 13'!B85*20%),5),if( 'WEEK 13'!F85&lt;6,MROUND('WEEK 13'!B85-('WEEK 13'!B85*10%),5),MROUND('WEEK 13'!B85+('WEEK 13'!B85*10%),5))))</f>
        <v>95</v>
      </c>
      <c r="C86" s="238">
        <v>10.0</v>
      </c>
      <c r="D86" s="238" t="s">
        <v>122</v>
      </c>
      <c r="E86" s="1130" t="str">
        <f>IF('WEEK 13'!B86='WEEK 12'!B75,'WEEK 12'!F75,"")</f>
        <v/>
      </c>
      <c r="F86" s="1134"/>
    </row>
    <row r="87">
      <c r="A87" s="1038">
        <f>IF(F86&lt;6,9,"9")</f>
        <v>9</v>
      </c>
      <c r="B87" s="175">
        <f>IF((AND('WEEK 13'!B86&lt;='WEEK 13'!B85,'WEEK 13'!F86&gt;=6)),'WEEK 13'!B86,IF('WEEK 13'!F86&lt;6,MROUND('WEEK 13'!B86-('WEEK 13'!B86*20%),5),if( 'WEEK 13'!F86&lt;6,MROUND('WEEK 13'!B86-('WEEK 13'!B86*10%),5),MROUND('WEEK 13'!B86+('WEEK 13'!B86*10%),5))))</f>
        <v>105</v>
      </c>
      <c r="C87" s="238">
        <v>10.0</v>
      </c>
      <c r="D87" s="238" t="s">
        <v>122</v>
      </c>
      <c r="E87" s="1130"/>
      <c r="F87" s="1134"/>
    </row>
    <row r="88">
      <c r="A88" s="272" t="s">
        <v>232</v>
      </c>
      <c r="B88" s="1109">
        <f>IF((AND('WEEK 13'!F87&gt;=6,'WEEK 13'!B87&gt;'WEEK 13'!B86)),'WEEK 13'!B87,IF((AND('WEEK 13'!F86&gt;=6,'WEEK 13'!B86&gt;'WEEK 13'!B85)),'WEEK 13'!B86,IF((AND('WEEK 13'!F85&gt;=6,'WEEK 13'!B85&gt;'WEEK 13'!B84)),'WEEK 13'!B85,IF((AND('WEEK 13'!F84&gt;=6,'WEEK 13'!B84&gt;'WEEK 13'!B83)),'WEEK 13'!B84,IF((AND('WEEK 13'!F83&gt;=6,'WEEK 13'!B83&gt;'WEEK 13'!B82)),'WEEK 13'!B83,IF((AND('WEEK 13'!F82&gt;=6,'WEEK 13'!B82&gt;'WEEK 13'!B81)),'WEEK 13'!B82,IF((AND('WEEK 13'!F81&gt;=6,'WEEK 13'!B81&gt;'WEEK 13'!B80)),'WEEK 13'!B81,IF((AND('WEEK 13'!F80&gt;=6,'WEEK 13'!B80&gt;'WEEK 13'!B79)),'WEEK 13'!B80,'WEEK 13'!B77))))))))</f>
        <v>105</v>
      </c>
      <c r="C88" s="11"/>
      <c r="D88" s="11"/>
      <c r="E88" s="11"/>
      <c r="F88" s="46"/>
    </row>
    <row r="91">
      <c r="A91" s="1044" t="str">
        <f>HYPERLINK("https://www.youtube.com/watch?v=NZ9KiFtbiMs","2. LEG EXTENSION")</f>
        <v>2. LEG EXTENSION</v>
      </c>
      <c r="B91" s="13"/>
      <c r="C91" s="13"/>
      <c r="D91" s="13"/>
      <c r="E91" s="13"/>
      <c r="F91" s="57"/>
    </row>
    <row r="92">
      <c r="A92" s="1045" t="s">
        <v>119</v>
      </c>
      <c r="B92" s="1046">
        <f>IF('WEEK 12'!B82='WEEK 12'!B84,'WEEK 12'!B82+5,IF('WEEK 12'!F82&lt;=9,MROUND('WEEK 12'!B80*0.95,5),'WEEK 12'!B82))</f>
        <v>50</v>
      </c>
      <c r="C92" s="13"/>
      <c r="D92" s="13"/>
      <c r="E92" s="13"/>
      <c r="F92" s="57"/>
    </row>
    <row r="93">
      <c r="A93" s="567" t="s">
        <v>50</v>
      </c>
      <c r="B93" s="568" t="s">
        <v>51</v>
      </c>
      <c r="C93" s="568" t="s">
        <v>52</v>
      </c>
      <c r="D93" s="568" t="s">
        <v>53</v>
      </c>
      <c r="E93" s="1047" t="s">
        <v>54</v>
      </c>
      <c r="F93" s="1048" t="s">
        <v>55</v>
      </c>
    </row>
    <row r="94">
      <c r="A94" s="1049">
        <v>1.0</v>
      </c>
      <c r="B94" s="1050">
        <f>'WEEK 13'!B92</f>
        <v>50</v>
      </c>
      <c r="C94" s="1051" t="s">
        <v>144</v>
      </c>
      <c r="D94" s="1052" t="s">
        <v>57</v>
      </c>
      <c r="E94" s="1130" t="str">
        <f>IF('WEEK 13'!B94='WEEK 12'!B82,'WEEK 12'!F82,"")</f>
        <v/>
      </c>
      <c r="F94" s="1017"/>
    </row>
    <row r="95">
      <c r="A95" s="1049">
        <v>2.0</v>
      </c>
      <c r="B95" s="1050">
        <f>if('WEEK 13'!F94&lt;12,mround('WEEK 13'!B94*0.8,5),IF('WEEK 13'!F94&lt;=19,MROUND('WEEK 13'!B94*0.95,5),'WEEK 13'!B94))</f>
        <v>50</v>
      </c>
      <c r="C95" s="1051" t="s">
        <v>144</v>
      </c>
      <c r="D95" s="1052" t="s">
        <v>57</v>
      </c>
      <c r="E95" s="1130" t="str">
        <f>IF('WEEK 13'!B95='WEEK 12'!B83,'WEEK 12'!F83,"")</f>
        <v/>
      </c>
      <c r="F95" s="1017"/>
    </row>
    <row r="96">
      <c r="A96" s="1053">
        <v>3.0</v>
      </c>
      <c r="B96" s="1054">
        <f>if('WEEK 13'!F95&lt;12,mround('WEEK 13'!B95*0.8,5),IF('WEEK 13'!F95&lt;=19,MROUND('WEEK 13'!B95*0.95,5),'WEEK 13'!B95))</f>
        <v>50</v>
      </c>
      <c r="C96" s="1055" t="s">
        <v>144</v>
      </c>
      <c r="D96" s="1056" t="s">
        <v>57</v>
      </c>
      <c r="E96" s="1348" t="str">
        <f>IF('WEEK 13'!B96='WEEK 12'!B84,'WEEK 12'!F84,"")</f>
        <v/>
      </c>
      <c r="F96" s="1017"/>
    </row>
    <row r="99">
      <c r="A99" s="323" t="str">
        <f>HYPERLINK("https://www.youtube.com/watch?v=XepOfsnGFJg","3. MACHINE LEG CURL")</f>
        <v>3. MACHINE LEG CURL</v>
      </c>
      <c r="B99" s="53"/>
      <c r="C99" s="53"/>
      <c r="D99" s="53"/>
      <c r="E99" s="53"/>
      <c r="F99" s="54"/>
      <c r="G99" s="141"/>
      <c r="H99" s="323" t="str">
        <f>HYPERLINK("https://youtu.be/kmN9cJ79PDE","3. PRONE LEG CURL")</f>
        <v>3. PRONE LEG CURL</v>
      </c>
      <c r="I99" s="53"/>
      <c r="J99" s="53"/>
      <c r="K99" s="53"/>
      <c r="L99" s="53"/>
      <c r="M99" s="54"/>
    </row>
    <row r="100">
      <c r="A100" s="1045" t="s">
        <v>119</v>
      </c>
      <c r="B100" s="1046">
        <f>IF('WEEK 12'!B90='WEEK 12'!B92,'WEEK 12'!B90+5,IF('WEEK 12'!F90&lt;=9,MROUND('WEEK 12'!B88*0.95,5),'WEEK 12'!B90))</f>
        <v>55</v>
      </c>
      <c r="C100" s="13"/>
      <c r="D100" s="13"/>
      <c r="E100" s="13"/>
      <c r="F100" s="57"/>
      <c r="H100" s="1045" t="s">
        <v>119</v>
      </c>
      <c r="I100" s="1046">
        <f>'WEEK 13'!B100</f>
        <v>55</v>
      </c>
      <c r="J100" s="13"/>
      <c r="K100" s="13"/>
      <c r="L100" s="13"/>
      <c r="M100" s="57"/>
    </row>
    <row r="101">
      <c r="A101" s="567" t="s">
        <v>50</v>
      </c>
      <c r="B101" s="568" t="s">
        <v>51</v>
      </c>
      <c r="C101" s="568" t="s">
        <v>52</v>
      </c>
      <c r="D101" s="568" t="s">
        <v>53</v>
      </c>
      <c r="E101" s="1047" t="s">
        <v>54</v>
      </c>
      <c r="F101" s="1048" t="s">
        <v>55</v>
      </c>
      <c r="H101" s="567" t="s">
        <v>50</v>
      </c>
      <c r="I101" s="568" t="s">
        <v>51</v>
      </c>
      <c r="J101" s="568" t="s">
        <v>52</v>
      </c>
      <c r="K101" s="568" t="s">
        <v>53</v>
      </c>
      <c r="L101" s="1047" t="s">
        <v>54</v>
      </c>
      <c r="M101" s="1048" t="s">
        <v>55</v>
      </c>
    </row>
    <row r="102">
      <c r="A102" s="1049">
        <v>1.0</v>
      </c>
      <c r="B102" s="1050">
        <f>'WEEK 13'!B100</f>
        <v>55</v>
      </c>
      <c r="C102" s="1051" t="s">
        <v>144</v>
      </c>
      <c r="D102" s="1052" t="s">
        <v>57</v>
      </c>
      <c r="E102" s="1130" t="str">
        <f>IF('WEEK 13'!B102='WEEK 12'!B90,'WEEK 12'!F90,"")</f>
        <v/>
      </c>
      <c r="F102" s="1017"/>
      <c r="G102" s="434" t="s">
        <v>123</v>
      </c>
      <c r="H102" s="1049">
        <v>1.0</v>
      </c>
      <c r="I102" s="1050">
        <f>'WEEK 13'!I100</f>
        <v>55</v>
      </c>
      <c r="J102" s="1051" t="s">
        <v>144</v>
      </c>
      <c r="K102" s="1052" t="s">
        <v>57</v>
      </c>
      <c r="L102" s="1130" t="str">
        <f>IF('WEEK 13'!I102='WEEK 12'!I90,'WEEK 12'!M90,"")</f>
        <v/>
      </c>
      <c r="M102" s="1017"/>
    </row>
    <row r="103">
      <c r="A103" s="1049">
        <v>2.0</v>
      </c>
      <c r="B103" s="1050">
        <f>if('WEEK 13'!F102&lt;12,mround('WEEK 13'!B102*0.8,5),IF('WEEK 13'!F102&lt;=19,MROUND('WEEK 13'!B102*0.95,5),'WEEK 13'!B102))</f>
        <v>55</v>
      </c>
      <c r="C103" s="1051" t="s">
        <v>144</v>
      </c>
      <c r="D103" s="1052" t="s">
        <v>57</v>
      </c>
      <c r="E103" s="1130" t="str">
        <f>IF('WEEK 13'!B103='WEEK 12'!B91,'WEEK 12'!F91,"")</f>
        <v/>
      </c>
      <c r="F103" s="1017"/>
      <c r="H103" s="1049">
        <v>2.0</v>
      </c>
      <c r="I103" s="1050">
        <f>if('WEEK 13'!M102&lt;12,mround('WEEK 13'!I102*0.8,5),IF('WEEK 13'!M102&lt;=19,MROUND('WEEK 13'!I102*0.95,5),'WEEK 13'!I102))</f>
        <v>45</v>
      </c>
      <c r="J103" s="1051" t="s">
        <v>144</v>
      </c>
      <c r="K103" s="1052" t="s">
        <v>57</v>
      </c>
      <c r="L103" s="1130" t="str">
        <f>IF('WEEK 13'!I103='WEEK 12'!I91,'WEEK 12'!M91,"")</f>
        <v/>
      </c>
      <c r="M103" s="1017"/>
    </row>
    <row r="104">
      <c r="A104" s="1053">
        <v>3.0</v>
      </c>
      <c r="B104" s="1054">
        <f>if('WEEK 13'!F103&lt;12,mround('WEEK 13'!B103*0.8,5),IF('WEEK 13'!F103&lt;=19,MROUND('WEEK 13'!B103*0.95,5),'WEEK 13'!B103))</f>
        <v>55</v>
      </c>
      <c r="C104" s="1055" t="s">
        <v>144</v>
      </c>
      <c r="D104" s="1056" t="s">
        <v>57</v>
      </c>
      <c r="E104" s="1130" t="str">
        <f>IF('WEEK 13'!B104='WEEK 12'!B92,'WEEK 12'!F92,"")</f>
        <v/>
      </c>
      <c r="F104" s="1017"/>
      <c r="G104" s="682"/>
      <c r="H104" s="1053">
        <v>3.0</v>
      </c>
      <c r="I104" s="1054">
        <f>if('WEEK 13'!M103&lt;12,mround('WEEK 13'!I103*0.8,5),IF('WEEK 13'!M103&lt;=19,MROUND('WEEK 13'!I103*0.95,5),'WEEK 13'!I103))</f>
        <v>35</v>
      </c>
      <c r="J104" s="1055" t="s">
        <v>144</v>
      </c>
      <c r="K104" s="1056" t="s">
        <v>57</v>
      </c>
      <c r="L104" s="1130" t="str">
        <f>IF('WEEK 13'!I104='WEEK 12'!I92,'WEEK 12'!M92,"")</f>
        <v/>
      </c>
      <c r="M104" s="1017"/>
    </row>
    <row r="105">
      <c r="A105" s="849"/>
      <c r="B105" s="849"/>
      <c r="C105" s="849"/>
      <c r="D105" s="849"/>
      <c r="E105" s="849"/>
      <c r="F105" s="849"/>
      <c r="H105" s="849"/>
      <c r="I105" s="850"/>
      <c r="J105" s="850"/>
      <c r="K105" s="850"/>
      <c r="L105" s="850"/>
      <c r="M105" s="850"/>
    </row>
    <row r="107">
      <c r="A107" s="1120" t="s">
        <v>62</v>
      </c>
      <c r="B107" s="36"/>
      <c r="C107" s="36"/>
      <c r="D107" s="36"/>
      <c r="E107" s="36"/>
      <c r="F107" s="37"/>
    </row>
    <row r="110">
      <c r="A110" s="44" t="s">
        <v>131</v>
      </c>
      <c r="B110" s="36"/>
      <c r="C110" s="36"/>
      <c r="D110" s="36"/>
      <c r="E110" s="36"/>
      <c r="F110" s="37"/>
      <c r="H110" s="44" t="s">
        <v>131</v>
      </c>
      <c r="I110" s="36"/>
      <c r="J110" s="36"/>
      <c r="K110" s="36"/>
      <c r="L110" s="36"/>
      <c r="M110" s="37"/>
    </row>
    <row r="111">
      <c r="A111" s="112" t="str">
        <f>HYPERLINK("https://www.youtube.com/watch?v=rmxOkkd2hUk","1. SHOULDER PRESS")</f>
        <v>1. SHOULDER PRESS</v>
      </c>
      <c r="B111" s="13"/>
      <c r="C111" s="13"/>
      <c r="D111" s="13"/>
      <c r="E111" s="13"/>
      <c r="F111" s="57"/>
      <c r="H111" s="1139" t="str">
        <f>HYPERLINK("https://www.youtube.com/watch?v=-cSBPE-y38M","1. MACHINE SHOULDER PRESS")</f>
        <v>1. MACHINE SHOULDER PRESS</v>
      </c>
      <c r="I111" s="13"/>
      <c r="J111" s="13"/>
      <c r="K111" s="13"/>
      <c r="L111" s="13"/>
      <c r="M111" s="57"/>
    </row>
    <row r="112">
      <c r="A112" s="226" t="s">
        <v>119</v>
      </c>
      <c r="B112" s="227" t="str">
        <f>'WEEK 12'!B100</f>
        <v/>
      </c>
      <c r="C112" s="20"/>
      <c r="D112" s="20"/>
      <c r="E112" s="20"/>
      <c r="F112" s="95"/>
      <c r="H112" s="226" t="s">
        <v>119</v>
      </c>
      <c r="I112" s="227">
        <f>'WEEK 4 Master Sheet '!B113</f>
        <v>100</v>
      </c>
      <c r="J112" s="20"/>
      <c r="K112" s="20"/>
      <c r="L112" s="20"/>
      <c r="M112" s="95"/>
    </row>
    <row r="113">
      <c r="A113" s="231" t="s">
        <v>50</v>
      </c>
      <c r="B113" s="232" t="s">
        <v>51</v>
      </c>
      <c r="C113" s="232" t="s">
        <v>52</v>
      </c>
      <c r="D113" s="232" t="s">
        <v>53</v>
      </c>
      <c r="E113" s="233" t="s">
        <v>54</v>
      </c>
      <c r="F113" s="61" t="s">
        <v>55</v>
      </c>
      <c r="H113" s="231" t="s">
        <v>50</v>
      </c>
      <c r="I113" s="232" t="s">
        <v>51</v>
      </c>
      <c r="J113" s="232" t="s">
        <v>52</v>
      </c>
      <c r="K113" s="232" t="s">
        <v>53</v>
      </c>
      <c r="L113" s="233" t="s">
        <v>54</v>
      </c>
      <c r="M113" s="61" t="s">
        <v>55</v>
      </c>
    </row>
    <row r="114">
      <c r="A114" s="1140">
        <v>1.0</v>
      </c>
      <c r="B114" s="237">
        <f>mround('WEEK 13'!B112*0.35,5)</f>
        <v>0</v>
      </c>
      <c r="C114" s="237">
        <v>6.0</v>
      </c>
      <c r="D114" s="238" t="s">
        <v>120</v>
      </c>
      <c r="E114" s="84" t="str">
        <f>IF('WEEK 1 '!B113='WEEK 13'!B114,'WEEK 1 '!F113,"")</f>
        <v/>
      </c>
      <c r="F114" s="67"/>
      <c r="H114" s="1140">
        <v>1.0</v>
      </c>
      <c r="I114" s="237">
        <f>mround('WEEK 13'!I112*0.35,5)</f>
        <v>35</v>
      </c>
      <c r="J114" s="237">
        <v>6.0</v>
      </c>
      <c r="K114" s="238" t="s">
        <v>120</v>
      </c>
      <c r="L114" s="84" t="str">
        <f>IF('WEEK 1 '!I113='WEEK 13'!I114,'WEEK 1 '!M113,"")</f>
        <v/>
      </c>
      <c r="M114" s="67"/>
    </row>
    <row r="115">
      <c r="A115" s="236">
        <v>2.0</v>
      </c>
      <c r="B115" s="237">
        <f>mround('WEEK 13'!B112*0.65,5)</f>
        <v>0</v>
      </c>
      <c r="C115" s="237">
        <v>1.0</v>
      </c>
      <c r="D115" s="238" t="s">
        <v>121</v>
      </c>
      <c r="E115" s="84" t="str">
        <f>IF('WEEK 1 '!B114='WEEK 13'!B115,'WEEK 1 '!F114,"")</f>
        <v/>
      </c>
      <c r="F115" s="67"/>
      <c r="H115" s="236">
        <v>2.0</v>
      </c>
      <c r="I115" s="237">
        <f>mround('WEEK 13'!I112*0.65,5)</f>
        <v>65</v>
      </c>
      <c r="J115" s="237">
        <v>1.0</v>
      </c>
      <c r="K115" s="238" t="s">
        <v>121</v>
      </c>
      <c r="L115" s="84" t="str">
        <f>IF('WEEK 1 '!I114='WEEK 13'!I115,'WEEK 1 '!M114,"")</f>
        <v/>
      </c>
      <c r="M115" s="67"/>
    </row>
    <row r="116">
      <c r="A116" s="242">
        <v>3.0</v>
      </c>
      <c r="B116" s="237">
        <f>mround('WEEK 13'!B112*0.9,5)</f>
        <v>0</v>
      </c>
      <c r="C116" s="82">
        <v>1.0</v>
      </c>
      <c r="D116" s="238" t="s">
        <v>121</v>
      </c>
      <c r="E116" s="84" t="str">
        <f>IF('WEEK 1 '!B115='WEEK 13'!B116,'WEEK 1 '!F115,"")</f>
        <v/>
      </c>
      <c r="F116" s="67"/>
      <c r="H116" s="242">
        <v>3.0</v>
      </c>
      <c r="I116" s="237">
        <f>mround('WEEK 13'!I112*0.9,5)</f>
        <v>90</v>
      </c>
      <c r="J116" s="82">
        <v>1.0</v>
      </c>
      <c r="K116" s="238" t="s">
        <v>121</v>
      </c>
      <c r="L116" s="84" t="str">
        <f>IF('WEEK 1 '!I115='WEEK 13'!I116,'WEEK 1 '!M115,"")</f>
        <v/>
      </c>
      <c r="M116" s="67"/>
    </row>
    <row r="117">
      <c r="A117" s="243">
        <v>4.0</v>
      </c>
      <c r="B117" s="237" t="str">
        <f>'WEEK 13'!B112</f>
        <v/>
      </c>
      <c r="C117" s="257">
        <v>1.0</v>
      </c>
      <c r="D117" s="238" t="s">
        <v>122</v>
      </c>
      <c r="E117" s="84" t="str">
        <f>IF('WEEK 1 '!B116='WEEK 13'!B117,'WEEK 1 '!F116,"")</f>
        <v/>
      </c>
      <c r="F117" s="67"/>
      <c r="H117" s="243">
        <v>4.0</v>
      </c>
      <c r="I117" s="237">
        <f>'WEEK 13'!I112</f>
        <v>100</v>
      </c>
      <c r="J117" s="257">
        <v>1.0</v>
      </c>
      <c r="K117" s="238" t="s">
        <v>122</v>
      </c>
      <c r="L117" s="84" t="str">
        <f>IF('WEEK 1 '!I116='WEEK 13'!I117,'WEEK 1 '!M116,"")</f>
        <v/>
      </c>
      <c r="M117" s="67"/>
    </row>
    <row r="118">
      <c r="A118" s="246" t="str">
        <f>IF('WEEK 13'!F117&lt;1,"PROCEED TO DOWN SETS","NEW 4 REP MAX ATTEMPT")</f>
        <v>NEW 4 REP MAX ATTEMPT</v>
      </c>
      <c r="B118" s="20"/>
      <c r="C118" s="20"/>
      <c r="D118" s="20"/>
      <c r="E118" s="20"/>
      <c r="F118" s="95"/>
      <c r="H118" s="246" t="str">
        <f>IF('WEEK 13'!M117&lt;1,"PROCEED TO DOWN SETS","NEW 4 REP MAX ATTEMPT")</f>
        <v>NEW 4 REP MAX ATTEMPT</v>
      </c>
      <c r="I118" s="20"/>
      <c r="J118" s="20"/>
      <c r="K118" s="20"/>
      <c r="L118" s="20"/>
      <c r="M118" s="95"/>
    </row>
    <row r="119">
      <c r="A119" s="249">
        <f>IF(OR(ISBLANK('WEEK 13'!F117),ISBLANK('WEEK 13'!F116),ISBLANK('WEEK 13'!F115)), "",if('WEEK 13'!F117&lt;1,"",5))</f>
        <v>5</v>
      </c>
      <c r="B119" s="175">
        <f>IF('WEEK 13'!F117&lt;1,"",'WEEK 13'!B117+5)</f>
        <v>5</v>
      </c>
      <c r="C119" s="238">
        <f>if('WEEK 13'!F117&lt;1,"",4)</f>
        <v>4</v>
      </c>
      <c r="D119" s="238" t="str">
        <f>if('WEEK 13'!F117&lt;1,"","1-5 MIN")</f>
        <v>1-5 MIN</v>
      </c>
      <c r="E119" s="84" t="str">
        <f>IF('WEEK 1 '!B118='WEEK 13'!B119,'WEEK 1 '!F118,"")</f>
        <v/>
      </c>
      <c r="F119" s="67"/>
      <c r="H119" s="249">
        <f>IF(OR(ISBLANK('WEEK 13'!M117),ISBLANK('WEEK 13'!M116),ISBLANK('WEEK 13'!M115)), "",if('WEEK 13'!M117&lt;1,"",5))</f>
        <v>5</v>
      </c>
      <c r="I119" s="175">
        <f>IF('WEEK 13'!M117&lt;1,"",'WEEK 13'!I117+5)</f>
        <v>105</v>
      </c>
      <c r="J119" s="238">
        <f>if('WEEK 13'!M117&lt;1,"",4)</f>
        <v>4</v>
      </c>
      <c r="K119" s="238" t="str">
        <f>if('WEEK 13'!M117&lt;1,"","1-5 MIN")</f>
        <v>1-5 MIN</v>
      </c>
      <c r="L119" s="84" t="str">
        <f>IF('WEEK 1 '!I118='WEEK 13'!I119,'WEEK 1 '!M118,"")</f>
        <v/>
      </c>
      <c r="M119" s="67"/>
    </row>
    <row r="120">
      <c r="A120" s="259" t="str">
        <f>IF(OR(ISBLANK('WEEK 13'!F116),ISBLANK('WEEK 13'!F117),ISBLANK('WEEK 13'!F119)), "",IF('WEEK 13'!F119&lt;4,"","6"))</f>
        <v/>
      </c>
      <c r="B120" s="237" t="str">
        <f>IF(OR(ISBLANK('WEEK 13'!F116),ISBLANK('WEEK 13'!F117),ISBLANK('WEEK 13'!F119)), "",IF('WEEK 13'!F119&lt;4,"",'WEEK 13'!B119+5))</f>
        <v/>
      </c>
      <c r="C120" s="257" t="str">
        <f>IF(OR(ISBLANK('WEEK 13'!F116),ISBLANK('WEEK 13'!F117),ISBLANK('WEEK 13'!F119)), "",IF('WEEK 13'!F119&lt;4,"","4"))</f>
        <v/>
      </c>
      <c r="D120" s="257" t="str">
        <f>IF(OR(ISBLANK('WEEK 13'!F116),ISBLANK('WEEK 13'!F117),ISBLANK('WEEK 13'!F119)), "",IF('WEEK 13'!F119&lt;4,"","1-5 MIN"))</f>
        <v/>
      </c>
      <c r="E120" s="84" t="str">
        <f>IF('WEEK 1 '!B119='WEEK 13'!B120,'WEEK 1 '!F119,"")</f>
        <v/>
      </c>
      <c r="F120" s="67"/>
      <c r="H120" s="259" t="str">
        <f>IF(OR(ISBLANK('WEEK 13'!M116),ISBLANK('WEEK 13'!M117),ISBLANK('WEEK 13'!M119)), "",IF('WEEK 13'!M119&lt;4,"","6"))</f>
        <v>6</v>
      </c>
      <c r="I120" s="237">
        <f>IF(OR(ISBLANK('WEEK 13'!M116),ISBLANK('WEEK 13'!M117),ISBLANK('WEEK 13'!M119)), "",IF('WEEK 13'!M119&lt;4,"",'WEEK 13'!I119+5))</f>
        <v>110</v>
      </c>
      <c r="J120" s="257" t="str">
        <f>IF(OR(ISBLANK('WEEK 13'!M116),ISBLANK('WEEK 13'!M117),ISBLANK('WEEK 13'!M119)), "",IF('WEEK 13'!M119&lt;4,"","4"))</f>
        <v>4</v>
      </c>
      <c r="K120" s="257" t="str">
        <f>IF(OR(ISBLANK('WEEK 13'!M116),ISBLANK('WEEK 13'!M117),ISBLANK('WEEK 13'!M119)), "",IF('WEEK 13'!M119&lt;4,"","1-5 MIN"))</f>
        <v>1-5 MIN</v>
      </c>
      <c r="L120" s="84" t="str">
        <f>IF('WEEK 1 '!I119='WEEK 13'!I120,'WEEK 1 '!M119,"")</f>
        <v/>
      </c>
      <c r="M120" s="67"/>
    </row>
    <row r="121">
      <c r="A121" s="246" t="s">
        <v>133</v>
      </c>
      <c r="B121" s="20"/>
      <c r="C121" s="20"/>
      <c r="D121" s="20"/>
      <c r="E121" s="20"/>
      <c r="F121" s="95"/>
      <c r="H121" s="246" t="s">
        <v>133</v>
      </c>
      <c r="I121" s="20"/>
      <c r="J121" s="20"/>
      <c r="K121" s="20"/>
      <c r="L121" s="20"/>
      <c r="M121" s="95"/>
    </row>
    <row r="122">
      <c r="A122" s="264">
        <f>IF(OR(ISBLANK('WEEK 13'!F117),ISBLANK('WEEK 13'!F116),ISBLANK('WEEK 13'!F115)),"",IF((AND(A119="",A120="")),5,IF((AND(A119&gt;1,A120="")),6,7)))</f>
        <v>6</v>
      </c>
      <c r="B122" s="265">
        <f>MROUND('WEEK 13'!B124*0.9,5)</f>
        <v>0</v>
      </c>
      <c r="C122" s="266" t="s">
        <v>65</v>
      </c>
      <c r="D122" s="267" t="s">
        <v>127</v>
      </c>
      <c r="E122" s="84" t="str">
        <f>IF('WEEK 1 '!B121='WEEK 13'!B122,'WEEK 1 '!F121,"")</f>
        <v/>
      </c>
      <c r="F122" s="67"/>
      <c r="H122" s="264">
        <f>IF(OR(ISBLANK('WEEK 13'!M117),ISBLANK('WEEK 13'!M116),ISBLANK('WEEK 13'!M115)),"",IF((AND(H119="",H120="")),5,IF((AND(H119&gt;1,H120="")),6,7)))</f>
        <v>7</v>
      </c>
      <c r="I122" s="265">
        <f>MROUND('WEEK 13'!I124*0.9,5)</f>
        <v>95</v>
      </c>
      <c r="J122" s="266" t="s">
        <v>65</v>
      </c>
      <c r="K122" s="267" t="s">
        <v>127</v>
      </c>
      <c r="L122" s="84" t="str">
        <f>IF('WEEK 1 '!I121='WEEK 13'!I122,'WEEK 1 '!M121,"")</f>
        <v/>
      </c>
      <c r="M122" s="67"/>
    </row>
    <row r="123">
      <c r="A123" s="243">
        <f>IF(OR(ISBLANK('WEEK 13'!F117),ISBLANK('WEEK 13'!F116),ISBLANK('WEEK 13'!F115)),"",IF((AND(A119="",A120="")),6,IF((AND(A119&gt;1,A120="")),7,8)))</f>
        <v>7</v>
      </c>
      <c r="B123" s="237">
        <f>mround('WEEK 13'!B124*0.78,5)</f>
        <v>0</v>
      </c>
      <c r="C123" s="245" t="s">
        <v>65</v>
      </c>
      <c r="D123" s="65" t="s">
        <v>127</v>
      </c>
      <c r="E123" s="84" t="str">
        <f>IF('WEEK 1 '!B122='WEEK 13'!B123,'WEEK 1 '!F122,"")</f>
        <v/>
      </c>
      <c r="F123" s="271"/>
      <c r="H123" s="243">
        <f>IF(OR(ISBLANK('WEEK 13'!M117),ISBLANK('WEEK 13'!M116),ISBLANK('WEEK 13'!M115)),"",IF((AND(H119="",H120="")),6,IF((AND(H119&gt;1,H120="")),7,8)))</f>
        <v>8</v>
      </c>
      <c r="I123" s="237">
        <f>mround('WEEK 13'!I124*0.78,5)</f>
        <v>80</v>
      </c>
      <c r="J123" s="245" t="s">
        <v>65</v>
      </c>
      <c r="K123" s="65" t="s">
        <v>127</v>
      </c>
      <c r="L123" s="84" t="str">
        <f>IF('WEEK 1 '!I122='WEEK 13'!I123,'WEEK 1 '!M122,"")</f>
        <v/>
      </c>
      <c r="M123" s="271"/>
    </row>
    <row r="124">
      <c r="A124" s="272" t="s">
        <v>124</v>
      </c>
      <c r="B124" s="273" t="str">
        <f>IF(OR(ISBLANK('WEEK 13'!F117),ISBLANK('WEEK 13'!F116),ISBLANK('WEEK 13'!F115)),"",IF('WEEK 13'!F120&gt;=1,'WEEK 13'!B120,IF('WEEK 13'!F119&gt;=4,'WEEK 13'!B119,IF('WEEK 13'!F117&lt;1,'WEEK 13'!B117-5,'WEEK 13'!B117))))</f>
        <v/>
      </c>
      <c r="C124" s="11"/>
      <c r="D124" s="11"/>
      <c r="E124" s="11"/>
      <c r="F124" s="46"/>
      <c r="H124" s="272" t="s">
        <v>124</v>
      </c>
      <c r="I124" s="273">
        <f>IF(OR(ISBLANK('WEEK 13'!M117),ISBLANK('WEEK 13'!M116),ISBLANK('WEEK 13'!M115)),"",IF('WEEK 13'!M120&gt;=1,'WEEK 13'!I120,IF('WEEK 13'!M119&gt;=4,'WEEK 13'!I119,IF('WEEK 13'!M117&lt;1,'WEEK 13'!I117-5,'WEEK 13'!I117))))</f>
        <v>105</v>
      </c>
      <c r="J124" s="11"/>
      <c r="K124" s="11"/>
      <c r="L124" s="11"/>
      <c r="M124" s="46"/>
    </row>
    <row r="125">
      <c r="A125" s="623"/>
      <c r="B125" s="623"/>
      <c r="C125" s="623"/>
      <c r="D125" s="623"/>
      <c r="E125" s="1265"/>
      <c r="F125" s="623"/>
    </row>
    <row r="126">
      <c r="A126" s="995"/>
      <c r="B126" s="995"/>
      <c r="C126" s="995"/>
      <c r="D126" s="995"/>
      <c r="E126" s="1266"/>
      <c r="F126" s="995"/>
    </row>
    <row r="127">
      <c r="A127" s="361" t="str">
        <f>HYPERLINK("https://www.youtube.com/watch?v=gxWVN6F_uxo","2.  CABLE HIGH PULLEY ROW")</f>
        <v>2.  CABLE HIGH PULLEY ROW</v>
      </c>
      <c r="B127" s="53"/>
      <c r="C127" s="53"/>
      <c r="D127" s="53"/>
      <c r="E127" s="53"/>
      <c r="F127" s="54"/>
      <c r="G127" s="635"/>
      <c r="H127" s="1267" t="str">
        <f>HYPERLINK("https://www.youtube.com/watch?v=0BaHgGyCFJY&amp;feature=youtu.be","2. MACHINE REAR DELT FLY")</f>
        <v>2. MACHINE REAR DELT FLY</v>
      </c>
      <c r="I127" s="53"/>
      <c r="J127" s="53"/>
      <c r="K127" s="53"/>
      <c r="L127" s="53"/>
      <c r="M127" s="54"/>
    </row>
    <row r="128">
      <c r="A128" s="226" t="s">
        <v>119</v>
      </c>
      <c r="B128" s="76">
        <f>'WEEK 12'!B110</f>
        <v>90</v>
      </c>
      <c r="C128" s="13"/>
      <c r="D128" s="13"/>
      <c r="E128" s="13"/>
      <c r="F128" s="57"/>
      <c r="H128" s="961" t="s">
        <v>119</v>
      </c>
      <c r="I128" s="76">
        <f>'WEEK 12'!I110</f>
        <v>60</v>
      </c>
      <c r="J128" s="13"/>
      <c r="K128" s="13"/>
      <c r="L128" s="13"/>
      <c r="M128" s="57"/>
    </row>
    <row r="129">
      <c r="A129" s="77" t="s">
        <v>50</v>
      </c>
      <c r="B129" s="78" t="s">
        <v>51</v>
      </c>
      <c r="C129" s="78" t="s">
        <v>52</v>
      </c>
      <c r="D129" s="78" t="s">
        <v>53</v>
      </c>
      <c r="E129" s="80" t="s">
        <v>54</v>
      </c>
      <c r="F129" s="235" t="s">
        <v>55</v>
      </c>
      <c r="H129" s="962" t="s">
        <v>50</v>
      </c>
      <c r="I129" s="963" t="s">
        <v>51</v>
      </c>
      <c r="J129" s="963" t="s">
        <v>52</v>
      </c>
      <c r="K129" s="963" t="s">
        <v>53</v>
      </c>
      <c r="L129" s="1073" t="s">
        <v>54</v>
      </c>
      <c r="M129" s="1006" t="s">
        <v>55</v>
      </c>
    </row>
    <row r="130">
      <c r="A130" s="81">
        <v>1.0</v>
      </c>
      <c r="B130" s="82">
        <f> mround('WEEK 13'!B128,5)</f>
        <v>90</v>
      </c>
      <c r="C130" s="65" t="s">
        <v>233</v>
      </c>
      <c r="D130" s="83" t="s">
        <v>58</v>
      </c>
      <c r="E130" s="84" t="str">
        <f>IF('WEEK 12'!B112='WEEK 13'!B130,'WEEK 12'!F112,"")</f>
        <v/>
      </c>
      <c r="F130" s="85"/>
      <c r="H130" s="967">
        <v>1.0</v>
      </c>
      <c r="I130" s="1028">
        <f>MROUND('WEEK 13'!I128,5)</f>
        <v>60</v>
      </c>
      <c r="J130" s="65" t="s">
        <v>233</v>
      </c>
      <c r="K130" s="968" t="s">
        <v>121</v>
      </c>
      <c r="L130" s="84" t="str">
        <f>IF('WEEK 12'!I112='WEEK 13'!I130,'WEEK 12'!M112,"")</f>
        <v/>
      </c>
      <c r="M130" s="1017"/>
    </row>
    <row r="131">
      <c r="A131" s="81">
        <v>2.0</v>
      </c>
      <c r="B131" s="82">
        <f>if('WEEK 13'!F130&lt;6,mround(B130*0.8,5),IF('WEEK 13'!F130&lt;=14,MROUND('WEEK 13'!B130*0.95,5),'WEEK 13'!B130))</f>
        <v>70</v>
      </c>
      <c r="C131" s="65" t="s">
        <v>233</v>
      </c>
      <c r="D131" s="83" t="s">
        <v>58</v>
      </c>
      <c r="E131" s="84" t="str">
        <f>IF('WEEK 12'!B113='WEEK 13'!B131,'WEEK 12'!F113,"")</f>
        <v/>
      </c>
      <c r="F131" s="85"/>
      <c r="H131" s="967">
        <v>2.0</v>
      </c>
      <c r="I131" s="1028">
        <f>if('WEEK 13'!M130&lt;6,mround('WEEK 13'!I130*0.8,5),IF('WEEK 13'!M130&lt;15,MROUND('WEEK 13'!I130*0.95,5),'WEEK 13'!I130))</f>
        <v>55</v>
      </c>
      <c r="J131" s="65" t="s">
        <v>233</v>
      </c>
      <c r="K131" s="968" t="s">
        <v>121</v>
      </c>
      <c r="L131" s="84" t="str">
        <f>IF('WEEK 12'!I113='WEEK 13'!I131,'WEEK 12'!M113,"")</f>
        <v/>
      </c>
      <c r="M131" s="1017"/>
    </row>
    <row r="132">
      <c r="A132" s="86">
        <v>3.0</v>
      </c>
      <c r="B132" s="87">
        <f>if('WEEK 13'!F131&lt;6,mround('WEEK 13'!B131*0.8,5),IF('WEEK 13'!F131&lt;=14,MROUND('WEEK 13'!B131*0.95,5),'WEEK 13'!B131))</f>
        <v>65</v>
      </c>
      <c r="C132" s="65" t="s">
        <v>233</v>
      </c>
      <c r="D132" s="88" t="s">
        <v>58</v>
      </c>
      <c r="E132" s="84" t="str">
        <f>IF('WEEK 12'!B114='WEEK 13'!B132,'WEEK 12'!F114,"")</f>
        <v/>
      </c>
      <c r="F132" s="85"/>
      <c r="H132" s="971">
        <v>3.0</v>
      </c>
      <c r="I132" s="1123">
        <f>if('WEEK 13'!M131&lt;6,mround('WEEK 13'!I131*0.8,5),IF('WEEK 13'!M131&lt;15,MROUND('WEEK 13'!I131*0.95,5),'WEEK 13'!I131))</f>
        <v>50</v>
      </c>
      <c r="J132" s="65" t="s">
        <v>233</v>
      </c>
      <c r="K132" s="972" t="s">
        <v>121</v>
      </c>
      <c r="L132" s="84" t="str">
        <f>IF('WEEK 12'!I114='WEEK 13'!I132,'WEEK 12'!M114,"")</f>
        <v/>
      </c>
      <c r="M132" s="1017"/>
    </row>
    <row r="133">
      <c r="A133" s="1068"/>
      <c r="B133" s="1068"/>
      <c r="C133" s="1068"/>
      <c r="D133" s="623"/>
      <c r="E133" s="1265"/>
      <c r="F133" s="623"/>
    </row>
    <row r="134">
      <c r="A134" s="1069"/>
      <c r="B134" s="1069"/>
      <c r="C134" s="1069"/>
      <c r="D134" s="995"/>
      <c r="E134" s="1266"/>
      <c r="F134" s="995"/>
    </row>
    <row r="135">
      <c r="A135" s="1217" t="str">
        <f>HYPERLINK("https://youtu.be/QUNZvtb6mnY","3. DUMBBELL SIDE LATERAL RAISE")</f>
        <v>3. DUMBBELL SIDE LATERAL RAISE</v>
      </c>
      <c r="B135" s="53"/>
      <c r="C135" s="53"/>
      <c r="D135" s="53"/>
      <c r="E135" s="53"/>
      <c r="F135" s="54"/>
    </row>
    <row r="136">
      <c r="A136" s="1268" t="s">
        <v>134</v>
      </c>
      <c r="B136" s="76" t="str">
        <f>'WEEK 13'!B124</f>
        <v/>
      </c>
      <c r="C136" s="13"/>
      <c r="D136" s="13"/>
      <c r="E136" s="13"/>
      <c r="F136" s="57"/>
    </row>
    <row r="137">
      <c r="A137" s="1071" t="s">
        <v>50</v>
      </c>
      <c r="B137" s="1072" t="s">
        <v>51</v>
      </c>
      <c r="C137" s="1072" t="s">
        <v>52</v>
      </c>
      <c r="D137" s="1072" t="s">
        <v>53</v>
      </c>
      <c r="E137" s="1073" t="s">
        <v>54</v>
      </c>
      <c r="F137" s="1006" t="s">
        <v>55</v>
      </c>
    </row>
    <row r="138">
      <c r="A138" s="1074">
        <v>1.0</v>
      </c>
      <c r="B138" s="968">
        <f> mround('WEEK 13'!B136*0.2,5)</f>
        <v>0</v>
      </c>
      <c r="C138" s="1075" t="s">
        <v>61</v>
      </c>
      <c r="D138" s="1076" t="s">
        <v>57</v>
      </c>
      <c r="E138" s="84" t="str">
        <f>IF('WEEK 12'!B120='WEEK 13'!B138,'WEEK 12'!F120,"")</f>
        <v/>
      </c>
      <c r="F138" s="1017"/>
    </row>
    <row r="139">
      <c r="A139" s="1074">
        <v>2.0</v>
      </c>
      <c r="B139" s="968">
        <f>if('WEEK 13'!F138&lt;12,mround('WEEK 13'!B136*0.15,2.5),'WEEK 13'!B138)</f>
        <v>0</v>
      </c>
      <c r="C139" s="1075" t="s">
        <v>61</v>
      </c>
      <c r="D139" s="1076" t="s">
        <v>57</v>
      </c>
      <c r="E139" s="84" t="str">
        <f>IF('WEEK 12'!B121='WEEK 13'!B139,'WEEK 12'!F121,"")</f>
        <v/>
      </c>
      <c r="F139" s="1017"/>
    </row>
    <row r="140">
      <c r="A140" s="1078">
        <v>3.0</v>
      </c>
      <c r="B140" s="972">
        <f>if('WEEK 13'!F139&lt;12,mround('WEEK 13'!B136*0.1,2.5),'WEEK 13'!B139)</f>
        <v>0</v>
      </c>
      <c r="C140" s="1079" t="s">
        <v>61</v>
      </c>
      <c r="D140" s="1080" t="s">
        <v>57</v>
      </c>
      <c r="E140" s="84" t="str">
        <f>IF('WEEK 12'!B122='WEEK 13'!B140,'WEEK 12'!F122,"")</f>
        <v/>
      </c>
      <c r="F140" s="1017"/>
    </row>
    <row r="143">
      <c r="A143" s="361" t="str">
        <f>HYPERLINK("https://www.youtube.com/watch?v=Zt0LwrUdpNs","2.  TRICEP OVERHEAD ROPE EXTENSION")</f>
        <v>2.  TRICEP OVERHEAD ROPE EXTENSION</v>
      </c>
      <c r="B143" s="53"/>
      <c r="C143" s="53"/>
      <c r="D143" s="53"/>
      <c r="E143" s="53"/>
      <c r="F143" s="54"/>
    </row>
    <row r="144">
      <c r="A144" s="226" t="s">
        <v>119</v>
      </c>
      <c r="B144" s="839">
        <f>IF('WEEK 12'!B128='WEEK 12'!B130,'WEEK 12'!B126,IF('WEEK 12'!F128&lt;=15,MROUND('WEEK 12'!B126*0.35,5),'WEEK 12'!B126))</f>
        <v>10</v>
      </c>
      <c r="F144" s="28"/>
    </row>
    <row r="145">
      <c r="A145" s="77" t="s">
        <v>50</v>
      </c>
      <c r="B145" s="78" t="s">
        <v>51</v>
      </c>
      <c r="C145" s="78" t="s">
        <v>52</v>
      </c>
      <c r="D145" s="78" t="s">
        <v>53</v>
      </c>
      <c r="E145" s="80" t="s">
        <v>54</v>
      </c>
      <c r="F145" s="1003" t="s">
        <v>55</v>
      </c>
    </row>
    <row r="146">
      <c r="A146" s="81">
        <v>1.0</v>
      </c>
      <c r="B146" s="82">
        <f>'WEEK 13'!B144</f>
        <v>10</v>
      </c>
      <c r="C146" s="65" t="s">
        <v>233</v>
      </c>
      <c r="D146" s="83" t="s">
        <v>58</v>
      </c>
      <c r="E146" s="84" t="str">
        <f>IF('WEEK 12'!B128='WEEK 13'!B146,'WEEK 12'!F128,"")</f>
        <v/>
      </c>
      <c r="F146" s="85"/>
    </row>
    <row r="147">
      <c r="A147" s="81">
        <v>2.0</v>
      </c>
      <c r="B147" s="82">
        <f>if('WEEK 13'!F146&lt;6,mround('WEEK 13'!B146*0.8,5),IF('WEEK 13'!F146&lt;=14,MROUND('WEEK 13'!B146*0.95,5),'WEEK 13'!B146))</f>
        <v>10</v>
      </c>
      <c r="C147" s="65" t="s">
        <v>233</v>
      </c>
      <c r="D147" s="83" t="s">
        <v>58</v>
      </c>
      <c r="E147" s="84" t="str">
        <f>IF('WEEK 12'!B129='WEEK 13'!B147,'WEEK 12'!F129,"")</f>
        <v/>
      </c>
      <c r="F147" s="85"/>
    </row>
    <row r="148">
      <c r="A148" s="86">
        <v>3.0</v>
      </c>
      <c r="B148" s="87">
        <f>if('WEEK 13'!F147&lt;6,mround('WEEK 13'!B147*0.8,5),IF('WEEK 13'!F147&lt;=14,MROUND('WEEK 13'!B147*0.95,5),'WEEK 13'!B147))</f>
        <v>10</v>
      </c>
      <c r="C148" s="71" t="s">
        <v>233</v>
      </c>
      <c r="D148" s="88" t="s">
        <v>58</v>
      </c>
      <c r="E148" s="84" t="str">
        <f>IF('WEEK 12'!B130='WEEK 13'!B148,'WEEK 12'!F130,"")</f>
        <v/>
      </c>
      <c r="F148" s="85"/>
    </row>
    <row r="151">
      <c r="A151" s="75" t="str">
        <f>HYPERLINK("https://www.youtube.com/watch?v=Bi6Do6QIlpQ","4. BICEP EZ BAR CURL")</f>
        <v>4. BICEP EZ BAR CURL</v>
      </c>
      <c r="B151" s="53"/>
      <c r="C151" s="53"/>
      <c r="D151" s="53"/>
      <c r="E151" s="53"/>
      <c r="F151" s="54"/>
    </row>
    <row r="152">
      <c r="A152" s="961" t="s">
        <v>119</v>
      </c>
      <c r="B152" s="1046">
        <f>IF('WEEK 10'!B152='WEEK 10'!B154,'WEEK 10'!B152+5,IF('WEEK 10'!F152&lt;=9,MROUND('WEEK 10'!B150*0.95,5),'WEEK 10'!B152))</f>
        <v>95</v>
      </c>
      <c r="C152" s="13"/>
      <c r="D152" s="13"/>
      <c r="E152" s="13"/>
      <c r="F152" s="57"/>
    </row>
    <row r="153">
      <c r="A153" s="962" t="s">
        <v>50</v>
      </c>
      <c r="B153" s="963" t="s">
        <v>51</v>
      </c>
      <c r="C153" s="963" t="s">
        <v>52</v>
      </c>
      <c r="D153" s="963" t="s">
        <v>53</v>
      </c>
      <c r="E153" s="1073" t="s">
        <v>54</v>
      </c>
      <c r="F153" s="1006" t="s">
        <v>55</v>
      </c>
    </row>
    <row r="154">
      <c r="A154" s="967">
        <v>1.0</v>
      </c>
      <c r="B154" s="968">
        <f> mround('WEEK 13'!B152,5)</f>
        <v>95</v>
      </c>
      <c r="C154" s="937" t="s">
        <v>234</v>
      </c>
      <c r="D154" s="1296" t="s">
        <v>127</v>
      </c>
      <c r="E154" s="1235" t="str">
        <f>if(B154='WEEK 6'!B154,'WEEK 6'!F154,"")</f>
        <v/>
      </c>
      <c r="F154" s="984">
        <v>10.0</v>
      </c>
    </row>
    <row r="155">
      <c r="A155" s="967">
        <v>2.0</v>
      </c>
      <c r="B155" s="968">
        <f>if('WEEK 13'!F154&lt;6,mround('WEEK 13'!B154*0.75,5),if('WEEK 13'!F154&lt;12,mround('WEEK 13'!B154*0.85,5),'WEEK 13'!B154))</f>
        <v>80</v>
      </c>
      <c r="C155" s="937" t="s">
        <v>234</v>
      </c>
      <c r="D155" s="1296" t="s">
        <v>127</v>
      </c>
      <c r="E155" s="1235" t="str">
        <f>if(B155='WEEK 6'!B155,'WEEK 6'!F155,"")</f>
        <v/>
      </c>
      <c r="F155" s="1131">
        <v>15.0</v>
      </c>
    </row>
    <row r="156">
      <c r="A156" s="971">
        <v>3.0</v>
      </c>
      <c r="B156" s="968">
        <f>if('WEEK 13'!F155&lt;6,mround('WEEK 13'!B155*0.75,5),if('WEEK 13'!F155&lt;12,mround('WEEK 13'!B155*0.85,5),'WEEK 13'!B155))</f>
        <v>80</v>
      </c>
      <c r="C156" s="937" t="s">
        <v>234</v>
      </c>
      <c r="D156" s="1296" t="s">
        <v>127</v>
      </c>
      <c r="E156" s="1271" t="str">
        <f>if(B156='WEEK 6'!B156,'WEEK 6'!F156,"")</f>
        <v/>
      </c>
      <c r="F156" s="984">
        <v>5.0</v>
      </c>
    </row>
    <row r="159">
      <c r="A159" s="1149" t="s">
        <v>135</v>
      </c>
      <c r="B159" s="36"/>
      <c r="C159" s="36"/>
      <c r="D159" s="36"/>
      <c r="E159" s="36"/>
      <c r="F159" s="37"/>
    </row>
    <row r="160">
      <c r="A160" s="623"/>
      <c r="B160" s="623"/>
      <c r="C160" s="623"/>
      <c r="D160" s="623"/>
      <c r="E160" s="1274"/>
      <c r="F160" s="623"/>
    </row>
    <row r="161">
      <c r="A161" s="1275" t="str">
        <f>HYPERLINK("https://www.amazon.com/30-Minute-Body-Investment-Champion/dp/0692791892/ref=sr_1_1?ie=UTF8&amp;qid=1490447969&amp;sr=8-1&amp;keywords=30+minute+body","WANT TO LEARN MORE?")</f>
        <v>WANT TO LEARN MORE?</v>
      </c>
      <c r="B161" s="25"/>
      <c r="C161" s="25"/>
      <c r="D161" s="25"/>
      <c r="E161" s="25"/>
      <c r="F161" s="26"/>
    </row>
    <row r="162">
      <c r="A162" s="529"/>
      <c r="F162" s="28"/>
    </row>
    <row r="163">
      <c r="A163" s="1276"/>
      <c r="B163" s="999"/>
      <c r="C163" s="1150" t="s">
        <v>67</v>
      </c>
      <c r="F163" s="28"/>
    </row>
    <row r="164">
      <c r="A164" s="1276"/>
      <c r="B164" s="999"/>
      <c r="F164" s="28"/>
    </row>
    <row r="165">
      <c r="A165" s="1276"/>
      <c r="B165" s="999"/>
      <c r="F165" s="28"/>
    </row>
    <row r="166">
      <c r="A166" s="1276"/>
      <c r="B166" s="999"/>
      <c r="F166" s="28"/>
    </row>
    <row r="167">
      <c r="A167" s="1276"/>
      <c r="B167" s="999"/>
      <c r="F167" s="28"/>
    </row>
    <row r="168">
      <c r="A168" s="1276"/>
      <c r="B168" s="999"/>
      <c r="F168" s="28"/>
    </row>
    <row r="169">
      <c r="A169" s="1277"/>
      <c r="B169" s="999"/>
      <c r="F169" s="28"/>
    </row>
    <row r="170">
      <c r="A170" s="1276"/>
      <c r="B170" s="999"/>
      <c r="F170" s="28"/>
    </row>
    <row r="171">
      <c r="A171" s="1276"/>
      <c r="B171" s="999"/>
      <c r="F171" s="28"/>
    </row>
    <row r="172">
      <c r="A172" s="1278"/>
      <c r="B172" s="999"/>
      <c r="F172" s="28"/>
    </row>
    <row r="173">
      <c r="A173" s="1276"/>
      <c r="B173" s="999"/>
      <c r="F173" s="28"/>
    </row>
    <row r="174">
      <c r="A174" s="1276"/>
      <c r="B174" s="999"/>
      <c r="F174" s="28"/>
    </row>
    <row r="175">
      <c r="A175" s="1276"/>
      <c r="B175" s="999"/>
      <c r="F175" s="28"/>
    </row>
    <row r="176">
      <c r="A176" s="1276"/>
      <c r="B176" s="999"/>
      <c r="F176" s="28"/>
    </row>
    <row r="177">
      <c r="A177" s="1279"/>
      <c r="B177" s="1280"/>
      <c r="C177" s="11"/>
      <c r="D177" s="11"/>
      <c r="E177" s="11"/>
      <c r="F177" s="46"/>
    </row>
  </sheetData>
  <mergeCells count="70">
    <mergeCell ref="H111:M111"/>
    <mergeCell ref="I112:M112"/>
    <mergeCell ref="G102:G103"/>
    <mergeCell ref="G104:G105"/>
    <mergeCell ref="A107:F107"/>
    <mergeCell ref="A110:F110"/>
    <mergeCell ref="H110:M110"/>
    <mergeCell ref="A111:F111"/>
    <mergeCell ref="B112:F112"/>
    <mergeCell ref="B152:F152"/>
    <mergeCell ref="A159:F159"/>
    <mergeCell ref="A161:F162"/>
    <mergeCell ref="C163:F177"/>
    <mergeCell ref="A127:F127"/>
    <mergeCell ref="B128:F128"/>
    <mergeCell ref="A135:F135"/>
    <mergeCell ref="B136:F136"/>
    <mergeCell ref="A143:F143"/>
    <mergeCell ref="B144:F144"/>
    <mergeCell ref="A151:F151"/>
    <mergeCell ref="A9:F9"/>
    <mergeCell ref="H9:M9"/>
    <mergeCell ref="A10:F11"/>
    <mergeCell ref="H10:M10"/>
    <mergeCell ref="A12:F12"/>
    <mergeCell ref="A13:F13"/>
    <mergeCell ref="H15:M15"/>
    <mergeCell ref="A15:F15"/>
    <mergeCell ref="A18:F18"/>
    <mergeCell ref="H18:M18"/>
    <mergeCell ref="A19:F19"/>
    <mergeCell ref="H19:M19"/>
    <mergeCell ref="B20:F20"/>
    <mergeCell ref="I20:M20"/>
    <mergeCell ref="A25:F25"/>
    <mergeCell ref="G25:G26"/>
    <mergeCell ref="H25:M25"/>
    <mergeCell ref="A32:F32"/>
    <mergeCell ref="H32:M32"/>
    <mergeCell ref="B33:F33"/>
    <mergeCell ref="I33:M33"/>
    <mergeCell ref="A39:F39"/>
    <mergeCell ref="B40:F40"/>
    <mergeCell ref="A46:F46"/>
    <mergeCell ref="A49:F49"/>
    <mergeCell ref="B52:F52"/>
    <mergeCell ref="A55:F55"/>
    <mergeCell ref="B56:F56"/>
    <mergeCell ref="A63:F63"/>
    <mergeCell ref="B64:F64"/>
    <mergeCell ref="A71:F71"/>
    <mergeCell ref="A73:F73"/>
    <mergeCell ref="A76:F76"/>
    <mergeCell ref="B77:F77"/>
    <mergeCell ref="B88:F88"/>
    <mergeCell ref="A91:F91"/>
    <mergeCell ref="B92:F92"/>
    <mergeCell ref="A99:F99"/>
    <mergeCell ref="G99:G101"/>
    <mergeCell ref="H99:M99"/>
    <mergeCell ref="B100:F100"/>
    <mergeCell ref="I100:M100"/>
    <mergeCell ref="A118:F118"/>
    <mergeCell ref="H118:M118"/>
    <mergeCell ref="A121:F121"/>
    <mergeCell ref="H121:M121"/>
    <mergeCell ref="B124:F124"/>
    <mergeCell ref="I124:M124"/>
    <mergeCell ref="H127:M127"/>
    <mergeCell ref="I128:M128"/>
  </mergeCells>
  <dataValidations>
    <dataValidation type="decimal" operator="greaterThanOrEqual" allowBlank="1" showDropDown="1" sqref="F53:F54 F57:F62 F65:F68">
      <formula1>0.0</formula1>
    </dataValidation>
  </dataValidations>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'MSW12'!A1</f>
        <v/>
      </c>
    </row>
    <row r="8">
      <c r="A8" s="11"/>
      <c r="B8" s="11"/>
      <c r="C8" s="11"/>
      <c r="D8" s="11"/>
      <c r="E8" s="11"/>
      <c r="F8" s="11"/>
      <c r="G8" s="11"/>
      <c r="H8" s="11"/>
      <c r="I8" s="11"/>
      <c r="J8" s="11"/>
      <c r="K8" s="11"/>
      <c r="L8" s="11"/>
      <c r="M8" s="11"/>
    </row>
    <row r="9">
      <c r="A9" s="12" t="str">
        <f>'MSW12'!A9</f>
        <v>Week 12</v>
      </c>
      <c r="B9" s="13"/>
      <c r="C9" s="13"/>
      <c r="D9" s="13"/>
      <c r="E9" s="13"/>
      <c r="F9" s="14"/>
      <c r="G9" s="103" t="str">
        <f>'MSW12'!G9</f>
        <v/>
      </c>
      <c r="H9" s="24" t="s">
        <v>35</v>
      </c>
      <c r="I9" s="25"/>
      <c r="J9" s="25"/>
      <c r="K9" s="25"/>
      <c r="L9" s="25"/>
      <c r="M9" s="26"/>
    </row>
    <row r="10">
      <c r="A10" s="15" t="str">
        <f>'MSW12'!A10</f>
        <v>PRESS TO RECORD BODY WEIGHT</v>
      </c>
      <c r="B10" s="16"/>
      <c r="C10" s="16"/>
      <c r="D10" s="16"/>
      <c r="E10" s="16"/>
      <c r="F10" s="17"/>
      <c r="H10" s="27" t="s">
        <v>235</v>
      </c>
      <c r="M10" s="28"/>
    </row>
    <row r="11">
      <c r="A11" s="18"/>
      <c r="B11" s="13"/>
      <c r="C11" s="13"/>
      <c r="D11" s="13"/>
      <c r="E11" s="13"/>
      <c r="F11" s="14"/>
      <c r="H11" s="29" t="s">
        <v>236</v>
      </c>
      <c r="I11" s="30"/>
      <c r="J11" s="30"/>
      <c r="K11" s="30"/>
      <c r="L11" s="30"/>
      <c r="M11" s="31"/>
    </row>
    <row r="12">
      <c r="A12" s="19" t="str">
        <f>'MSW12'!A12</f>
        <v>This Weeks Goals</v>
      </c>
      <c r="B12" s="20"/>
      <c r="C12" s="20"/>
      <c r="D12" s="20"/>
      <c r="E12" s="20"/>
      <c r="F12" s="21"/>
      <c r="G12" s="103" t="str">
        <f>'MSW12'!G12</f>
        <v/>
      </c>
    </row>
    <row r="13">
      <c r="A13" s="22" t="str">
        <f>'MSW12'!A13</f>
        <v>Working hard this week establishing new maxes in a few areas. Give it everything you've got. Pay close attention to rest times and rep counts. </v>
      </c>
      <c r="B13" s="20"/>
      <c r="C13" s="20"/>
      <c r="D13" s="20"/>
      <c r="E13" s="20"/>
      <c r="F13" s="21"/>
    </row>
    <row r="14">
      <c r="A14" s="219" t="str">
        <f>'MSW12'!A14</f>
        <v/>
      </c>
    </row>
    <row r="16">
      <c r="A16" s="50" t="str">
        <f>'MSW12'!A16</f>
        <v>DAY 1</v>
      </c>
      <c r="B16" s="36"/>
      <c r="C16" s="36"/>
      <c r="D16" s="36"/>
      <c r="E16" s="36"/>
      <c r="F16" s="37"/>
      <c r="G16" s="141" t="str">
        <f>'MSW12'!G16</f>
        <v/>
      </c>
      <c r="H16" s="50" t="str">
        <f>'MSW12'!H16</f>
        <v>ALTERNATE WORKOUTS</v>
      </c>
      <c r="I16" s="36"/>
      <c r="J16" s="36"/>
      <c r="K16" s="36"/>
      <c r="L16" s="36"/>
      <c r="M16" s="37"/>
    </row>
    <row r="17">
      <c r="A17" s="657" t="str">
        <f>'MSW12'!A17</f>
        <v/>
      </c>
    </row>
    <row r="19">
      <c r="A19" s="51" t="str">
        <f>'MSW12'!A19</f>
        <v>CHEST &amp; BACK </v>
      </c>
      <c r="B19" s="36"/>
      <c r="C19" s="36"/>
      <c r="D19" s="36"/>
      <c r="E19" s="36"/>
      <c r="F19" s="37"/>
      <c r="G19" s="141" t="str">
        <f>'MSW12'!G19</f>
        <v/>
      </c>
      <c r="H19" s="51" t="str">
        <f>'MSW12'!H19</f>
        <v>CHEST &amp; BACK </v>
      </c>
      <c r="I19" s="36"/>
      <c r="J19" s="36"/>
      <c r="K19" s="36"/>
      <c r="L19" s="36"/>
      <c r="M19" s="37"/>
    </row>
    <row r="20">
      <c r="A20" s="52" t="str">
        <f>'MSW12'!A20</f>
        <v>1. DUMBBELL INCLINE PRESS</v>
      </c>
      <c r="B20" s="53"/>
      <c r="C20" s="53"/>
      <c r="D20" s="53"/>
      <c r="E20" s="53"/>
      <c r="F20" s="54"/>
      <c r="H20" s="52" t="str">
        <f>'MSW12'!H20</f>
        <v>1. MACHINE PRESS</v>
      </c>
      <c r="I20" s="53"/>
      <c r="J20" s="53"/>
      <c r="K20" s="53"/>
      <c r="L20" s="53"/>
      <c r="M20" s="54"/>
    </row>
    <row r="21">
      <c r="A21" s="228" t="str">
        <f>'MSW12'!A21</f>
        <v>CURRENT MAX</v>
      </c>
      <c r="B21" s="229" t="str">
        <f>'MSW12'!B21</f>
        <v/>
      </c>
      <c r="C21" s="16"/>
      <c r="D21" s="16"/>
      <c r="E21" s="16"/>
      <c r="F21" s="230"/>
      <c r="H21" s="228" t="str">
        <f>'MSW12'!H21</f>
        <v>CURRENT MAX</v>
      </c>
      <c r="I21" s="229" t="str">
        <f>'MSW12'!I21</f>
        <v/>
      </c>
      <c r="J21" s="16"/>
      <c r="K21" s="16"/>
      <c r="L21" s="16"/>
      <c r="M21" s="230"/>
    </row>
    <row r="22">
      <c r="A22" s="96" t="str">
        <f>'MSW12'!A22</f>
        <v>SET</v>
      </c>
      <c r="B22" s="97" t="str">
        <f>'MSW12'!B22</f>
        <v>WEIGHT</v>
      </c>
      <c r="C22" s="97" t="str">
        <f>'MSW12'!C22</f>
        <v>REPS</v>
      </c>
      <c r="D22" s="97" t="str">
        <f>'MSW12'!D22</f>
        <v>REST</v>
      </c>
      <c r="E22" s="98" t="str">
        <f>'MSW12'!E22</f>
        <v>PREVIOUS</v>
      </c>
      <c r="F22" s="235" t="str">
        <f>'MSW12'!F22</f>
        <v>REP LOG</v>
      </c>
      <c r="H22" s="96" t="str">
        <f>'MSW12'!H22</f>
        <v>SET</v>
      </c>
      <c r="I22" s="97" t="str">
        <f>'MSW12'!I22</f>
        <v>WEIGHT</v>
      </c>
      <c r="J22" s="97" t="str">
        <f>'MSW12'!J22</f>
        <v>REPS</v>
      </c>
      <c r="K22" s="97" t="str">
        <f>'MSW12'!K22</f>
        <v>REST</v>
      </c>
      <c r="L22" s="98" t="str">
        <f>'MSW12'!L22</f>
        <v>PREVIOUS</v>
      </c>
      <c r="M22" s="235" t="str">
        <f>'MSW12'!M22</f>
        <v>REP LOG</v>
      </c>
    </row>
    <row r="23">
      <c r="A23" s="244">
        <f>'MSW12'!A23</f>
        <v>1</v>
      </c>
      <c r="B23" s="241">
        <f>'MSW12'!B23</f>
        <v>0</v>
      </c>
      <c r="C23" s="63">
        <f>'MSW12'!C23</f>
        <v>6</v>
      </c>
      <c r="D23" s="83" t="str">
        <f>'MSW12'!D23</f>
        <v>1 MIN</v>
      </c>
      <c r="E23" s="84" t="str">
        <f>'MSW12'!F23</f>
        <v/>
      </c>
      <c r="F23" s="85"/>
      <c r="H23" s="244">
        <f>'MSW12'!H23</f>
        <v>1</v>
      </c>
      <c r="I23" s="241">
        <f>'MSW12'!I23</f>
        <v>0</v>
      </c>
      <c r="J23" s="63">
        <f>'MSW12'!J23</f>
        <v>6</v>
      </c>
      <c r="K23" s="83" t="str">
        <f>'MSW12'!K23</f>
        <v>1 MIN</v>
      </c>
      <c r="L23" s="84" t="str">
        <f>'MSW12'!L23</f>
        <v>REP LOG</v>
      </c>
      <c r="M23" s="85" t="str">
        <f>'MSW12'!M23</f>
        <v/>
      </c>
    </row>
    <row r="24">
      <c r="A24" s="240">
        <f>'MSW12'!A24</f>
        <v>2</v>
      </c>
      <c r="B24" s="241">
        <f>'MSW12'!B24</f>
        <v>0</v>
      </c>
      <c r="C24" s="241">
        <f>'MSW12'!C24</f>
        <v>1</v>
      </c>
      <c r="D24" s="83" t="str">
        <f>'MSW12'!D24</f>
        <v>1 MIN</v>
      </c>
      <c r="E24" s="84" t="str">
        <f>'MSW12'!E24</f>
        <v/>
      </c>
      <c r="F24" s="85"/>
      <c r="H24" s="240">
        <f>'MSW12'!H24</f>
        <v>2</v>
      </c>
      <c r="I24" s="241">
        <f>'MSW12'!I24</f>
        <v>0</v>
      </c>
      <c r="J24" s="241">
        <f>'MSW12'!J24</f>
        <v>1</v>
      </c>
      <c r="K24" s="83" t="str">
        <f>'MSW12'!K24</f>
        <v>1 MIN</v>
      </c>
      <c r="L24" s="84" t="str">
        <f>'MSW12'!L24</f>
        <v/>
      </c>
      <c r="M24" s="85" t="str">
        <f>'MSW12'!M24</f>
        <v/>
      </c>
    </row>
    <row r="25">
      <c r="A25" s="240">
        <f>'MSW12'!A25</f>
        <v>3</v>
      </c>
      <c r="B25" s="241">
        <f>'MSW12'!B25</f>
        <v>0</v>
      </c>
      <c r="C25" s="63">
        <f>'MSW12'!C25</f>
        <v>1</v>
      </c>
      <c r="D25" s="83" t="str">
        <f>'MSW12'!D25</f>
        <v>1 MIN</v>
      </c>
      <c r="E25" s="84" t="str">
        <f>'MSW12'!E25</f>
        <v/>
      </c>
      <c r="F25" s="85"/>
      <c r="H25" s="240">
        <f>'MSW12'!H25</f>
        <v>3</v>
      </c>
      <c r="I25" s="241">
        <f>'MSW12'!I25</f>
        <v>0</v>
      </c>
      <c r="J25" s="241">
        <f>'MSW12'!J25</f>
        <v>1</v>
      </c>
      <c r="K25" s="83" t="str">
        <f>'MSW12'!K25</f>
        <v>1 MIN</v>
      </c>
      <c r="L25" s="84" t="str">
        <f>'MSW12'!L25</f>
        <v/>
      </c>
      <c r="M25" s="85" t="str">
        <f>'MSW12'!M25</f>
        <v/>
      </c>
    </row>
    <row r="26">
      <c r="A26" s="240">
        <f>'MSW12'!A26</f>
        <v>4</v>
      </c>
      <c r="B26" s="241">
        <f>'MSW12'!B26</f>
        <v>0</v>
      </c>
      <c r="C26" s="245" t="str">
        <f>'MSW12'!C26</f>
        <v>REP OUT</v>
      </c>
      <c r="D26" s="83" t="str">
        <f>'MSW12'!D26</f>
        <v>1 MIN</v>
      </c>
      <c r="E26" s="84" t="str">
        <f>'MSW12'!E26</f>
        <v/>
      </c>
      <c r="F26" s="85"/>
      <c r="H26" s="240">
        <f>'MSW12'!H26</f>
        <v>4</v>
      </c>
      <c r="I26" s="241">
        <f>'MSW12'!I26</f>
        <v>0</v>
      </c>
      <c r="J26" s="245" t="str">
        <f>'MSW12'!J26</f>
        <v>REP OUT</v>
      </c>
      <c r="K26" s="83" t="str">
        <f>'MSW12'!K26</f>
        <v>1 MIN</v>
      </c>
      <c r="L26" s="84" t="str">
        <f>'MSW12'!L26</f>
        <v/>
      </c>
      <c r="M26" s="85" t="str">
        <f>'MSW12'!M26</f>
        <v/>
      </c>
    </row>
    <row r="27">
      <c r="A27" s="248" t="str">
        <f>'MSW12'!A27</f>
        <v>PROCEED TO DOWNSETS</v>
      </c>
      <c r="F27" s="28"/>
      <c r="G27" s="247" t="str">
        <f>'MSW12'!G27</f>
        <v>ALTERNATE</v>
      </c>
      <c r="H27" s="248" t="str">
        <f>'MSW12'!H27</f>
        <v>PROCEED TO DOWNSETS</v>
      </c>
      <c r="M27" s="28"/>
    </row>
    <row r="28">
      <c r="A28" s="251" t="str">
        <f>'MSW12'!A28</f>
        <v/>
      </c>
      <c r="B28" s="252" t="str">
        <f>'MSW12'!B28</f>
        <v/>
      </c>
      <c r="C28" s="253" t="str">
        <f>'MSW12'!C28</f>
        <v/>
      </c>
      <c r="D28" s="254" t="str">
        <f>'MSW12'!D28</f>
        <v/>
      </c>
      <c r="E28" s="84" t="str">
        <f>'MSW12'!E28</f>
        <v/>
      </c>
      <c r="F28" s="67"/>
      <c r="H28" s="251" t="str">
        <f>'MSW12'!H28</f>
        <v/>
      </c>
      <c r="I28" s="252" t="str">
        <f>'MSW12'!I28</f>
        <v/>
      </c>
      <c r="J28" s="253" t="str">
        <f>'MSW12'!J28</f>
        <v/>
      </c>
      <c r="K28" s="254" t="str">
        <f>'MSW12'!K28</f>
        <v/>
      </c>
      <c r="L28" s="84" t="str">
        <f>'MSW12'!L28</f>
        <v/>
      </c>
      <c r="M28" s="67" t="str">
        <f>'MSW12'!M28</f>
        <v/>
      </c>
    </row>
    <row r="29">
      <c r="A29" s="260" t="str">
        <f>'MSW12'!A29</f>
        <v>FILL OUT REP LOG FIRST</v>
      </c>
      <c r="B29" s="16"/>
      <c r="C29" s="16"/>
      <c r="D29" s="16"/>
      <c r="E29" s="16"/>
      <c r="F29" s="230"/>
      <c r="G29" s="141" t="str">
        <f>'MSW12'!G29</f>
        <v/>
      </c>
      <c r="H29" s="260" t="str">
        <f>'MSW12'!H29</f>
        <v>FILL OUT REP LOG FIRST</v>
      </c>
      <c r="I29" s="16"/>
      <c r="J29" s="16"/>
      <c r="K29" s="16"/>
      <c r="L29" s="16"/>
      <c r="M29" s="230"/>
    </row>
    <row r="30">
      <c r="A30" s="545" t="str">
        <f>'MSW12'!A30</f>
        <v/>
      </c>
      <c r="B30" s="261" t="str">
        <f>'MSW12'!B30</f>
        <v/>
      </c>
      <c r="C30" s="262" t="str">
        <f>'MSW12'!C30</f>
        <v/>
      </c>
      <c r="D30" s="65" t="str">
        <f>'MSW12'!D30</f>
        <v/>
      </c>
      <c r="E30" s="84" t="str">
        <f>'MSW12'!E30</f>
        <v/>
      </c>
      <c r="F30" s="263" t="str">
        <f>'MSW12'!F30</f>
        <v/>
      </c>
      <c r="H30" s="91" t="str">
        <f>'MSW12'!H30</f>
        <v/>
      </c>
      <c r="I30" s="261" t="str">
        <f>'MSW12'!I30</f>
        <v/>
      </c>
      <c r="J30" s="262" t="str">
        <f>'MSW12'!J30</f>
        <v/>
      </c>
      <c r="K30" s="65" t="str">
        <f>'MSW12'!K30</f>
        <v/>
      </c>
      <c r="L30" s="84" t="str">
        <f>'MSW12'!L30</f>
        <v/>
      </c>
      <c r="M30" s="263" t="str">
        <f>'MSW12'!M30</f>
        <v/>
      </c>
    </row>
    <row r="31">
      <c r="A31" s="546" t="str">
        <f>'MSW12'!A31</f>
        <v/>
      </c>
      <c r="B31" s="254" t="str">
        <f>'MSW12'!B31</f>
        <v/>
      </c>
      <c r="C31" s="253" t="str">
        <f>'MSW12'!C31</f>
        <v/>
      </c>
      <c r="D31" s="65" t="str">
        <f>'MSW12'!D31</f>
        <v/>
      </c>
      <c r="E31" s="84" t="str">
        <f>'MSW12'!E31</f>
        <v/>
      </c>
      <c r="F31" s="270" t="str">
        <f>'MSW12'!F31</f>
        <v/>
      </c>
      <c r="H31" s="269" t="str">
        <f>'MSW12'!H31</f>
        <v/>
      </c>
      <c r="I31" s="254" t="str">
        <f>'MSW12'!I31</f>
        <v/>
      </c>
      <c r="J31" s="253" t="str">
        <f>'MSW12'!J31</f>
        <v/>
      </c>
      <c r="K31" s="65" t="str">
        <f>'MSW12'!K31</f>
        <v/>
      </c>
      <c r="L31" s="84" t="str">
        <f>'MSW12'!L31</f>
        <v/>
      </c>
      <c r="M31" s="270" t="str">
        <f>'MSW12'!M31</f>
        <v/>
      </c>
    </row>
    <row r="32">
      <c r="A32" s="546" t="str">
        <f>'MSW12'!A32</f>
        <v/>
      </c>
      <c r="B32" s="254" t="str">
        <f>'MSW12'!B32</f>
        <v/>
      </c>
      <c r="C32" s="253" t="str">
        <f>'MSW12'!C32</f>
        <v/>
      </c>
      <c r="D32" s="65" t="str">
        <f>'MSW12'!D32</f>
        <v/>
      </c>
      <c r="E32" s="84" t="str">
        <f>'MSW12'!E32</f>
        <v/>
      </c>
      <c r="F32" s="270" t="str">
        <f>'MSW12'!F32</f>
        <v/>
      </c>
      <c r="H32" s="269" t="str">
        <f>'MSW12'!H32</f>
        <v/>
      </c>
      <c r="I32" s="254" t="str">
        <f>'MSW12'!I32</f>
        <v/>
      </c>
      <c r="J32" s="253" t="str">
        <f>'MSW12'!J32</f>
        <v/>
      </c>
      <c r="K32" s="65" t="str">
        <f>'MSW12'!K32</f>
        <v/>
      </c>
      <c r="L32" s="84" t="str">
        <f>'MSW12'!L32</f>
        <v/>
      </c>
      <c r="M32" s="270" t="str">
        <f>'MSW12'!M32</f>
        <v/>
      </c>
    </row>
    <row r="33">
      <c r="A33" s="546" t="str">
        <f>'MSW12'!A33</f>
        <v/>
      </c>
      <c r="B33" s="254" t="str">
        <f>'MSW12'!B33</f>
        <v/>
      </c>
      <c r="C33" s="253" t="str">
        <f>'MSW12'!C33</f>
        <v/>
      </c>
      <c r="D33" s="65" t="str">
        <f>'MSW12'!D33</f>
        <v/>
      </c>
      <c r="E33" s="84" t="str">
        <f>'MSW12'!E33</f>
        <v/>
      </c>
      <c r="F33" s="270" t="str">
        <f>'MSW12'!F33</f>
        <v/>
      </c>
      <c r="H33" s="269" t="str">
        <f>'MSW12'!H33</f>
        <v/>
      </c>
      <c r="I33" s="254" t="str">
        <f>'MSW12'!I33</f>
        <v/>
      </c>
      <c r="J33" s="253" t="str">
        <f>'MSW12'!J33</f>
        <v/>
      </c>
      <c r="K33" s="65" t="str">
        <f>'MSW12'!K33</f>
        <v/>
      </c>
      <c r="L33" s="84" t="str">
        <f>'MSW12'!L33</f>
        <v/>
      </c>
      <c r="M33" s="270" t="str">
        <f>'MSW12'!M33</f>
        <v/>
      </c>
    </row>
    <row r="34">
      <c r="A34" s="280" t="str">
        <f>'MSW12'!A34</f>
        <v>FINAL MAX</v>
      </c>
      <c r="B34" s="273" t="str">
        <f>'MSW12'!B34</f>
        <v/>
      </c>
      <c r="C34" s="11"/>
      <c r="D34" s="11"/>
      <c r="E34" s="11"/>
      <c r="F34" s="46"/>
      <c r="H34" s="280" t="str">
        <f>'MSW12'!H34</f>
        <v>FINAL MAX</v>
      </c>
      <c r="I34" s="273" t="str">
        <f>'MSW12'!I34</f>
        <v/>
      </c>
      <c r="J34" s="11"/>
      <c r="K34" s="11"/>
      <c r="L34" s="11"/>
      <c r="M34" s="46"/>
    </row>
    <row r="35">
      <c r="A35" s="658" t="str">
        <f>'MSW12'!A35</f>
        <v/>
      </c>
    </row>
    <row r="37">
      <c r="A37" s="440" t="str">
        <f>'MSW12'!A37</f>
        <v>2. DUMBBELL CHEST FLY</v>
      </c>
      <c r="B37" s="53"/>
      <c r="C37" s="53"/>
      <c r="D37" s="53"/>
      <c r="E37" s="53"/>
      <c r="F37" s="54"/>
      <c r="G37" s="659" t="str">
        <f>'MSW12'!G37</f>
        <v/>
      </c>
      <c r="H37" s="504" t="str">
        <f>'MSW12'!H37</f>
        <v>2. MACHINE CHEST FLY</v>
      </c>
      <c r="I37" s="53"/>
      <c r="J37" s="53"/>
      <c r="K37" s="53"/>
      <c r="L37" s="53"/>
      <c r="M37" s="54"/>
    </row>
    <row r="38">
      <c r="A38" s="226" t="str">
        <f>'MSW12'!A38</f>
        <v>DB INCL PRSS MAX</v>
      </c>
      <c r="B38" s="548" t="str">
        <f>B34</f>
        <v/>
      </c>
      <c r="C38" s="13"/>
      <c r="D38" s="13"/>
      <c r="E38" s="13"/>
      <c r="F38" s="57"/>
      <c r="G38" s="247" t="str">
        <f>'MSW12'!G38</f>
        <v>ALTERNATE</v>
      </c>
      <c r="H38" s="226" t="str">
        <f>'MSW12'!H38</f>
        <v>DB INCL PRSS MAX</v>
      </c>
      <c r="I38" s="548" t="str">
        <f>'MSW12'!I38</f>
        <v/>
      </c>
      <c r="J38" s="13"/>
      <c r="K38" s="13"/>
      <c r="L38" s="13"/>
      <c r="M38" s="57"/>
    </row>
    <row r="39">
      <c r="A39" s="96" t="str">
        <f>'MSW12'!A39</f>
        <v>SET</v>
      </c>
      <c r="B39" s="97" t="str">
        <f>'MSW12'!B39</f>
        <v>WEIGHT</v>
      </c>
      <c r="C39" s="97" t="str">
        <f>'MSW12'!C39</f>
        <v>REPS</v>
      </c>
      <c r="D39" s="97" t="str">
        <f>'MSW12'!D39</f>
        <v>REST</v>
      </c>
      <c r="E39" s="98" t="str">
        <f>'MSW12'!E39</f>
        <v>PREVIOUS</v>
      </c>
      <c r="F39" s="235" t="str">
        <f>'MSW12'!F39</f>
        <v>REP LOG</v>
      </c>
      <c r="H39" s="96" t="str">
        <f>'MSW12'!H39</f>
        <v>SET</v>
      </c>
      <c r="I39" s="97" t="str">
        <f>'MSW12'!I39</f>
        <v>WEIGHT</v>
      </c>
      <c r="J39" s="97" t="str">
        <f>'MSW12'!J39</f>
        <v>REPS</v>
      </c>
      <c r="K39" s="97" t="str">
        <f>'MSW12'!K39</f>
        <v>REST</v>
      </c>
      <c r="L39" s="341" t="str">
        <f>'MSW12'!L39</f>
        <v>PREVIOUS</v>
      </c>
      <c r="M39" s="235" t="str">
        <f>'MSW12'!M39</f>
        <v>REP LOG</v>
      </c>
    </row>
    <row r="40">
      <c r="A40" s="240">
        <f>'MSW12'!A40</f>
        <v>1</v>
      </c>
      <c r="B40" s="254">
        <f>'MSW12'!B40</f>
        <v>0</v>
      </c>
      <c r="C40" s="241">
        <f>'MSW12'!C40</f>
        <v>15</v>
      </c>
      <c r="D40" s="83" t="str">
        <f>'MSW12'!D40</f>
        <v>1 MIN</v>
      </c>
      <c r="E40" s="84" t="str">
        <f>'MSW12'!E40</f>
        <v/>
      </c>
      <c r="F40" s="85" t="str">
        <f>'MSW12'!F40</f>
        <v/>
      </c>
      <c r="G40" s="659" t="str">
        <f>'MSW12'!G40</f>
        <v/>
      </c>
      <c r="H40" s="240">
        <f>'MSW12'!H40</f>
        <v>1</v>
      </c>
      <c r="I40" s="254">
        <f>'MSW12'!I40</f>
        <v>0</v>
      </c>
      <c r="J40" s="241">
        <f>'MSW12'!J40</f>
        <v>15</v>
      </c>
      <c r="K40" s="83" t="str">
        <f>'MSW12'!K40</f>
        <v>1 MIN</v>
      </c>
      <c r="L40" s="84" t="str">
        <f>'MSW12'!L40</f>
        <v/>
      </c>
      <c r="M40" s="85" t="str">
        <f>'MSW12'!M40</f>
        <v/>
      </c>
    </row>
    <row r="41">
      <c r="A41" s="661">
        <f>'MSW12'!A41</f>
        <v>2</v>
      </c>
      <c r="B41" s="662">
        <f>'MSW12'!B41</f>
        <v>0</v>
      </c>
      <c r="C41" s="662">
        <f>'MSW12'!C41</f>
        <v>15</v>
      </c>
      <c r="D41" s="88" t="str">
        <f>'MSW12'!D41</f>
        <v>1 MIN</v>
      </c>
      <c r="E41" s="89" t="str">
        <f>'MSW12'!E41</f>
        <v/>
      </c>
      <c r="F41" s="85" t="str">
        <f>'MSW12'!F41</f>
        <v/>
      </c>
      <c r="H41" s="661">
        <f>'MSW12'!H41</f>
        <v>2</v>
      </c>
      <c r="I41" s="662">
        <f>'MSW12'!I41</f>
        <v>0</v>
      </c>
      <c r="J41" s="662">
        <f>'MSW12'!J41</f>
        <v>15</v>
      </c>
      <c r="K41" s="88" t="str">
        <f>'MSW12'!K41</f>
        <v>1 MIN</v>
      </c>
      <c r="L41" s="89" t="str">
        <f>'MSW12'!L41</f>
        <v/>
      </c>
      <c r="M41" s="85" t="str">
        <f>'MSW12'!M41</f>
        <v/>
      </c>
    </row>
    <row r="42">
      <c r="A42" t="str">
        <f>'MSW12'!A42</f>
        <v/>
      </c>
      <c r="G42" t="str">
        <f>'MSW12'!G42</f>
        <v/>
      </c>
    </row>
    <row r="44">
      <c r="A44" s="1176" t="str">
        <f>'MSW12'!A44</f>
        <v>2. SUPER SET</v>
      </c>
      <c r="B44" s="36"/>
      <c r="C44" s="36"/>
      <c r="D44" s="36"/>
      <c r="E44" s="36"/>
      <c r="F44" s="37"/>
    </row>
    <row r="45">
      <c r="A45" s="1177" t="str">
        <f>'MSW12'!A45</f>
        <v>CURRENT MAX</v>
      </c>
      <c r="B45" s="1178" t="str">
        <f>'MSW12'!B45</f>
        <v/>
      </c>
      <c r="C45" s="46"/>
      <c r="D45" s="1178" t="str">
        <f>'MSW12'!D45</f>
        <v/>
      </c>
      <c r="E45" s="11"/>
      <c r="F45" s="46"/>
    </row>
    <row r="46">
      <c r="A46" s="1179" t="str">
        <f>'MSW12'!A46</f>
        <v>SET</v>
      </c>
      <c r="B46" s="1180" t="str">
        <f>'MSW12'!B46</f>
        <v>EXERCISE</v>
      </c>
      <c r="C46" s="1181" t="str">
        <f>'MSW12'!C46</f>
        <v>WEIGHT</v>
      </c>
      <c r="D46" s="1181" t="str">
        <f>'MSW12'!D46</f>
        <v>REPS</v>
      </c>
      <c r="E46" s="1182" t="str">
        <f>'MSW12'!E46</f>
        <v>PREVIOUS</v>
      </c>
      <c r="F46" s="1006" t="str">
        <f>'MSW12'!F46</f>
        <v>REP LOG</v>
      </c>
    </row>
    <row r="47">
      <c r="A47" s="1183">
        <f>'MSW12'!A47</f>
        <v>1</v>
      </c>
      <c r="B47" s="1356" t="str">
        <f>'MSW12'!B47</f>
        <v>MACH HIGH ROW</v>
      </c>
      <c r="C47" s="1346">
        <f>'MSW12'!C47</f>
        <v>0</v>
      </c>
      <c r="D47" s="1347">
        <f>'MSW12'!D47</f>
        <v>20</v>
      </c>
      <c r="E47" s="1187" t="str">
        <f>'MSW12'!E47</f>
        <v/>
      </c>
      <c r="F47" s="1188" t="str">
        <f>'MSW12'!F47</f>
        <v/>
      </c>
    </row>
    <row r="48">
      <c r="A48" s="1189"/>
      <c r="B48" s="1190" t="str">
        <f>'MSW12'!B48</f>
        <v>LOW ROW</v>
      </c>
      <c r="C48" s="1191">
        <f>'MSW12'!C48</f>
        <v>0</v>
      </c>
      <c r="D48" s="1192">
        <f>'MSW12'!D48</f>
        <v>20</v>
      </c>
      <c r="E48" s="1193" t="str">
        <f>'MSW12'!E48</f>
        <v/>
      </c>
      <c r="F48" s="1188" t="str">
        <f>'MSW12'!F48</f>
        <v/>
      </c>
    </row>
    <row r="49">
      <c r="A49" s="1194" t="str">
        <f>'MSW12'!A49</f>
        <v>REST 1 MIN</v>
      </c>
      <c r="B49" s="11"/>
      <c r="C49" s="11"/>
      <c r="D49" s="11"/>
      <c r="E49" s="11"/>
      <c r="F49" s="46"/>
    </row>
    <row r="50">
      <c r="A50" s="1195">
        <f>'MSW12'!A50</f>
        <v>2</v>
      </c>
      <c r="B50" s="1356" t="str">
        <f>'MSW12'!B50</f>
        <v>MACH HIGH ROW</v>
      </c>
      <c r="C50" s="1346">
        <f>'MSW12'!C50</f>
        <v>0</v>
      </c>
      <c r="D50" s="1347">
        <f>'MSW12'!D50</f>
        <v>20</v>
      </c>
      <c r="E50" s="1187" t="str">
        <f>'MSW12'!E50</f>
        <v/>
      </c>
      <c r="F50" s="1188" t="str">
        <f>'MSW12'!F50</f>
        <v/>
      </c>
    </row>
    <row r="51">
      <c r="A51" s="1196"/>
      <c r="B51" s="1190" t="str">
        <f>'MSW12'!B51</f>
        <v>LOW ROW</v>
      </c>
      <c r="C51" s="1191">
        <f>'MSW12'!C51</f>
        <v>0</v>
      </c>
      <c r="D51" s="1192">
        <f>'MSW12'!D51</f>
        <v>20</v>
      </c>
      <c r="E51" s="1193" t="str">
        <f>'MSW12'!E51</f>
        <v/>
      </c>
      <c r="F51" s="1188" t="str">
        <f>'MSW12'!F51</f>
        <v/>
      </c>
    </row>
    <row r="52">
      <c r="A52" s="1194" t="str">
        <f>'MSW12'!A52</f>
        <v>REST 1 MIN</v>
      </c>
      <c r="B52" s="11"/>
      <c r="C52" s="11"/>
      <c r="D52" s="11"/>
      <c r="E52" s="11"/>
      <c r="F52" s="46"/>
    </row>
    <row r="53">
      <c r="A53" s="1195">
        <f>'MSW12'!A53</f>
        <v>3</v>
      </c>
      <c r="B53" s="1356" t="str">
        <f>'MSW12'!B53</f>
        <v>MACH HIGH ROW</v>
      </c>
      <c r="C53" s="1346">
        <f>'MSW12'!C53</f>
        <v>0</v>
      </c>
      <c r="D53" s="1347">
        <f>'MSW12'!D53</f>
        <v>20</v>
      </c>
      <c r="E53" s="1187" t="str">
        <f>'MSW12'!E53</f>
        <v/>
      </c>
      <c r="F53" s="1133" t="str">
        <f>'MSW12'!F53</f>
        <v/>
      </c>
    </row>
    <row r="54">
      <c r="A54" s="1196"/>
      <c r="B54" s="1190" t="str">
        <f>'MSW12'!B54</f>
        <v>LOW ROW</v>
      </c>
      <c r="C54" s="1191">
        <f>'MSW12'!C54</f>
        <v>0</v>
      </c>
      <c r="D54" s="1192">
        <f>'MSW12'!D54</f>
        <v>20</v>
      </c>
      <c r="E54" s="1193" t="str">
        <f>'MSW12'!E54</f>
        <v/>
      </c>
      <c r="F54" s="1133" t="str">
        <f>'MSW12'!F54</f>
        <v/>
      </c>
    </row>
    <row r="55">
      <c r="A55" s="1194" t="str">
        <f>'MSW12'!A55</f>
        <v>REST 1 MIN</v>
      </c>
      <c r="B55" s="11"/>
      <c r="C55" s="11"/>
      <c r="D55" s="11"/>
      <c r="E55" s="11"/>
      <c r="F55" s="46"/>
    </row>
    <row r="56">
      <c r="A56" s="1197">
        <f>'MSW12'!A56</f>
        <v>4</v>
      </c>
      <c r="B56" s="1356" t="str">
        <f>'MSW12'!B56</f>
        <v>MACH HIGH ROW</v>
      </c>
      <c r="C56" s="1346">
        <f>'MSW12'!C56</f>
        <v>0</v>
      </c>
      <c r="D56" s="1347">
        <f>'MSW12'!D56</f>
        <v>20</v>
      </c>
      <c r="E56" s="1187" t="str">
        <f>'MSW12'!E56</f>
        <v/>
      </c>
      <c r="F56" s="1133" t="str">
        <f>'MSW12'!F56</f>
        <v/>
      </c>
    </row>
    <row r="57">
      <c r="A57" s="1196"/>
      <c r="B57" s="1190" t="str">
        <f>'MSW12'!B57</f>
        <v>LOW ROW</v>
      </c>
      <c r="C57" s="1191">
        <f>'MSW12'!C57</f>
        <v>0</v>
      </c>
      <c r="D57" s="1192">
        <f>'MSW12'!D57</f>
        <v>20</v>
      </c>
      <c r="E57" s="1193" t="str">
        <f>'MSW12'!E57</f>
        <v/>
      </c>
      <c r="F57" s="1133" t="str">
        <f>'MSW12'!F57</f>
        <v/>
      </c>
    </row>
    <row r="58">
      <c r="A58" t="str">
        <f>'MSW12'!A58</f>
        <v/>
      </c>
      <c r="B58" t="str">
        <f>'MSW12'!B58</f>
        <v/>
      </c>
      <c r="C58" t="str">
        <f>'MSW12'!C58</f>
        <v/>
      </c>
      <c r="D58" t="str">
        <f>'MSW12'!D58</f>
        <v/>
      </c>
      <c r="E58" t="str">
        <f>'MSW12'!E58</f>
        <v/>
      </c>
      <c r="F58" t="str">
        <f>'MSW12'!F58</f>
        <v/>
      </c>
    </row>
    <row r="59">
      <c r="A59" s="103" t="str">
        <f>'MSW12'!A59</f>
        <v/>
      </c>
      <c r="B59" s="103" t="str">
        <f>'MSW12'!B59</f>
        <v/>
      </c>
      <c r="C59" s="103" t="str">
        <f>'MSW12'!C59</f>
        <v/>
      </c>
      <c r="D59" s="103" t="str">
        <f>'MSW12'!D59</f>
        <v/>
      </c>
      <c r="E59" s="222" t="str">
        <f>'MSW12'!E59</f>
        <v/>
      </c>
      <c r="F59" s="103" t="str">
        <f>'MSW12'!F59</f>
        <v/>
      </c>
    </row>
    <row r="60">
      <c r="A60" s="310" t="str">
        <f>'MSW12'!A60</f>
        <v>CLICK TO COMPLETE WORKOUT</v>
      </c>
      <c r="B60" s="36"/>
      <c r="C60" s="36"/>
      <c r="D60" s="36"/>
      <c r="E60" s="36"/>
      <c r="F60" s="37"/>
    </row>
    <row r="61">
      <c r="A61" t="str">
        <f>'MSW12'!A61</f>
        <v/>
      </c>
      <c r="B61" t="str">
        <f>'MSW12'!B61</f>
        <v/>
      </c>
      <c r="C61" t="str">
        <f>'MSW12'!C61</f>
        <v/>
      </c>
      <c r="D61" t="str">
        <f>'MSW12'!D61</f>
        <v/>
      </c>
      <c r="E61" t="str">
        <f>'MSW12'!E61</f>
        <v/>
      </c>
      <c r="F61" t="str">
        <f>'MSW12'!F61</f>
        <v/>
      </c>
    </row>
    <row r="62">
      <c r="A62" s="224" t="str">
        <f>'MSW12'!A62</f>
        <v>DAY 2 </v>
      </c>
      <c r="B62" s="36"/>
      <c r="C62" s="36"/>
      <c r="D62" s="36"/>
      <c r="E62" s="36"/>
      <c r="F62" s="37"/>
    </row>
    <row r="63">
      <c r="A63" t="str">
        <f>'MSW12'!A63</f>
        <v/>
      </c>
      <c r="B63" t="str">
        <f>'MSW12'!B63</f>
        <v/>
      </c>
      <c r="C63" t="str">
        <f>'MSW12'!C63</f>
        <v/>
      </c>
      <c r="D63" t="str">
        <f>'MSW12'!D63</f>
        <v/>
      </c>
      <c r="E63" t="str">
        <f>'MSW12'!E63</f>
        <v/>
      </c>
      <c r="F63" t="str">
        <f>'MSW12'!F63</f>
        <v/>
      </c>
    </row>
    <row r="64">
      <c r="A64" t="str">
        <f>'MSW12'!A64</f>
        <v/>
      </c>
      <c r="B64" t="str">
        <f>'MSW12'!B64</f>
        <v/>
      </c>
      <c r="C64" t="str">
        <f>'MSW12'!C64</f>
        <v/>
      </c>
      <c r="D64" t="str">
        <f>'MSW12'!D64</f>
        <v/>
      </c>
      <c r="E64" t="str">
        <f>'MSW12'!E64</f>
        <v/>
      </c>
      <c r="F64" t="str">
        <f>'MSW12'!F64</f>
        <v/>
      </c>
    </row>
    <row r="65">
      <c r="A65" s="1261" t="str">
        <f>'MSW12'!A65</f>
        <v>1. MACHINE SQUAT</v>
      </c>
      <c r="B65" s="53"/>
      <c r="C65" s="53"/>
      <c r="D65" s="53"/>
      <c r="E65" s="53"/>
      <c r="F65" s="54"/>
    </row>
    <row r="66">
      <c r="A66" s="961" t="str">
        <f>'MSW12'!A66</f>
        <v>CURRENT MAX</v>
      </c>
      <c r="B66" s="1035">
        <f>'MSW12'!B66</f>
        <v>100</v>
      </c>
      <c r="C66" s="13"/>
      <c r="D66" s="13"/>
      <c r="E66" s="13"/>
      <c r="F66" s="57"/>
    </row>
    <row r="67">
      <c r="A67" s="231" t="str">
        <f>'MSW12'!A67</f>
        <v>SET</v>
      </c>
      <c r="B67" s="232" t="str">
        <f>'MSW12'!B67</f>
        <v>WEIGHT</v>
      </c>
      <c r="C67" s="232" t="str">
        <f>'MSW12'!C67</f>
        <v>REPS</v>
      </c>
      <c r="D67" s="232" t="str">
        <f>'MSW12'!D67</f>
        <v>REST</v>
      </c>
      <c r="E67" s="1073" t="str">
        <f>'MSW12'!E67</f>
        <v>PREVIOUS</v>
      </c>
      <c r="F67" s="1006" t="str">
        <f>'MSW12'!F67</f>
        <v>REP LOG</v>
      </c>
    </row>
    <row r="68">
      <c r="A68" s="236">
        <f>'MSW12'!A68</f>
        <v>1</v>
      </c>
      <c r="B68" s="237">
        <f>'MSW12'!B68</f>
        <v>35</v>
      </c>
      <c r="C68" s="238">
        <f>'MSW12'!C68</f>
        <v>10</v>
      </c>
      <c r="D68" s="238" t="str">
        <f>'MSW12'!D68</f>
        <v>30s</v>
      </c>
      <c r="E68" s="1130" t="str">
        <f>'MSW12'!E68</f>
        <v/>
      </c>
      <c r="F68" s="1131" t="str">
        <f>'MSW12'!F68</f>
        <v/>
      </c>
    </row>
    <row r="69">
      <c r="A69" s="236">
        <f>'MSW12'!A69</f>
        <v>2</v>
      </c>
      <c r="B69" s="237">
        <f>'MSW12'!B69</f>
        <v>65</v>
      </c>
      <c r="C69" s="238">
        <f>'MSW12'!C69</f>
        <v>10</v>
      </c>
      <c r="D69" s="238" t="str">
        <f>'MSW12'!D69</f>
        <v>1-2 MIN</v>
      </c>
      <c r="E69" s="1130" t="str">
        <f>'MSW12'!E69</f>
        <v/>
      </c>
      <c r="F69" s="1113"/>
    </row>
    <row r="70">
      <c r="A70" s="242">
        <f>'MSW12'!A70</f>
        <v>3</v>
      </c>
      <c r="B70" s="237">
        <f>'MSW12'!B70</f>
        <v>90</v>
      </c>
      <c r="C70" s="238">
        <f>'MSW12'!C70</f>
        <v>10</v>
      </c>
      <c r="D70" s="238" t="str">
        <f>'MSW12'!D70</f>
        <v>1-2 MIN</v>
      </c>
      <c r="E70" s="1130" t="str">
        <f>'MSW12'!E70</f>
        <v/>
      </c>
      <c r="F70" s="1111"/>
    </row>
    <row r="71">
      <c r="A71" s="249">
        <f>'MSW12'!A71</f>
        <v>4</v>
      </c>
      <c r="B71" s="175">
        <f>'MSW12'!B71</f>
        <v>70</v>
      </c>
      <c r="C71" s="238">
        <f>'MSW12'!C71</f>
        <v>10</v>
      </c>
      <c r="D71" s="238" t="str">
        <f>'MSW12'!D71</f>
        <v>1-5 MIN</v>
      </c>
      <c r="E71" s="1130" t="str">
        <f>'MSW12'!E71</f>
        <v/>
      </c>
      <c r="F71" s="1113"/>
    </row>
    <row r="72">
      <c r="A72" s="249">
        <f>'MSW12'!A72</f>
        <v>5</v>
      </c>
      <c r="B72" s="175">
        <f>'MSW12'!B72</f>
        <v>55</v>
      </c>
      <c r="C72" s="238">
        <f>'MSW12'!C72</f>
        <v>10</v>
      </c>
      <c r="D72" s="238" t="str">
        <f>'MSW12'!D72</f>
        <v>1-5 MIN</v>
      </c>
      <c r="E72" s="1130" t="str">
        <f>'MSW12'!E72</f>
        <v/>
      </c>
      <c r="F72" s="1113"/>
    </row>
    <row r="73">
      <c r="A73" s="249">
        <f>'MSW12'!A73</f>
        <v>6</v>
      </c>
      <c r="B73" s="175">
        <f>'MSW12'!B73</f>
        <v>45</v>
      </c>
      <c r="C73" s="238">
        <f>'MSW12'!C73</f>
        <v>10</v>
      </c>
      <c r="D73" s="238" t="str">
        <f>'MSW12'!D73</f>
        <v>1-5 MIN</v>
      </c>
      <c r="E73" s="1130" t="str">
        <f>'MSW12'!E73</f>
        <v/>
      </c>
      <c r="F73" s="1113"/>
    </row>
    <row r="74">
      <c r="A74" s="1038">
        <f>'MSW12'!A74</f>
        <v>7</v>
      </c>
      <c r="B74" s="175">
        <f>'MSW12'!B74</f>
        <v>35</v>
      </c>
      <c r="C74" s="238">
        <f>'MSW12'!C74</f>
        <v>10</v>
      </c>
      <c r="D74" s="238" t="str">
        <f>'MSW12'!D74</f>
        <v>1-5 MIN</v>
      </c>
      <c r="E74" s="1130" t="str">
        <f>'MSW12'!E74</f>
        <v/>
      </c>
      <c r="F74" s="1357"/>
    </row>
    <row r="75">
      <c r="A75" s="249">
        <f>'MSW12'!A75</f>
        <v>8</v>
      </c>
      <c r="B75" s="175">
        <f>'MSW12'!B75</f>
        <v>30</v>
      </c>
      <c r="C75" s="238">
        <f>'MSW12'!C75</f>
        <v>10</v>
      </c>
      <c r="D75" s="238" t="str">
        <f>'MSW12'!D75</f>
        <v>1-5 MIN</v>
      </c>
      <c r="E75" s="1130" t="str">
        <f>'MSW12'!E75</f>
        <v/>
      </c>
      <c r="F75" s="1357"/>
    </row>
    <row r="76">
      <c r="A76" s="272" t="str">
        <f>'MSW12'!A76</f>
        <v>10 REP MAX</v>
      </c>
      <c r="B76" s="1039">
        <f>'MSW12'!B76</f>
        <v>100</v>
      </c>
      <c r="C76" s="11"/>
      <c r="D76" s="11"/>
      <c r="E76" s="11"/>
      <c r="F76" s="46"/>
    </row>
    <row r="77">
      <c r="A77" t="str">
        <f>'MSW12'!A77</f>
        <v/>
      </c>
      <c r="B77" t="str">
        <f>'MSW12'!B77</f>
        <v/>
      </c>
      <c r="C77" t="str">
        <f>'MSW12'!C77</f>
        <v/>
      </c>
      <c r="D77" t="str">
        <f>'MSW12'!D77</f>
        <v/>
      </c>
      <c r="E77" t="str">
        <f>'MSW12'!E77</f>
        <v/>
      </c>
      <c r="F77" t="str">
        <f>'MSW12'!F77</f>
        <v/>
      </c>
    </row>
    <row r="78">
      <c r="A78" t="str">
        <f>'MSW12'!A78</f>
        <v/>
      </c>
      <c r="B78" t="str">
        <f>'MSW12'!B78</f>
        <v/>
      </c>
      <c r="C78" t="str">
        <f>'MSW12'!C78</f>
        <v/>
      </c>
      <c r="D78" t="str">
        <f>'MSW12'!D78</f>
        <v/>
      </c>
      <c r="E78" t="str">
        <f>'MSW12'!E78</f>
        <v/>
      </c>
      <c r="F78" t="str">
        <f>'MSW12'!F78</f>
        <v/>
      </c>
    </row>
    <row r="79">
      <c r="A79" s="1044" t="str">
        <f>'MSW12'!A79</f>
        <v>2. LEG EXTENSION</v>
      </c>
      <c r="B79" s="13"/>
      <c r="C79" s="13"/>
      <c r="D79" s="13"/>
      <c r="E79" s="13"/>
      <c r="F79" s="57"/>
    </row>
    <row r="80">
      <c r="A80" s="1045" t="str">
        <f>'MSW12'!A80</f>
        <v>CURRENT MAX</v>
      </c>
      <c r="B80" s="1046">
        <f>'MSW12'!B80</f>
        <v>50</v>
      </c>
      <c r="C80" s="13"/>
      <c r="D80" s="13"/>
      <c r="E80" s="13"/>
      <c r="F80" s="57"/>
    </row>
    <row r="81">
      <c r="A81" s="567" t="str">
        <f>'MSW12'!A81</f>
        <v>SET</v>
      </c>
      <c r="B81" s="568" t="str">
        <f>'MSW12'!B81</f>
        <v>WEIGHT</v>
      </c>
      <c r="C81" s="568" t="str">
        <f>'MSW12'!C81</f>
        <v>REPS</v>
      </c>
      <c r="D81" s="568" t="str">
        <f>'MSW12'!D81</f>
        <v>REST</v>
      </c>
      <c r="E81" s="1047" t="str">
        <f>'MSW12'!E81</f>
        <v>PREVIOUS</v>
      </c>
      <c r="F81" s="1048" t="str">
        <f>'MSW12'!F81</f>
        <v>REP LOG</v>
      </c>
    </row>
    <row r="82">
      <c r="A82" s="1049">
        <f>'MSW12'!A82</f>
        <v>1</v>
      </c>
      <c r="B82" s="1050">
        <f>'MSW12'!B82</f>
        <v>50</v>
      </c>
      <c r="C82" s="1051" t="str">
        <f>'MSW12'!C82</f>
        <v>10 - 20</v>
      </c>
      <c r="D82" s="1052" t="str">
        <f>'MSW12'!D82</f>
        <v>1 MIN</v>
      </c>
      <c r="E82" s="1130" t="str">
        <f>'MSW12'!E82</f>
        <v/>
      </c>
      <c r="F82" s="1017" t="str">
        <f>'MSW12'!F82</f>
        <v/>
      </c>
    </row>
    <row r="83">
      <c r="A83" s="1049">
        <f>'MSW12'!A83</f>
        <v>2</v>
      </c>
      <c r="B83" s="1050">
        <f>'MSW12'!B83</f>
        <v>40</v>
      </c>
      <c r="C83" s="1051" t="str">
        <f>'MSW12'!C83</f>
        <v>10 - 20</v>
      </c>
      <c r="D83" s="1052" t="str">
        <f>'MSW12'!D83</f>
        <v>1 MIN</v>
      </c>
      <c r="E83" s="1130" t="str">
        <f>'MSW12'!E83</f>
        <v/>
      </c>
      <c r="F83" s="1017" t="str">
        <f>'MSW12'!F83</f>
        <v/>
      </c>
    </row>
    <row r="84">
      <c r="A84" s="1053">
        <f>'MSW12'!A84</f>
        <v>3</v>
      </c>
      <c r="B84" s="1054">
        <f>'MSW12'!B84</f>
        <v>30</v>
      </c>
      <c r="C84" s="1055" t="str">
        <f>'MSW12'!C84</f>
        <v>10 - 20</v>
      </c>
      <c r="D84" s="1056" t="str">
        <f>'MSW12'!D84</f>
        <v>1 MIN</v>
      </c>
      <c r="E84" s="1348" t="str">
        <f>'MSW12'!E84</f>
        <v/>
      </c>
      <c r="F84" s="1017" t="str">
        <f>'MSW12'!F84</f>
        <v/>
      </c>
    </row>
    <row r="85">
      <c r="A85" t="str">
        <f>'MSW12'!A85</f>
        <v/>
      </c>
    </row>
    <row r="87">
      <c r="A87" s="323" t="str">
        <f>'MSW12'!A87</f>
        <v>3. MACHINE LEG CURL</v>
      </c>
      <c r="B87" s="53"/>
      <c r="C87" s="53"/>
      <c r="D87" s="53"/>
      <c r="E87" s="53"/>
      <c r="F87" s="54"/>
      <c r="G87" s="141" t="str">
        <f>'MSW12'!G87</f>
        <v/>
      </c>
      <c r="H87" s="323" t="str">
        <f>'MSW12'!H87</f>
        <v>3. PRONE LEG CURL</v>
      </c>
      <c r="I87" s="53"/>
      <c r="J87" s="53"/>
      <c r="K87" s="53"/>
      <c r="L87" s="53"/>
      <c r="M87" s="54"/>
    </row>
    <row r="88">
      <c r="A88" s="1045" t="str">
        <f>'MSW12'!A88</f>
        <v>CURRENT MAX</v>
      </c>
      <c r="B88" s="1046">
        <f>'MSW12'!B88</f>
        <v>60</v>
      </c>
      <c r="C88" s="13"/>
      <c r="D88" s="13"/>
      <c r="E88" s="13"/>
      <c r="F88" s="57"/>
      <c r="H88" s="1045" t="str">
        <f>'MSW12'!H88</f>
        <v>CURRENT MAX</v>
      </c>
      <c r="I88" s="1046">
        <f>'MSW12'!I88</f>
        <v>60</v>
      </c>
      <c r="J88" s="13"/>
      <c r="K88" s="13"/>
      <c r="L88" s="13"/>
      <c r="M88" s="57"/>
    </row>
    <row r="89">
      <c r="A89" s="567" t="str">
        <f>'MSW12'!A89</f>
        <v>SET</v>
      </c>
      <c r="B89" s="568" t="str">
        <f>'MSW12'!B89</f>
        <v>WEIGHT</v>
      </c>
      <c r="C89" s="568" t="str">
        <f>'MSW12'!C89</f>
        <v>REPS</v>
      </c>
      <c r="D89" s="568" t="str">
        <f>'MSW12'!D89</f>
        <v>REST</v>
      </c>
      <c r="E89" s="1047" t="str">
        <f>'MSW12'!E89</f>
        <v>PREVIOUS</v>
      </c>
      <c r="F89" s="1048" t="str">
        <f>'MSW12'!F89</f>
        <v>REP LOG</v>
      </c>
      <c r="H89" s="567" t="str">
        <f>'MSW12'!H89</f>
        <v>SET</v>
      </c>
      <c r="I89" s="568" t="str">
        <f>'MSW12'!I89</f>
        <v>WEIGHT</v>
      </c>
      <c r="J89" s="568" t="str">
        <f>'MSW12'!J89</f>
        <v>REPS</v>
      </c>
      <c r="K89" s="568" t="str">
        <f>'MSW12'!K89</f>
        <v>REST</v>
      </c>
      <c r="L89" s="1047" t="str">
        <f>'MSW12'!L89</f>
        <v>PREVIOUS</v>
      </c>
      <c r="M89" s="1048" t="str">
        <f>'MSW12'!M89</f>
        <v>REP LOG</v>
      </c>
    </row>
    <row r="90">
      <c r="A90" s="1049">
        <f>'MSW12'!A90</f>
        <v>1</v>
      </c>
      <c r="B90" s="1050">
        <f>'MSW12'!B90</f>
        <v>60</v>
      </c>
      <c r="C90" s="1051" t="str">
        <f>'MSW12'!C90</f>
        <v>10 - 20</v>
      </c>
      <c r="D90" s="1052" t="str">
        <f>'MSW12'!D90</f>
        <v>1 MIN</v>
      </c>
      <c r="E90" s="1349" t="str">
        <f>'MSW12'!E90</f>
        <v/>
      </c>
      <c r="F90" s="1017" t="str">
        <f>'MSW12'!F90</f>
        <v/>
      </c>
      <c r="G90" s="434" t="str">
        <f>'MSW12'!G90</f>
        <v>ALTERNATE</v>
      </c>
      <c r="H90" s="1049">
        <f>'MSW12'!H90</f>
        <v>1</v>
      </c>
      <c r="I90" s="1050">
        <f>'MSW12'!I90</f>
        <v>60</v>
      </c>
      <c r="J90" s="1051" t="str">
        <f>'MSW12'!J90</f>
        <v>10 - 20</v>
      </c>
      <c r="K90" s="1052" t="str">
        <f>'MSW12'!K90</f>
        <v>1 MIN</v>
      </c>
      <c r="L90" s="1349" t="str">
        <f>'MSW12'!L90</f>
        <v/>
      </c>
      <c r="M90" s="1017" t="str">
        <f>'MSW12'!M90</f>
        <v/>
      </c>
    </row>
    <row r="91">
      <c r="A91" s="1049">
        <f>'MSW12'!A91</f>
        <v>2</v>
      </c>
      <c r="B91" s="1050">
        <f>'MSW12'!B91</f>
        <v>50</v>
      </c>
      <c r="C91" s="1051" t="str">
        <f>'MSW12'!C91</f>
        <v>10 - 20</v>
      </c>
      <c r="D91" s="1052" t="str">
        <f>'MSW12'!D91</f>
        <v>1 MIN</v>
      </c>
      <c r="E91" s="1349" t="str">
        <f>'MSW12'!E91</f>
        <v/>
      </c>
      <c r="F91" s="1017" t="str">
        <f>'MSW12'!F91</f>
        <v/>
      </c>
      <c r="H91" s="1049">
        <f>'MSW12'!H91</f>
        <v>2</v>
      </c>
      <c r="I91" s="1050">
        <f>'MSW12'!I91</f>
        <v>50</v>
      </c>
      <c r="J91" s="1051" t="str">
        <f>'MSW12'!J91</f>
        <v>10 - 20</v>
      </c>
      <c r="K91" s="1052" t="str">
        <f>'MSW12'!K91</f>
        <v>1 MIN</v>
      </c>
      <c r="L91" s="1349" t="str">
        <f>'MSW12'!L91</f>
        <v/>
      </c>
      <c r="M91" s="1017" t="str">
        <f>'MSW12'!M91</f>
        <v/>
      </c>
    </row>
    <row r="92">
      <c r="A92" s="1053">
        <f>'MSW12'!A92</f>
        <v>3</v>
      </c>
      <c r="B92" s="1054">
        <f>'MSW12'!B92</f>
        <v>40</v>
      </c>
      <c r="C92" s="1055" t="str">
        <f>'MSW12'!C92</f>
        <v>10 - 20</v>
      </c>
      <c r="D92" s="1056" t="str">
        <f>'MSW12'!D92</f>
        <v>1 MIN</v>
      </c>
      <c r="E92" s="1350" t="str">
        <f>'MSW12'!E92</f>
        <v/>
      </c>
      <c r="F92" s="1017" t="str">
        <f>'MSW12'!F92</f>
        <v/>
      </c>
      <c r="G92" s="682" t="str">
        <f>'MSW12'!G92</f>
        <v/>
      </c>
      <c r="H92" s="1053">
        <f>'MSW12'!H92</f>
        <v>3</v>
      </c>
      <c r="I92" s="1054">
        <f>'MSW12'!I92</f>
        <v>40</v>
      </c>
      <c r="J92" s="1055" t="str">
        <f>'MSW12'!J92</f>
        <v>10 - 20</v>
      </c>
      <c r="K92" s="1056" t="str">
        <f>'MSW12'!K92</f>
        <v>1 MIN</v>
      </c>
      <c r="L92" s="1350" t="str">
        <f>'MSW12'!L92</f>
        <v/>
      </c>
      <c r="M92" s="1017" t="str">
        <f>'MSW12'!M92</f>
        <v/>
      </c>
    </row>
    <row r="93">
      <c r="A93" s="849" t="str">
        <f>'MSW12'!A93</f>
        <v/>
      </c>
      <c r="H93" s="849" t="s">
        <v>237</v>
      </c>
    </row>
    <row r="95">
      <c r="A95" s="1120" t="str">
        <f>'MSW12'!A95</f>
        <v>DAY 3</v>
      </c>
      <c r="B95" s="36"/>
      <c r="C95" s="36"/>
      <c r="D95" s="36"/>
      <c r="E95" s="36"/>
      <c r="F95" s="37"/>
      <c r="G95" t="str">
        <f>'MSW12'!G95</f>
        <v/>
      </c>
    </row>
    <row r="96">
      <c r="A96" t="str">
        <f>'MSW12'!A96</f>
        <v/>
      </c>
    </row>
    <row r="98">
      <c r="A98" s="51" t="str">
        <f>'MSW12'!A98</f>
        <v>SHOULDERS &amp; ARMS</v>
      </c>
      <c r="B98" s="36"/>
      <c r="C98" s="36"/>
      <c r="D98" s="36"/>
      <c r="E98" s="36"/>
      <c r="F98" s="37"/>
      <c r="G98" t="str">
        <f>'MSW12'!G98</f>
        <v/>
      </c>
      <c r="H98" s="51" t="str">
        <f>'MSW12'!H98</f>
        <v>SHOULDERS &amp; ARMS</v>
      </c>
      <c r="I98" s="36"/>
      <c r="J98" s="36"/>
      <c r="K98" s="36"/>
      <c r="L98" s="36"/>
      <c r="M98" s="37"/>
    </row>
    <row r="99">
      <c r="A99" s="778" t="str">
        <f>'MSW12'!A99</f>
        <v>1. SHOULDER PRESS</v>
      </c>
      <c r="B99" s="53"/>
      <c r="C99" s="53"/>
      <c r="D99" s="53"/>
      <c r="E99" s="53"/>
      <c r="F99" s="54"/>
      <c r="G99" t="str">
        <f>'MSW12'!G99</f>
        <v/>
      </c>
      <c r="H99" s="778" t="str">
        <f>'MSW12'!H99</f>
        <v>1. MACHINE SHOULDER PRESS</v>
      </c>
      <c r="I99" s="53"/>
      <c r="J99" s="53"/>
      <c r="K99" s="53"/>
      <c r="L99" s="53"/>
      <c r="M99" s="54"/>
    </row>
    <row r="100">
      <c r="A100" s="589" t="str">
        <f>'MSW12'!A100</f>
        <v>CURRENT MAX</v>
      </c>
      <c r="B100" s="227" t="str">
        <f>'MSW12'!B100</f>
        <v/>
      </c>
      <c r="C100" s="20"/>
      <c r="D100" s="20"/>
      <c r="E100" s="20"/>
      <c r="F100" s="95"/>
      <c r="H100" s="589" t="str">
        <f>'MSW12'!H100</f>
        <v>CURRENT MAX</v>
      </c>
      <c r="I100" s="227">
        <f>'MSW12'!I100</f>
        <v>228</v>
      </c>
      <c r="J100" s="20"/>
      <c r="K100" s="20"/>
      <c r="L100" s="20"/>
      <c r="M100" s="95"/>
    </row>
    <row r="101">
      <c r="A101" s="364" t="str">
        <f>'MSW12'!A101</f>
        <v>SET</v>
      </c>
      <c r="B101" s="365" t="str">
        <f>'MSW12'!B101</f>
        <v>WEIGHT</v>
      </c>
      <c r="C101" s="365" t="str">
        <f>'MSW12'!C101</f>
        <v>REPS</v>
      </c>
      <c r="D101" s="365" t="str">
        <f>'MSW12'!D101</f>
        <v>REST</v>
      </c>
      <c r="E101" s="609" t="str">
        <f>'MSW12'!E101</f>
        <v>PREVIOUS</v>
      </c>
      <c r="F101" s="61" t="str">
        <f>'MSW12'!F101</f>
        <v>REP LOG</v>
      </c>
      <c r="H101" s="364" t="str">
        <f>'MSW12'!H101</f>
        <v>SET</v>
      </c>
      <c r="I101" s="365" t="str">
        <f>'MSW12'!I101</f>
        <v>WEIGHT</v>
      </c>
      <c r="J101" s="365" t="str">
        <f>'MSW12'!J101</f>
        <v>REPS</v>
      </c>
      <c r="K101" s="365" t="str">
        <f>'MSW12'!K101</f>
        <v>REST</v>
      </c>
      <c r="L101" s="609" t="str">
        <f>'MSW12'!L101</f>
        <v>PREVIOUS</v>
      </c>
      <c r="M101" s="61" t="str">
        <f>'MSW12'!M101</f>
        <v>REP LOG</v>
      </c>
    </row>
    <row r="102">
      <c r="A102" s="236">
        <f>'MSW12'!A102</f>
        <v>1</v>
      </c>
      <c r="B102" s="237">
        <f>'MSW12'!B102</f>
        <v>0</v>
      </c>
      <c r="C102" s="237">
        <f>'MSW12'!C102</f>
        <v>6</v>
      </c>
      <c r="D102" s="238" t="str">
        <f>'MSW12'!D102</f>
        <v>30s</v>
      </c>
      <c r="E102" s="66" t="str">
        <f>'MSW12'!E102</f>
        <v/>
      </c>
      <c r="F102" s="67"/>
      <c r="H102" s="236">
        <f>'MSW12'!H102</f>
        <v>1</v>
      </c>
      <c r="I102" s="237">
        <f>'MSW12'!I102</f>
        <v>80</v>
      </c>
      <c r="J102" s="237">
        <f>'MSW12'!J102</f>
        <v>6</v>
      </c>
      <c r="K102" s="238" t="str">
        <f>'MSW12'!K102</f>
        <v>30s</v>
      </c>
      <c r="L102" s="66" t="str">
        <f>'MSW12'!L102</f>
        <v/>
      </c>
      <c r="M102" s="67"/>
    </row>
    <row r="103">
      <c r="A103" s="236">
        <f>'MSW12'!A103</f>
        <v>2</v>
      </c>
      <c r="B103" s="237">
        <f>'MSW12'!B103</f>
        <v>0</v>
      </c>
      <c r="C103" s="237">
        <f>'MSW12'!C103</f>
        <v>1</v>
      </c>
      <c r="D103" s="238" t="str">
        <f>'MSW12'!D103</f>
        <v>1 MIN</v>
      </c>
      <c r="E103" s="66" t="str">
        <f>'MSW12'!E103</f>
        <v/>
      </c>
      <c r="F103" s="67"/>
      <c r="H103" s="236">
        <f>'MSW12'!H103</f>
        <v>2</v>
      </c>
      <c r="I103" s="237">
        <f>'MSW12'!I103</f>
        <v>150</v>
      </c>
      <c r="J103" s="237">
        <f>'MSW12'!J103</f>
        <v>1</v>
      </c>
      <c r="K103" s="238" t="str">
        <f>'MSW12'!K103</f>
        <v>1 MIN</v>
      </c>
      <c r="L103" s="66" t="str">
        <f>'MSW12'!L103</f>
        <v/>
      </c>
      <c r="M103" s="67"/>
    </row>
    <row r="104">
      <c r="A104" s="779">
        <v>3.0</v>
      </c>
      <c r="B104" s="780">
        <f>'MSW12'!B104</f>
        <v>0</v>
      </c>
      <c r="C104" s="781" t="str">
        <f>'MSW12'!C104</f>
        <v>REP OUT</v>
      </c>
      <c r="D104" s="782" t="str">
        <f>'MSW12'!D104</f>
        <v>1 MIN</v>
      </c>
      <c r="E104" s="783" t="str">
        <f>'MSW12'!E104</f>
        <v/>
      </c>
      <c r="F104" s="1121"/>
      <c r="H104" s="779">
        <v>3.0</v>
      </c>
      <c r="I104" s="780">
        <f>'MSW12'!I104</f>
        <v>205</v>
      </c>
      <c r="J104" s="781" t="str">
        <f>'MSW12'!J104</f>
        <v>REP OUT</v>
      </c>
      <c r="K104" s="782" t="str">
        <f>'MSW12'!K104</f>
        <v>1 MIN</v>
      </c>
      <c r="L104" s="783" t="str">
        <f>'MSW12'!L104</f>
        <v/>
      </c>
      <c r="M104" s="1121"/>
    </row>
    <row r="105">
      <c r="A105" s="785">
        <v>4.0</v>
      </c>
      <c r="B105" s="388">
        <f>'MSW12'!B105</f>
        <v>0</v>
      </c>
      <c r="C105" s="781" t="str">
        <f>'MSW12'!C105</f>
        <v>REP OUT</v>
      </c>
      <c r="D105" s="390" t="str">
        <f>'MSW12'!D105</f>
        <v>1 MIN</v>
      </c>
      <c r="E105" s="786"/>
      <c r="F105" s="392" t="str">
        <f>'MSW12'!F105</f>
        <v/>
      </c>
      <c r="H105" s="785">
        <v>4.0</v>
      </c>
      <c r="I105" s="388">
        <f>'MSW12'!I105</f>
        <v>175</v>
      </c>
      <c r="J105" s="781" t="str">
        <f>'MSW12'!J105</f>
        <v>REP OUT</v>
      </c>
      <c r="K105" s="390" t="str">
        <f>'MSW12'!K105</f>
        <v>1 MIN</v>
      </c>
      <c r="L105" s="786" t="str">
        <f>'MSW12'!L105</f>
        <v/>
      </c>
      <c r="M105" s="1122"/>
    </row>
    <row r="106">
      <c r="A106" s="787">
        <v>5.0</v>
      </c>
      <c r="B106" s="788">
        <f>'MSW12'!B106</f>
        <v>0</v>
      </c>
      <c r="C106" s="789" t="str">
        <f>'MSW12'!C106</f>
        <v>REP OUT</v>
      </c>
      <c r="D106" s="397" t="str">
        <f>'MSW12'!D106</f>
        <v>1 MIN</v>
      </c>
      <c r="E106" s="790"/>
      <c r="F106" s="392" t="str">
        <f>'MSW12'!F106</f>
        <v/>
      </c>
      <c r="H106" s="787">
        <v>5.0</v>
      </c>
      <c r="I106" s="788">
        <f>'MSW12'!I106</f>
        <v>150</v>
      </c>
      <c r="J106" s="789" t="str">
        <f>'MSW12'!J106</f>
        <v>REP OUT</v>
      </c>
      <c r="K106" s="397" t="str">
        <f>'MSW12'!K106</f>
        <v>1 MIN</v>
      </c>
      <c r="L106" s="790" t="str">
        <f>'MSW12'!L106</f>
        <v/>
      </c>
      <c r="M106" s="392" t="str">
        <f>'MSW12'!M106</f>
        <v/>
      </c>
    </row>
    <row r="107">
      <c r="A107" s="623" t="str">
        <f>'MSW12'!A107</f>
        <v/>
      </c>
    </row>
    <row r="109">
      <c r="A109" s="1217" t="str">
        <f>'MSW12'!A109</f>
        <v>2.  CABLE HIGH PULLEY ROW</v>
      </c>
      <c r="B109" s="53"/>
      <c r="C109" s="53"/>
      <c r="D109" s="53"/>
      <c r="E109" s="53"/>
      <c r="F109" s="54"/>
      <c r="G109" t="str">
        <f>'MSW12'!G109</f>
        <v/>
      </c>
      <c r="H109" s="1267" t="str">
        <f>'MSW12'!H109</f>
        <v>2. MACHINE REAR DELT FLY</v>
      </c>
      <c r="I109" s="53"/>
      <c r="J109" s="53"/>
      <c r="K109" s="53"/>
      <c r="L109" s="53"/>
      <c r="M109" s="54"/>
    </row>
    <row r="110">
      <c r="A110" s="961" t="str">
        <f>'MSW12'!A110</f>
        <v>CURRENT MAX</v>
      </c>
      <c r="B110" s="76">
        <f>'MSW12'!B110</f>
        <v>90</v>
      </c>
      <c r="C110" s="13"/>
      <c r="D110" s="13"/>
      <c r="E110" s="13"/>
      <c r="F110" s="57"/>
      <c r="H110" s="961" t="str">
        <f>'MSW12'!H110</f>
        <v>CURRENT MAX</v>
      </c>
      <c r="I110" s="76">
        <f>'MSW12'!I110</f>
        <v>60</v>
      </c>
      <c r="J110" s="13"/>
      <c r="K110" s="13"/>
      <c r="L110" s="13"/>
      <c r="M110" s="57"/>
    </row>
    <row r="111">
      <c r="A111" s="962" t="str">
        <f>'MSW12'!A111</f>
        <v>SET</v>
      </c>
      <c r="B111" s="963" t="str">
        <f>'MSW12'!B111</f>
        <v>WEIGHT</v>
      </c>
      <c r="C111" s="963" t="str">
        <f>'MSW12'!C111</f>
        <v>REPS</v>
      </c>
      <c r="D111" s="963" t="str">
        <f>'MSW12'!D111</f>
        <v>REST</v>
      </c>
      <c r="E111" s="1005" t="str">
        <f>'MSW12'!E111</f>
        <v>PREVIOUS</v>
      </c>
      <c r="F111" s="1006" t="str">
        <f>'MSW12'!F111</f>
        <v>REP LOG</v>
      </c>
      <c r="H111" s="962" t="str">
        <f>'MSW12'!H111</f>
        <v>SET</v>
      </c>
      <c r="I111" s="963" t="str">
        <f>'MSW12'!I111</f>
        <v>WEIGHT</v>
      </c>
      <c r="J111" s="963" t="str">
        <f>'MSW12'!J111</f>
        <v>REPS</v>
      </c>
      <c r="K111" s="963" t="str">
        <f>'MSW12'!K111</f>
        <v>REST</v>
      </c>
      <c r="L111" s="1073" t="str">
        <f>'MSW12'!L111</f>
        <v>PREVIOUS</v>
      </c>
      <c r="M111" s="1006" t="str">
        <f>'MSW12'!M111</f>
        <v>REP LOG</v>
      </c>
    </row>
    <row r="112">
      <c r="A112" s="967">
        <f>'MSW12'!A112</f>
        <v>1</v>
      </c>
      <c r="B112" s="1028">
        <f>'MSW12'!B112</f>
        <v>80</v>
      </c>
      <c r="C112" s="1067">
        <f>'MSW12'!C112</f>
        <v>20</v>
      </c>
      <c r="D112" s="1067" t="str">
        <f>'MSW12'!D112</f>
        <v>1MIN</v>
      </c>
      <c r="E112" s="1010" t="str">
        <f>'MSW12'!E112</f>
        <v/>
      </c>
      <c r="F112" s="1011"/>
      <c r="H112" s="967">
        <f>'MSW12'!H112</f>
        <v>1</v>
      </c>
      <c r="I112" s="1028">
        <f>'MSW12'!I112</f>
        <v>55</v>
      </c>
      <c r="J112" s="1067" t="str">
        <f>'MSW12'!J112</f>
        <v>10 - 15</v>
      </c>
      <c r="K112" s="968" t="str">
        <f>'MSW12'!K112</f>
        <v>1-2 MIN</v>
      </c>
      <c r="L112" s="1235" t="str">
        <f>'MSW12'!L112</f>
        <v/>
      </c>
      <c r="M112" s="1011"/>
    </row>
    <row r="113">
      <c r="A113" s="967">
        <f>'MSW12'!A113</f>
        <v>2</v>
      </c>
      <c r="B113" s="1028">
        <f>'MSW12'!B113</f>
        <v>65</v>
      </c>
      <c r="C113" s="1067">
        <f>'MSW12'!C113</f>
        <v>20</v>
      </c>
      <c r="D113" s="1067" t="str">
        <f>'MSW12'!D113</f>
        <v>1MIN</v>
      </c>
      <c r="E113" s="1010" t="str">
        <f>'MSW12'!E113</f>
        <v/>
      </c>
      <c r="F113" s="1011"/>
      <c r="H113" s="967">
        <f>'MSW12'!H113</f>
        <v>2</v>
      </c>
      <c r="I113" s="1028">
        <f>'MSW12'!I113</f>
        <v>45</v>
      </c>
      <c r="J113" s="1067" t="str">
        <f>'MSW12'!J113</f>
        <v>10 - 15</v>
      </c>
      <c r="K113" s="968" t="str">
        <f>'MSW12'!K113</f>
        <v>1-2 MIN</v>
      </c>
      <c r="L113" s="1235" t="str">
        <f>'MSW12'!L113</f>
        <v/>
      </c>
      <c r="M113" s="1011"/>
    </row>
    <row r="114">
      <c r="A114" s="971">
        <f>'MSW12'!A114</f>
        <v>3</v>
      </c>
      <c r="B114" s="1123">
        <f>'MSW12'!B114</f>
        <v>50</v>
      </c>
      <c r="C114" s="1220">
        <f>'MSW12'!C114</f>
        <v>20</v>
      </c>
      <c r="D114" s="1220" t="str">
        <f>'MSW12'!D114</f>
        <v>1MIN</v>
      </c>
      <c r="E114" s="1021" t="str">
        <f>'MSW12'!E114</f>
        <v/>
      </c>
      <c r="F114" s="1011"/>
      <c r="H114" s="971">
        <f>'MSW12'!H114</f>
        <v>3</v>
      </c>
      <c r="I114" s="1123">
        <f>'MSW12'!I114</f>
        <v>35</v>
      </c>
      <c r="J114" s="1220" t="str">
        <f>'MSW12'!J114</f>
        <v>10 - 15</v>
      </c>
      <c r="K114" s="972" t="str">
        <f>'MSW12'!K114</f>
        <v>1-2 MIN</v>
      </c>
      <c r="L114" s="1271" t="str">
        <f>'MSW12'!L114</f>
        <v/>
      </c>
      <c r="M114" s="1017" t="str">
        <f>'MSW12'!M114</f>
        <v/>
      </c>
    </row>
    <row r="115">
      <c r="A115" s="1068" t="str">
        <f>'MSW12'!A115</f>
        <v/>
      </c>
      <c r="G115" t="str">
        <f>'MSW12'!G115</f>
        <v/>
      </c>
    </row>
    <row r="117">
      <c r="A117" s="1217" t="str">
        <f>'MSW12'!A117</f>
        <v>3. DUMBBELL SIDE LATERAL RAISE</v>
      </c>
      <c r="B117" s="53"/>
      <c r="C117" s="53"/>
      <c r="D117" s="53"/>
      <c r="E117" s="53"/>
      <c r="F117" s="54"/>
    </row>
    <row r="118">
      <c r="A118" s="961" t="str">
        <f>'MSW12'!A118</f>
        <v>SHLDR PRSS MAX</v>
      </c>
      <c r="B118" s="76" t="str">
        <f>'MSW12'!B118</f>
        <v/>
      </c>
      <c r="C118" s="13"/>
      <c r="D118" s="13"/>
      <c r="E118" s="13"/>
      <c r="F118" s="57"/>
    </row>
    <row r="119">
      <c r="A119" s="1071" t="str">
        <f>'MSW12'!A119</f>
        <v>SET</v>
      </c>
      <c r="B119" s="1072" t="str">
        <f>'MSW12'!B119</f>
        <v>WEIGHT</v>
      </c>
      <c r="C119" s="1072" t="str">
        <f>'MSW12'!C119</f>
        <v>REPS</v>
      </c>
      <c r="D119" s="1072" t="str">
        <f>'MSW12'!D119</f>
        <v>REST</v>
      </c>
      <c r="E119" s="1073" t="str">
        <f>'MSW12'!E119</f>
        <v>PREVIOUS</v>
      </c>
      <c r="F119" s="1006" t="str">
        <f>'MSW12'!F119</f>
        <v>REP LOG</v>
      </c>
    </row>
    <row r="120">
      <c r="A120" s="1074">
        <f>'MSW12'!A120</f>
        <v>1</v>
      </c>
      <c r="B120" s="968">
        <f>'MSW12'!B120</f>
        <v>0</v>
      </c>
      <c r="C120" s="1075" t="str">
        <f>'MSW12'!C120</f>
        <v>10 - 15</v>
      </c>
      <c r="D120" s="1076" t="str">
        <f>'MSW12'!D120</f>
        <v>1 MIN</v>
      </c>
      <c r="E120" s="1235" t="str">
        <f>'MSW12'!E120</f>
        <v/>
      </c>
      <c r="F120" s="1011"/>
    </row>
    <row r="121">
      <c r="A121" s="1074">
        <f>'MSW12'!A121</f>
        <v>2</v>
      </c>
      <c r="B121" s="968">
        <f>'MSW12'!B121</f>
        <v>0</v>
      </c>
      <c r="C121" s="1075" t="str">
        <f>'MSW12'!C121</f>
        <v>10 - 15</v>
      </c>
      <c r="D121" s="1076" t="str">
        <f>'MSW12'!D121</f>
        <v>1 MIN</v>
      </c>
      <c r="E121" s="1235" t="str">
        <f>'MSW12'!E121</f>
        <v/>
      </c>
      <c r="F121" s="1011"/>
    </row>
    <row r="122">
      <c r="A122" s="1078">
        <f>'MSW12'!A122</f>
        <v>3</v>
      </c>
      <c r="B122" s="972">
        <f>'MSW12'!B122</f>
        <v>0</v>
      </c>
      <c r="C122" s="1079" t="str">
        <f>'MSW12'!C122</f>
        <v>10 - 15</v>
      </c>
      <c r="D122" s="1080" t="str">
        <f>'MSW12'!D122</f>
        <v>1 MIN</v>
      </c>
      <c r="E122" s="1271" t="str">
        <f>'MSW12'!E122</f>
        <v/>
      </c>
      <c r="F122" s="1017" t="str">
        <f>'MSW12'!F122</f>
        <v/>
      </c>
    </row>
    <row r="123">
      <c r="A123" t="str">
        <f>'MSW12'!A123</f>
        <v/>
      </c>
    </row>
    <row r="125">
      <c r="A125" s="1217" t="str">
        <f>'MSW12'!A125</f>
        <v>2.  TRICEP OVERHEAD ROPE EXTENSION</v>
      </c>
      <c r="B125" s="53"/>
      <c r="C125" s="53"/>
      <c r="D125" s="53"/>
      <c r="E125" s="53"/>
      <c r="F125" s="54"/>
    </row>
    <row r="126">
      <c r="A126" s="961" t="str">
        <f>'MSW12'!A126</f>
        <v>CURRENT MAX</v>
      </c>
      <c r="B126" s="76">
        <f>'MSW12'!B126</f>
        <v>25</v>
      </c>
      <c r="C126" s="13"/>
      <c r="D126" s="13"/>
      <c r="E126" s="13"/>
      <c r="F126" s="57"/>
    </row>
    <row r="127">
      <c r="A127" s="1071" t="str">
        <f>'MSW12'!A127</f>
        <v>SET</v>
      </c>
      <c r="B127" s="1072" t="str">
        <f>'MSW12'!B127</f>
        <v>WEIGHT</v>
      </c>
      <c r="C127" s="1072" t="str">
        <f>'MSW12'!C127</f>
        <v>REPS</v>
      </c>
      <c r="D127" s="1072" t="str">
        <f>'MSW12'!D127</f>
        <v>REST</v>
      </c>
      <c r="E127" s="1073" t="str">
        <f>'MSW12'!E127</f>
        <v>PREVIOUS</v>
      </c>
      <c r="F127" s="1006" t="str">
        <f>'MSW12'!F127</f>
        <v>REP LOG</v>
      </c>
    </row>
    <row r="128">
      <c r="A128" s="1074">
        <f>'MSW12'!A128</f>
        <v>1</v>
      </c>
      <c r="B128" s="968">
        <f>'MSW12'!B128</f>
        <v>25</v>
      </c>
      <c r="C128" s="1075" t="str">
        <f>'MSW12'!C128</f>
        <v>10 - 15</v>
      </c>
      <c r="D128" s="1076" t="str">
        <f>'MSW12'!D128</f>
        <v>1MIN</v>
      </c>
      <c r="E128" s="1235" t="str">
        <f>'MSW12'!E128</f>
        <v/>
      </c>
      <c r="F128" s="1011"/>
    </row>
    <row r="129">
      <c r="A129" s="1074">
        <f>'MSW12'!A129</f>
        <v>2</v>
      </c>
      <c r="B129" s="968">
        <f>'MSW12'!B129</f>
        <v>20</v>
      </c>
      <c r="C129" s="1075" t="str">
        <f>'MSW12'!C129</f>
        <v>10 - 15</v>
      </c>
      <c r="D129" s="1076" t="str">
        <f>'MSW12'!D129</f>
        <v>1MIN</v>
      </c>
      <c r="E129" s="1235" t="str">
        <f>'MSW12'!E129</f>
        <v/>
      </c>
      <c r="F129" s="1011"/>
    </row>
    <row r="130">
      <c r="A130" s="1078">
        <f>'MSW12'!A130</f>
        <v>3</v>
      </c>
      <c r="B130" s="972">
        <f>'MSW12'!B130</f>
        <v>15</v>
      </c>
      <c r="C130" s="1079" t="str">
        <f>'MSW12'!C130</f>
        <v>10 - 15</v>
      </c>
      <c r="D130" s="1080" t="str">
        <f>'MSW12'!D130</f>
        <v>1MIN</v>
      </c>
      <c r="E130" s="1271" t="str">
        <f>'MSW12'!E130</f>
        <v/>
      </c>
      <c r="F130" s="1011"/>
    </row>
    <row r="133">
      <c r="A133" s="1217" t="str">
        <f>'MSW12'!A133</f>
        <v>4. ALTERNATING DUMBBELL BICEP CURLS</v>
      </c>
      <c r="B133" s="53"/>
      <c r="C133" s="53"/>
      <c r="D133" s="53"/>
      <c r="E133" s="53"/>
      <c r="F133" s="54"/>
    </row>
    <row r="134">
      <c r="A134" s="961" t="str">
        <f>'MSW12'!A134</f>
        <v>CURRENT MAX</v>
      </c>
      <c r="B134" s="76">
        <f>'MSW12'!B134</f>
        <v>40</v>
      </c>
      <c r="C134" s="13"/>
      <c r="D134" s="13"/>
      <c r="E134" s="13"/>
      <c r="F134" s="57"/>
    </row>
    <row r="135">
      <c r="A135" s="962" t="str">
        <f>'MSW12'!A135</f>
        <v>SET</v>
      </c>
      <c r="B135" s="963" t="str">
        <f>'MSW12'!B135</f>
        <v>WEIGHT</v>
      </c>
      <c r="C135" s="963" t="str">
        <f>'MSW12'!C135</f>
        <v>REPS</v>
      </c>
      <c r="D135" s="963" t="str">
        <f>'MSW12'!D135</f>
        <v>REST</v>
      </c>
      <c r="E135" s="1073" t="str">
        <f>'MSW12'!E135</f>
        <v>PREVIOUS</v>
      </c>
      <c r="F135" s="1006" t="str">
        <f>'MSW12'!F135</f>
        <v>REP LOG</v>
      </c>
    </row>
    <row r="136">
      <c r="A136" s="967">
        <f>'MSW12'!A136</f>
        <v>1</v>
      </c>
      <c r="B136" s="968">
        <f>'MSW12'!B136</f>
        <v>35</v>
      </c>
      <c r="C136" s="1067" t="str">
        <f>'MSW12'!C136</f>
        <v>10 - 15</v>
      </c>
      <c r="D136" s="1076" t="str">
        <f>'MSW12'!D136</f>
        <v>1 MIN</v>
      </c>
      <c r="E136" s="1235" t="str">
        <f>'MSW12'!E136</f>
        <v/>
      </c>
      <c r="F136" s="1131"/>
    </row>
    <row r="137">
      <c r="A137" s="967">
        <f>'MSW12'!A137</f>
        <v>2</v>
      </c>
      <c r="B137" s="968">
        <f>'MSW12'!B137</f>
        <v>15</v>
      </c>
      <c r="C137" s="1067" t="str">
        <f>'MSW12'!C137</f>
        <v>10 - 15</v>
      </c>
      <c r="D137" s="1076" t="str">
        <f>'MSW12'!D137</f>
        <v>1 MIN</v>
      </c>
      <c r="E137" s="1235" t="str">
        <f>'MSW12'!E137</f>
        <v/>
      </c>
      <c r="F137" s="984"/>
    </row>
    <row r="138">
      <c r="A138" s="971">
        <f>'MSW12'!A138</f>
        <v>3</v>
      </c>
      <c r="B138" s="972">
        <f>'MSW12'!B138</f>
        <v>10</v>
      </c>
      <c r="C138" s="1220" t="str">
        <f>'MSW12'!C138</f>
        <v>10 - 15</v>
      </c>
      <c r="D138" s="1080" t="str">
        <f>'MSW12'!D138</f>
        <v>1 MIN</v>
      </c>
      <c r="E138" s="1271" t="str">
        <f>'MSW12'!E138</f>
        <v/>
      </c>
      <c r="F138" s="984"/>
    </row>
    <row r="139">
      <c r="A139" t="str">
        <f>'MSW12'!A139</f>
        <v/>
      </c>
    </row>
    <row r="141">
      <c r="A141" s="1149" t="str">
        <f>'MSW12'!A141</f>
        <v>WORKOUT COMPLETE!</v>
      </c>
      <c r="B141" s="36"/>
      <c r="C141" s="36"/>
      <c r="D141" s="36"/>
      <c r="E141" s="36"/>
      <c r="F141" s="37"/>
    </row>
    <row r="142">
      <c r="A142" s="623" t="str">
        <f>'MSW12'!A142</f>
        <v/>
      </c>
    </row>
    <row r="143">
      <c r="A143" s="1275" t="str">
        <f>'MSW12'!A143</f>
        <v>WANT TO LEARN MORE?</v>
      </c>
      <c r="B143" s="25"/>
      <c r="C143" s="25"/>
      <c r="D143" s="25"/>
      <c r="E143" s="25"/>
      <c r="F143" s="26"/>
    </row>
    <row r="144">
      <c r="A144" s="529"/>
      <c r="F144" s="28"/>
    </row>
    <row r="145">
      <c r="A145" s="1276" t="str">
        <f>'MSW12'!A145</f>
        <v/>
      </c>
      <c r="B145" s="999" t="str">
        <f>'MSW12'!B145</f>
        <v/>
      </c>
      <c r="C145" s="1150" t="str">
        <f>'MSW12'!C145</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45" s="28"/>
    </row>
    <row r="146">
      <c r="A146" s="1276" t="str">
        <f>'MSW12'!A146</f>
        <v/>
      </c>
      <c r="B146" s="999" t="str">
        <f>'MSW12'!B146</f>
        <v/>
      </c>
      <c r="F146" s="28"/>
    </row>
    <row r="147">
      <c r="A147" s="1276" t="str">
        <f>'MSW12'!A147</f>
        <v/>
      </c>
      <c r="B147" s="999" t="str">
        <f>'MSW12'!B147</f>
        <v/>
      </c>
      <c r="F147" s="28"/>
    </row>
    <row r="148">
      <c r="A148" s="1276" t="str">
        <f>'MSW12'!A148</f>
        <v/>
      </c>
      <c r="B148" s="999" t="str">
        <f>'MSW12'!B148</f>
        <v/>
      </c>
      <c r="F148" s="28"/>
    </row>
    <row r="149">
      <c r="A149" s="1358"/>
      <c r="B149" s="999" t="str">
        <f>'MSW12'!B149</f>
        <v/>
      </c>
      <c r="F149" s="28"/>
    </row>
    <row r="150">
      <c r="A150" s="1276" t="str">
        <f>'MSW12'!A150</f>
        <v/>
      </c>
      <c r="B150" s="999" t="str">
        <f>'MSW12'!B150</f>
        <v/>
      </c>
      <c r="F150" s="28"/>
    </row>
    <row r="151">
      <c r="A151" s="1277" t="str">
        <f>'MSW12'!A151</f>
        <v/>
      </c>
      <c r="B151" s="999" t="str">
        <f>'MSW12'!B151</f>
        <v/>
      </c>
      <c r="F151" s="28"/>
    </row>
    <row r="152">
      <c r="A152" s="1276" t="str">
        <f>'MSW12'!A152</f>
        <v/>
      </c>
      <c r="B152" s="999" t="str">
        <f>'MSW12'!B152</f>
        <v/>
      </c>
      <c r="F152" s="28"/>
    </row>
    <row r="153">
      <c r="A153" s="1276" t="str">
        <f>'MSW12'!A153</f>
        <v/>
      </c>
      <c r="B153" s="999" t="str">
        <f>'MSW12'!B153</f>
        <v/>
      </c>
      <c r="F153" s="28"/>
    </row>
    <row r="154">
      <c r="A154" s="1278" t="str">
        <f>'MSW12'!A154</f>
        <v/>
      </c>
      <c r="B154" s="999" t="str">
        <f>'MSW12'!B154</f>
        <v/>
      </c>
      <c r="F154" s="28"/>
    </row>
    <row r="155">
      <c r="A155" s="1276" t="str">
        <f>'MSW12'!A155</f>
        <v/>
      </c>
      <c r="B155" s="999" t="str">
        <f>'MSW12'!B155</f>
        <v/>
      </c>
      <c r="F155" s="28"/>
    </row>
    <row r="156">
      <c r="A156" s="1276" t="str">
        <f>'MSW12'!A156</f>
        <v/>
      </c>
      <c r="B156" s="999" t="str">
        <f>'MSW12'!B156</f>
        <v/>
      </c>
      <c r="F156" s="28"/>
    </row>
    <row r="157">
      <c r="A157" s="1276" t="str">
        <f>'MSW12'!A157</f>
        <v/>
      </c>
      <c r="B157" s="999" t="str">
        <f>'MSW12'!B157</f>
        <v/>
      </c>
      <c r="F157" s="28"/>
    </row>
    <row r="158">
      <c r="A158" s="1276" t="str">
        <f>'MSW12'!A158</f>
        <v/>
      </c>
      <c r="B158" s="999" t="str">
        <f>'MSW12'!B158</f>
        <v/>
      </c>
      <c r="F158" s="28"/>
    </row>
    <row r="159">
      <c r="A159" s="1279" t="str">
        <f>'MSW12'!A159</f>
        <v/>
      </c>
      <c r="B159" s="1280" t="str">
        <f>'MSW12'!B159</f>
        <v/>
      </c>
      <c r="C159" s="11"/>
      <c r="D159" s="11"/>
      <c r="E159" s="11"/>
      <c r="F159" s="46"/>
    </row>
  </sheetData>
  <mergeCells count="95">
    <mergeCell ref="A55:F55"/>
    <mergeCell ref="A60:F60"/>
    <mergeCell ref="A42:F43"/>
    <mergeCell ref="A44:F44"/>
    <mergeCell ref="B45:C45"/>
    <mergeCell ref="D45:F45"/>
    <mergeCell ref="A47:A48"/>
    <mergeCell ref="A49:F49"/>
    <mergeCell ref="A52:F52"/>
    <mergeCell ref="A79:F79"/>
    <mergeCell ref="B80:F80"/>
    <mergeCell ref="A85:M86"/>
    <mergeCell ref="A87:F87"/>
    <mergeCell ref="H87:M87"/>
    <mergeCell ref="B88:F88"/>
    <mergeCell ref="I88:M88"/>
    <mergeCell ref="G87:G89"/>
    <mergeCell ref="G90:G91"/>
    <mergeCell ref="G92:G94"/>
    <mergeCell ref="A93:F94"/>
    <mergeCell ref="H93:M94"/>
    <mergeCell ref="A95:F95"/>
    <mergeCell ref="G95:M95"/>
    <mergeCell ref="A96:M97"/>
    <mergeCell ref="A98:F98"/>
    <mergeCell ref="H98:M98"/>
    <mergeCell ref="A99:F99"/>
    <mergeCell ref="G99:G106"/>
    <mergeCell ref="H99:M99"/>
    <mergeCell ref="B100:F100"/>
    <mergeCell ref="I110:M110"/>
    <mergeCell ref="G115:M159"/>
    <mergeCell ref="I100:M100"/>
    <mergeCell ref="A107:M108"/>
    <mergeCell ref="A109:F109"/>
    <mergeCell ref="G109:G114"/>
    <mergeCell ref="H109:M109"/>
    <mergeCell ref="B110:F110"/>
    <mergeCell ref="A115:F116"/>
    <mergeCell ref="B134:F134"/>
    <mergeCell ref="A139:F140"/>
    <mergeCell ref="A141:F141"/>
    <mergeCell ref="A142:F142"/>
    <mergeCell ref="A143:F144"/>
    <mergeCell ref="C145:F159"/>
    <mergeCell ref="A117:F117"/>
    <mergeCell ref="B118:F118"/>
    <mergeCell ref="A123:F124"/>
    <mergeCell ref="A125:F125"/>
    <mergeCell ref="B126:F126"/>
    <mergeCell ref="A131:F132"/>
    <mergeCell ref="A133:F133"/>
    <mergeCell ref="A12:F12"/>
    <mergeCell ref="A13:F13"/>
    <mergeCell ref="H16:M16"/>
    <mergeCell ref="A17:M18"/>
    <mergeCell ref="A19:F19"/>
    <mergeCell ref="H19:M19"/>
    <mergeCell ref="H20:M20"/>
    <mergeCell ref="I21:M21"/>
    <mergeCell ref="H27:M27"/>
    <mergeCell ref="H29:M29"/>
    <mergeCell ref="A1:M8"/>
    <mergeCell ref="A9:F9"/>
    <mergeCell ref="G9:G11"/>
    <mergeCell ref="H9:M9"/>
    <mergeCell ref="A10:F11"/>
    <mergeCell ref="H10:M10"/>
    <mergeCell ref="G12:M15"/>
    <mergeCell ref="A14:F15"/>
    <mergeCell ref="A16:F16"/>
    <mergeCell ref="G19:G26"/>
    <mergeCell ref="A20:F20"/>
    <mergeCell ref="B21:F21"/>
    <mergeCell ref="A27:F27"/>
    <mergeCell ref="A29:F29"/>
    <mergeCell ref="B34:F34"/>
    <mergeCell ref="H37:M37"/>
    <mergeCell ref="I38:M38"/>
    <mergeCell ref="G40:G41"/>
    <mergeCell ref="G42:M84"/>
    <mergeCell ref="G27:G28"/>
    <mergeCell ref="G29:G34"/>
    <mergeCell ref="I34:M34"/>
    <mergeCell ref="A35:M36"/>
    <mergeCell ref="A37:F37"/>
    <mergeCell ref="B38:F38"/>
    <mergeCell ref="G38:G39"/>
    <mergeCell ref="A50:A51"/>
    <mergeCell ref="A53:A54"/>
    <mergeCell ref="A56:A57"/>
    <mergeCell ref="A62:F62"/>
    <mergeCell ref="A65:F65"/>
    <mergeCell ref="B66:F66"/>
    <mergeCell ref="B76:F76"/>
  </mergeCells>
  <dataValidations>
    <dataValidation type="decimal" allowBlank="1" showDropDown="1" showInputMessage="1" showErrorMessage="1" prompt="Enter a number between 0 and 30" sqref="F22:F26 M22:M26 F28 M28 F30:F33 M30:M33 F39:F41 M39:M41 F46:F48 F50:F51 F53:F54 F56:F59 F61 F63:F64 F67:F75 F77:F78 F81:F84 F89:F92 M89:M92 F101:F106 M101:M106 F111:F114 M111:M114 F119:F122 F127:F130 F135:F138">
      <formula1>0.0</formula1>
      <formula2>30.0</formula2>
    </dataValidation>
    <dataValidation type="decimal" operator="greaterThan" allowBlank="1" showDropDown="1" showErrorMessage="1" sqref="M11">
      <formula1>0.0</formula1>
    </dataValidation>
  </dataValidation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'MSW13'!A1</f>
        <v/>
      </c>
    </row>
    <row r="8">
      <c r="A8" s="11"/>
      <c r="B8" s="11"/>
      <c r="C8" s="11"/>
      <c r="D8" s="11"/>
      <c r="E8" s="11"/>
      <c r="F8" s="11"/>
      <c r="G8" s="11"/>
      <c r="H8" s="11"/>
      <c r="I8" s="11"/>
      <c r="J8" s="11"/>
      <c r="K8" s="11"/>
      <c r="L8" s="11"/>
      <c r="M8" s="11"/>
    </row>
    <row r="9">
      <c r="A9" s="1293" t="str">
        <f>'MSW13'!A9</f>
        <v>Week 13</v>
      </c>
      <c r="B9" s="36"/>
      <c r="C9" s="36"/>
      <c r="D9" s="36"/>
      <c r="E9" s="36"/>
      <c r="F9" s="37"/>
      <c r="G9" s="419" t="str">
        <f>'MSW13'!G9</f>
        <v/>
      </c>
      <c r="H9" s="24" t="s">
        <v>35</v>
      </c>
      <c r="I9" s="25"/>
      <c r="J9" s="25"/>
      <c r="K9" s="25"/>
      <c r="L9" s="25"/>
      <c r="M9" s="26"/>
    </row>
    <row r="10">
      <c r="A10" s="719" t="str">
        <f>'MSW13'!A10</f>
        <v>PRESS TO RECORD BODY WEIGHT</v>
      </c>
      <c r="B10" s="25"/>
      <c r="C10" s="25"/>
      <c r="D10" s="25"/>
      <c r="E10" s="25"/>
      <c r="F10" s="26"/>
      <c r="H10" s="27" t="s">
        <v>238</v>
      </c>
      <c r="M10" s="28"/>
    </row>
    <row r="11">
      <c r="A11" s="336"/>
      <c r="B11" s="11"/>
      <c r="C11" s="11"/>
      <c r="D11" s="11"/>
      <c r="E11" s="11"/>
      <c r="F11" s="46"/>
      <c r="H11" s="29" t="s">
        <v>239</v>
      </c>
      <c r="I11" s="30"/>
      <c r="J11" s="30"/>
      <c r="K11" s="30"/>
      <c r="L11" s="30"/>
      <c r="M11" s="31"/>
    </row>
    <row r="12">
      <c r="A12" s="720" t="str">
        <f>'MSW13'!A12</f>
        <v>This Weeks Goals</v>
      </c>
      <c r="B12" s="36"/>
      <c r="C12" s="36"/>
      <c r="D12" s="36"/>
      <c r="E12" s="36"/>
      <c r="F12" s="37"/>
      <c r="G12" s="419"/>
    </row>
    <row r="13">
      <c r="A13" s="721" t="str">
        <f>'MSW13'!A13</f>
        <v>This is what we call percentage week. For the most part we are going to work your body just under it's maximum potential and go for more repititions. There are however a few areas that are excluded from this principle but the general theme of the week is working under your max. </v>
      </c>
      <c r="B13" s="36"/>
      <c r="C13" s="36"/>
      <c r="D13" s="36"/>
      <c r="E13" s="36"/>
      <c r="F13" s="37"/>
    </row>
    <row r="14">
      <c r="A14" s="653" t="str">
        <f>'MSW13'!A14</f>
        <v/>
      </c>
    </row>
    <row r="15">
      <c r="A15" s="50" t="str">
        <f>'MSW13'!A15</f>
        <v>DAY 1 </v>
      </c>
      <c r="B15" s="36"/>
      <c r="C15" s="36"/>
      <c r="D15" s="36"/>
      <c r="E15" s="36"/>
      <c r="F15" s="37"/>
      <c r="G15" s="722" t="str">
        <f>'MSW13'!G15</f>
        <v/>
      </c>
      <c r="H15" s="429" t="str">
        <f>'MSW13'!H15</f>
        <v>ALTERNATE WORKOUTS</v>
      </c>
      <c r="I15" s="36"/>
      <c r="J15" s="36"/>
      <c r="K15" s="36"/>
      <c r="L15" s="36"/>
      <c r="M15" s="37"/>
    </row>
    <row r="16">
      <c r="A16" s="657" t="str">
        <f>'MSW13'!A16</f>
        <v/>
      </c>
    </row>
    <row r="18">
      <c r="A18" s="51" t="str">
        <f>'MSW13'!A18</f>
        <v>CHEST &amp; BACK </v>
      </c>
      <c r="B18" s="36"/>
      <c r="C18" s="36"/>
      <c r="D18" s="36"/>
      <c r="E18" s="36"/>
      <c r="F18" s="37"/>
      <c r="G18" s="722" t="str">
        <f>'MSW13'!G18</f>
        <v/>
      </c>
      <c r="H18" s="51" t="str">
        <f>'MSW13'!H18</f>
        <v>CHEST &amp; BACK </v>
      </c>
      <c r="I18" s="36"/>
      <c r="J18" s="36"/>
      <c r="K18" s="36"/>
      <c r="L18" s="36"/>
      <c r="M18" s="37"/>
    </row>
    <row r="19">
      <c r="A19" s="93" t="str">
        <f>'MSW13'!A19</f>
        <v>1. BENCH PRESS</v>
      </c>
      <c r="B19" s="53"/>
      <c r="C19" s="53"/>
      <c r="D19" s="53"/>
      <c r="E19" s="53"/>
      <c r="F19" s="54"/>
      <c r="H19" s="93" t="str">
        <f>'MSW13'!H19</f>
        <v>1. MACHINE PRESS</v>
      </c>
      <c r="I19" s="53"/>
      <c r="J19" s="53"/>
      <c r="K19" s="53"/>
      <c r="L19" s="53"/>
      <c r="M19" s="54"/>
    </row>
    <row r="20">
      <c r="A20" s="226" t="str">
        <f>'MSW13'!A20</f>
        <v>CURRENT MAX</v>
      </c>
      <c r="B20" s="691" t="str">
        <f>'MSW13'!B20</f>
        <v/>
      </c>
      <c r="C20" s="13"/>
      <c r="D20" s="13"/>
      <c r="E20" s="13"/>
      <c r="F20" s="57"/>
      <c r="H20" s="226" t="str">
        <f>'MSW13'!H20</f>
        <v>CURRENT MAX</v>
      </c>
      <c r="I20" s="691" t="str">
        <f>'MSW13'!I20</f>
        <v/>
      </c>
      <c r="J20" s="13"/>
      <c r="K20" s="13"/>
      <c r="L20" s="13"/>
      <c r="M20" s="57"/>
    </row>
    <row r="21">
      <c r="A21" s="96" t="str">
        <f>'MSW13'!A21</f>
        <v>SET</v>
      </c>
      <c r="B21" s="97" t="str">
        <f>'MSW13'!B21</f>
        <v>WEIGHT</v>
      </c>
      <c r="C21" s="97" t="str">
        <f>'MSW13'!C21</f>
        <v>REPS</v>
      </c>
      <c r="D21" s="97" t="str">
        <f>'MSW13'!D21</f>
        <v>REST</v>
      </c>
      <c r="E21" s="341" t="str">
        <f>'MSW13'!E21</f>
        <v>PREVIOUS</v>
      </c>
      <c r="F21" s="235" t="str">
        <f>'MSW13'!F21</f>
        <v>REP LOG</v>
      </c>
      <c r="H21" s="96" t="str">
        <f>'MSW13'!H21</f>
        <v>SET</v>
      </c>
      <c r="I21" s="97" t="str">
        <f>'MSW13'!I21</f>
        <v>WEIGHT</v>
      </c>
      <c r="J21" s="97" t="str">
        <f>'MSW13'!J21</f>
        <v>REPS</v>
      </c>
      <c r="K21" s="97" t="str">
        <f>'MSW13'!K21</f>
        <v>REST</v>
      </c>
      <c r="L21" s="341" t="str">
        <f>'MSW13'!L21</f>
        <v>PREVIOUS</v>
      </c>
      <c r="M21" s="235" t="str">
        <f>'MSW13'!M21</f>
        <v>REP LOG</v>
      </c>
    </row>
    <row r="22">
      <c r="A22" s="725">
        <f>'MSW13'!A22</f>
        <v>1</v>
      </c>
      <c r="B22" s="344">
        <f>'MSW13'!B22</f>
        <v>0</v>
      </c>
      <c r="C22" s="344">
        <f>'MSW13'!C22</f>
        <v>6</v>
      </c>
      <c r="D22" s="343" t="str">
        <f>'MSW13'!D22</f>
        <v>30 sec</v>
      </c>
      <c r="E22" s="66" t="str">
        <f>'MSW13'!E22</f>
        <v/>
      </c>
      <c r="F22" s="85"/>
      <c r="H22" s="725">
        <f>'MSW13'!H22</f>
        <v>1</v>
      </c>
      <c r="I22" s="344">
        <f>'MSW13'!I22</f>
        <v>0</v>
      </c>
      <c r="J22" s="344">
        <f>'MSW13'!J22</f>
        <v>6</v>
      </c>
      <c r="K22" s="343" t="str">
        <f>'MSW13'!K22</f>
        <v>30 sec</v>
      </c>
      <c r="L22" s="66" t="str">
        <f>'MSW13'!L22</f>
        <v/>
      </c>
      <c r="M22" s="85" t="str">
        <f>'MSW13'!M22</f>
        <v/>
      </c>
    </row>
    <row r="23">
      <c r="A23" s="725">
        <f>'MSW13'!A23</f>
        <v>2</v>
      </c>
      <c r="B23" s="344">
        <f>'MSW13'!B23</f>
        <v>0</v>
      </c>
      <c r="C23" s="344">
        <f>'MSW13'!C23</f>
        <v>1</v>
      </c>
      <c r="D23" s="343" t="str">
        <f>'MSW13'!D23</f>
        <v>45 sec</v>
      </c>
      <c r="E23" s="66"/>
      <c r="F23" s="85" t="str">
        <f>'MSW13'!F23</f>
        <v/>
      </c>
      <c r="H23" s="725">
        <f>'MSW13'!H23</f>
        <v>2</v>
      </c>
      <c r="I23" s="344">
        <f>'MSW13'!I23</f>
        <v>0</v>
      </c>
      <c r="J23" s="344">
        <f>'MSW13'!J23</f>
        <v>1</v>
      </c>
      <c r="K23" s="343" t="str">
        <f>'MSW13'!K23</f>
        <v>45 sec</v>
      </c>
      <c r="L23" s="66" t="str">
        <f>'MSW13'!L23</f>
        <v/>
      </c>
      <c r="M23" s="85" t="str">
        <f>'MSW13'!M23</f>
        <v/>
      </c>
    </row>
    <row r="24">
      <c r="A24" s="725">
        <f>'MSW13'!A24</f>
        <v>3</v>
      </c>
      <c r="B24" s="344">
        <f>'MSW13'!B24</f>
        <v>0</v>
      </c>
      <c r="C24" s="344">
        <f>'MSW13'!C24</f>
        <v>1</v>
      </c>
      <c r="D24" s="343" t="str">
        <f>'MSW13'!D24</f>
        <v>1 MIN</v>
      </c>
      <c r="E24" s="66" t="str">
        <f>'MSW13'!E24</f>
        <v/>
      </c>
      <c r="F24" s="85"/>
      <c r="H24" s="725">
        <f>'MSW13'!H24</f>
        <v>3</v>
      </c>
      <c r="I24" s="344">
        <f>'MSW13'!I24</f>
        <v>0</v>
      </c>
      <c r="J24" s="344">
        <f>'MSW13'!J24</f>
        <v>1</v>
      </c>
      <c r="K24" s="343" t="str">
        <f>'MSW13'!K24</f>
        <v>1 MIN</v>
      </c>
      <c r="L24" s="66" t="str">
        <f>'MSW13'!L24</f>
        <v/>
      </c>
      <c r="M24" s="85" t="str">
        <f>'MSW13'!M24</f>
        <v/>
      </c>
    </row>
    <row r="25">
      <c r="A25" s="730" t="str">
        <f>'MSW13'!A25</f>
        <v>Working Set</v>
      </c>
      <c r="B25" s="13"/>
      <c r="C25" s="13"/>
      <c r="D25" s="13"/>
      <c r="E25" s="13"/>
      <c r="F25" s="57"/>
      <c r="G25" s="731" t="str">
        <f>'MSW13'!G25</f>
        <v>ALTERNATE</v>
      </c>
      <c r="H25" s="730" t="str">
        <f>'MSW13'!H25</f>
        <v>Working Set</v>
      </c>
      <c r="I25" s="13"/>
      <c r="J25" s="13"/>
      <c r="K25" s="13"/>
      <c r="L25" s="13"/>
      <c r="M25" s="57"/>
    </row>
    <row r="26">
      <c r="A26" s="96" t="str">
        <f>'MSW13'!A26</f>
        <v>SET</v>
      </c>
      <c r="B26" s="97" t="str">
        <f>'MSW13'!B26</f>
        <v>WEIGHT</v>
      </c>
      <c r="C26" s="97" t="str">
        <f>'MSW13'!C26</f>
        <v>REPS</v>
      </c>
      <c r="D26" s="97" t="str">
        <f>'MSW13'!D26</f>
        <v>REST</v>
      </c>
      <c r="E26" s="341" t="str">
        <f>'MSW13'!E26</f>
        <v>PREVIOUS</v>
      </c>
      <c r="F26" s="235" t="str">
        <f>'MSW13'!F26</f>
        <v>REP LOG</v>
      </c>
      <c r="H26" s="96" t="str">
        <f>'MSW13'!H26</f>
        <v>SET</v>
      </c>
      <c r="I26" s="97" t="str">
        <f>'MSW13'!I26</f>
        <v>WEIGHT</v>
      </c>
      <c r="J26" s="97" t="str">
        <f>'MSW13'!J26</f>
        <v>REPS</v>
      </c>
      <c r="K26" s="97" t="str">
        <f>'MSW13'!K26</f>
        <v>REST</v>
      </c>
      <c r="L26" s="341" t="str">
        <f>'MSW13'!L26</f>
        <v>PREVIOUS</v>
      </c>
      <c r="M26" s="235" t="str">
        <f>'MSW13'!M26</f>
        <v>REP LOG</v>
      </c>
    </row>
    <row r="27">
      <c r="A27" s="342">
        <f>'MSW13'!A27</f>
        <v>1</v>
      </c>
      <c r="B27" s="348">
        <f>'MSW13'!B27</f>
        <v>0</v>
      </c>
      <c r="C27" s="437" t="str">
        <f>'MSW13'!C27</f>
        <v>REP OUT</v>
      </c>
      <c r="D27" s="343" t="str">
        <f>'MSW13'!D27</f>
        <v>1-5 MIN</v>
      </c>
      <c r="E27" s="66" t="str">
        <f>'MSW13'!E27</f>
        <v/>
      </c>
      <c r="F27" s="85"/>
      <c r="G27" s="423" t="str">
        <f>'MSW13'!G27</f>
        <v/>
      </c>
      <c r="H27" s="725">
        <f>'MSW13'!H27</f>
        <v>1</v>
      </c>
      <c r="I27" s="348">
        <f>'MSW13'!I27</f>
        <v>0</v>
      </c>
      <c r="J27" s="437" t="str">
        <f>'MSW13'!J27</f>
        <v>REP OUT</v>
      </c>
      <c r="K27" s="343" t="str">
        <f>'MSW13'!K27</f>
        <v>1-5 MIN</v>
      </c>
      <c r="L27" s="66" t="str">
        <f>'MSW13'!L27</f>
        <v/>
      </c>
      <c r="M27" s="85" t="str">
        <f>'MSW13'!M27</f>
        <v/>
      </c>
    </row>
    <row r="28">
      <c r="A28" s="725">
        <f>'MSW13'!A28</f>
        <v>2</v>
      </c>
      <c r="B28" s="348">
        <f>'MSW13'!B28</f>
        <v>0</v>
      </c>
      <c r="C28" s="437" t="str">
        <f>'MSW13'!C28</f>
        <v>REP OUT</v>
      </c>
      <c r="D28" s="343" t="str">
        <f>'MSW13'!D28</f>
        <v>1-5 MIN</v>
      </c>
      <c r="E28" s="66" t="str">
        <f>'MSW13'!E28</f>
        <v/>
      </c>
      <c r="F28" s="85"/>
      <c r="H28" s="725">
        <f>'MSW13'!H28</f>
        <v>2</v>
      </c>
      <c r="I28" s="348">
        <f>'MSW13'!I28</f>
        <v>0</v>
      </c>
      <c r="J28" s="437" t="str">
        <f>'MSW13'!J28</f>
        <v>REP OUT</v>
      </c>
      <c r="K28" s="343" t="str">
        <f>'MSW13'!K28</f>
        <v>1-5 MIN</v>
      </c>
      <c r="L28" s="66" t="str">
        <f>'MSW13'!L28</f>
        <v/>
      </c>
      <c r="M28" s="85" t="str">
        <f>'MSW13'!M28</f>
        <v/>
      </c>
    </row>
    <row r="29">
      <c r="A29" s="485">
        <f>'MSW13'!A29</f>
        <v>3</v>
      </c>
      <c r="B29" s="732">
        <f>'MSW13'!B29</f>
        <v>0</v>
      </c>
      <c r="C29" s="733" t="str">
        <f>'MSW13'!C29</f>
        <v>REP OUT</v>
      </c>
      <c r="D29" s="486" t="str">
        <f>'MSW13'!D29</f>
        <v>1-5 MIN</v>
      </c>
      <c r="E29" s="72" t="str">
        <f>'MSW13'!E29</f>
        <v/>
      </c>
      <c r="F29" s="85"/>
      <c r="H29" s="735">
        <f>'MSW13'!H29</f>
        <v>3</v>
      </c>
      <c r="I29" s="736">
        <f>'MSW13'!I29</f>
        <v>0</v>
      </c>
      <c r="J29" s="737" t="str">
        <f>'MSW13'!J29</f>
        <v>REP OUT</v>
      </c>
      <c r="K29" s="738" t="str">
        <f>'MSW13'!K29</f>
        <v>1-5 MIN</v>
      </c>
      <c r="L29" s="66" t="str">
        <f>'MSW13'!L29</f>
        <v/>
      </c>
      <c r="M29" s="330" t="str">
        <f>'MSW13'!M29</f>
        <v/>
      </c>
    </row>
    <row r="30">
      <c r="A30" s="740" t="str">
        <f>'MSW13'!A30</f>
        <v/>
      </c>
    </row>
    <row r="32">
      <c r="A32" s="440" t="str">
        <f>'MSW13'!A32</f>
        <v>2. DB CHEST FLY</v>
      </c>
      <c r="B32" s="53"/>
      <c r="C32" s="53"/>
      <c r="D32" s="53"/>
      <c r="E32" s="53"/>
      <c r="F32" s="54"/>
      <c r="G32" s="419" t="str">
        <f>'MSW13'!G32</f>
        <v/>
      </c>
      <c r="H32" s="504" t="str">
        <f>'MSW13'!H32</f>
        <v>2. MACHINE CHEST FLY</v>
      </c>
      <c r="I32" s="53"/>
      <c r="J32" s="53"/>
      <c r="K32" s="53"/>
      <c r="L32" s="53"/>
      <c r="M32" s="54"/>
    </row>
    <row r="33">
      <c r="A33" s="226" t="str">
        <f>'MSW13'!A33</f>
        <v>DB INCL PRSS MAX</v>
      </c>
      <c r="B33" s="691" t="str">
        <f>'WEEK 12'!B34</f>
        <v/>
      </c>
      <c r="C33" s="13"/>
      <c r="D33" s="13"/>
      <c r="E33" s="13"/>
      <c r="F33" s="57"/>
      <c r="H33" s="226" t="str">
        <f>'MSW13'!H33</f>
        <v>DB INCL PRSS MAX</v>
      </c>
      <c r="I33" s="548" t="str">
        <f>'MSW13'!I33</f>
        <v/>
      </c>
      <c r="J33" s="13"/>
      <c r="K33" s="13"/>
      <c r="L33" s="13"/>
      <c r="M33" s="57"/>
    </row>
    <row r="34">
      <c r="A34" s="743" t="str">
        <f>'MSW13'!A34</f>
        <v>SET</v>
      </c>
      <c r="B34" s="744" t="str">
        <f>'MSW13'!B34</f>
        <v>WEIGHT</v>
      </c>
      <c r="C34" s="744" t="str">
        <f>'MSW13'!C34</f>
        <v>REPS</v>
      </c>
      <c r="D34" s="744" t="str">
        <f>'MSW13'!D34</f>
        <v>REST</v>
      </c>
      <c r="E34" s="745" t="str">
        <f>'MSW13'!E34</f>
        <v>PREVIOUS</v>
      </c>
      <c r="F34" s="746" t="str">
        <f>'MSW13'!F34</f>
        <v>REP LOG</v>
      </c>
      <c r="H34" s="96" t="str">
        <f>'MSW13'!H34</f>
        <v>SET</v>
      </c>
      <c r="I34" s="97" t="str">
        <f>'MSW13'!I34</f>
        <v>WEIGHT</v>
      </c>
      <c r="J34" s="97" t="str">
        <f>'MSW13'!J34</f>
        <v>REPS</v>
      </c>
      <c r="K34" s="97" t="str">
        <f>'MSW13'!K34</f>
        <v>REST</v>
      </c>
      <c r="L34" s="341" t="str">
        <f>'MSW13'!L34</f>
        <v>PREVIOUS</v>
      </c>
      <c r="M34" s="235" t="str">
        <f>'MSW13'!M34</f>
        <v>REP LOG</v>
      </c>
    </row>
    <row r="35">
      <c r="A35" s="725">
        <f>'MSW13'!A35</f>
        <v>1</v>
      </c>
      <c r="B35" s="254">
        <f>'MSW13'!B35</f>
        <v>0</v>
      </c>
      <c r="C35" s="344">
        <f>'MSW13'!C35</f>
        <v>15</v>
      </c>
      <c r="D35" s="343" t="str">
        <f>'MSW13'!D35</f>
        <v>1 MIN</v>
      </c>
      <c r="E35" s="66" t="str">
        <f>'MSW13'!E35</f>
        <v/>
      </c>
      <c r="F35" s="85" t="str">
        <f>'MSW13'!F35</f>
        <v/>
      </c>
      <c r="H35" s="240">
        <f>'MSW13'!H35</f>
        <v>1</v>
      </c>
      <c r="I35" s="254">
        <f>'MSW13'!I35</f>
        <v>0</v>
      </c>
      <c r="J35" s="241">
        <f>'MSW13'!J35</f>
        <v>15</v>
      </c>
      <c r="K35" s="83" t="str">
        <f>'MSW13'!K35</f>
        <v>1 MIN</v>
      </c>
      <c r="L35" s="66" t="str">
        <f>'MSW13'!L35</f>
        <v/>
      </c>
      <c r="M35" s="85" t="str">
        <f>'MSW13'!M35</f>
        <v/>
      </c>
    </row>
    <row r="36">
      <c r="A36" s="747">
        <f>'MSW13'!A36</f>
        <v>2</v>
      </c>
      <c r="B36" s="662">
        <f>'MSW13'!B36</f>
        <v>0</v>
      </c>
      <c r="C36" s="813">
        <f>'MSW13'!C36</f>
        <v>15</v>
      </c>
      <c r="D36" s="486" t="str">
        <f>'MSW13'!D36</f>
        <v>1 MIN</v>
      </c>
      <c r="E36" s="72" t="str">
        <f>'MSW13'!E36</f>
        <v/>
      </c>
      <c r="F36" s="85" t="str">
        <f>'MSW13'!F36</f>
        <v/>
      </c>
      <c r="H36" s="661">
        <f>'MSW13'!H36</f>
        <v>2</v>
      </c>
      <c r="I36" s="662">
        <f>'MSW13'!I36</f>
        <v>0</v>
      </c>
      <c r="J36" s="662">
        <f>'MSW13'!J36</f>
        <v>15</v>
      </c>
      <c r="K36" s="88" t="str">
        <f>'MSW13'!K36</f>
        <v>1 MIN</v>
      </c>
      <c r="L36" s="72" t="str">
        <f>'MSW13'!L36</f>
        <v/>
      </c>
      <c r="M36" s="85" t="str">
        <f>'MSW13'!M36</f>
        <v/>
      </c>
    </row>
    <row r="37">
      <c r="A37" t="str">
        <f>'MSW13'!A37</f>
        <v/>
      </c>
      <c r="G37" t="str">
        <f>'MSW13'!G37</f>
        <v/>
      </c>
    </row>
    <row r="39">
      <c r="A39" s="73" t="str">
        <f>'MSW13'!A39</f>
        <v>3. LAT PULL DOWN</v>
      </c>
      <c r="B39" s="53"/>
      <c r="C39" s="53"/>
      <c r="D39" s="53"/>
      <c r="E39" s="53"/>
      <c r="F39" s="54"/>
    </row>
    <row r="40">
      <c r="A40" s="226" t="str">
        <f>'MSW13'!A40</f>
        <v>CURRENT MAX</v>
      </c>
      <c r="B40" s="227" t="str">
        <f>'MSW13'!B40</f>
        <v/>
      </c>
      <c r="C40" s="20"/>
      <c r="D40" s="20"/>
      <c r="E40" s="20"/>
      <c r="F40" s="95"/>
    </row>
    <row r="41">
      <c r="A41" s="231" t="str">
        <f>'MSW13'!A41</f>
        <v>SET</v>
      </c>
      <c r="B41" s="232" t="str">
        <f>'MSW13'!B41</f>
        <v>WEIGHT</v>
      </c>
      <c r="C41" s="232" t="str">
        <f>'MSW13'!C41</f>
        <v>REPS</v>
      </c>
      <c r="D41" s="232" t="str">
        <f>'MSW13'!D41</f>
        <v>REST</v>
      </c>
      <c r="E41" s="233" t="str">
        <f>'MSW13'!E41</f>
        <v>PREVIOUS</v>
      </c>
      <c r="F41" s="286" t="str">
        <f>'MSW13'!F41</f>
        <v>REP LOG</v>
      </c>
    </row>
    <row r="42">
      <c r="A42" s="236">
        <f>'MSW13'!A42</f>
        <v>1</v>
      </c>
      <c r="B42" s="237">
        <f>'MSW13'!B42</f>
        <v>0</v>
      </c>
      <c r="C42" s="238">
        <f>'MSW13'!C42</f>
        <v>6</v>
      </c>
      <c r="D42" s="238" t="str">
        <f>'MSW13'!D42</f>
        <v>30s</v>
      </c>
      <c r="E42" s="66" t="str">
        <f>'MSW13'!E42</f>
        <v/>
      </c>
      <c r="F42" s="67" t="str">
        <f>'MSW13'!F42</f>
        <v/>
      </c>
    </row>
    <row r="43">
      <c r="A43" s="236">
        <f>'MSW13'!A43</f>
        <v>2</v>
      </c>
      <c r="B43" s="237">
        <f>'MSW13'!B43</f>
        <v>0</v>
      </c>
      <c r="C43" s="238">
        <f>'MSW13'!C43</f>
        <v>3</v>
      </c>
      <c r="D43" s="238" t="str">
        <f>'MSW13'!D43</f>
        <v>1-2 MIN</v>
      </c>
      <c r="E43" s="66" t="str">
        <f>'MSW13'!E43</f>
        <v/>
      </c>
      <c r="F43" s="67" t="str">
        <f>'MSW13'!F43</f>
        <v/>
      </c>
    </row>
    <row r="44">
      <c r="A44" s="242">
        <f>'MSW13'!A44</f>
        <v>3</v>
      </c>
      <c r="B44" s="237">
        <f>'MSW13'!B44</f>
        <v>0</v>
      </c>
      <c r="C44" s="63">
        <f>'MSW13'!C44</f>
        <v>2</v>
      </c>
      <c r="D44" s="238" t="str">
        <f>'MSW13'!D44</f>
        <v>1-2 MIN</v>
      </c>
      <c r="E44" s="66" t="str">
        <f>'MSW13'!E44</f>
        <v/>
      </c>
      <c r="F44" s="67" t="str">
        <f>'MSW13'!F44</f>
        <v/>
      </c>
    </row>
    <row r="45">
      <c r="A45" s="243">
        <f>'MSW13'!A45</f>
        <v>4</v>
      </c>
      <c r="B45" s="237" t="str">
        <f>'MSW13'!B45</f>
        <v/>
      </c>
      <c r="C45" s="257">
        <f>'MSW13'!C45</f>
        <v>3</v>
      </c>
      <c r="D45" s="238" t="str">
        <f>'MSW13'!D45</f>
        <v>1-5 MIN</v>
      </c>
      <c r="E45" s="66" t="str">
        <f>'MSW13'!E45</f>
        <v/>
      </c>
      <c r="F45" s="665" t="str">
        <f>'MSW13'!F45</f>
        <v/>
      </c>
    </row>
    <row r="46">
      <c r="A46" s="246" t="str">
        <f>'MSW13'!A46</f>
        <v>PROCEED TO DOWN SETS</v>
      </c>
      <c r="B46" s="20"/>
      <c r="C46" s="20"/>
      <c r="D46" s="20"/>
      <c r="E46" s="20"/>
      <c r="F46" s="20"/>
    </row>
    <row r="47">
      <c r="A47" s="249" t="str">
        <f>'MSW13'!A47</f>
        <v/>
      </c>
      <c r="B47" s="175" t="str">
        <f>'MSW13'!B47</f>
        <v/>
      </c>
      <c r="C47" s="238" t="str">
        <f>'MSW13'!C47</f>
        <v/>
      </c>
      <c r="D47" s="238" t="str">
        <f>'MSW13'!D47</f>
        <v/>
      </c>
      <c r="E47" s="250" t="str">
        <f>'MSW13'!E47</f>
        <v/>
      </c>
      <c r="F47" s="271" t="str">
        <f>'MSW13'!F47</f>
        <v/>
      </c>
    </row>
    <row r="48">
      <c r="A48" s="256" t="str">
        <f>'MSW13'!A48</f>
        <v/>
      </c>
      <c r="B48" s="237" t="str">
        <f>'MSW13'!B48</f>
        <v/>
      </c>
      <c r="C48" s="257" t="str">
        <f>'MSW13'!C48</f>
        <v/>
      </c>
      <c r="D48" s="257" t="str">
        <f>'MSW13'!D48</f>
        <v/>
      </c>
      <c r="E48" s="258" t="str">
        <f>'MSW13'!E48</f>
        <v/>
      </c>
      <c r="F48" s="665" t="str">
        <f>'MSW13'!F48</f>
        <v/>
      </c>
    </row>
    <row r="49">
      <c r="A49" s="246" t="str">
        <f>'MSW13'!A49</f>
        <v>FILL OUT REP LOG FOR DOWN SETS</v>
      </c>
      <c r="B49" s="20"/>
      <c r="C49" s="20"/>
      <c r="D49" s="20"/>
      <c r="E49" s="20"/>
      <c r="F49" s="20"/>
    </row>
    <row r="50">
      <c r="A50" s="264" t="str">
        <f>'MSW13'!A50</f>
        <v/>
      </c>
      <c r="B50" s="265">
        <f>'MSW13'!B50</f>
        <v>0</v>
      </c>
      <c r="C50" s="266" t="str">
        <f>'MSW13'!C50</f>
        <v>REP OUT</v>
      </c>
      <c r="D50" s="267" t="str">
        <f>'MSW13'!D50</f>
        <v>1-3 MIN</v>
      </c>
      <c r="E50" s="268" t="str">
        <f>'MSW13'!E50</f>
        <v/>
      </c>
      <c r="F50" s="271" t="str">
        <f>'MSW13'!F50</f>
        <v/>
      </c>
    </row>
    <row r="51">
      <c r="A51" s="243" t="str">
        <f>'MSW13'!A51</f>
        <v/>
      </c>
      <c r="B51" s="237">
        <f>'MSW13'!B51</f>
        <v>0</v>
      </c>
      <c r="C51" s="245" t="str">
        <f>'MSW13'!C51</f>
        <v>REP OUT</v>
      </c>
      <c r="D51" s="65" t="str">
        <f>'MSW13'!D51</f>
        <v>1-3 MIN</v>
      </c>
      <c r="E51" s="258" t="str">
        <f>'MSW13'!E51</f>
        <v/>
      </c>
      <c r="F51" s="271" t="str">
        <f>'MSW13'!F51</f>
        <v/>
      </c>
    </row>
    <row r="52">
      <c r="A52" s="272" t="str">
        <f>'MSW13'!A52</f>
        <v>FINAL MAX</v>
      </c>
      <c r="B52" s="273" t="str">
        <f>'MSW13'!B52</f>
        <v/>
      </c>
      <c r="C52" s="11"/>
      <c r="D52" s="11"/>
      <c r="E52" s="11"/>
      <c r="F52" s="46"/>
    </row>
    <row r="53">
      <c r="A53" s="302" t="str">
        <f>'MSW13'!A53</f>
        <v/>
      </c>
    </row>
    <row r="55">
      <c r="A55" s="73" t="str">
        <f>'MSW13'!A55</f>
        <v>4. MACHINE LOW ROW</v>
      </c>
      <c r="B55" s="53"/>
      <c r="C55" s="53"/>
      <c r="D55" s="53"/>
      <c r="E55" s="53"/>
      <c r="F55" s="53"/>
    </row>
    <row r="56">
      <c r="A56" s="282" t="str">
        <f>'MSW13'!A56</f>
        <v>CURRENT MAX</v>
      </c>
      <c r="B56" s="56">
        <f>'MSW13'!B56</f>
        <v>265</v>
      </c>
      <c r="C56" s="13"/>
      <c r="D56" s="13"/>
      <c r="E56" s="13"/>
      <c r="F56" s="13"/>
    </row>
    <row r="57">
      <c r="A57" s="58" t="str">
        <f>'MSW13'!A57</f>
        <v>SET</v>
      </c>
      <c r="B57" s="59" t="str">
        <f>'MSW13'!B57</f>
        <v>WEIGHT</v>
      </c>
      <c r="C57" s="59" t="str">
        <f>'MSW13'!C57</f>
        <v>REPS</v>
      </c>
      <c r="D57" s="59" t="str">
        <f>'MSW13'!D57</f>
        <v>REST</v>
      </c>
      <c r="E57" s="584" t="str">
        <f>'MSW13'!E57</f>
        <v>PREVIOUS</v>
      </c>
      <c r="F57" s="286" t="str">
        <f>'MSW13'!F57</f>
        <v>REP LOG</v>
      </c>
    </row>
    <row r="58">
      <c r="A58" s="62">
        <f>'MSW13'!A58</f>
        <v>1</v>
      </c>
      <c r="B58" s="63">
        <f>'MSW13'!B58</f>
        <v>240</v>
      </c>
      <c r="C58" s="104" t="str">
        <f>'MSW13'!C58</f>
        <v>REP OUT</v>
      </c>
      <c r="D58" s="65" t="str">
        <f>'MSW13'!D58</f>
        <v>1 MIN</v>
      </c>
      <c r="E58" s="66" t="str">
        <f>'MSW13'!E58</f>
        <v/>
      </c>
      <c r="F58" s="67" t="str">
        <f>'MSW13'!F58</f>
        <v/>
      </c>
    </row>
    <row r="59">
      <c r="A59" s="62">
        <f>'MSW13'!A59</f>
        <v>2</v>
      </c>
      <c r="B59" s="63">
        <f>'MSW13'!B59</f>
        <v>210</v>
      </c>
      <c r="C59" s="104" t="str">
        <f>'MSW13'!C59</f>
        <v>REP OUT</v>
      </c>
      <c r="D59" s="65" t="str">
        <f>'MSW13'!D59</f>
        <v>1 MIN</v>
      </c>
      <c r="E59" s="66" t="str">
        <f>'MSW13'!E59</f>
        <v/>
      </c>
      <c r="F59" s="67" t="str">
        <f>'MSW13'!F59</f>
        <v/>
      </c>
    </row>
    <row r="60">
      <c r="A60" s="68">
        <f>'MSW13'!A60</f>
        <v>3</v>
      </c>
      <c r="B60" s="69">
        <f>'MSW13'!B60</f>
        <v>185</v>
      </c>
      <c r="C60" s="105" t="str">
        <f>'MSW13'!C60</f>
        <v>REP OUT</v>
      </c>
      <c r="D60" s="71" t="str">
        <f>'MSW13'!D60</f>
        <v>1 MIN</v>
      </c>
      <c r="E60" s="72" t="str">
        <f>'MSW13'!E60</f>
        <v/>
      </c>
      <c r="F60" s="67" t="str">
        <f>'MSW13'!F60</f>
        <v/>
      </c>
    </row>
    <row r="61">
      <c r="A61" s="103" t="str">
        <f>'MSW13'!A61</f>
        <v/>
      </c>
    </row>
    <row r="63">
      <c r="A63" s="73" t="str">
        <f>'MSW13'!A63</f>
        <v>5. MACHINE HIGH ROW</v>
      </c>
      <c r="B63" s="53"/>
      <c r="C63" s="53"/>
      <c r="D63" s="53"/>
      <c r="E63" s="53"/>
      <c r="F63" s="53"/>
    </row>
    <row r="64">
      <c r="A64" s="282" t="str">
        <f>'MSW13'!A64</f>
        <v>CURRENT MAX</v>
      </c>
      <c r="B64" s="56" t="str">
        <f>'MSW13'!B64</f>
        <v/>
      </c>
      <c r="C64" s="13"/>
      <c r="D64" s="13"/>
      <c r="E64" s="13"/>
      <c r="F64" s="13"/>
    </row>
    <row r="65">
      <c r="A65" s="58" t="str">
        <f>'MSW13'!A65</f>
        <v>SET</v>
      </c>
      <c r="B65" s="59" t="str">
        <f>'MSW13'!B65</f>
        <v>WEIGHT</v>
      </c>
      <c r="C65" s="59" t="str">
        <f>'MSW13'!C65</f>
        <v>REPS</v>
      </c>
      <c r="D65" s="59" t="str">
        <f>'MSW13'!D65</f>
        <v>REST</v>
      </c>
      <c r="E65" s="584" t="str">
        <f>'MSW13'!E65</f>
        <v>PREVIOUS</v>
      </c>
      <c r="F65" s="286" t="str">
        <f>'MSW13'!F65</f>
        <v>REP LOG</v>
      </c>
    </row>
    <row r="66">
      <c r="A66" s="62">
        <f>'MSW13'!A66</f>
        <v>1</v>
      </c>
      <c r="B66" s="63">
        <f>'MSW13'!B66</f>
        <v>0</v>
      </c>
      <c r="C66" s="104" t="str">
        <f>'MSW13'!C66</f>
        <v>REP OUT</v>
      </c>
      <c r="D66" s="65" t="str">
        <f>'MSW13'!D66</f>
        <v>1 MIN</v>
      </c>
      <c r="E66" s="66" t="str">
        <f>'MSW13'!E66</f>
        <v/>
      </c>
      <c r="F66" s="67" t="str">
        <f>'MSW13'!F66</f>
        <v/>
      </c>
    </row>
    <row r="67">
      <c r="A67" s="62">
        <f>'MSW13'!A67</f>
        <v>2</v>
      </c>
      <c r="B67" s="63">
        <f>'MSW13'!B67</f>
        <v>0</v>
      </c>
      <c r="C67" s="104" t="str">
        <f>'MSW13'!C67</f>
        <v>REP OUT</v>
      </c>
      <c r="D67" s="65" t="str">
        <f>'MSW13'!D67</f>
        <v>1 MIN</v>
      </c>
      <c r="E67" s="66" t="str">
        <f>'MSW13'!E67</f>
        <v/>
      </c>
      <c r="F67" s="67" t="str">
        <f>'MSW13'!F67</f>
        <v/>
      </c>
    </row>
    <row r="68">
      <c r="A68" s="68">
        <f>'MSW13'!A68</f>
        <v>3</v>
      </c>
      <c r="B68" s="87">
        <f>'MSW13'!B68</f>
        <v>0</v>
      </c>
      <c r="C68" s="105" t="str">
        <f>'MSW13'!C68</f>
        <v>REP OUT</v>
      </c>
      <c r="D68" s="309" t="str">
        <f>'MSW13'!D68</f>
        <v>1 MIN</v>
      </c>
      <c r="E68" s="72" t="str">
        <f>'MSW13'!E68</f>
        <v/>
      </c>
      <c r="F68" s="67" t="str">
        <f>'MSW13'!F68</f>
        <v/>
      </c>
    </row>
    <row r="69">
      <c r="A69" t="str">
        <f>'MSW13'!A69</f>
        <v/>
      </c>
    </row>
    <row r="71">
      <c r="A71" s="310" t="str">
        <f>'MSW13'!A71</f>
        <v>CLICK TO COMPLETE WORKOUT</v>
      </c>
      <c r="B71" s="36"/>
      <c r="C71" s="36"/>
      <c r="D71" s="36"/>
      <c r="E71" s="36"/>
      <c r="F71" s="37"/>
    </row>
    <row r="72">
      <c r="A72" t="str">
        <f>'MSW13'!A72</f>
        <v/>
      </c>
      <c r="B72" t="str">
        <f>'MSW13'!B72</f>
        <v/>
      </c>
      <c r="C72" t="str">
        <f>'MSW13'!C72</f>
        <v/>
      </c>
      <c r="D72" t="str">
        <f>'MSW13'!D72</f>
        <v/>
      </c>
      <c r="E72" t="str">
        <f>'MSW13'!E72</f>
        <v/>
      </c>
      <c r="F72" t="str">
        <f>'MSW13'!F72</f>
        <v/>
      </c>
    </row>
    <row r="73">
      <c r="A73" s="224" t="str">
        <f>'MSW13'!A73</f>
        <v>DAY 2 </v>
      </c>
      <c r="B73" s="36"/>
      <c r="C73" s="36"/>
      <c r="D73" s="36"/>
      <c r="E73" s="36"/>
      <c r="F73" s="37"/>
    </row>
    <row r="74">
      <c r="A74" t="str">
        <f>'MSW13'!A74</f>
        <v/>
      </c>
    </row>
    <row r="76">
      <c r="A76" s="1355" t="str">
        <f>'MSW13'!A76</f>
        <v>1. MACHINE SQUAT</v>
      </c>
      <c r="B76" s="53"/>
      <c r="C76" s="53"/>
      <c r="D76" s="53"/>
      <c r="E76" s="53"/>
      <c r="F76" s="54"/>
    </row>
    <row r="77">
      <c r="A77" s="961" t="str">
        <f>'MSW13'!A77</f>
        <v>8 REP MAX</v>
      </c>
      <c r="B77" s="1035">
        <f>'MSW13'!B77</f>
        <v>65</v>
      </c>
      <c r="C77" s="13"/>
      <c r="D77" s="13"/>
      <c r="E77" s="13"/>
      <c r="F77" s="57"/>
    </row>
    <row r="78">
      <c r="A78" s="231" t="str">
        <f>'MSW13'!A78</f>
        <v>SET</v>
      </c>
      <c r="B78" s="232" t="str">
        <f>'MSW13'!B78</f>
        <v>WEIGHT</v>
      </c>
      <c r="C78" s="232" t="str">
        <f>'MSW13'!C78</f>
        <v>REPS</v>
      </c>
      <c r="D78" s="232" t="str">
        <f>'MSW13'!D78</f>
        <v>REST</v>
      </c>
      <c r="E78" s="1073" t="str">
        <f>'MSW13'!E78</f>
        <v>PREVIOUS</v>
      </c>
      <c r="F78" s="1006" t="str">
        <f>'MSW13'!F78</f>
        <v>REP LOG</v>
      </c>
    </row>
    <row r="79">
      <c r="A79" s="236">
        <f>'MSW13'!A79</f>
        <v>1</v>
      </c>
      <c r="B79" s="237">
        <f>'MSW13'!B79</f>
        <v>25</v>
      </c>
      <c r="C79" s="238">
        <f>'MSW13'!C79</f>
        <v>10</v>
      </c>
      <c r="D79" s="238" t="str">
        <f>'MSW13'!D79</f>
        <v>30s</v>
      </c>
      <c r="E79" s="1130" t="str">
        <f>'MSW13'!E79</f>
        <v/>
      </c>
      <c r="F79" s="1131">
        <v>7.0</v>
      </c>
    </row>
    <row r="80">
      <c r="A80" s="236">
        <f>'MSW13'!A80</f>
        <v>2</v>
      </c>
      <c r="B80" s="237">
        <f>'MSW13'!B80</f>
        <v>40</v>
      </c>
      <c r="C80" s="238">
        <f>'MSW13'!C80</f>
        <v>10</v>
      </c>
      <c r="D80" s="238" t="str">
        <f>'MSW13'!D80</f>
        <v>1-2 MIN</v>
      </c>
      <c r="E80" s="1130" t="str">
        <f>'MSW13'!E80</f>
        <v/>
      </c>
      <c r="F80" s="1113">
        <v>7.0</v>
      </c>
    </row>
    <row r="81">
      <c r="A81" s="242">
        <f>'MSW13'!A81</f>
        <v>3</v>
      </c>
      <c r="B81" s="237">
        <f>'MSW13'!B81</f>
        <v>60</v>
      </c>
      <c r="C81" s="238">
        <f>'MSW13'!C81</f>
        <v>10</v>
      </c>
      <c r="D81" s="238" t="str">
        <f>'MSW13'!D81</f>
        <v>1-2 MIN</v>
      </c>
      <c r="E81" s="1130" t="str">
        <f>'MSW13'!E81</f>
        <v/>
      </c>
      <c r="F81" s="1113">
        <v>7.0</v>
      </c>
    </row>
    <row r="82">
      <c r="A82" s="249">
        <f>'MSW13'!A82</f>
        <v>4</v>
      </c>
      <c r="B82" s="175">
        <f>'MSW13'!B82</f>
        <v>65</v>
      </c>
      <c r="C82" s="238">
        <f>'MSW13'!C82</f>
        <v>10</v>
      </c>
      <c r="D82" s="238" t="str">
        <f>'MSW13'!D82</f>
        <v>1-5 MIN</v>
      </c>
      <c r="E82" s="1130" t="str">
        <f>'MSW13'!E82</f>
        <v/>
      </c>
      <c r="F82" s="1113">
        <v>7.0</v>
      </c>
    </row>
    <row r="83">
      <c r="A83" s="249">
        <f>'MSW13'!A83</f>
        <v>5</v>
      </c>
      <c r="B83" s="175">
        <f>'MSW13'!B83</f>
        <v>70</v>
      </c>
      <c r="C83" s="238">
        <f>'MSW13'!C83</f>
        <v>10</v>
      </c>
      <c r="D83" s="238" t="str">
        <f>'MSW13'!D83</f>
        <v>1-5 MIN</v>
      </c>
      <c r="E83" s="1130" t="str">
        <f>'MSW13'!E83</f>
        <v/>
      </c>
      <c r="F83" s="1113">
        <v>7.0</v>
      </c>
    </row>
    <row r="84">
      <c r="A84" s="249">
        <f>'MSW13'!A84</f>
        <v>6</v>
      </c>
      <c r="B84" s="175">
        <f>'MSW13'!B84</f>
        <v>75</v>
      </c>
      <c r="C84" s="238">
        <f>'MSW13'!C84</f>
        <v>10</v>
      </c>
      <c r="D84" s="238" t="str">
        <f>'MSW13'!D84</f>
        <v>1-5 MIN</v>
      </c>
      <c r="E84" s="1130" t="str">
        <f>'MSW13'!E84</f>
        <v/>
      </c>
      <c r="F84" s="1113">
        <v>7.0</v>
      </c>
    </row>
    <row r="85">
      <c r="A85" s="1038">
        <f>'MSW13'!A85</f>
        <v>7</v>
      </c>
      <c r="B85" s="175">
        <f>'MSW13'!B85</f>
        <v>85</v>
      </c>
      <c r="C85" s="238">
        <f>'MSW13'!C85</f>
        <v>10</v>
      </c>
      <c r="D85" s="238" t="str">
        <f>'MSW13'!D85</f>
        <v>1-5 MIN</v>
      </c>
      <c r="E85" s="1130" t="str">
        <f>'MSW13'!E85</f>
        <v/>
      </c>
      <c r="F85" s="1357">
        <v>7.0</v>
      </c>
    </row>
    <row r="86">
      <c r="A86" s="249">
        <f>'MSW13'!A86</f>
        <v>8</v>
      </c>
      <c r="B86" s="175">
        <f>'MSW13'!B86</f>
        <v>95</v>
      </c>
      <c r="C86" s="238">
        <f>'MSW13'!C86</f>
        <v>10</v>
      </c>
      <c r="D86" s="238" t="str">
        <f>'MSW13'!D86</f>
        <v>1-5 MIN</v>
      </c>
      <c r="E86" s="1130" t="str">
        <f>'MSW13'!E86</f>
        <v/>
      </c>
      <c r="F86" s="1359">
        <v>7.0</v>
      </c>
    </row>
    <row r="87">
      <c r="A87" s="1038">
        <f>'MSW13'!A87</f>
        <v>9</v>
      </c>
      <c r="B87" s="175">
        <f>'MSW13'!B87</f>
        <v>105</v>
      </c>
      <c r="C87" s="238">
        <f>'MSW13'!C87</f>
        <v>10</v>
      </c>
      <c r="D87" s="238" t="str">
        <f>'MSW13'!D87</f>
        <v>1-5 MIN</v>
      </c>
      <c r="E87" s="1130" t="str">
        <f>'MSW13'!E87</f>
        <v/>
      </c>
      <c r="F87" s="1359">
        <v>7.0</v>
      </c>
    </row>
    <row r="88">
      <c r="A88" s="272" t="str">
        <f>'MSW13'!A88</f>
        <v>6 REP MAX</v>
      </c>
      <c r="B88" s="1109">
        <f>'MSW13'!B88</f>
        <v>105</v>
      </c>
      <c r="C88" s="11"/>
      <c r="D88" s="11"/>
      <c r="E88" s="11"/>
      <c r="F88" s="46"/>
    </row>
    <row r="89">
      <c r="A89" t="str">
        <f>'MSW13'!A89</f>
        <v/>
      </c>
    </row>
    <row r="91">
      <c r="A91" s="1044" t="str">
        <f>'MSW13'!A91</f>
        <v>2. LEG EXTENSION</v>
      </c>
      <c r="B91" s="13"/>
      <c r="C91" s="13"/>
      <c r="D91" s="13"/>
      <c r="E91" s="13"/>
      <c r="F91" s="57"/>
    </row>
    <row r="92">
      <c r="A92" s="1045" t="str">
        <f>'MSW13'!A92</f>
        <v>CURRENT MAX</v>
      </c>
      <c r="B92" s="1046">
        <f>'MSW13'!B92</f>
        <v>50</v>
      </c>
      <c r="C92" s="13"/>
      <c r="D92" s="13"/>
      <c r="E92" s="13"/>
      <c r="F92" s="57"/>
    </row>
    <row r="93">
      <c r="A93" s="567" t="str">
        <f>'MSW13'!A93</f>
        <v>SET</v>
      </c>
      <c r="B93" s="568" t="str">
        <f>'MSW13'!B93</f>
        <v>WEIGHT</v>
      </c>
      <c r="C93" s="568" t="str">
        <f>'MSW13'!C93</f>
        <v>REPS</v>
      </c>
      <c r="D93" s="568" t="str">
        <f>'MSW13'!D93</f>
        <v>REST</v>
      </c>
      <c r="E93" s="1047" t="str">
        <f>'MSW13'!E93</f>
        <v>PREVIOUS</v>
      </c>
      <c r="F93" s="1048" t="str">
        <f>'MSW13'!F93</f>
        <v>REP LOG</v>
      </c>
    </row>
    <row r="94">
      <c r="A94" s="1049">
        <f>'MSW13'!A94</f>
        <v>1</v>
      </c>
      <c r="B94" s="1050">
        <f>'MSW13'!B94</f>
        <v>50</v>
      </c>
      <c r="C94" s="1051" t="str">
        <f>'MSW13'!C94</f>
        <v>10 - 20</v>
      </c>
      <c r="D94" s="1052" t="str">
        <f>'MSW13'!D94</f>
        <v>1 MIN</v>
      </c>
      <c r="E94" s="1130" t="str">
        <f>'MSW13'!E94</f>
        <v/>
      </c>
      <c r="F94" s="1011">
        <v>20.0</v>
      </c>
    </row>
    <row r="95">
      <c r="A95" s="1049">
        <f>'MSW13'!A95</f>
        <v>2</v>
      </c>
      <c r="B95" s="1050">
        <f>'MSW13'!B95</f>
        <v>50</v>
      </c>
      <c r="C95" s="1051" t="str">
        <f>'MSW13'!C95</f>
        <v>10 - 20</v>
      </c>
      <c r="D95" s="1052" t="str">
        <f>'MSW13'!D95</f>
        <v>1 MIN</v>
      </c>
      <c r="E95" s="1130" t="str">
        <f>'MSW13'!E95</f>
        <v/>
      </c>
      <c r="F95" s="1011">
        <v>20.0</v>
      </c>
    </row>
    <row r="96">
      <c r="A96" s="1053">
        <f>'MSW13'!A96</f>
        <v>3</v>
      </c>
      <c r="B96" s="1054">
        <f>'MSW13'!B96</f>
        <v>50</v>
      </c>
      <c r="C96" s="1055" t="str">
        <f>'MSW13'!C96</f>
        <v>10 - 20</v>
      </c>
      <c r="D96" s="1056" t="str">
        <f>'MSW13'!D96</f>
        <v>1 MIN</v>
      </c>
      <c r="E96" s="1348" t="str">
        <f>'MSW13'!E96</f>
        <v/>
      </c>
      <c r="F96" s="1011">
        <v>20.0</v>
      </c>
    </row>
    <row r="97">
      <c r="A97" t="str">
        <f>'MSW13'!A97</f>
        <v/>
      </c>
    </row>
    <row r="99">
      <c r="A99" s="323" t="str">
        <f>'MSW13'!A99</f>
        <v>3. MACHINE LEG CURL</v>
      </c>
      <c r="B99" s="53"/>
      <c r="C99" s="53"/>
      <c r="D99" s="53"/>
      <c r="E99" s="53"/>
      <c r="F99" s="54"/>
      <c r="G99" s="141" t="str">
        <f>'MSW13'!G99</f>
        <v/>
      </c>
      <c r="H99" s="323" t="str">
        <f>'MSW13'!H99</f>
        <v>3. PRONE LEG CURL</v>
      </c>
      <c r="I99" s="53"/>
      <c r="J99" s="53"/>
      <c r="K99" s="53"/>
      <c r="L99" s="53"/>
      <c r="M99" s="54"/>
    </row>
    <row r="100">
      <c r="A100" s="1045" t="str">
        <f>'MSW13'!A100</f>
        <v>CURRENT MAX</v>
      </c>
      <c r="B100" s="1046">
        <f>'MSW13'!B100</f>
        <v>55</v>
      </c>
      <c r="C100" s="13"/>
      <c r="D100" s="13"/>
      <c r="E100" s="13"/>
      <c r="F100" s="57"/>
      <c r="H100" s="1045" t="str">
        <f>'MSW13'!H100</f>
        <v>CURRENT MAX</v>
      </c>
      <c r="I100" s="1046">
        <f>'MSW13'!I100</f>
        <v>55</v>
      </c>
      <c r="J100" s="13"/>
      <c r="K100" s="13"/>
      <c r="L100" s="13"/>
      <c r="M100" s="57"/>
    </row>
    <row r="101">
      <c r="A101" s="567" t="str">
        <f>'MSW13'!A101</f>
        <v>SET</v>
      </c>
      <c r="B101" s="568" t="str">
        <f>'MSW13'!B101</f>
        <v>WEIGHT</v>
      </c>
      <c r="C101" s="568" t="str">
        <f>'MSW13'!C101</f>
        <v>REPS</v>
      </c>
      <c r="D101" s="568" t="str">
        <f>'MSW13'!D101</f>
        <v>REST</v>
      </c>
      <c r="E101" s="1047" t="str">
        <f>'MSW13'!E101</f>
        <v>PREVIOUS</v>
      </c>
      <c r="F101" s="1048" t="str">
        <f>'MSW13'!F101</f>
        <v>REP LOG</v>
      </c>
      <c r="H101" s="567" t="str">
        <f>'MSW13'!H101</f>
        <v>SET</v>
      </c>
      <c r="I101" s="568" t="str">
        <f>'MSW13'!I101</f>
        <v>WEIGHT</v>
      </c>
      <c r="J101" s="568" t="str">
        <f>'MSW13'!J101</f>
        <v>REPS</v>
      </c>
      <c r="K101" s="568" t="str">
        <f>'MSW13'!K101</f>
        <v>REST</v>
      </c>
      <c r="L101" s="1047" t="str">
        <f>'MSW13'!L101</f>
        <v>PREVIOUS</v>
      </c>
      <c r="M101" s="1048" t="str">
        <f>'MSW13'!M101</f>
        <v>REP LOG</v>
      </c>
    </row>
    <row r="102">
      <c r="A102" s="1049">
        <f>'MSW13'!A102</f>
        <v>1</v>
      </c>
      <c r="B102" s="1050">
        <f>'MSW13'!B102</f>
        <v>55</v>
      </c>
      <c r="C102" s="1051" t="str">
        <f>'MSW13'!C102</f>
        <v>10 - 20</v>
      </c>
      <c r="D102" s="1052" t="str">
        <f>'MSW13'!D102</f>
        <v>1 MIN</v>
      </c>
      <c r="E102" s="1130" t="str">
        <f>'MSW13'!E102</f>
        <v/>
      </c>
      <c r="F102" s="1011">
        <v>20.0</v>
      </c>
      <c r="G102" s="434" t="str">
        <f>'MSW13'!G102</f>
        <v>ALTERNATE</v>
      </c>
      <c r="H102" s="1049">
        <f>'MSW13'!H102</f>
        <v>1</v>
      </c>
      <c r="I102" s="1050">
        <f>'MSW13'!I102</f>
        <v>55</v>
      </c>
      <c r="J102" s="1051" t="str">
        <f>'MSW13'!J102</f>
        <v>10 - 20</v>
      </c>
      <c r="K102" s="1052" t="str">
        <f>'MSW13'!K102</f>
        <v>1 MIN</v>
      </c>
      <c r="L102" s="1130" t="str">
        <f>'MSW13'!L102</f>
        <v/>
      </c>
      <c r="M102" s="1017" t="str">
        <f>'MSW13'!M102</f>
        <v/>
      </c>
    </row>
    <row r="103">
      <c r="A103" s="1049">
        <f>'MSW13'!A103</f>
        <v>2</v>
      </c>
      <c r="B103" s="1050">
        <f>'MSW13'!B103</f>
        <v>55</v>
      </c>
      <c r="C103" s="1051" t="str">
        <f>'MSW13'!C103</f>
        <v>10 - 20</v>
      </c>
      <c r="D103" s="1052" t="str">
        <f>'MSW13'!D103</f>
        <v>1 MIN</v>
      </c>
      <c r="E103" s="1130" t="str">
        <f>'MSW13'!E103</f>
        <v/>
      </c>
      <c r="F103" s="1011">
        <v>20.0</v>
      </c>
      <c r="H103" s="1049">
        <f>'MSW13'!H103</f>
        <v>2</v>
      </c>
      <c r="I103" s="1050">
        <f>'MSW13'!I103</f>
        <v>45</v>
      </c>
      <c r="J103" s="1051" t="str">
        <f>'MSW13'!J103</f>
        <v>10 - 20</v>
      </c>
      <c r="K103" s="1052" t="str">
        <f>'MSW13'!K103</f>
        <v>1 MIN</v>
      </c>
      <c r="L103" s="1130" t="str">
        <f>'MSW13'!L103</f>
        <v/>
      </c>
      <c r="M103" s="1017" t="str">
        <f>'MSW13'!M103</f>
        <v/>
      </c>
    </row>
    <row r="104">
      <c r="A104" s="1053">
        <f>'MSW13'!A104</f>
        <v>3</v>
      </c>
      <c r="B104" s="1054">
        <f>'MSW13'!B104</f>
        <v>55</v>
      </c>
      <c r="C104" s="1055" t="str">
        <f>'MSW13'!C104</f>
        <v>10 - 20</v>
      </c>
      <c r="D104" s="1056" t="str">
        <f>'MSW13'!D104</f>
        <v>1 MIN</v>
      </c>
      <c r="E104" s="1348" t="str">
        <f>'MSW13'!E104</f>
        <v/>
      </c>
      <c r="F104" s="1011">
        <v>20.0</v>
      </c>
      <c r="G104" s="682" t="str">
        <f>'MSW13'!G104</f>
        <v/>
      </c>
      <c r="H104" s="1053">
        <f>'MSW13'!H104</f>
        <v>3</v>
      </c>
      <c r="I104" s="1054">
        <f>'MSW13'!I104</f>
        <v>35</v>
      </c>
      <c r="J104" s="1055" t="str">
        <f>'MSW13'!J104</f>
        <v>10 - 20</v>
      </c>
      <c r="K104" s="1056" t="str">
        <f>'MSW13'!K104</f>
        <v>1 MIN</v>
      </c>
      <c r="L104" s="1348" t="str">
        <f>'MSW13'!L104</f>
        <v/>
      </c>
      <c r="M104" s="1017" t="str">
        <f>'MSW13'!M104</f>
        <v/>
      </c>
    </row>
    <row r="105">
      <c r="A105" s="849" t="str">
        <f>'MSW13'!A105</f>
        <v/>
      </c>
      <c r="G105" s="849" t="str">
        <f>'MSW13'!H105</f>
        <v/>
      </c>
    </row>
    <row r="107">
      <c r="A107" s="1120" t="str">
        <f>'MSW13'!A107</f>
        <v>DAY 3</v>
      </c>
      <c r="B107" s="36"/>
      <c r="C107" s="36"/>
      <c r="D107" s="36"/>
      <c r="E107" s="36"/>
      <c r="F107" s="37"/>
    </row>
    <row r="108">
      <c r="A108" t="str">
        <f>'MSW13'!A108</f>
        <v/>
      </c>
    </row>
    <row r="110">
      <c r="A110" s="44" t="str">
        <f>'MSW13'!A110</f>
        <v>SHOULDERS &amp; ARMS</v>
      </c>
      <c r="B110" s="36"/>
      <c r="C110" s="36"/>
      <c r="D110" s="36"/>
      <c r="E110" s="36"/>
      <c r="F110" s="37"/>
      <c r="G110" t="str">
        <f>'MSW13'!G110</f>
        <v/>
      </c>
      <c r="H110" s="44" t="str">
        <f>'MSW13'!H110</f>
        <v>SHOULDERS &amp; ARMS</v>
      </c>
      <c r="I110" s="36"/>
      <c r="J110" s="36"/>
      <c r="K110" s="36"/>
      <c r="L110" s="36"/>
      <c r="M110" s="37"/>
    </row>
    <row r="111">
      <c r="A111" s="112" t="str">
        <f>'MSW13'!A111</f>
        <v>1. SHOULDER PRESS</v>
      </c>
      <c r="B111" s="13"/>
      <c r="C111" s="13"/>
      <c r="D111" s="13"/>
      <c r="E111" s="13"/>
      <c r="F111" s="57"/>
      <c r="H111" s="1139" t="str">
        <f>'MSW13'!H111</f>
        <v>1. MACHINE SHOULDER PRESS</v>
      </c>
      <c r="I111" s="13"/>
      <c r="J111" s="13"/>
      <c r="K111" s="13"/>
      <c r="L111" s="13"/>
      <c r="M111" s="57"/>
    </row>
    <row r="112">
      <c r="A112" s="226" t="str">
        <f>'MSW13'!A112</f>
        <v>CURRENT MAX</v>
      </c>
      <c r="B112" s="227" t="str">
        <f>'MSW13'!B112</f>
        <v/>
      </c>
      <c r="C112" s="20"/>
      <c r="D112" s="20"/>
      <c r="E112" s="20"/>
      <c r="F112" s="95"/>
      <c r="H112" s="226" t="str">
        <f>'MSW13'!H112</f>
        <v>CURRENT MAX</v>
      </c>
      <c r="I112" s="227">
        <f>'MSW13'!I112</f>
        <v>100</v>
      </c>
      <c r="J112" s="20"/>
      <c r="K112" s="20"/>
      <c r="L112" s="20"/>
      <c r="M112" s="95"/>
    </row>
    <row r="113">
      <c r="A113" s="231" t="str">
        <f>'MSW13'!A113</f>
        <v>SET</v>
      </c>
      <c r="B113" s="232" t="str">
        <f>'MSW13'!B113</f>
        <v>WEIGHT</v>
      </c>
      <c r="C113" s="232" t="str">
        <f>'MSW13'!C113</f>
        <v>REPS</v>
      </c>
      <c r="D113" s="232" t="str">
        <f>'MSW13'!D113</f>
        <v>REST</v>
      </c>
      <c r="E113" s="233" t="str">
        <f>'MSW13'!E113</f>
        <v>PREVIOUS</v>
      </c>
      <c r="F113" s="61" t="str">
        <f>'MSW13'!F113</f>
        <v>REP LOG</v>
      </c>
      <c r="H113" s="231" t="str">
        <f>'MSW13'!H113</f>
        <v>SET</v>
      </c>
      <c r="I113" s="232" t="str">
        <f>'MSW13'!I113</f>
        <v>WEIGHT</v>
      </c>
      <c r="J113" s="232" t="str">
        <f>'MSW13'!J113</f>
        <v>REPS</v>
      </c>
      <c r="K113" s="232" t="str">
        <f>'MSW13'!K113</f>
        <v>REST</v>
      </c>
      <c r="L113" s="233" t="str">
        <f>'MSW13'!L113</f>
        <v>PREVIOUS</v>
      </c>
      <c r="M113" s="61" t="str">
        <f>'MSW13'!M113</f>
        <v>REP LOG</v>
      </c>
    </row>
    <row r="114">
      <c r="A114" s="1140">
        <f>'MSW13'!A114</f>
        <v>1</v>
      </c>
      <c r="B114" s="237">
        <f>'MSW13'!B114</f>
        <v>0</v>
      </c>
      <c r="C114" s="237">
        <f>'MSW13'!C114</f>
        <v>6</v>
      </c>
      <c r="D114" s="238" t="str">
        <f>'MSW13'!D114</f>
        <v>30s</v>
      </c>
      <c r="E114" s="84" t="str">
        <f>'MSW13'!E114</f>
        <v/>
      </c>
      <c r="F114" s="67">
        <v>6.0</v>
      </c>
      <c r="H114" s="1140">
        <f>'MSW13'!H114</f>
        <v>1</v>
      </c>
      <c r="I114" s="237">
        <f>'MSW13'!I114</f>
        <v>35</v>
      </c>
      <c r="J114" s="237">
        <f>'MSW13'!J114</f>
        <v>6</v>
      </c>
      <c r="K114" s="238" t="str">
        <f>'MSW13'!K114</f>
        <v>30s</v>
      </c>
      <c r="L114" s="84" t="str">
        <f>'MSW13'!L114</f>
        <v/>
      </c>
      <c r="M114" s="67">
        <v>6.0</v>
      </c>
    </row>
    <row r="115">
      <c r="A115" s="236">
        <f>'MSW13'!A115</f>
        <v>2</v>
      </c>
      <c r="B115" s="237">
        <f>'MSW13'!B115</f>
        <v>0</v>
      </c>
      <c r="C115" s="237">
        <f>'MSW13'!C115</f>
        <v>1</v>
      </c>
      <c r="D115" s="238" t="str">
        <f>'MSW13'!D115</f>
        <v>1-2 MIN</v>
      </c>
      <c r="E115" s="84" t="str">
        <f>'MSW13'!E115</f>
        <v/>
      </c>
      <c r="F115" s="67">
        <v>1.0</v>
      </c>
      <c r="H115" s="236">
        <f>'MSW13'!H115</f>
        <v>2</v>
      </c>
      <c r="I115" s="237">
        <f>'MSW13'!I115</f>
        <v>65</v>
      </c>
      <c r="J115" s="237">
        <f>'MSW13'!J115</f>
        <v>1</v>
      </c>
      <c r="K115" s="238" t="str">
        <f>'MSW13'!K115</f>
        <v>1-2 MIN</v>
      </c>
      <c r="L115" s="84" t="str">
        <f>'MSW13'!L115</f>
        <v/>
      </c>
      <c r="M115" s="67">
        <v>1.0</v>
      </c>
    </row>
    <row r="116">
      <c r="A116" s="242">
        <f>'MSW13'!A116</f>
        <v>3</v>
      </c>
      <c r="B116" s="237">
        <f>'MSW13'!B116</f>
        <v>0</v>
      </c>
      <c r="C116" s="82">
        <f>'MSW13'!C116</f>
        <v>1</v>
      </c>
      <c r="D116" s="238" t="str">
        <f>'MSW13'!D116</f>
        <v>1-2 MIN</v>
      </c>
      <c r="E116" s="84" t="str">
        <f>'MSW13'!E116</f>
        <v/>
      </c>
      <c r="F116" s="67">
        <v>1.0</v>
      </c>
      <c r="H116" s="242">
        <f>'MSW13'!H116</f>
        <v>3</v>
      </c>
      <c r="I116" s="237">
        <f>'MSW13'!I116</f>
        <v>90</v>
      </c>
      <c r="J116" s="82">
        <f>'MSW13'!J116</f>
        <v>1</v>
      </c>
      <c r="K116" s="238" t="str">
        <f>'MSW13'!K116</f>
        <v>1-2 MIN</v>
      </c>
      <c r="L116" s="84" t="str">
        <f>'MSW13'!L116</f>
        <v/>
      </c>
      <c r="M116" s="67">
        <v>1.0</v>
      </c>
    </row>
    <row r="117">
      <c r="A117" s="243">
        <f>'MSW13'!A117</f>
        <v>4</v>
      </c>
      <c r="B117" s="237" t="str">
        <f>'MSW13'!B117</f>
        <v/>
      </c>
      <c r="C117" s="257">
        <f>'MSW13'!C117</f>
        <v>1</v>
      </c>
      <c r="D117" s="238" t="str">
        <f>'MSW13'!D117</f>
        <v>1-5 MIN</v>
      </c>
      <c r="E117" s="84" t="str">
        <f>'MSW13'!E117</f>
        <v/>
      </c>
      <c r="F117" s="67">
        <v>1.0</v>
      </c>
      <c r="H117" s="243">
        <f>'MSW13'!H117</f>
        <v>4</v>
      </c>
      <c r="I117" s="237">
        <f>'MSW13'!I117</f>
        <v>100</v>
      </c>
      <c r="J117" s="257">
        <f>'MSW13'!J117</f>
        <v>1</v>
      </c>
      <c r="K117" s="238" t="str">
        <f>'MSW13'!K117</f>
        <v>1-5 MIN</v>
      </c>
      <c r="L117" s="84" t="str">
        <f>'MSW13'!L117</f>
        <v/>
      </c>
      <c r="M117" s="67">
        <v>1.0</v>
      </c>
    </row>
    <row r="118">
      <c r="A118" s="246" t="str">
        <f>'MSW13'!A118</f>
        <v>NEW 4 REP MAX ATTEMPT</v>
      </c>
      <c r="B118" s="20"/>
      <c r="C118" s="20"/>
      <c r="D118" s="20"/>
      <c r="E118" s="20"/>
      <c r="F118" s="95"/>
      <c r="H118" s="246" t="str">
        <f>'MSW13'!H118</f>
        <v>NEW 4 REP MAX ATTEMPT</v>
      </c>
      <c r="I118" s="20"/>
      <c r="J118" s="20"/>
      <c r="K118" s="20"/>
      <c r="L118" s="20"/>
      <c r="M118" s="95"/>
    </row>
    <row r="119">
      <c r="A119" s="249">
        <f>'MSW13'!A119</f>
        <v>5</v>
      </c>
      <c r="B119" s="175">
        <f>'MSW13'!B119</f>
        <v>5</v>
      </c>
      <c r="C119" s="238">
        <f>'MSW13'!C119</f>
        <v>4</v>
      </c>
      <c r="D119" s="238" t="str">
        <f>'MSW13'!D119</f>
        <v>1-5 MIN</v>
      </c>
      <c r="E119" s="84" t="str">
        <f>'MSW13'!E119</f>
        <v/>
      </c>
      <c r="F119" s="67">
        <v>0.0</v>
      </c>
      <c r="H119" s="249">
        <f>'MSW13'!H119</f>
        <v>5</v>
      </c>
      <c r="I119" s="175">
        <f>'MSW13'!I119</f>
        <v>105</v>
      </c>
      <c r="J119" s="238">
        <f>'MSW13'!J119</f>
        <v>4</v>
      </c>
      <c r="K119" s="238" t="str">
        <f>'MSW13'!K119</f>
        <v>1-5 MIN</v>
      </c>
      <c r="L119" s="84" t="str">
        <f>'MSW13'!L119</f>
        <v/>
      </c>
      <c r="M119" s="67">
        <v>4.0</v>
      </c>
    </row>
    <row r="120">
      <c r="A120" s="259" t="str">
        <f>'MSW13'!A120</f>
        <v/>
      </c>
      <c r="B120" s="175" t="str">
        <f>'MSW13'!B120</f>
        <v/>
      </c>
      <c r="C120" s="238" t="str">
        <f>'MSW13'!C120</f>
        <v/>
      </c>
      <c r="D120" s="238" t="str">
        <f>'MSW13'!D120</f>
        <v/>
      </c>
      <c r="E120" s="84" t="str">
        <f>'MSW13'!E120</f>
        <v/>
      </c>
      <c r="F120" s="67">
        <v>0.0</v>
      </c>
      <c r="H120" s="259" t="str">
        <f>'MSW13'!H120</f>
        <v>6</v>
      </c>
      <c r="I120" s="175">
        <f>'MSW13'!I120</f>
        <v>110</v>
      </c>
      <c r="J120" s="238" t="str">
        <f>'MSW13'!J120</f>
        <v>4</v>
      </c>
      <c r="K120" s="238" t="str">
        <f>'MSW13'!K120</f>
        <v>1-5 MIN</v>
      </c>
      <c r="L120" s="84" t="str">
        <f>'MSW13'!L120</f>
        <v/>
      </c>
      <c r="M120" s="67">
        <v>0.0</v>
      </c>
    </row>
    <row r="121">
      <c r="A121" s="246" t="str">
        <f>'MSW13'!A121</f>
        <v>DOWN SETS</v>
      </c>
      <c r="B121" s="20"/>
      <c r="C121" s="20"/>
      <c r="D121" s="20"/>
      <c r="E121" s="20"/>
      <c r="F121" s="95"/>
      <c r="H121" s="246" t="str">
        <f>'MSW13'!H121</f>
        <v>DOWN SETS</v>
      </c>
      <c r="I121" s="20"/>
      <c r="J121" s="20"/>
      <c r="K121" s="20"/>
      <c r="L121" s="20"/>
      <c r="M121" s="95"/>
    </row>
    <row r="122">
      <c r="A122" s="264">
        <f>'MSW13'!A122</f>
        <v>6</v>
      </c>
      <c r="B122" s="265">
        <f>'MSW13'!B122</f>
        <v>0</v>
      </c>
      <c r="C122" s="266" t="str">
        <f>'MSW13'!C122</f>
        <v>REP OUT</v>
      </c>
      <c r="D122" s="267" t="str">
        <f>'MSW13'!D122</f>
        <v>1-3 MIN</v>
      </c>
      <c r="E122" s="84" t="str">
        <f>'MSW13'!E122</f>
        <v/>
      </c>
      <c r="F122" s="67">
        <v>2.0</v>
      </c>
      <c r="H122" s="264">
        <f>'MSW13'!H122</f>
        <v>7</v>
      </c>
      <c r="I122" s="265">
        <f>'MSW13'!I122</f>
        <v>95</v>
      </c>
      <c r="J122" s="266" t="str">
        <f>'MSW13'!J122</f>
        <v>REP OUT</v>
      </c>
      <c r="K122" s="267" t="str">
        <f>'MSW13'!K122</f>
        <v>1-3 MIN</v>
      </c>
      <c r="L122" s="84" t="str">
        <f>'MSW13'!L122</f>
        <v/>
      </c>
      <c r="M122" s="67" t="str">
        <f>'MSW13'!M122</f>
        <v/>
      </c>
    </row>
    <row r="123">
      <c r="A123" s="243">
        <f>'MSW13'!A123</f>
        <v>7</v>
      </c>
      <c r="B123" s="237">
        <f>'MSW13'!B123</f>
        <v>0</v>
      </c>
      <c r="C123" s="245" t="str">
        <f>'MSW13'!C123</f>
        <v>REP OUT</v>
      </c>
      <c r="D123" s="65" t="str">
        <f>'MSW13'!D123</f>
        <v>1-3 MIN</v>
      </c>
      <c r="E123" s="84" t="str">
        <f>'MSW13'!E123</f>
        <v/>
      </c>
      <c r="F123" s="271">
        <v>15.0</v>
      </c>
      <c r="H123" s="243">
        <f>'MSW13'!H123</f>
        <v>8</v>
      </c>
      <c r="I123" s="237">
        <f>'MSW13'!I123</f>
        <v>80</v>
      </c>
      <c r="J123" s="245" t="str">
        <f>'MSW13'!J123</f>
        <v>REP OUT</v>
      </c>
      <c r="K123" s="65" t="str">
        <f>'MSW13'!K123</f>
        <v>1-3 MIN</v>
      </c>
      <c r="L123" s="84" t="str">
        <f>'MSW13'!L123</f>
        <v/>
      </c>
      <c r="M123" s="271" t="str">
        <f>'MSW13'!M123</f>
        <v/>
      </c>
    </row>
    <row r="124">
      <c r="A124" s="272" t="str">
        <f>'MSW13'!A124</f>
        <v>FINAL MAX</v>
      </c>
      <c r="B124" s="273" t="str">
        <f>'MSW13'!B124</f>
        <v/>
      </c>
      <c r="C124" s="11"/>
      <c r="D124" s="11"/>
      <c r="E124" s="11"/>
      <c r="F124" s="46"/>
      <c r="H124" s="272" t="str">
        <f>'MSW13'!H124</f>
        <v>FINAL MAX</v>
      </c>
      <c r="I124" s="273">
        <f>'MSW13'!I124</f>
        <v>105</v>
      </c>
      <c r="J124" s="11"/>
      <c r="K124" s="11"/>
      <c r="L124" s="11"/>
      <c r="M124" s="46"/>
    </row>
    <row r="125">
      <c r="A125" s="623" t="str">
        <f>'MSW13'!A125</f>
        <v/>
      </c>
    </row>
    <row r="127">
      <c r="A127" s="1217" t="str">
        <f>'MSW13'!A127</f>
        <v>2.  CABLE HIGH PULLEY ROW</v>
      </c>
      <c r="B127" s="53"/>
      <c r="C127" s="53"/>
      <c r="D127" s="53"/>
      <c r="E127" s="53"/>
      <c r="F127" s="54"/>
      <c r="G127" t="str">
        <f>'MSW13'!G127</f>
        <v/>
      </c>
      <c r="H127" s="1217" t="str">
        <f>'MSW13'!H127</f>
        <v>2. MACHINE REAR DELT FLY</v>
      </c>
      <c r="I127" s="53"/>
      <c r="J127" s="53"/>
      <c r="K127" s="53"/>
      <c r="L127" s="53"/>
      <c r="M127" s="54"/>
    </row>
    <row r="128">
      <c r="A128" s="961" t="str">
        <f>'MSW13'!A128</f>
        <v>CURRENT MAX</v>
      </c>
      <c r="B128" s="76">
        <f>'MSW13'!B128</f>
        <v>90</v>
      </c>
      <c r="C128" s="13"/>
      <c r="D128" s="13"/>
      <c r="E128" s="13"/>
      <c r="F128" s="57"/>
      <c r="H128" s="961" t="str">
        <f>'MSW13'!H128</f>
        <v>CURRENT MAX</v>
      </c>
      <c r="I128" s="76">
        <f>'MSW13'!I128</f>
        <v>60</v>
      </c>
      <c r="J128" s="13"/>
      <c r="K128" s="13"/>
      <c r="L128" s="13"/>
      <c r="M128" s="57"/>
    </row>
    <row r="129">
      <c r="A129" s="962" t="str">
        <f>'MSW13'!A129</f>
        <v>SET</v>
      </c>
      <c r="B129" s="963" t="str">
        <f>'MSW13'!B129</f>
        <v>WEIGHT</v>
      </c>
      <c r="C129" s="963" t="str">
        <f>'MSW13'!C129</f>
        <v>REPS</v>
      </c>
      <c r="D129" s="963" t="str">
        <f>'MSW13'!D129</f>
        <v>REST</v>
      </c>
      <c r="E129" s="1005" t="str">
        <f>'MSW13'!E129</f>
        <v>PREVIOUS</v>
      </c>
      <c r="F129" s="1006" t="str">
        <f>'MSW13'!F129</f>
        <v>REP LOG</v>
      </c>
      <c r="H129" s="962" t="str">
        <f>'MSW13'!H129</f>
        <v>SET</v>
      </c>
      <c r="I129" s="963" t="str">
        <f>'MSW13'!I129</f>
        <v>WEIGHT</v>
      </c>
      <c r="J129" s="963" t="str">
        <f>'MSW13'!J129</f>
        <v>REPS</v>
      </c>
      <c r="K129" s="963" t="str">
        <f>'MSW13'!K129</f>
        <v>REST</v>
      </c>
      <c r="L129" s="1005" t="str">
        <f>'MSW13'!L129</f>
        <v>PREVIOUS</v>
      </c>
      <c r="M129" s="1006" t="str">
        <f>'MSW13'!M129</f>
        <v>REP LOG</v>
      </c>
    </row>
    <row r="130">
      <c r="A130" s="967">
        <f>'MSW13'!A130</f>
        <v>1</v>
      </c>
      <c r="B130" s="1028">
        <f>'MSW13'!B130</f>
        <v>90</v>
      </c>
      <c r="C130" s="1067" t="str">
        <f>'MSW13'!C130</f>
        <v>6 - 15</v>
      </c>
      <c r="D130" s="1067" t="str">
        <f>'MSW13'!D130</f>
        <v>1MIN</v>
      </c>
      <c r="E130" s="1010" t="str">
        <f>'MSW13'!E130</f>
        <v/>
      </c>
      <c r="F130" s="1011">
        <v>5.0</v>
      </c>
      <c r="H130" s="967">
        <f>'MSW13'!H130</f>
        <v>1</v>
      </c>
      <c r="I130" s="1028">
        <f>'MSW13'!I130</f>
        <v>60</v>
      </c>
      <c r="J130" s="1067" t="str">
        <f>'MSW13'!J130</f>
        <v>6 - 15</v>
      </c>
      <c r="K130" s="1067" t="str">
        <f>'MSW13'!K130</f>
        <v>1-2 MIN</v>
      </c>
      <c r="L130" s="1010" t="str">
        <f>'MSW13'!L130</f>
        <v/>
      </c>
      <c r="M130" s="1011">
        <v>10.0</v>
      </c>
    </row>
    <row r="131">
      <c r="A131" s="967">
        <f>'MSW13'!A131</f>
        <v>2</v>
      </c>
      <c r="B131" s="1028">
        <f>'MSW13'!B131</f>
        <v>70</v>
      </c>
      <c r="C131" s="1067" t="str">
        <f>'MSW13'!C131</f>
        <v>6 - 15</v>
      </c>
      <c r="D131" s="1067" t="str">
        <f>'MSW13'!D131</f>
        <v>1MIN</v>
      </c>
      <c r="E131" s="1010" t="str">
        <f>'MSW13'!E131</f>
        <v/>
      </c>
      <c r="F131" s="1011">
        <v>10.0</v>
      </c>
      <c r="H131" s="967">
        <f>'MSW13'!H131</f>
        <v>2</v>
      </c>
      <c r="I131" s="1028">
        <f>'MSW13'!I131</f>
        <v>55</v>
      </c>
      <c r="J131" s="1067" t="str">
        <f>'MSW13'!J131</f>
        <v>6 - 15</v>
      </c>
      <c r="K131" s="1067" t="str">
        <f>'MSW13'!K131</f>
        <v>1-2 MIN</v>
      </c>
      <c r="L131" s="1010" t="str">
        <f>'MSW13'!L131</f>
        <v/>
      </c>
      <c r="M131" s="1011">
        <v>10.0</v>
      </c>
    </row>
    <row r="132">
      <c r="A132" s="971">
        <f>'MSW13'!A132</f>
        <v>3</v>
      </c>
      <c r="B132" s="1123">
        <f>'MSW13'!B132</f>
        <v>65</v>
      </c>
      <c r="C132" s="1220" t="str">
        <f>'MSW13'!C132</f>
        <v>6 - 15</v>
      </c>
      <c r="D132" s="1220" t="str">
        <f>'MSW13'!D132</f>
        <v>1MIN</v>
      </c>
      <c r="E132" s="1021" t="str">
        <f>'MSW13'!E132</f>
        <v/>
      </c>
      <c r="F132" s="1017" t="str">
        <f>'MSW13'!F132</f>
        <v/>
      </c>
      <c r="H132" s="971">
        <f>'MSW13'!H132</f>
        <v>3</v>
      </c>
      <c r="I132" s="1123">
        <f>'MSW13'!I132</f>
        <v>50</v>
      </c>
      <c r="J132" s="1220" t="str">
        <f>'MSW13'!J132</f>
        <v>6 - 15</v>
      </c>
      <c r="K132" s="1220" t="str">
        <f>'MSW13'!K132</f>
        <v>1-2 MIN</v>
      </c>
      <c r="L132" s="1021" t="str">
        <f>'MSW13'!L132</f>
        <v/>
      </c>
      <c r="M132" s="1017" t="str">
        <f>'MSW13'!M132</f>
        <v/>
      </c>
    </row>
    <row r="133">
      <c r="A133" s="1068" t="str">
        <f>'MSW13'!A133</f>
        <v/>
      </c>
    </row>
    <row r="135">
      <c r="A135" s="1217" t="str">
        <f>'MSW13'!A135</f>
        <v>3. DUMBBELL SIDE LATERAL RAISE</v>
      </c>
      <c r="B135" s="53"/>
      <c r="C135" s="53"/>
      <c r="D135" s="53"/>
      <c r="E135" s="53"/>
      <c r="F135" s="54"/>
      <c r="G135" t="str">
        <f>'MSW13'!G135</f>
        <v/>
      </c>
    </row>
    <row r="136">
      <c r="A136" s="1268" t="s">
        <v>240</v>
      </c>
      <c r="B136" s="76" t="str">
        <f>'MSW13'!B136</f>
        <v/>
      </c>
      <c r="C136" s="13"/>
      <c r="D136" s="13"/>
      <c r="E136" s="13"/>
      <c r="F136" s="57"/>
    </row>
    <row r="137">
      <c r="A137" s="1071" t="str">
        <f>'MSW13'!A137</f>
        <v>SET</v>
      </c>
      <c r="B137" s="1072" t="str">
        <f>'MSW13'!B137</f>
        <v>WEIGHT</v>
      </c>
      <c r="C137" s="1072" t="str">
        <f>'MSW13'!C137</f>
        <v>REPS</v>
      </c>
      <c r="D137" s="1072" t="str">
        <f>'MSW13'!D137</f>
        <v>REST</v>
      </c>
      <c r="E137" s="1073" t="str">
        <f>'MSW13'!E137</f>
        <v>PREVIOUS</v>
      </c>
      <c r="F137" s="1006" t="str">
        <f>'MSW13'!F137</f>
        <v>REP LOG</v>
      </c>
    </row>
    <row r="138">
      <c r="A138" s="387">
        <f>'MSW13'!A138</f>
        <v>1</v>
      </c>
      <c r="B138" s="388">
        <f>'MSW13'!B138</f>
        <v>0</v>
      </c>
      <c r="C138" s="1360" t="str">
        <f>'MSW13'!C138</f>
        <v>10 - 15</v>
      </c>
      <c r="D138" s="1361" t="str">
        <f>'MSW13'!D138</f>
        <v>1 MIN</v>
      </c>
      <c r="E138" s="1362" t="str">
        <f>'MSW13'!E138</f>
        <v/>
      </c>
      <c r="F138" s="85">
        <v>10.0</v>
      </c>
    </row>
    <row r="139">
      <c r="A139" s="387">
        <f>'MSW13'!A139</f>
        <v>2</v>
      </c>
      <c r="B139" s="388">
        <f>'MSW13'!B139</f>
        <v>0</v>
      </c>
      <c r="C139" s="1360" t="str">
        <f>'MSW13'!C139</f>
        <v>10 - 15</v>
      </c>
      <c r="D139" s="1361" t="str">
        <f>'MSW13'!D139</f>
        <v>1 MIN</v>
      </c>
      <c r="E139" s="1362" t="str">
        <f>'MSW13'!E139</f>
        <v/>
      </c>
      <c r="F139" s="85">
        <v>12.0</v>
      </c>
    </row>
    <row r="140">
      <c r="A140" s="394">
        <f>'MSW13'!A140</f>
        <v>3</v>
      </c>
      <c r="B140" s="395">
        <f>'MSW13'!B140</f>
        <v>0</v>
      </c>
      <c r="C140" s="1363" t="str">
        <f>'MSW13'!C140</f>
        <v>10 - 15</v>
      </c>
      <c r="D140" s="1364" t="str">
        <f>'MSW13'!D140</f>
        <v>1 MIN</v>
      </c>
      <c r="E140" s="1365" t="str">
        <f>'MSW13'!E140</f>
        <v/>
      </c>
      <c r="F140" s="85" t="str">
        <f>'MSW13'!F140</f>
        <v/>
      </c>
    </row>
    <row r="141">
      <c r="A141" t="str">
        <f>'MSW13'!A141</f>
        <v/>
      </c>
    </row>
    <row r="143">
      <c r="A143" s="361" t="str">
        <f>'MSW13'!A143</f>
        <v>2.  TRICEP OVERHEAD ROPE EXTENSION</v>
      </c>
      <c r="B143" s="53"/>
      <c r="C143" s="53"/>
      <c r="D143" s="53"/>
      <c r="E143" s="53"/>
      <c r="F143" s="54"/>
    </row>
    <row r="144">
      <c r="A144" s="670" t="str">
        <f>'MSW13'!A144</f>
        <v>CURRENT MAX</v>
      </c>
      <c r="B144" s="1366">
        <f>'MSW13'!B144</f>
        <v>10</v>
      </c>
      <c r="C144" s="20"/>
      <c r="D144" s="20"/>
      <c r="E144" s="20"/>
      <c r="F144" s="95"/>
    </row>
    <row r="145">
      <c r="A145" s="1071" t="str">
        <f>'MSW13'!A145</f>
        <v>SET</v>
      </c>
      <c r="B145" s="1072" t="str">
        <f>'MSW13'!B145</f>
        <v>WEIGHT</v>
      </c>
      <c r="C145" s="1072" t="str">
        <f>'MSW13'!C145</f>
        <v>REPS</v>
      </c>
      <c r="D145" s="1072" t="str">
        <f>'MSW13'!D145</f>
        <v>REST</v>
      </c>
      <c r="E145" s="1073" t="str">
        <f>'MSW13'!E145</f>
        <v>PREVIOUS</v>
      </c>
      <c r="F145" s="1003" t="str">
        <f>'MSW13'!F145</f>
        <v>REP LOG</v>
      </c>
    </row>
    <row r="146">
      <c r="A146" s="387">
        <f>'MSW13'!A146</f>
        <v>1</v>
      </c>
      <c r="B146" s="388">
        <f>'MSW13'!B146</f>
        <v>10</v>
      </c>
      <c r="C146" s="1360" t="str">
        <f>'MSW13'!C146</f>
        <v>6 - 15</v>
      </c>
      <c r="D146" s="1361" t="str">
        <f>'MSW13'!D146</f>
        <v>1MIN</v>
      </c>
      <c r="E146" s="1362" t="str">
        <f>'MSW13'!E146</f>
        <v/>
      </c>
      <c r="F146" s="85">
        <v>15.0</v>
      </c>
    </row>
    <row r="147">
      <c r="A147" s="387">
        <f>'MSW13'!A147</f>
        <v>2</v>
      </c>
      <c r="B147" s="388">
        <f>'MSW13'!B147</f>
        <v>10</v>
      </c>
      <c r="C147" s="1360" t="str">
        <f>'MSW13'!C147</f>
        <v>6 - 15</v>
      </c>
      <c r="D147" s="1361" t="str">
        <f>'MSW13'!D147</f>
        <v>1MIN</v>
      </c>
      <c r="E147" s="1362" t="str">
        <f>'MSW13'!E147</f>
        <v/>
      </c>
      <c r="F147" s="85">
        <v>15.0</v>
      </c>
    </row>
    <row r="148">
      <c r="A148" s="394">
        <f>'MSW13'!A148</f>
        <v>3</v>
      </c>
      <c r="B148" s="395">
        <f>'MSW13'!B148</f>
        <v>10</v>
      </c>
      <c r="C148" s="1363" t="str">
        <f>'MSW13'!C148</f>
        <v>6 - 15</v>
      </c>
      <c r="D148" s="1364" t="str">
        <f>'MSW13'!D148</f>
        <v>1MIN</v>
      </c>
      <c r="E148" s="1365" t="str">
        <f>'MSW13'!E148</f>
        <v/>
      </c>
      <c r="F148" s="85">
        <v>15.0</v>
      </c>
    </row>
    <row r="149">
      <c r="A149" t="str">
        <f>'MSW13'!A149</f>
        <v/>
      </c>
    </row>
    <row r="151">
      <c r="A151" s="361" t="str">
        <f>'MSW13'!A151</f>
        <v>4. BICEP EZ BAR CURL</v>
      </c>
      <c r="B151" s="53"/>
      <c r="C151" s="53"/>
      <c r="D151" s="53"/>
      <c r="E151" s="53"/>
      <c r="F151" s="54"/>
    </row>
    <row r="152">
      <c r="A152" s="670" t="str">
        <f>'MSW13'!A152</f>
        <v>CURRENT MAX</v>
      </c>
      <c r="B152" s="1366">
        <f>'MSW13'!B152</f>
        <v>95</v>
      </c>
      <c r="C152" s="20"/>
      <c r="D152" s="20"/>
      <c r="E152" s="20"/>
      <c r="F152" s="95"/>
    </row>
    <row r="153">
      <c r="A153" s="1071" t="str">
        <f>'MSW13'!A153</f>
        <v>SET</v>
      </c>
      <c r="B153" s="1072" t="str">
        <f>'MSW13'!B153</f>
        <v>WEIGHT</v>
      </c>
      <c r="C153" s="1072" t="str">
        <f>'MSW13'!C153</f>
        <v>REPS</v>
      </c>
      <c r="D153" s="1072" t="str">
        <f>'MSW13'!D153</f>
        <v>REST</v>
      </c>
      <c r="E153" s="1073" t="str">
        <f>'MSW13'!E153</f>
        <v>PREVIOUS</v>
      </c>
      <c r="F153" s="1003" t="str">
        <f>'MSW13'!F153</f>
        <v>REP LOG</v>
      </c>
    </row>
    <row r="154">
      <c r="A154" s="387">
        <f>'MSW13'!A154</f>
        <v>1</v>
      </c>
      <c r="B154" s="388">
        <f>'MSW13'!B154</f>
        <v>95</v>
      </c>
      <c r="C154" s="1360" t="str">
        <f>'MSW13'!C154</f>
        <v>6 - 12</v>
      </c>
      <c r="D154" s="1361" t="str">
        <f>'MSW13'!D154</f>
        <v>1-3 MIN</v>
      </c>
      <c r="E154" s="1362" t="str">
        <f>'MSW13'!E154</f>
        <v/>
      </c>
      <c r="F154" s="85">
        <f>'MSW13'!F154</f>
        <v>10</v>
      </c>
    </row>
    <row r="155">
      <c r="A155" s="387">
        <f>'MSW13'!A155</f>
        <v>2</v>
      </c>
      <c r="B155" s="388">
        <f>'MSW13'!B155</f>
        <v>80</v>
      </c>
      <c r="C155" s="1360" t="str">
        <f>'MSW13'!C155</f>
        <v>6 - 12</v>
      </c>
      <c r="D155" s="1361" t="str">
        <f>'MSW13'!D155</f>
        <v>1-3 MIN</v>
      </c>
      <c r="E155" s="1362" t="str">
        <f>'MSW13'!E155</f>
        <v/>
      </c>
      <c r="F155" s="85">
        <f>'MSW13'!F155</f>
        <v>15</v>
      </c>
    </row>
    <row r="156">
      <c r="A156" s="394">
        <f>'MSW13'!A156</f>
        <v>3</v>
      </c>
      <c r="B156" s="395">
        <f>'MSW13'!B156</f>
        <v>80</v>
      </c>
      <c r="C156" s="1363" t="str">
        <f>'MSW13'!C156</f>
        <v>6 - 12</v>
      </c>
      <c r="D156" s="1364" t="str">
        <f>'MSW13'!D156</f>
        <v>1-3 MIN</v>
      </c>
      <c r="E156" s="1365" t="str">
        <f>'MSW13'!E156</f>
        <v/>
      </c>
      <c r="F156" s="85">
        <f>'MSW13'!F156</f>
        <v>5</v>
      </c>
    </row>
    <row r="157">
      <c r="A157" t="str">
        <f>'MSW13'!A157</f>
        <v/>
      </c>
    </row>
    <row r="159">
      <c r="A159" s="1149" t="str">
        <f>'MSW13'!A159</f>
        <v>WORKOUT COMPLETE!</v>
      </c>
      <c r="B159" s="36"/>
      <c r="C159" s="36"/>
      <c r="D159" s="36"/>
      <c r="E159" s="36"/>
      <c r="F159" s="37"/>
    </row>
    <row r="160">
      <c r="A160" s="623" t="str">
        <f>'MSW13'!A160</f>
        <v/>
      </c>
      <c r="B160" s="623" t="str">
        <f>'MSW13'!B160</f>
        <v/>
      </c>
      <c r="C160" s="623" t="str">
        <f>'MSW13'!C160</f>
        <v/>
      </c>
      <c r="D160" s="623" t="str">
        <f>'MSW13'!D160</f>
        <v/>
      </c>
      <c r="E160" s="1274" t="str">
        <f>'MSW13'!E160</f>
        <v/>
      </c>
      <c r="F160" s="623" t="str">
        <f>'MSW13'!F160</f>
        <v/>
      </c>
    </row>
    <row r="161">
      <c r="A161" s="1275" t="str">
        <f>'MSW13'!A161</f>
        <v>WANT TO LEARN MORE?</v>
      </c>
      <c r="B161" s="25"/>
      <c r="C161" s="25"/>
      <c r="D161" s="25"/>
      <c r="E161" s="25"/>
      <c r="F161" s="26"/>
    </row>
    <row r="162">
      <c r="A162" s="529"/>
      <c r="F162" s="28"/>
    </row>
    <row r="163">
      <c r="A163" s="1276" t="str">
        <f>'MSW13'!A163</f>
        <v/>
      </c>
      <c r="B163" s="999" t="str">
        <f>'MSW13'!B163</f>
        <v/>
      </c>
      <c r="C163" s="1150" t="str">
        <f>'MSW13'!C163</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63" s="28"/>
    </row>
    <row r="164">
      <c r="A164" s="1276" t="str">
        <f>'MSW13'!A164</f>
        <v/>
      </c>
      <c r="B164" s="999" t="str">
        <f>'MSW13'!B164</f>
        <v/>
      </c>
      <c r="F164" s="28"/>
    </row>
    <row r="165">
      <c r="A165" s="1276" t="str">
        <f>'MSW13'!A165</f>
        <v/>
      </c>
      <c r="B165" s="999" t="str">
        <f>'MSW13'!B165</f>
        <v/>
      </c>
      <c r="F165" s="28"/>
    </row>
    <row r="166">
      <c r="A166" s="1276" t="str">
        <f>'MSW13'!A166</f>
        <v/>
      </c>
      <c r="B166" s="999" t="str">
        <f>'MSW13'!B166</f>
        <v/>
      </c>
      <c r="F166" s="28"/>
    </row>
    <row r="167">
      <c r="A167" s="1276" t="str">
        <f>'MSW13'!A167</f>
        <v/>
      </c>
      <c r="B167" s="999" t="str">
        <f>'MSW13'!B167</f>
        <v/>
      </c>
      <c r="F167" s="28"/>
    </row>
    <row r="168">
      <c r="A168" s="1276" t="str">
        <f>'MSW13'!A168</f>
        <v/>
      </c>
      <c r="B168" s="999" t="str">
        <f>'MSW13'!B168</f>
        <v/>
      </c>
      <c r="F168" s="28"/>
    </row>
    <row r="169">
      <c r="A169" s="1277" t="str">
        <f>'MSW13'!A169</f>
        <v/>
      </c>
      <c r="B169" s="999" t="str">
        <f>'MSW13'!B169</f>
        <v/>
      </c>
      <c r="F169" s="28"/>
    </row>
    <row r="170">
      <c r="A170" s="1276" t="str">
        <f>'MSW13'!A170</f>
        <v/>
      </c>
      <c r="B170" s="999" t="str">
        <f>'MSW13'!B170</f>
        <v/>
      </c>
      <c r="F170" s="28"/>
    </row>
    <row r="171">
      <c r="A171" s="1276" t="str">
        <f>'MSW13'!A171</f>
        <v/>
      </c>
      <c r="B171" s="999" t="str">
        <f>'MSW13'!B171</f>
        <v/>
      </c>
      <c r="F171" s="28"/>
    </row>
    <row r="172">
      <c r="A172" s="1278" t="str">
        <f>'MSW13'!A172</f>
        <v/>
      </c>
      <c r="B172" s="999" t="str">
        <f>'MSW13'!B172</f>
        <v/>
      </c>
      <c r="F172" s="28"/>
    </row>
    <row r="173">
      <c r="A173" s="1276" t="str">
        <f>'MSW13'!A173</f>
        <v/>
      </c>
      <c r="B173" s="999" t="str">
        <f>'MSW13'!B173</f>
        <v/>
      </c>
      <c r="F173" s="28"/>
    </row>
    <row r="174">
      <c r="A174" s="1276" t="str">
        <f>'MSW13'!A174</f>
        <v/>
      </c>
      <c r="B174" s="999" t="str">
        <f>'MSW13'!B174</f>
        <v/>
      </c>
      <c r="F174" s="28"/>
    </row>
    <row r="175">
      <c r="A175" s="1276" t="str">
        <f>'MSW13'!A175</f>
        <v/>
      </c>
      <c r="B175" s="999" t="str">
        <f>'MSW13'!B175</f>
        <v/>
      </c>
      <c r="F175" s="28"/>
    </row>
    <row r="176">
      <c r="A176" s="1276" t="str">
        <f>'MSW13'!A176</f>
        <v/>
      </c>
      <c r="B176" s="999" t="str">
        <f>'MSW13'!B176</f>
        <v/>
      </c>
      <c r="F176" s="28"/>
    </row>
    <row r="177">
      <c r="A177" s="1279" t="str">
        <f>'MSW13'!A177</f>
        <v/>
      </c>
      <c r="B177" s="1280" t="str">
        <f>'MSW13'!B177</f>
        <v/>
      </c>
      <c r="C177" s="11"/>
      <c r="D177" s="11"/>
      <c r="E177" s="11"/>
      <c r="F177" s="46"/>
    </row>
  </sheetData>
  <mergeCells count="97">
    <mergeCell ref="A91:F91"/>
    <mergeCell ref="B92:F92"/>
    <mergeCell ref="A71:F71"/>
    <mergeCell ref="A73:F73"/>
    <mergeCell ref="A74:F75"/>
    <mergeCell ref="A76:F76"/>
    <mergeCell ref="B77:F77"/>
    <mergeCell ref="B88:F88"/>
    <mergeCell ref="A89:F90"/>
    <mergeCell ref="A12:F12"/>
    <mergeCell ref="A13:F13"/>
    <mergeCell ref="A15:F15"/>
    <mergeCell ref="A25:F25"/>
    <mergeCell ref="G12:M14"/>
    <mergeCell ref="H15:M15"/>
    <mergeCell ref="G18:G24"/>
    <mergeCell ref="H18:M18"/>
    <mergeCell ref="H19:M19"/>
    <mergeCell ref="I20:M20"/>
    <mergeCell ref="H25:M25"/>
    <mergeCell ref="H118:M118"/>
    <mergeCell ref="H121:M121"/>
    <mergeCell ref="G135:M177"/>
    <mergeCell ref="G37:M98"/>
    <mergeCell ref="H99:M99"/>
    <mergeCell ref="I100:M100"/>
    <mergeCell ref="G105:M109"/>
    <mergeCell ref="H110:M110"/>
    <mergeCell ref="H111:M111"/>
    <mergeCell ref="I112:M112"/>
    <mergeCell ref="A97:F98"/>
    <mergeCell ref="A99:F99"/>
    <mergeCell ref="G99:G101"/>
    <mergeCell ref="B100:F100"/>
    <mergeCell ref="G102:G103"/>
    <mergeCell ref="A105:F106"/>
    <mergeCell ref="A107:F107"/>
    <mergeCell ref="A108:F109"/>
    <mergeCell ref="A110:F110"/>
    <mergeCell ref="G110:G124"/>
    <mergeCell ref="A111:F111"/>
    <mergeCell ref="B112:F112"/>
    <mergeCell ref="A118:F118"/>
    <mergeCell ref="A121:F121"/>
    <mergeCell ref="A16:M17"/>
    <mergeCell ref="A18:F18"/>
    <mergeCell ref="A19:F19"/>
    <mergeCell ref="B20:F20"/>
    <mergeCell ref="A1:M8"/>
    <mergeCell ref="A9:F9"/>
    <mergeCell ref="G9:G11"/>
    <mergeCell ref="H9:M9"/>
    <mergeCell ref="A10:F11"/>
    <mergeCell ref="H10:M10"/>
    <mergeCell ref="A14:F14"/>
    <mergeCell ref="G25:G26"/>
    <mergeCell ref="G27:G29"/>
    <mergeCell ref="A30:M31"/>
    <mergeCell ref="A32:F32"/>
    <mergeCell ref="G32:G36"/>
    <mergeCell ref="H32:M32"/>
    <mergeCell ref="I33:M33"/>
    <mergeCell ref="B33:F33"/>
    <mergeCell ref="A37:F38"/>
    <mergeCell ref="A39:F39"/>
    <mergeCell ref="B40:F40"/>
    <mergeCell ref="A46:F46"/>
    <mergeCell ref="A49:F49"/>
    <mergeCell ref="B52:F52"/>
    <mergeCell ref="A53:F54"/>
    <mergeCell ref="A55:F55"/>
    <mergeCell ref="B56:F56"/>
    <mergeCell ref="A61:F62"/>
    <mergeCell ref="A63:F63"/>
    <mergeCell ref="B64:F64"/>
    <mergeCell ref="A69:F70"/>
    <mergeCell ref="B124:F124"/>
    <mergeCell ref="I124:M124"/>
    <mergeCell ref="A125:M126"/>
    <mergeCell ref="A127:F127"/>
    <mergeCell ref="H127:M127"/>
    <mergeCell ref="I128:M128"/>
    <mergeCell ref="B144:F144"/>
    <mergeCell ref="A149:F150"/>
    <mergeCell ref="A151:F151"/>
    <mergeCell ref="B152:F152"/>
    <mergeCell ref="A157:F158"/>
    <mergeCell ref="A159:F159"/>
    <mergeCell ref="A161:F162"/>
    <mergeCell ref="C163:F177"/>
    <mergeCell ref="G127:G132"/>
    <mergeCell ref="B128:F128"/>
    <mergeCell ref="A133:M134"/>
    <mergeCell ref="A135:F135"/>
    <mergeCell ref="B136:F136"/>
    <mergeCell ref="A141:F142"/>
    <mergeCell ref="A143:F143"/>
  </mergeCells>
  <dataValidations>
    <dataValidation type="decimal" allowBlank="1" showDropDown="1" showInputMessage="1" showErrorMessage="1" prompt="Enter a number between 0 and 30" sqref="F21:F24 M21:M24 F26:F29 M26:M29 F34:F36 M34:M36 F41:F45 F47:F48 F50:F51 F57:F60 F65:F68 F72 F78:F87 F93:F96 F101:F104 M101:M104 F113:F117 M113:M117 F119:F120 M119:M120 F122:F123 M122:M123 F129:F132 M129:M132 F137:F140 F145:F148 F153:F156 F160">
      <formula1>0.0</formula1>
      <formula2>30.0</formula2>
    </dataValidation>
    <dataValidation type="decimal" operator="greaterThan" allowBlank="1" showDropDown="1" showErrorMessage="1" sqref="M11">
      <formula1>0.0</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305" t="s">
        <v>241</v>
      </c>
      <c r="B9" s="36"/>
      <c r="C9" s="36"/>
      <c r="D9" s="36"/>
      <c r="E9" s="36"/>
      <c r="F9" s="37"/>
      <c r="G9" s="987"/>
      <c r="H9" s="24" t="s">
        <v>35</v>
      </c>
      <c r="I9" s="25"/>
      <c r="J9" s="25"/>
      <c r="K9" s="25"/>
      <c r="L9" s="25"/>
      <c r="M9" s="26"/>
    </row>
    <row r="10">
      <c r="A10" s="991" t="str">
        <f>HYPERLINK("https://goo.gl/forms/3ibooB993Hi7SS2d2","PRESS TO RECORD BODY WEIGHT")</f>
        <v>PRESS TO RECORD BODY WEIGHT</v>
      </c>
      <c r="F10" s="28"/>
      <c r="G10" s="987"/>
      <c r="H10" s="147" t="s">
        <v>242</v>
      </c>
      <c r="M10" s="28"/>
    </row>
    <row r="11">
      <c r="A11" s="336"/>
      <c r="B11" s="11"/>
      <c r="C11" s="11"/>
      <c r="D11" s="11"/>
      <c r="E11" s="11"/>
      <c r="F11" s="46"/>
      <c r="G11" s="987"/>
      <c r="H11" s="29" t="s">
        <v>243</v>
      </c>
      <c r="I11" s="30"/>
      <c r="J11" s="30"/>
      <c r="K11" s="30"/>
      <c r="L11" s="30"/>
      <c r="M11" s="31"/>
    </row>
    <row r="12">
      <c r="A12" s="992" t="s">
        <v>69</v>
      </c>
      <c r="B12" s="11"/>
      <c r="C12" s="11"/>
      <c r="D12" s="11"/>
      <c r="E12" s="11"/>
      <c r="F12" s="46"/>
      <c r="G12" s="987"/>
      <c r="H12" s="987"/>
      <c r="I12" s="987"/>
      <c r="J12" s="987"/>
      <c r="K12" s="987"/>
      <c r="L12" s="987"/>
      <c r="M12" s="987"/>
    </row>
    <row r="13">
      <c r="A13" s="1128" t="s">
        <v>190</v>
      </c>
      <c r="B13" s="11"/>
      <c r="C13" s="11"/>
      <c r="D13" s="11"/>
      <c r="E13" s="11"/>
      <c r="F13" s="46"/>
      <c r="G13" s="987"/>
      <c r="H13" s="987"/>
      <c r="I13" s="987"/>
      <c r="J13" s="987"/>
      <c r="K13" s="987"/>
      <c r="L13" s="987"/>
      <c r="M13" s="987"/>
    </row>
    <row r="14">
      <c r="A14" s="994"/>
      <c r="B14" s="994"/>
      <c r="C14" s="994"/>
      <c r="D14" s="994"/>
      <c r="E14" s="994"/>
      <c r="F14" s="995"/>
      <c r="G14" s="987"/>
      <c r="H14" s="989"/>
      <c r="I14" s="989"/>
      <c r="J14" s="989"/>
      <c r="K14" s="989"/>
      <c r="L14" s="989"/>
      <c r="M14" s="989"/>
    </row>
    <row r="15">
      <c r="A15" s="996" t="s">
        <v>47</v>
      </c>
      <c r="B15" s="11"/>
      <c r="C15" s="11"/>
      <c r="D15" s="11"/>
      <c r="E15" s="11"/>
      <c r="F15" s="46"/>
      <c r="G15" s="997"/>
      <c r="H15" s="998" t="s">
        <v>118</v>
      </c>
      <c r="I15" s="11"/>
      <c r="J15" s="11"/>
      <c r="K15" s="11"/>
      <c r="L15" s="11"/>
      <c r="M15" s="46"/>
    </row>
    <row r="16">
      <c r="A16" s="987"/>
      <c r="B16" s="987"/>
      <c r="C16" s="987"/>
      <c r="D16" s="987"/>
      <c r="E16" s="987"/>
      <c r="F16" s="987"/>
      <c r="G16" s="623"/>
      <c r="H16" s="987"/>
      <c r="I16" s="987"/>
      <c r="J16" s="987"/>
      <c r="K16" s="987"/>
      <c r="L16" s="987"/>
      <c r="M16" s="987"/>
    </row>
    <row r="19">
      <c r="A19" s="51" t="s">
        <v>48</v>
      </c>
      <c r="B19" s="36"/>
      <c r="C19" s="36"/>
      <c r="D19" s="36"/>
      <c r="E19" s="36"/>
      <c r="F19" s="37"/>
      <c r="H19" s="51" t="s">
        <v>48</v>
      </c>
      <c r="I19" s="36"/>
      <c r="J19" s="36"/>
      <c r="K19" s="36"/>
      <c r="L19" s="36"/>
      <c r="M19" s="37"/>
      <c r="N19" s="141"/>
      <c r="O19" s="51" t="s">
        <v>48</v>
      </c>
      <c r="P19" s="36"/>
      <c r="Q19" s="36"/>
      <c r="R19" s="36"/>
      <c r="S19" s="36"/>
      <c r="T19" s="37"/>
    </row>
    <row r="20">
      <c r="A20" s="225" t="str">
        <f>HYPERLINK("https://www.youtube.com/watch?v=iLgUDezDMbU","1. BENCH PRESS")</f>
        <v>1. BENCH PRESS</v>
      </c>
      <c r="B20" s="13"/>
      <c r="C20" s="13"/>
      <c r="D20" s="13"/>
      <c r="E20" s="13"/>
      <c r="F20" s="57"/>
      <c r="H20" s="52" t="str">
        <f>HYPERLINK("https://youtu.be/ujVN-A0Z-ic","1. DUMBBELL INCLINE PRESS")</f>
        <v>1. DUMBBELL INCLINE PRESS</v>
      </c>
      <c r="I20" s="53"/>
      <c r="J20" s="53"/>
      <c r="K20" s="53"/>
      <c r="L20" s="53"/>
      <c r="M20" s="54"/>
      <c r="O20" s="52" t="str">
        <f>HYPERLINK("https://youtu.be/75e_H9Vq_Lw","1. MACHINE PRESS")</f>
        <v>1. MACHINE PRESS</v>
      </c>
      <c r="P20" s="53"/>
      <c r="Q20" s="53"/>
      <c r="R20" s="53"/>
      <c r="S20" s="53"/>
      <c r="T20" s="54"/>
    </row>
    <row r="21">
      <c r="A21" s="226" t="s">
        <v>119</v>
      </c>
      <c r="B21" s="227" t="str">
        <f>'WEEK 13'!B20</f>
        <v/>
      </c>
      <c r="C21" s="20"/>
      <c r="D21" s="20"/>
      <c r="E21" s="20"/>
      <c r="F21" s="95"/>
      <c r="H21" s="228" t="s">
        <v>119</v>
      </c>
      <c r="I21" s="229">
        <f>IF('WEEK 8'!B34="",'WEEK 9'!I17,'WEEK 8'!B34)</f>
        <v>100</v>
      </c>
      <c r="J21" s="16"/>
      <c r="K21" s="16"/>
      <c r="L21" s="16"/>
      <c r="M21" s="230"/>
      <c r="O21" s="228" t="s">
        <v>119</v>
      </c>
      <c r="P21" s="229" t="str">
        <f>IF('WEEK 8'!I34="",'WEEK 10'!I20,'WEEK 8'!I34)</f>
        <v/>
      </c>
      <c r="Q21" s="16"/>
      <c r="R21" s="16"/>
      <c r="S21" s="16"/>
      <c r="T21" s="230"/>
    </row>
    <row r="22">
      <c r="A22" s="231" t="s">
        <v>50</v>
      </c>
      <c r="B22" s="232" t="s">
        <v>51</v>
      </c>
      <c r="C22" s="232" t="s">
        <v>52</v>
      </c>
      <c r="D22" s="232" t="s">
        <v>53</v>
      </c>
      <c r="E22" s="233" t="s">
        <v>54</v>
      </c>
      <c r="F22" s="61" t="s">
        <v>55</v>
      </c>
      <c r="H22" s="96" t="s">
        <v>50</v>
      </c>
      <c r="I22" s="97" t="s">
        <v>51</v>
      </c>
      <c r="J22" s="97" t="s">
        <v>52</v>
      </c>
      <c r="K22" s="97" t="s">
        <v>53</v>
      </c>
      <c r="L22" s="98" t="s">
        <v>54</v>
      </c>
      <c r="M22" s="235" t="s">
        <v>55</v>
      </c>
      <c r="O22" s="96" t="s">
        <v>50</v>
      </c>
      <c r="P22" s="97" t="s">
        <v>51</v>
      </c>
      <c r="Q22" s="97" t="s">
        <v>52</v>
      </c>
      <c r="R22" s="97" t="s">
        <v>53</v>
      </c>
      <c r="S22" s="98" t="s">
        <v>54</v>
      </c>
      <c r="T22" s="235" t="s">
        <v>55</v>
      </c>
    </row>
    <row r="23">
      <c r="A23" s="236">
        <v>1.0</v>
      </c>
      <c r="B23" s="237">
        <f>IF( 'WEEK 14'!B21&lt;125,45,mround('WEEK 14'!B21*0.35,5))</f>
        <v>0</v>
      </c>
      <c r="C23" s="237">
        <v>6.0</v>
      </c>
      <c r="D23" s="238" t="s">
        <v>120</v>
      </c>
      <c r="E23" s="66" t="str">
        <f>IF('WEEK 14'!B23='WEEK 11'!B23,'WEEK 11'!F23,"")</f>
        <v/>
      </c>
      <c r="F23" s="67">
        <v>6.0</v>
      </c>
      <c r="H23" s="244">
        <v>1.0</v>
      </c>
      <c r="I23" s="241">
        <f>mround('WEEK 14'!I21*0.35,5)</f>
        <v>35</v>
      </c>
      <c r="J23" s="63">
        <v>6.0</v>
      </c>
      <c r="K23" s="83" t="s">
        <v>127</v>
      </c>
      <c r="L23" s="66" t="str">
        <f>IF('WEEK 14'!I23='WEEK 11'!I23,'WEEK 11'!M23,"")</f>
        <v/>
      </c>
      <c r="M23" s="85"/>
      <c r="O23" s="244">
        <v>1.0</v>
      </c>
      <c r="P23" s="241">
        <f>mround('WEEK 14'!P21*0.35,5)</f>
        <v>0</v>
      </c>
      <c r="Q23" s="63">
        <v>6.0</v>
      </c>
      <c r="R23" s="83" t="s">
        <v>127</v>
      </c>
      <c r="S23" s="66" t="str">
        <f>IF('WEEK 14'!P23='WEEK 11'!P23,'WEEK 11'!T23,"")</f>
        <v/>
      </c>
      <c r="T23" s="85">
        <v>6.0</v>
      </c>
    </row>
    <row r="24">
      <c r="A24" s="236">
        <v>2.0</v>
      </c>
      <c r="B24" s="237">
        <f>mround('WEEK 14'!B21*0.8,5)</f>
        <v>0</v>
      </c>
      <c r="C24" s="237">
        <v>1.0</v>
      </c>
      <c r="D24" s="238" t="s">
        <v>121</v>
      </c>
      <c r="E24" s="66" t="str">
        <f>IF('WEEK 14'!B24='WEEK 11'!B24,'WEEK 11'!F24,"")</f>
        <v/>
      </c>
      <c r="F24" s="67">
        <v>1.0</v>
      </c>
      <c r="G24" s="1129" t="s">
        <v>191</v>
      </c>
      <c r="H24" s="240">
        <v>2.0</v>
      </c>
      <c r="I24" s="241">
        <f>mround('WEEK 14'!I21*0.65,5)</f>
        <v>65</v>
      </c>
      <c r="J24" s="241">
        <v>1.0</v>
      </c>
      <c r="K24" s="83" t="s">
        <v>127</v>
      </c>
      <c r="L24" s="66" t="str">
        <f>IF('WEEK 14'!I24='WEEK 11'!I24,'WEEK 11'!M24,"")</f>
        <v/>
      </c>
      <c r="M24" s="85"/>
      <c r="O24" s="240">
        <v>2.0</v>
      </c>
      <c r="P24" s="241">
        <f>mround('WEEK 14'!P21*0.65,5)</f>
        <v>0</v>
      </c>
      <c r="Q24" s="241">
        <v>1.0</v>
      </c>
      <c r="R24" s="83" t="s">
        <v>127</v>
      </c>
      <c r="S24" s="66" t="str">
        <f>IF('WEEK 14'!P24='WEEK 11'!P24,'WEEK 11'!T24,"")</f>
        <v/>
      </c>
      <c r="T24" s="85">
        <v>1.0</v>
      </c>
    </row>
    <row r="25">
      <c r="A25" s="242">
        <v>3.0</v>
      </c>
      <c r="B25" s="237">
        <f>mround('WEEK 14'!B21*0.9,5)</f>
        <v>0</v>
      </c>
      <c r="C25" s="82">
        <v>1.0</v>
      </c>
      <c r="D25" s="238" t="s">
        <v>121</v>
      </c>
      <c r="E25" s="66" t="str">
        <f>IF('WEEK 14'!B25='WEEK 11'!B25,'WEEK 11'!F25,"")</f>
        <v/>
      </c>
      <c r="F25" s="67">
        <v>1.0</v>
      </c>
      <c r="H25" s="240">
        <v>3.0</v>
      </c>
      <c r="I25" s="241">
        <f>mround('WEEK 14'!I21*0.85,5)</f>
        <v>85</v>
      </c>
      <c r="J25" s="63">
        <v>1.0</v>
      </c>
      <c r="K25" s="83" t="s">
        <v>127</v>
      </c>
      <c r="L25" s="66" t="str">
        <f>IF('WEEK 14'!I25='WEEK 11'!I25,'WEEK 11'!M25,"")</f>
        <v/>
      </c>
      <c r="M25" s="85"/>
      <c r="O25" s="240">
        <v>3.0</v>
      </c>
      <c r="P25" s="241">
        <f>mround('WEEK 14'!P21*0.85,5)</f>
        <v>0</v>
      </c>
      <c r="Q25" s="241">
        <v>1.0</v>
      </c>
      <c r="R25" s="83" t="s">
        <v>127</v>
      </c>
      <c r="S25" s="66" t="str">
        <f>IF('WEEK 14'!P25='WEEK 11'!P25,'WEEK 11'!T25,"")</f>
        <v/>
      </c>
      <c r="T25" s="85">
        <v>1.0</v>
      </c>
    </row>
    <row r="26">
      <c r="A26" s="243">
        <v>4.0</v>
      </c>
      <c r="B26" s="237" t="str">
        <f>'WEEK 14'!B21</f>
        <v/>
      </c>
      <c r="C26" s="175">
        <v>1.0</v>
      </c>
      <c r="D26" s="238" t="s">
        <v>122</v>
      </c>
      <c r="E26" s="66" t="str">
        <f>IF('WEEK 14'!B26='WEEK 11'!B26,'WEEK 11'!F26,"")</f>
        <v/>
      </c>
      <c r="F26" s="67">
        <v>1.0</v>
      </c>
      <c r="H26" s="240">
        <v>4.0</v>
      </c>
      <c r="I26" s="241">
        <f>mround('WEEK 14'!I21*1,5)</f>
        <v>100</v>
      </c>
      <c r="J26" s="245" t="s">
        <v>65</v>
      </c>
      <c r="K26" s="83" t="s">
        <v>127</v>
      </c>
      <c r="L26" s="66" t="str">
        <f>IF('WEEK 14'!I26='WEEK 11'!I26,'WEEK 11'!M26,"")</f>
        <v/>
      </c>
      <c r="M26" s="85"/>
      <c r="O26" s="240">
        <v>4.0</v>
      </c>
      <c r="P26" s="241">
        <f>mround('WEEK 14'!P21*1,5)</f>
        <v>0</v>
      </c>
      <c r="Q26" s="245" t="s">
        <v>65</v>
      </c>
      <c r="R26" s="83" t="s">
        <v>127</v>
      </c>
      <c r="S26" s="66" t="str">
        <f>IF('WEEK 14'!P26='WEEK 11'!P26,'WEEK 11'!T26,"")</f>
        <v/>
      </c>
      <c r="T26" s="85">
        <v>8.0</v>
      </c>
    </row>
    <row r="27">
      <c r="A27" s="246" t="str">
        <f>IF('WEEK 14'!F26&lt;1,"PROCEED TO DOWN SETS","NEW 1 REP MAX ATTEMPT")</f>
        <v>PROCEED TO DOWN SETS</v>
      </c>
      <c r="B27" s="20"/>
      <c r="C27" s="20"/>
      <c r="D27" s="20"/>
      <c r="E27" s="20"/>
      <c r="F27" s="95"/>
      <c r="H27" s="248" t="str">
        <f>IF(OR(ISBLANK('WEEK 14'!M26),ISBLANK('WEEK 14'!M25),ISBLANK('WEEK 14'!M24)),"PROCEED TO DOWNSETS",if('WEEK 14'!M26&gt;=6,"NEW 4 REP MAX ATTEMPT","PROCEED TO DOWN SETS"))</f>
        <v>PROCEED TO DOWNSETS</v>
      </c>
      <c r="M27" s="28"/>
      <c r="N27" s="247" t="s">
        <v>123</v>
      </c>
      <c r="O27" s="248" t="str">
        <f>IF(OR(ISBLANK('WEEK 14'!T26),ISBLANK('WEEK 14'!T25),ISBLANK('WEEK 14'!T24)),"PROCEED TO DOWNSETS",if('WEEK 14'!T26&gt;=6,"NEW 4 REP MAX ATTEMPT","PROCEED TO DOWN SETS"))</f>
        <v>PROCEED TO DOWNSETS</v>
      </c>
      <c r="T27" s="28"/>
    </row>
    <row r="28">
      <c r="A28" s="249" t="str">
        <f>if('WEEK 14'!F26&lt;1,"",5)</f>
        <v/>
      </c>
      <c r="B28" s="175" t="str">
        <f>IF('WEEK 14'!F26&lt;1,"",'WEEK 14'!B26+5)</f>
        <v/>
      </c>
      <c r="C28" s="238" t="str">
        <f>if('WEEK 14'!F26&lt;1,"",1)</f>
        <v/>
      </c>
      <c r="D28" s="238" t="str">
        <f>if('WEEK 14'!F26&lt;1,"","1-5 MIN")</f>
        <v/>
      </c>
      <c r="E28" s="66" t="str">
        <f>IF('WEEK 14'!B28='WEEK 11'!B28,'WEEK 11'!F28,"")</f>
        <v/>
      </c>
      <c r="F28" s="67"/>
      <c r="H28" s="251" t="str">
        <f>IF(OR(ISBLANK('WEEK 14'!M26),ISBLANK('WEEK 14'!M25),ISBLANK('WEEK 14'!M24)),"",IF('WEEK 14'!M26&gt;=6,5,""))</f>
        <v/>
      </c>
      <c r="I28" s="252" t="str">
        <f>IF(OR(ISBLANK('WEEK 14'!M26),ISBLANK('WEEK 14'!M25),ISBLANK('WEEK 14'!M24)),"",IF('WEEK 14'!M26&gt;=6,'WEEK 14'!I21+5,""))</f>
        <v/>
      </c>
      <c r="J28" s="253" t="str">
        <f>IF(OR(ISBLANK('WEEK 14'!M26),ISBLANK('WEEK 14'!M25),ISBLANK('WEEK 14'!M24)),"",IF('WEEK 14'!M26&gt;=6,"REP OUT",""))</f>
        <v/>
      </c>
      <c r="K28" s="254" t="str">
        <f>IF(OR(ISBLANK('WEEK 14'!M26),ISBLANK('WEEK 14'!M25),ISBLANK('WEEK 14'!M24)),"",IF('WEEK 14'!M26&gt;5,"1-3 MIN",""))</f>
        <v/>
      </c>
      <c r="L28" s="66" t="str">
        <f>IF('WEEK 14'!I28='WEEK 11'!I28,'WEEK 11'!M28,"")</f>
        <v/>
      </c>
      <c r="M28" s="67"/>
      <c r="O28" s="251" t="str">
        <f>IF(OR(ISBLANK('WEEK 14'!T26),ISBLANK('WEEK 14'!T25),ISBLANK('WEEK 14'!T24)),"",IF('WEEK 14'!T26&gt;=6,5,""))</f>
        <v/>
      </c>
      <c r="P28" s="252" t="str">
        <f>IF(OR(ISBLANK('WEEK 14'!T26),ISBLANK('WEEK 14'!T25),ISBLANK('WEEK 14'!T24)),"",IF('WEEK 14'!T26&gt;=6,'WEEK 14'!P21+5,""))</f>
        <v/>
      </c>
      <c r="Q28" s="253" t="str">
        <f>IF(OR(ISBLANK('WEEK 14'!T26),ISBLANK('WEEK 14'!T25),ISBLANK('WEEK 14'!T24)),"",IF('WEEK 14'!T26&gt;=6,"REP OUT",""))</f>
        <v/>
      </c>
      <c r="R28" s="254" t="str">
        <f>IF(OR(ISBLANK('WEEK 14'!T26),ISBLANK('WEEK 14'!T25),ISBLANK('WEEK 14'!T24)),"",IF('WEEK 14'!T26&gt;5,"1-3 MIN",""))</f>
        <v/>
      </c>
      <c r="S28" s="66" t="str">
        <f>IF('WEEK 14'!P28='WEEK 11'!P28,'WEEK 11'!T28,"")</f>
        <v/>
      </c>
      <c r="T28" s="665">
        <v>4.0</v>
      </c>
    </row>
    <row r="29">
      <c r="A29" s="256" t="str">
        <f>IF('WEEK 14'!F28&lt;1,"","6")</f>
        <v/>
      </c>
      <c r="B29" s="237" t="str">
        <f>IF('WEEK 14'!F28&lt;1,"",'WEEK 14'!B28+5)</f>
        <v/>
      </c>
      <c r="C29" s="257" t="str">
        <f>IF('WEEK 14'!F28&lt;1,"","1")</f>
        <v/>
      </c>
      <c r="D29" s="257" t="str">
        <f>IF('WEEK 14'!F28&lt;1,"","1-5 MIN")</f>
        <v/>
      </c>
      <c r="E29" s="66" t="str">
        <f>IF('WEEK 14'!B29='WEEK 11'!B29,'WEEK 11'!F29,"")</f>
        <v/>
      </c>
      <c r="F29" s="67"/>
      <c r="H29" s="260" t="str">
        <f>IF(OR(ISBLANK('WEEK 14'!M26),ISBLANK('WEEK 14'!M25),ISBLANK('WEEK 14'!M24)),"FILL OUT REP LOG FIRST","DOWN SETS")</f>
        <v>FILL OUT REP LOG FIRST</v>
      </c>
      <c r="I29" s="16"/>
      <c r="J29" s="16"/>
      <c r="K29" s="16"/>
      <c r="L29" s="16"/>
      <c r="M29" s="230"/>
      <c r="N29" s="141"/>
      <c r="O29" s="260" t="str">
        <f>IF(OR(ISBLANK('WEEK 14'!T26),ISBLANK('WEEK 14'!T25),ISBLANK('WEEK 14'!T24)),"FILL OUT REP LOG FIRST","DOWN SETS")</f>
        <v>FILL OUT REP LOG FIRST</v>
      </c>
      <c r="P29" s="16"/>
      <c r="Q29" s="16"/>
      <c r="R29" s="16"/>
      <c r="S29" s="16"/>
      <c r="T29" s="230"/>
    </row>
    <row r="30">
      <c r="A30" s="246" t="str">
        <f>IF(OR(ISBLANK('WEEK 14'!F26),ISBLANK('WEEK 14'!F25),ISBLANK('WEEK 14'!F24)),"FILL OUT REP LOG FOR DOWN SETS","DOWN SETS")</f>
        <v>FILL OUT REP LOG FOR DOWN SETS</v>
      </c>
      <c r="B30" s="20"/>
      <c r="C30" s="20"/>
      <c r="D30" s="20"/>
      <c r="E30" s="20"/>
      <c r="F30" s="95"/>
      <c r="H30" s="91" t="str">
        <f>IF('WEEK 14'!M28&gt;=4,"",IF(OR(ISBLANK('WEEK 14'!M26),ISBLANK('WEEK 14'!M25),ISBLANK('WEEK 14'!M24)),"",IF('WEEK 14'!M26&gt;5,6,5)))</f>
        <v/>
      </c>
      <c r="I30" s="261" t="str">
        <f>IF('WEEK 14'!M28&gt;=4,"",IF(OR(ISBLANK('WEEK 14'!M26),ISBLANK('WEEK 14'!M25),ISBLANK('WEEK 14'!M24)),"",IF('WEEK 14'!M26&lt;6,mround('WEEK 14'!I21*0.8,5),IF('WEEK 14'!M26&lt;10,mround('WEEK 14'!I21*0.93,5),mround('WEEK 14'!I21*0.7,5)))))</f>
        <v/>
      </c>
      <c r="J30" s="262" t="str">
        <f>IF('WEEK 14'!M28&gt;=4,"",IF(OR(ISBLANK('WEEK 14'!M26),ISBLANK('WEEK 14'!M25),ISBLANK('WEEK 14'!M24)),"","REP OUT"))</f>
        <v/>
      </c>
      <c r="K30" s="65" t="str">
        <f>IF('WEEK 14'!M28&gt;=4,"",IF(OR(ISBLANK('WEEK 14'!M26),ISBLANK('WEEK 14'!M25),ISBLANK('WEEK 14'!M24)),"","1-3 MIN"))</f>
        <v/>
      </c>
      <c r="L30" s="66" t="str">
        <f>IF('WEEK 14'!I30='WEEK 11'!I30,'WEEK 11'!M30,"")</f>
        <v/>
      </c>
      <c r="M30" s="263"/>
      <c r="O30" s="91" t="str">
        <f>IF('WEEK 14'!T28&gt;=4,"",IF(OR(ISBLANK('WEEK 14'!T26),ISBLANK('WEEK 14'!T25),ISBLANK('WEEK 14'!T24)),"",IF('WEEK 14'!T26&gt;5,6,5)))</f>
        <v/>
      </c>
      <c r="P30" s="261" t="str">
        <f>IF('WEEK 14'!T28&gt;=4,"",IF(OR(ISBLANK('WEEK 14'!T26),ISBLANK('WEEK 14'!T25),ISBLANK('WEEK 14'!T24)),"",IF('WEEK 14'!T26&lt;6,mround('WEEK 14'!P21*0.8,5),IF('WEEK 14'!T26&lt;10,mround('WEEK 14'!P21*0.93,5),mround('WEEK 14'!P21*0.7,5)))))</f>
        <v/>
      </c>
      <c r="Q30" s="262" t="str">
        <f>IF('WEEK 14'!T28&gt;=4,"",IF(OR(ISBLANK('WEEK 14'!T26),ISBLANK('WEEK 14'!T25),ISBLANK('WEEK 14'!T24)),"","REP OUT"))</f>
        <v/>
      </c>
      <c r="R30" s="65" t="str">
        <f>IF('WEEK 14'!T28&gt;=4,"",IF(OR(ISBLANK('WEEK 14'!T26),ISBLANK('WEEK 14'!T25),ISBLANK('WEEK 14'!T24)),"","1-3 MIN"))</f>
        <v/>
      </c>
      <c r="S30" s="66" t="str">
        <f>IF('WEEK 14'!P30='WEEK 11'!P30,'WEEK 11'!T30,"")</f>
        <v/>
      </c>
      <c r="T30" s="263"/>
    </row>
    <row r="31">
      <c r="A31" s="264" t="str">
        <f>IF(OR(ISBLANK('WEEK 14'!F26),ISBLANK('WEEK 14'!F25),ISBLANK('WEEK 14'!F24)),"",IF((AND('WEEK 14'!A28="",'WEEK 14'!A29="")),5,IF((AND('WEEK 14'!A28&gt;1,'WEEK 14'!A29="")),6,7)))</f>
        <v/>
      </c>
      <c r="B31" s="265" t="str">
        <f>IF(OR(ISBLANK('WEEK 14'!F26),ISBLANK('WEEK 14'!F25),ISBLANK('WEEK 14'!F24)),"",MROUND('WEEK 14'!B33*0.9,5))</f>
        <v/>
      </c>
      <c r="C31" s="266" t="str">
        <f>IF(OR(ISBLANK('WEEK 14'!F26),ISBLANK('WEEK 14'!F25),ISBLANK('WEEK 14'!F24)),"","REP OUT")</f>
        <v/>
      </c>
      <c r="D31" s="267" t="str">
        <f>IF(OR(ISBLANK('WEEK 14'!F26),ISBLANK('WEEK 14'!F25),ISBLANK('WEEK 14'!F24)),"","1-3 MIN")</f>
        <v/>
      </c>
      <c r="E31" s="66" t="str">
        <f>IF('WEEK 14'!B31='WEEK 11'!B31,'WEEK 11'!F31,"")</f>
        <v/>
      </c>
      <c r="F31" s="67"/>
      <c r="H31" s="269" t="str">
        <f>IF('WEEK 14'!M28&gt;=4,"",IF(OR(ISBLANK('WEEK 14'!M26),ISBLANK('WEEK 14'!M25),ISBLANK('WEEK 14'!M24)),"",IF('WEEK 14'!M26&gt;5,7,6)))</f>
        <v/>
      </c>
      <c r="I31" s="254" t="str">
        <f>IF('WEEK 14'!M28&gt;=4,"",IF(OR(ISBLANK('WEEK 14'!M26),ISBLANK('WEEK 14'!M25),ISBLANK('WEEK 14'!M24)),"",IF('WEEK 14'!M26&lt;6,mround('WEEK 14'!I21*0.65,5),IF('WEEK 14'!M26&lt;10,mround('WEEK 14'!I21*0.7,5),mround('WEEK 14'!I21*0.65,5)))))</f>
        <v/>
      </c>
      <c r="J31" s="253" t="str">
        <f>IF('WEEK 14'!M28&gt;=4,"",IF(OR(ISBLANK('WEEK 14'!M26),ISBLANK('WEEK 14'!M25),ISBLANK('WEEK 14'!M24)),"","REP OUT"))</f>
        <v/>
      </c>
      <c r="K31" s="65" t="str">
        <f>IF('WEEK 14'!M28&gt;=4,"",IF(OR(ISBLANK('WEEK 14'!M26),ISBLANK('WEEK 14'!M25),ISBLANK('WEEK 14'!M24)),"","1-3 MIN"))</f>
        <v/>
      </c>
      <c r="L31" s="66" t="str">
        <f>IF('WEEK 14'!I31='WEEK 11'!I31,'WEEK 11'!M31,"")</f>
        <v/>
      </c>
      <c r="M31" s="270"/>
      <c r="O31" s="269" t="str">
        <f>IF('WEEK 14'!T28&gt;=4,"",IF(OR(ISBLANK('WEEK 14'!T26),ISBLANK('WEEK 14'!T25),ISBLANK('WEEK 14'!T24)),"",IF('WEEK 14'!T26&gt;5,7,6)))</f>
        <v/>
      </c>
      <c r="P31" s="254" t="str">
        <f>IF('WEEK 14'!T28&gt;=4,"",IF(OR(ISBLANK('WEEK 14'!T26),ISBLANK('WEEK 14'!T25),ISBLANK('WEEK 14'!T24)),"",IF('WEEK 14'!T26&lt;6,mround('WEEK 14'!P21*0.65,5),IF('WEEK 14'!T26&lt;10,mround('WEEK 14'!P21*0.7,5),mround('WEEK 14'!P21*0.65,5)))))</f>
        <v/>
      </c>
      <c r="Q31" s="253" t="str">
        <f>IF('WEEK 14'!T28&gt;=4,"",IF(OR(ISBLANK('WEEK 14'!T26),ISBLANK('WEEK 14'!T25),ISBLANK('WEEK 14'!T24)),"","REP OUT"))</f>
        <v/>
      </c>
      <c r="R31" s="65" t="str">
        <f>IF('WEEK 14'!T28&gt;=4,"",IF(OR(ISBLANK('WEEK 14'!T26),ISBLANK('WEEK 14'!T25),ISBLANK('WEEK 14'!T24)),"","1 MIN"))</f>
        <v/>
      </c>
      <c r="S31" s="66" t="str">
        <f>IF('WEEK 14'!P31='WEEK 11'!P31,'WEEK 11'!T31,"")</f>
        <v/>
      </c>
      <c r="T31" s="270"/>
    </row>
    <row r="32">
      <c r="A32" s="243" t="str">
        <f>IF(OR(ISBLANK('WEEK 14'!F26),ISBLANK('WEEK 14'!F25),ISBLANK('WEEK 14'!F24)),"",IF((AND('WEEK 14'!A28="",'WEEK 14'!A29="")),6,IF((AND('WEEK 14'!A28&gt;1,'WEEK 14'!A29="")),7,8)))</f>
        <v/>
      </c>
      <c r="B32" s="237" t="str">
        <f>IF(OR(ISBLANK('WEEK 14'!F26),ISBLANK('WEEK 14'!F25),ISBLANK('WEEK 14'!F24)),"",mround('WEEK 14'!B33*0.78,5))</f>
        <v/>
      </c>
      <c r="C32" s="245" t="str">
        <f>IF(OR(ISBLANK('WEEK 14'!F26),ISBLANK('WEEK 14'!F25),ISBLANK('WEEK 14'!F24)),"","REP OUT")</f>
        <v/>
      </c>
      <c r="D32" s="65" t="str">
        <f>IF(OR(ISBLANK('WEEK 14'!F26),ISBLANK('WEEK 14'!F25),ISBLANK('WEEK 14'!F24)),"","1-3 MIN")</f>
        <v/>
      </c>
      <c r="E32" s="66" t="str">
        <f>IF('WEEK 14'!B32='WEEK 11'!B32,'WEEK 11'!F32,"")</f>
        <v/>
      </c>
      <c r="F32" s="271"/>
      <c r="H32" s="269" t="str">
        <f>IF('WEEK 14'!M28&lt;4,"",IF(OR(ISBLANK('WEEK 14'!M26),ISBLANK('WEEK 14'!M25),ISBLANK('WEEK 14'!M24)),"",IF('WEEK 14'!M28&gt;3,6,5)))</f>
        <v/>
      </c>
      <c r="I32" s="254" t="str">
        <f>IF('WEEK 14'!M28&lt;4,"",IF(OR(ISBLANK('WEEK 14'!M26),ISBLANK('WEEK 14'!M25),ISBLANK('WEEK 14'!M24)),"",IF('WEEK 14'!M28&lt;6,mround('WEEK 14'!I34*0.7,5),IF('WEEK 14'!M28&lt;10,mround('WEEK 14'!I34*0.8,5),mround(I34*0.93,5)))))</f>
        <v/>
      </c>
      <c r="J32" s="253" t="str">
        <f>IF('WEEK 14'!M28&lt;4,"",IF(OR(ISBLANK('WEEK 14'!M26),ISBLANK('WEEK 14'!M25),ISBLANK('WEEK 14'!M24)),"","REP OUT"))</f>
        <v/>
      </c>
      <c r="K32" s="65" t="str">
        <f>IF('WEEK 14'!M28&lt;4,"",IF(OR(ISBLANK('WEEK 14'!M26),ISBLANK('WEEK 14'!M25),ISBLANK('WEEK 14'!M24)),"","1-3 MIN"))</f>
        <v/>
      </c>
      <c r="L32" s="66" t="str">
        <f>IF('WEEK 14'!I32='WEEK 11'!I32,'WEEK 11'!M32,"")</f>
        <v/>
      </c>
      <c r="M32" s="270"/>
      <c r="N32" s="141"/>
      <c r="O32" s="269" t="str">
        <f>IF('WEEK 14'!T28&lt;4,"",IF(OR(ISBLANK('WEEK 14'!T26),ISBLANK('WEEK 14'!T25),ISBLANK('WEEK 14'!T24)),"",IF('WEEK 14'!T28&gt;3,6,5)))</f>
        <v/>
      </c>
      <c r="P32" s="254" t="str">
        <f>IF('WEEK 14'!T28&lt;4,"",IF(OR(ISBLANK('WEEK 14'!T26),ISBLANK('WEEK 14'!T25),ISBLANK('WEEK 14'!T24)),"",IF('WEEK 14'!T28&lt;6,mround('WEEK 14'!P34*0.7,5),IF('WEEK 14'!T28&lt;10,mround('WEEK 14'!P34*0.8,5),mround(P34*0.93,5)))))</f>
        <v/>
      </c>
      <c r="Q32" s="253" t="str">
        <f>IF('WEEK 14'!T28&lt;4,"",IF(OR(ISBLANK('WEEK 14'!T26),ISBLANK('WEEK 14'!T25),ISBLANK('WEEK 14'!T24)),"","REP OUT"))</f>
        <v/>
      </c>
      <c r="R32" s="65" t="str">
        <f>IF('WEEK 14'!T28&lt;4,"",IF(OR(ISBLANK('WEEK 14'!T26),ISBLANK('WEEK 14'!T25),ISBLANK('WEEK 14'!T24)),"","1-3 MIN"))</f>
        <v/>
      </c>
      <c r="S32" s="66" t="str">
        <f>IF('WEEK 14'!P32='WEEK 11'!P32,'WEEK 11'!T32,"")</f>
        <v/>
      </c>
      <c r="T32" s="263"/>
    </row>
    <row r="33">
      <c r="A33" s="272" t="s">
        <v>124</v>
      </c>
      <c r="B33" s="273" t="str">
        <f>IF(OR(ISBLANK('WEEK 14'!F26),ISBLANK('WEEK 14'!F25),ISBLANK('WEEK 14'!F24)),"",IF('WEEK 14'!F29&gt;=1,'WEEK 14'!B29,IF('WEEK 14'!F28&gt;=1,'WEEK 14'!B28,IF('WEEK 14'!F26&lt;1,'WEEK 14'!B26-5,'WEEK 14'!B26))))</f>
        <v/>
      </c>
      <c r="C33" s="11"/>
      <c r="D33" s="11"/>
      <c r="E33" s="11"/>
      <c r="F33" s="46"/>
      <c r="H33" s="269" t="str">
        <f>IF('WEEK 14'!M28&lt;4,"",IF(OR(ISBLANK('WEEK 14'!M26),ISBLANK('WEEK 14'!M25),ISBLANK('WEEK 14'!M24)),"",IF('WEEK 14'!M28&gt;3,7,"")))</f>
        <v/>
      </c>
      <c r="I33" s="254" t="str">
        <f>IF('WEEK 14'!M28&lt;4,"",IF(OR(ISBLANK('WEEK 14'!M26),ISBLANK('WEEK 14'!M25),ISBLANK('WEEK 14'!M24)),"",IF('WEEK 14'!M28&lt;6,mround('WEEK 14'!I34*0.65,5),IF('WEEK 14'!M28&lt;10,mround('WEEK 14'!I34*0.7,5),mround(I34*0.75,5)))))</f>
        <v/>
      </c>
      <c r="J33" s="253" t="str">
        <f>IF('WEEK 14'!M28&lt;4,"",IF(OR(ISBLANK('WEEK 14'!M26),ISBLANK('WEEK 14'!M25),ISBLANK('WEEK 14'!M24)),"","REP OUT"))</f>
        <v/>
      </c>
      <c r="K33" s="65" t="str">
        <f>IF('WEEK 14'!M28&lt;4,"",IF(OR(ISBLANK('WEEK 14'!M26),ISBLANK('WEEK 14'!M25),ISBLANK('WEEK 14'!M24)),"","1-3 MIN"))</f>
        <v/>
      </c>
      <c r="L33" s="66" t="str">
        <f>IF('WEEK 14'!I33='WEEK 11'!I33,'WEEK 11'!M33,"")</f>
        <v/>
      </c>
      <c r="M33" s="270"/>
      <c r="N33" s="141"/>
      <c r="O33" s="269" t="str">
        <f>IF('WEEK 14'!T28&lt;4,"",IF(OR(ISBLANK('WEEK 14'!T26),ISBLANK('WEEK 14'!T25),ISBLANK('WEEK 14'!T24)),"",IF('WEEK 14'!T28&gt;3,7,"")))</f>
        <v/>
      </c>
      <c r="P33" s="254" t="str">
        <f>IF('WEEK 14'!T28&lt;4,"",IF(OR(ISBLANK('WEEK 14'!T26),ISBLANK('WEEK 14'!T25),ISBLANK('WEEK 14'!T24)),"",IF('WEEK 14'!T28&lt;6,mround('WEEK 14'!P34*0.65,5),IF('WEEK 14'!T28&lt;10,mround('WEEK 14'!P34*0.7,5),mround(P34*0.75,5)))))</f>
        <v/>
      </c>
      <c r="Q33" s="253" t="str">
        <f>IF('WEEK 14'!T28&lt;4,"",IF(OR(ISBLANK('WEEK 14'!T26),ISBLANK('WEEK 14'!T25),ISBLANK('WEEK 14'!T24)),"","REP OUT"))</f>
        <v/>
      </c>
      <c r="R33" s="65" t="str">
        <f>IF('WEEK 14'!T28&lt;4,"",IF(OR(ISBLANK('WEEK 14'!T26),ISBLANK('WEEK 14'!T25),ISBLANK('WEEK 14'!T24)),"","1-3 MIN"))</f>
        <v/>
      </c>
      <c r="S33" s="66" t="str">
        <f>IF('WEEK 14'!P33='WEEK 11'!P33,'WEEK 11'!T33,"")</f>
        <v/>
      </c>
      <c r="T33" s="263"/>
    </row>
    <row r="34">
      <c r="H34" s="280" t="s">
        <v>124</v>
      </c>
      <c r="I34" s="273" t="str">
        <f>IF(OR(ISBLANK('WEEK 14'!M24),ISBLANK('WEEK 14'!M25),ISBLANK('WEEK 14'!M26)),"",IF('WEEK 14'!M28&gt;=4,'WEEK 14'!I28,IF('WEEK 14'!M26&lt;=3,'WEEK 14'!I26-5,'WEEK 14'!I26)))</f>
        <v/>
      </c>
      <c r="J34" s="11"/>
      <c r="K34" s="11"/>
      <c r="L34" s="11"/>
      <c r="M34" s="46"/>
      <c r="N34" s="141"/>
      <c r="O34" s="280" t="s">
        <v>124</v>
      </c>
      <c r="P34" s="273" t="str">
        <f>IF(OR(ISBLANK('WEEK 14'!T24),ISBLANK('WEEK 14'!T25),ISBLANK('WEEK 14'!T26)),"",IF('WEEK 14'!T28&gt;=4,'WEEK 14'!P28,IF('WEEK 14'!T26&lt;=3,'WEEK 14'!P26-5,'WEEK 14'!P26)))</f>
        <v/>
      </c>
      <c r="Q34" s="11"/>
      <c r="R34" s="11"/>
      <c r="S34" s="11"/>
      <c r="T34" s="46"/>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228</v>
      </c>
      <c r="B38" s="548" t="str">
        <f>IF('WEEK 14'!I34="",'WEEK 12'!B34,'WEEK 14'!I34)</f>
        <v/>
      </c>
      <c r="C38" s="13"/>
      <c r="D38" s="13"/>
      <c r="E38" s="13"/>
      <c r="F38" s="57"/>
      <c r="H38" s="226" t="s">
        <v>228</v>
      </c>
      <c r="I38" s="548" t="str">
        <f>'WEEK 14'!B38</f>
        <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14'!B38*0.29,2.5)</f>
        <v>0</v>
      </c>
      <c r="C40" s="241">
        <v>15.0</v>
      </c>
      <c r="D40" s="83" t="s">
        <v>127</v>
      </c>
      <c r="E40" s="84" t="str">
        <f>IF('WEEK 10'!B40='WEEK 7'!B40,'WEEK 10'!F40,"")</f>
        <v/>
      </c>
      <c r="F40" s="85"/>
      <c r="H40" s="240">
        <v>1.0</v>
      </c>
      <c r="I40" s="254">
        <f>mround('WEEK 14'!I38*2*0.75,10)</f>
        <v>0</v>
      </c>
      <c r="J40" s="241">
        <v>15.0</v>
      </c>
      <c r="K40" s="83" t="s">
        <v>127</v>
      </c>
      <c r="L40" s="84" t="str">
        <f>IF('WEEK 10'!I40='WEEK 7'!I40,'WEEK 10'!M40,"")</f>
        <v/>
      </c>
      <c r="M40" s="85"/>
    </row>
    <row r="41">
      <c r="A41" s="661">
        <v>2.0</v>
      </c>
      <c r="B41" s="662">
        <f>mround('WEEK 14'!B38*0.29,2.5)</f>
        <v>0</v>
      </c>
      <c r="C41" s="662">
        <v>15.0</v>
      </c>
      <c r="D41" s="88" t="s">
        <v>127</v>
      </c>
      <c r="E41" s="89" t="str">
        <f>IF('WEEK 10'!B41='WEEK 7'!B41,'WEEK 10'!F41,"")</f>
        <v/>
      </c>
      <c r="F41" s="85"/>
      <c r="H41" s="661">
        <v>2.0</v>
      </c>
      <c r="I41" s="662">
        <f>mround('WEEK 14'!I38*2*0.75,10)</f>
        <v>0</v>
      </c>
      <c r="J41" s="662">
        <v>15.0</v>
      </c>
      <c r="K41" s="88" t="s">
        <v>127</v>
      </c>
      <c r="L41" s="89" t="str">
        <f>IF('WEEK 10'!I41='WEEK 7'!I41,'WEEK 10'!M41,"")</f>
        <v/>
      </c>
      <c r="M41" s="85"/>
    </row>
    <row r="44">
      <c r="A44" s="73" t="str">
        <f>HYPERLINK("https://youtu.be/9YH1YvZbiY0","3. MACHINE LOW ROW ")</f>
        <v>3. MACHINE LOW ROW </v>
      </c>
      <c r="B44" s="53"/>
      <c r="C44" s="53"/>
      <c r="D44" s="53"/>
      <c r="E44" s="53"/>
      <c r="F44" s="54"/>
    </row>
    <row r="45">
      <c r="A45" s="226" t="s">
        <v>119</v>
      </c>
      <c r="B45" s="227">
        <f>'WEEK 13'!B56</f>
        <v>265</v>
      </c>
      <c r="C45" s="20"/>
      <c r="D45" s="20"/>
      <c r="E45" s="20"/>
      <c r="F45" s="95"/>
    </row>
    <row r="46">
      <c r="A46" s="231" t="s">
        <v>50</v>
      </c>
      <c r="B46" s="232" t="s">
        <v>51</v>
      </c>
      <c r="C46" s="232" t="s">
        <v>52</v>
      </c>
      <c r="D46" s="232" t="s">
        <v>53</v>
      </c>
      <c r="E46" s="233" t="s">
        <v>54</v>
      </c>
      <c r="F46" s="61" t="s">
        <v>55</v>
      </c>
    </row>
    <row r="47">
      <c r="A47" s="236">
        <v>1.0</v>
      </c>
      <c r="B47" s="237">
        <f>mround('WEEK 2'!B45*0.35,5)</f>
        <v>70</v>
      </c>
      <c r="C47" s="237">
        <v>6.0</v>
      </c>
      <c r="D47" s="238" t="s">
        <v>120</v>
      </c>
      <c r="E47" s="66"/>
      <c r="F47" s="67"/>
    </row>
    <row r="48">
      <c r="A48" s="236">
        <v>2.0</v>
      </c>
      <c r="B48" s="237">
        <f>mround('WEEK 14'!B45*0.65,5)</f>
        <v>170</v>
      </c>
      <c r="C48" s="238">
        <v>3.0</v>
      </c>
      <c r="D48" s="238" t="s">
        <v>121</v>
      </c>
      <c r="E48" s="66"/>
      <c r="F48" s="67"/>
    </row>
    <row r="49">
      <c r="A49" s="242">
        <v>3.0</v>
      </c>
      <c r="B49" s="237">
        <f>mround('WEEK 14'!B45*0.9,5)</f>
        <v>240</v>
      </c>
      <c r="C49" s="63">
        <v>2.0</v>
      </c>
      <c r="D49" s="238" t="s">
        <v>121</v>
      </c>
      <c r="E49" s="66"/>
      <c r="F49" s="67"/>
    </row>
    <row r="50">
      <c r="A50" s="243">
        <v>4.0</v>
      </c>
      <c r="B50" s="237">
        <f>'WEEK 14'!B45</f>
        <v>265</v>
      </c>
      <c r="C50" s="257">
        <v>3.0</v>
      </c>
      <c r="D50" s="238" t="s">
        <v>122</v>
      </c>
      <c r="E50" s="66"/>
      <c r="F50" s="67"/>
    </row>
    <row r="51">
      <c r="A51" s="246" t="str">
        <f>IF('WEEK 14'!F50&lt;3,"PROCEED TO DOWN SETS","NEW 4 REP MAX ATTEMPT")</f>
        <v>PROCEED TO DOWN SETS</v>
      </c>
      <c r="B51" s="20"/>
      <c r="C51" s="20"/>
      <c r="D51" s="20"/>
      <c r="E51" s="20"/>
      <c r="F51" s="95"/>
    </row>
    <row r="52">
      <c r="A52" s="249" t="str">
        <f>if('WEEK 14'!F50&lt;=2,"",5)</f>
        <v/>
      </c>
      <c r="B52" s="175" t="str">
        <f>IF('WEEK 14'!F50&lt;=2,"",'WEEK 14'!B50+5)</f>
        <v/>
      </c>
      <c r="C52" s="238" t="str">
        <f>if('WEEK 14'!F50&lt;=2,"",4)</f>
        <v/>
      </c>
      <c r="D52" s="238" t="str">
        <f>if('WEEK 14'!F50&lt;=2,"","1-5 MIN")</f>
        <v/>
      </c>
      <c r="E52" s="250"/>
      <c r="F52" s="67"/>
    </row>
    <row r="53">
      <c r="A53" s="259" t="str">
        <f>IF('WEEK 14'!F52&lt;4,"","6")</f>
        <v/>
      </c>
      <c r="B53" s="237" t="str">
        <f>IF('WEEK 14'!F52&lt;4,"",'WEEK 14'!B52+5)</f>
        <v/>
      </c>
      <c r="C53" s="257" t="str">
        <f>IF('WEEK 14'!F52&lt;4,"","4")</f>
        <v/>
      </c>
      <c r="D53" s="257" t="str">
        <f>IF('WEEK 14'!F52&lt;4,"","1-5 MIN")</f>
        <v/>
      </c>
      <c r="E53" s="258"/>
      <c r="F53" s="67"/>
    </row>
    <row r="54">
      <c r="A54" s="246" t="s">
        <v>133</v>
      </c>
      <c r="B54" s="20"/>
      <c r="C54" s="20"/>
      <c r="D54" s="20"/>
      <c r="E54" s="20"/>
      <c r="F54" s="95"/>
    </row>
    <row r="55">
      <c r="A55" s="264" t="str">
        <f>IF(OR(ISBLANK('WEEK 14'!F50),ISBLANK('WEEK 14'!F49),ISBLANK('WEEK 14'!F48)),"",IF((AND('WEEK 14'!A52="",'WEEK 14'!A53="")),5,IF((AND('WEEK 14'!A52&gt;1,'WEEK 14'!A53="")),6,7)))</f>
        <v/>
      </c>
      <c r="B55" s="265">
        <f>MROUND('WEEK 14'!B57*0.8,5)</f>
        <v>0</v>
      </c>
      <c r="C55" s="266" t="s">
        <v>65</v>
      </c>
      <c r="D55" s="267" t="s">
        <v>127</v>
      </c>
      <c r="E55" s="268"/>
      <c r="F55" s="67"/>
    </row>
    <row r="56">
      <c r="A56" s="243" t="str">
        <f>IF(OR(ISBLANK('WEEK 14'!F50),ISBLANK('WEEK 14'!F49),ISBLANK('WEEK 14'!F48)),"",IF((AND('WEEK 14'!A52="",'WEEK 14'!A53="")),6,IF((AND('WEEK 14'!A52&gt;1,'WEEK 14'!A53="")),7,8)))</f>
        <v/>
      </c>
      <c r="B56" s="237">
        <f>mround('WEEK 14'!B57*0.7,5)</f>
        <v>0</v>
      </c>
      <c r="C56" s="245" t="s">
        <v>65</v>
      </c>
      <c r="D56" s="65" t="s">
        <v>127</v>
      </c>
      <c r="E56" s="258"/>
      <c r="F56" s="271"/>
    </row>
    <row r="57">
      <c r="A57" s="272" t="s">
        <v>124</v>
      </c>
      <c r="B57" s="273" t="str">
        <f>IF(OR(ISBLANK('WEEK 14'!F50),ISBLANK('WEEK 14'!F49),ISBLANK('WEEK 14'!F48)),"",IF('WEEK 14'!F53&gt;=4,'WEEK 14'!B53,IF('WEEK 14'!F52&gt;=1,'WEEK 14'!B52,IF('WEEK 14'!F50&lt;3,'WEEK 14'!B50-5,'WEEK 14'!B50))))</f>
        <v/>
      </c>
      <c r="C57" s="11"/>
      <c r="D57" s="11"/>
      <c r="E57" s="11"/>
      <c r="F57" s="46"/>
    </row>
    <row r="58">
      <c r="A58" s="292"/>
      <c r="B58" s="292"/>
      <c r="C58" s="292"/>
      <c r="D58" s="292"/>
      <c r="E58" s="292"/>
      <c r="F58" s="292"/>
    </row>
    <row r="59">
      <c r="A59" s="73" t="str">
        <f>HYPERLINK("https://youtu.be/hMUUvL3FlkE","4. HIGH ROW")</f>
        <v>4. HIGH ROW</v>
      </c>
      <c r="B59" s="53"/>
      <c r="C59" s="53"/>
      <c r="D59" s="53"/>
      <c r="E59" s="53"/>
      <c r="F59" s="54"/>
    </row>
    <row r="60">
      <c r="A60" s="282" t="s">
        <v>119</v>
      </c>
      <c r="B60" s="56" t="str">
        <f>'WEEK 13'!B64</f>
        <v/>
      </c>
      <c r="C60" s="13"/>
      <c r="D60" s="13"/>
      <c r="E60" s="13"/>
      <c r="F60" s="57"/>
    </row>
    <row r="61">
      <c r="A61" s="58" t="s">
        <v>50</v>
      </c>
      <c r="B61" s="59" t="s">
        <v>51</v>
      </c>
      <c r="C61" s="59" t="s">
        <v>52</v>
      </c>
      <c r="D61" s="59" t="s">
        <v>53</v>
      </c>
      <c r="E61" s="60" t="s">
        <v>54</v>
      </c>
      <c r="F61" s="61" t="s">
        <v>55</v>
      </c>
    </row>
    <row r="62">
      <c r="A62" s="62">
        <v>1.0</v>
      </c>
      <c r="B62" s="63">
        <f>MROUND('WEEK 14'!B60*0.85,5)</f>
        <v>0</v>
      </c>
      <c r="C62" s="104" t="s">
        <v>65</v>
      </c>
      <c r="D62" s="65" t="s">
        <v>127</v>
      </c>
      <c r="E62" s="84" t="str">
        <f>IF('WEEK 1 '!B68='WEEK 14'!B62,'WEEK 1 '!F68,"")</f>
        <v/>
      </c>
      <c r="F62" s="67"/>
    </row>
    <row r="63">
      <c r="A63" s="62">
        <v>2.0</v>
      </c>
      <c r="B63" s="63">
        <f>IF('WEEK 14'!F62&lt;6,MROUND('WEEK 14'!B60*0.75,5),IF('WEEK 14'!F62&lt;=10,MROUND('WEEK 14'!B60*0.85,5),'WEEK 14'!B62))</f>
        <v>0</v>
      </c>
      <c r="C63" s="104" t="s">
        <v>65</v>
      </c>
      <c r="D63" s="65" t="s">
        <v>127</v>
      </c>
      <c r="E63" s="84" t="str">
        <f>IF('WEEK 1 '!B69='WEEK 14'!B63,'WEEK 1 '!F69,"")</f>
        <v/>
      </c>
      <c r="F63" s="67"/>
    </row>
    <row r="64">
      <c r="A64" s="68">
        <v>3.0</v>
      </c>
      <c r="B64" s="69">
        <f>IF('WEEK 14'!F63&lt;6,MROUND('WEEK 14'!B60*0.75,5),IF('WEEK 14'!F63&lt;=10,MROUND('WEEK 14'!B60*0.85,5),'WEEK 14'!B63))</f>
        <v>0</v>
      </c>
      <c r="C64" s="105" t="s">
        <v>65</v>
      </c>
      <c r="D64" s="65" t="s">
        <v>127</v>
      </c>
      <c r="E64" s="89" t="str">
        <f>IF('WEEK 1 '!B70='WEEK 14'!B64,'WEEK 1 '!F70,"")</f>
        <v/>
      </c>
      <c r="F64" s="67"/>
    </row>
    <row r="65">
      <c r="A65" s="657"/>
    </row>
    <row r="67">
      <c r="A67" s="440" t="str">
        <f>HYPERLINK("https://www.youtube.com/watch?v=PnaDzYh2axA","5. LAT PULL DOWN")</f>
        <v>5. LAT PULL DOWN</v>
      </c>
      <c r="B67" s="53"/>
      <c r="C67" s="53"/>
      <c r="D67" s="53"/>
      <c r="E67" s="53"/>
      <c r="F67" s="54"/>
    </row>
    <row r="68">
      <c r="A68" s="282" t="s">
        <v>119</v>
      </c>
      <c r="B68" s="56" t="str">
        <f>if('WEEK 13'!B52="",'WEEK 13'!B40,'WEEK 13'!B52)</f>
        <v/>
      </c>
      <c r="C68" s="13"/>
      <c r="D68" s="13"/>
      <c r="E68" s="13"/>
      <c r="F68" s="57"/>
    </row>
    <row r="69">
      <c r="A69" s="58" t="s">
        <v>50</v>
      </c>
      <c r="B69" s="59" t="s">
        <v>51</v>
      </c>
      <c r="C69" s="59" t="s">
        <v>52</v>
      </c>
      <c r="D69" s="59" t="s">
        <v>53</v>
      </c>
      <c r="E69" s="60" t="s">
        <v>54</v>
      </c>
      <c r="F69" s="61" t="s">
        <v>55</v>
      </c>
    </row>
    <row r="70">
      <c r="A70" s="62">
        <v>1.0</v>
      </c>
      <c r="B70" s="63">
        <f>'WEEK 14'!B68*0.8</f>
        <v>0</v>
      </c>
      <c r="C70" s="104" t="s">
        <v>65</v>
      </c>
      <c r="D70" s="65" t="s">
        <v>127</v>
      </c>
      <c r="E70" s="66"/>
      <c r="F70" s="67"/>
    </row>
    <row r="71">
      <c r="A71" s="62">
        <v>2.0</v>
      </c>
      <c r="B71" s="663">
        <f>IF('WEEK 14'!F70&lt;6,MROUND('WEEK 14'!B70*0.85,5),IF('WEEK 14'!F70&lt;=10,MROUND('WEEK 14'!B70*0.95,5),'WEEK 14'!B70))</f>
        <v>0</v>
      </c>
      <c r="C71" s="104" t="s">
        <v>65</v>
      </c>
      <c r="D71" s="65" t="s">
        <v>127</v>
      </c>
      <c r="E71" s="66"/>
      <c r="F71" s="67"/>
    </row>
    <row r="72">
      <c r="A72" s="325">
        <v>3.0</v>
      </c>
      <c r="B72" s="663">
        <f>IF('WEEK 14'!F71&lt;6,MROUND('WEEK 14'!B71*0.85,5),IF('WEEK 14'!F71&lt;=10,MROUND('WEEK 14'!B71*0.95,5),'WEEK 14'!B71))</f>
        <v>0</v>
      </c>
      <c r="C72" s="327" t="s">
        <v>65</v>
      </c>
      <c r="D72" s="65" t="s">
        <v>127</v>
      </c>
      <c r="E72" s="664"/>
      <c r="F72" s="665"/>
    </row>
    <row r="73">
      <c r="A73" s="580"/>
      <c r="B73" s="666"/>
      <c r="C73" s="667"/>
      <c r="D73" s="666"/>
      <c r="E73" s="668"/>
      <c r="F73" s="666"/>
    </row>
    <row r="74">
      <c r="A74" s="581" t="str">
        <f>HYPERLINK("https://docs.google.com/a/fitnessresults.com/forms/d/e/1FAIpQLSd7MoczESe8Yjv6BKpmwAZGn9Aiymrs9-UdgfYIUpbr9t5NXg/viewform?usp=pp_url&amp;entry.93370101","CLICK TO COMPLETE WORKOUT")</f>
        <v>CLICK TO COMPLETE WORKOUT</v>
      </c>
      <c r="B74" s="25"/>
      <c r="C74" s="25"/>
      <c r="D74" s="25"/>
      <c r="E74" s="25"/>
      <c r="F74" s="26"/>
    </row>
    <row r="75">
      <c r="A75" s="336"/>
      <c r="B75" s="11"/>
      <c r="C75" s="11"/>
      <c r="D75" s="11"/>
      <c r="E75" s="11"/>
      <c r="F75" s="46"/>
    </row>
    <row r="76">
      <c r="A76" s="582"/>
      <c r="B76" s="582"/>
      <c r="C76" s="582"/>
      <c r="D76" s="582"/>
      <c r="E76" s="582"/>
      <c r="F76" s="582"/>
    </row>
    <row r="77">
      <c r="A77" s="669" t="s">
        <v>128</v>
      </c>
      <c r="B77" s="11"/>
      <c r="C77" s="11"/>
      <c r="D77" s="11"/>
      <c r="E77" s="11"/>
      <c r="F77" s="46"/>
    </row>
    <row r="80">
      <c r="A80" s="1355" t="str">
        <f>HYPERLINK("https://www.youtube.com/watch?v=5UOeRbRoFOI","1. MACHINE SQUAT")</f>
        <v>1. MACHINE SQUAT</v>
      </c>
      <c r="B80" s="53"/>
      <c r="C80" s="53"/>
      <c r="D80" s="53"/>
      <c r="E80" s="53"/>
      <c r="F80" s="54"/>
    </row>
    <row r="81">
      <c r="A81" s="1262" t="s">
        <v>216</v>
      </c>
      <c r="B81" s="1035">
        <f>'WEEK 10'!B86</f>
        <v>100</v>
      </c>
      <c r="C81" s="13"/>
      <c r="D81" s="13"/>
      <c r="E81" s="13"/>
      <c r="F81" s="57"/>
    </row>
    <row r="82">
      <c r="A82" s="231" t="s">
        <v>50</v>
      </c>
      <c r="B82" s="232" t="s">
        <v>51</v>
      </c>
      <c r="C82" s="232" t="s">
        <v>52</v>
      </c>
      <c r="D82" s="232" t="s">
        <v>53</v>
      </c>
      <c r="E82" s="233" t="s">
        <v>54</v>
      </c>
      <c r="F82" s="61" t="s">
        <v>55</v>
      </c>
    </row>
    <row r="83">
      <c r="A83" s="236">
        <v>1.0</v>
      </c>
      <c r="B83" s="237">
        <f>mround('WEEK 14'!B81*0.35,5)</f>
        <v>35</v>
      </c>
      <c r="C83" s="238">
        <v>10.0</v>
      </c>
      <c r="D83" s="238" t="s">
        <v>120</v>
      </c>
      <c r="E83" s="66" t="str">
        <f>IF('WEEK 14'!D83='WEEK 10'!B78,'WEEK 10'!F78,"")</f>
        <v/>
      </c>
      <c r="F83" s="67"/>
    </row>
    <row r="84">
      <c r="A84" s="236">
        <v>2.0</v>
      </c>
      <c r="B84" s="237">
        <f>mround('WEEK 14'!B81*0.65,5)</f>
        <v>65</v>
      </c>
      <c r="C84" s="238">
        <v>10.0</v>
      </c>
      <c r="D84" s="238" t="s">
        <v>121</v>
      </c>
      <c r="E84" s="66" t="str">
        <f>IF('WEEK 14'!D84='WEEK 10'!B79,'WEEK 10'!F79,"")</f>
        <v/>
      </c>
      <c r="F84" s="67"/>
    </row>
    <row r="85">
      <c r="A85" s="242">
        <v>3.0</v>
      </c>
      <c r="B85" s="237">
        <f>mround('WEEK 14'!B81*0.9,5)</f>
        <v>90</v>
      </c>
      <c r="C85" s="238">
        <v>10.0</v>
      </c>
      <c r="D85" s="238" t="s">
        <v>121</v>
      </c>
      <c r="E85" s="66" t="str">
        <f>IF('WEEK 14'!D85='WEEK 10'!B80,'WEEK 10'!F80,"")</f>
        <v/>
      </c>
      <c r="F85" s="67"/>
    </row>
    <row r="86">
      <c r="A86" s="249">
        <v>4.0</v>
      </c>
      <c r="B86" s="175">
        <f>if('WEEK 14'!F85&lt;4,MROUND('WEEK 14'!B85-('WEEK 14'!B85*20%),5),'WEEK 14'!B81)</f>
        <v>70</v>
      </c>
      <c r="C86" s="238">
        <v>10.0</v>
      </c>
      <c r="D86" s="238" t="s">
        <v>122</v>
      </c>
      <c r="E86" s="66" t="str">
        <f>IF('WEEK 14'!D86='WEEK 10'!B81,'WEEK 10'!F81,"")</f>
        <v/>
      </c>
      <c r="F86" s="67"/>
    </row>
    <row r="87">
      <c r="A87" s="249">
        <v>5.0</v>
      </c>
      <c r="B87" s="175">
        <f>IF((AND('WEEK 14'!B86&lt;='WEEK 14'!B85,'WEEK 14'!F86&gt;=4)),'WEEK 14'!B86,IF('WEEK 14'!F86&lt;4,MROUND('WEEK 14'!B86-('WEEK 14'!B86*20%),5),if( 'WEEK 14'!F86&lt;4,MROUND('WEEK 14'!B86-('WEEK 14'!B86*10%),5),MROUND('WEEK 14'!B86+('WEEK 14'!B86*10%),5))))</f>
        <v>55</v>
      </c>
      <c r="C87" s="238">
        <v>10.0</v>
      </c>
      <c r="D87" s="238" t="s">
        <v>122</v>
      </c>
      <c r="E87" s="66" t="str">
        <f>IF('WEEK 14'!D87='WEEK 10'!B82,'WEEK 10'!F82,"")</f>
        <v/>
      </c>
      <c r="F87" s="1037"/>
    </row>
    <row r="88">
      <c r="A88" s="249">
        <f>if('WEEK 14'!F86&lt;4,6,6)</f>
        <v>6</v>
      </c>
      <c r="B88" s="175">
        <f>IF((AND('WEEK 14'!B87&lt;='WEEK 14'!B86,'WEEK 14'!F87&gt;=4)),'WEEK 14'!B87,IF('WEEK 14'!F87&lt;4,MROUND('WEEK 14'!B87-('WEEK 14'!B87*20%),5),if( 'WEEK 14'!F87&lt;4,MROUND('WEEK 14'!B87-('WEEK 14'!B87*10%),5),MROUND('WEEK 14'!B87+('WEEK 14'!B87*10%),5))))</f>
        <v>45</v>
      </c>
      <c r="C88" s="238">
        <v>10.0</v>
      </c>
      <c r="D88" s="238" t="s">
        <v>122</v>
      </c>
      <c r="E88" s="66" t="str">
        <f>IF('WEEK 14'!D88='WEEK 10'!B83,'WEEK 10'!F83,"")</f>
        <v/>
      </c>
      <c r="F88" s="67"/>
    </row>
    <row r="89">
      <c r="A89" s="1038">
        <f>IF('WEEK 14'!F88&lt;4,7,"7")</f>
        <v>7</v>
      </c>
      <c r="B89" s="175">
        <f>IF((AND('WEEK 14'!B88&lt;='WEEK 14'!B87,'WEEK 14'!F88&gt;=4)),'WEEK 14'!B88,IF('WEEK 14'!F88&lt;4,MROUND('WEEK 14'!B88-('WEEK 14'!B88*20%),5),if( 'WEEK 14'!F88&lt;4,MROUND('WEEK 14'!B88-('WEEK 14'!B88*10%),5),MROUND('WEEK 14'!B88+('WEEK 14'!B88*10%),5))))</f>
        <v>35</v>
      </c>
      <c r="C89" s="238">
        <v>10.0</v>
      </c>
      <c r="D89" s="238" t="s">
        <v>122</v>
      </c>
      <c r="E89" s="66" t="str">
        <f>IF('WEEK 14'!D89='WEEK 10'!B84,'WEEK 10'!F84,"")</f>
        <v/>
      </c>
      <c r="F89" s="67"/>
    </row>
    <row r="90">
      <c r="A90" s="249">
        <f>IF('WEEK 14'!F89&lt;4,8,"8")</f>
        <v>8</v>
      </c>
      <c r="B90" s="175">
        <f>IF((AND('WEEK 14'!B89&lt;='WEEK 14'!B88,'WEEK 14'!F89&gt;=4)),'WEEK 14'!B89,IF('WEEK 14'!F89&lt;4,MROUND('WEEK 14'!B89-('WEEK 14'!B89*20%),5),if( 'WEEK 14'!F89&lt;4,MROUND('WEEK 14'!B89-('WEEK 14'!B89*10%),5),MROUND('WEEK 14'!B89+('WEEK 14'!B89*10%),5))))</f>
        <v>30</v>
      </c>
      <c r="C90" s="238">
        <v>10.0</v>
      </c>
      <c r="D90" s="238" t="s">
        <v>122</v>
      </c>
      <c r="E90" s="66" t="str">
        <f>IF('WEEK 14'!D90='WEEK 10'!B85,'WEEK 10'!F85,"")</f>
        <v/>
      </c>
      <c r="F90" s="67"/>
    </row>
    <row r="91">
      <c r="A91" s="1038">
        <f>IF('WEEK 14'!F90&lt;4,9,"9")</f>
        <v>9</v>
      </c>
      <c r="B91" s="175">
        <f>IF((AND('WEEK 14'!B90&lt;='WEEK 14'!B89,'WEEK 14'!F90&gt;=4)),'WEEK 14'!B90,IF('WEEK 14'!F90&lt;4,MROUND('WEEK 14'!B90-('WEEK 14'!B90*20%),5),if( 'WEEK 14'!F90&lt;4,MROUND('WEEK 14'!B90-('WEEK 14'!B90*10%),5),MROUND('WEEK 14'!B90+('WEEK 14'!B90*10%),5))))</f>
        <v>25</v>
      </c>
      <c r="C91" s="238">
        <v>10.0</v>
      </c>
      <c r="D91" s="238" t="s">
        <v>122</v>
      </c>
      <c r="E91" s="1108" t="str">
        <f>IF('WEEK 14'!B91='WEEK 11'!I61,'WEEK 11'!M61,"")</f>
        <v/>
      </c>
      <c r="F91" s="67"/>
    </row>
    <row r="92">
      <c r="A92" s="1038" t="str">
        <f>IF('WEEK 14'!F91&lt;4,"10","10")</f>
        <v>10</v>
      </c>
      <c r="B92" s="175">
        <f>IF((AND('WEEK 14'!B91&lt;='WEEK 14'!B90,'WEEK 14'!F91&gt;=4)),'WEEK 14'!B91,IF('WEEK 14'!F91&lt;4,MROUND('WEEK 14'!B91-('WEEK 14'!B91*20%),5),if( 'WEEK 14'!F91&lt;4,MROUND('WEEK 14'!B91-('WEEK 14'!B91*10%),5),MROUND('WEEK 14'!B91+('WEEK 14'!B91*10%),5))))</f>
        <v>20</v>
      </c>
      <c r="C92" s="238">
        <v>10.0</v>
      </c>
      <c r="D92" s="238" t="s">
        <v>122</v>
      </c>
      <c r="E92" s="1108" t="str">
        <f>IF('WEEK 14'!B92='WEEK 11'!I62,'WEEK 11'!M62,"")</f>
        <v/>
      </c>
      <c r="F92" s="67"/>
    </row>
    <row r="93">
      <c r="A93" s="272" t="s">
        <v>216</v>
      </c>
      <c r="B93" s="1109">
        <f>IF(OR(ISBLANK('WEEK 14'!F83),ISBLANK('WEEK 14'!F84)),'WEEK 14'!B81,IF((AND('WEEK 14'!F92&gt;=4,'WEEK 14'!B92&gt;'WEEK 14'!B91)),'WEEK 14'!B92,IF((AND('WEEK 14'!F91&gt;=4,'WEEK 14'!B91&gt;'WEEK 14'!B90)),'WEEK 14'!B91,IF((AND('WEEK 14'!F90&gt;=4,'WEEK 14'!B90&gt;'WEEK 14'!B89)),'WEEK 14'!B90,IF((AND('WEEK 14'!F89&gt;=4,'WEEK 14'!B89&gt;'WEEK 14'!B88)),'WEEK 14'!B89,IF((AND('WEEK 14'!F88&gt;=4,'WEEK 14'!B88&gt;'WEEK 14'!B87)),'WEEK 14'!B88,IF((AND('WEEK 14'!F87&gt;=4,'WEEK 14'!B87&gt;'WEEK 14'!B86)),'WEEK 14'!B87,IF((AND('WEEK 14'!F86&gt;=4,'WEEK 14'!B86&gt;'WEEK 14'!B85)),'WEEK 14'!B86,IF((AND('WEEK 14'!F85&gt;=4,'WEEK 14'!B85&gt;'WEEK 14'!B84)),'WEEK 14'!B85,IF((AND('WEEK 14'!F84&gt;=4,'WEEK 14'!B84&gt;'WEEK 14'!B83)),'WEEK 14'!B84))))))))))</f>
        <v>100</v>
      </c>
      <c r="C93" s="11"/>
      <c r="D93" s="11"/>
      <c r="E93" s="11"/>
      <c r="F93" s="46"/>
    </row>
    <row r="96">
      <c r="A96" s="1285" t="str">
        <f>HYPERLINK("https://www.youtube.com/watch?v=NZ9KiFtbiMs","2. LEG EXTENSION")</f>
        <v>2. LEG EXTENSION</v>
      </c>
      <c r="B96" s="53"/>
      <c r="C96" s="53"/>
      <c r="D96" s="53"/>
      <c r="E96" s="53"/>
      <c r="F96" s="54"/>
    </row>
    <row r="97">
      <c r="A97" s="1045" t="s">
        <v>119</v>
      </c>
      <c r="B97" s="1367">
        <f>IF('WEEK 13'!B94='WEEK 13'!B96,'WEEK 13'!B94+5,IF('WEEK 9'!F95&lt;=9,MROUND('WEEK 13'!B92*0.95,5),'WEEK 13'!B94))</f>
        <v>55</v>
      </c>
      <c r="C97" s="20"/>
      <c r="D97" s="20"/>
      <c r="E97" s="20"/>
      <c r="F97" s="95"/>
    </row>
    <row r="98">
      <c r="A98" s="567" t="s">
        <v>50</v>
      </c>
      <c r="B98" s="568" t="s">
        <v>51</v>
      </c>
      <c r="C98" s="568" t="s">
        <v>52</v>
      </c>
      <c r="D98" s="568" t="s">
        <v>53</v>
      </c>
      <c r="E98" s="1047" t="s">
        <v>54</v>
      </c>
      <c r="F98" s="1048" t="s">
        <v>55</v>
      </c>
    </row>
    <row r="99">
      <c r="A99" s="1049">
        <v>1.0</v>
      </c>
      <c r="B99" s="1050">
        <f>'WEEK 14'!B97</f>
        <v>55</v>
      </c>
      <c r="C99" s="1051" t="s">
        <v>61</v>
      </c>
      <c r="D99" s="1052" t="s">
        <v>57</v>
      </c>
      <c r="E99" s="1130" t="str">
        <f>IF('WEEK 14'!B99='WEEK 13'!B94,'WEEK 13'!F94,"")</f>
        <v/>
      </c>
      <c r="F99" s="1017"/>
    </row>
    <row r="100">
      <c r="A100" s="1049">
        <v>2.0</v>
      </c>
      <c r="B100" s="1050">
        <f>if('WEEK 14'!F99&lt;12,mround('WEEK 14'!B99*0.8,5),IF('WEEK 14'!F99&lt;=14,MROUND('WEEK 14'!B99*0.95,5),'WEEK 14'!B99))</f>
        <v>45</v>
      </c>
      <c r="C100" s="1051" t="s">
        <v>61</v>
      </c>
      <c r="D100" s="1052" t="s">
        <v>57</v>
      </c>
      <c r="E100" s="1130" t="str">
        <f>IF('WEEK 14'!B100='WEEK 13'!B95,'WEEK 13'!F95,"")</f>
        <v/>
      </c>
      <c r="F100" s="1017"/>
    </row>
    <row r="101">
      <c r="A101" s="1053">
        <v>3.0</v>
      </c>
      <c r="B101" s="1054">
        <f>if('WEEK 14'!F100&lt;12,mround('WEEK 14'!B100*0.8,5),IF('WEEK 14'!F100&lt;=14,MROUND('WEEK 14'!B100*0.95,5),'WEEK 14'!B100))</f>
        <v>35</v>
      </c>
      <c r="C101" s="1055" t="s">
        <v>61</v>
      </c>
      <c r="D101" s="1056" t="s">
        <v>57</v>
      </c>
      <c r="E101" s="1348" t="str">
        <f>IF('WEEK 14'!B101='WEEK 13'!B96,'WEEK 13'!F96,"")</f>
        <v/>
      </c>
      <c r="F101" s="1017"/>
    </row>
    <row r="104">
      <c r="A104" s="323" t="str">
        <f>HYPERLINK("https://www.youtube.com/watch?v=XepOfsnGFJg","3. MACHINE LEG CURL")</f>
        <v>3. MACHINE LEG CURL</v>
      </c>
      <c r="B104" s="53"/>
      <c r="C104" s="53"/>
      <c r="D104" s="53"/>
      <c r="E104" s="53"/>
      <c r="F104" s="54"/>
      <c r="G104" s="141"/>
      <c r="H104" s="323" t="str">
        <f>HYPERLINK("https://youtu.be/kmN9cJ79PDE","3. PRONE LEG CURL")</f>
        <v>3. PRONE LEG CURL</v>
      </c>
      <c r="I104" s="53"/>
      <c r="J104" s="53"/>
      <c r="K104" s="53"/>
      <c r="L104" s="53"/>
      <c r="M104" s="54"/>
    </row>
    <row r="105">
      <c r="A105" s="1045" t="s">
        <v>119</v>
      </c>
      <c r="B105" s="1368">
        <f>IF('WEEK 13'!B102='WEEK 13'!B104,'WEEK 13'!B102+5,IF('WEEK 9'!F103&lt;=9,MROUND('WEEK 13'!B100*0.95,5),'WEEK 13'!B102))</f>
        <v>60</v>
      </c>
      <c r="C105" s="13"/>
      <c r="D105" s="13"/>
      <c r="E105" s="13"/>
      <c r="F105" s="57"/>
      <c r="H105" s="1045" t="s">
        <v>119</v>
      </c>
      <c r="I105" s="1046">
        <f>B105</f>
        <v>60</v>
      </c>
      <c r="J105" s="13"/>
      <c r="K105" s="13"/>
      <c r="L105" s="13"/>
      <c r="M105" s="57"/>
    </row>
    <row r="106">
      <c r="A106" s="567" t="s">
        <v>50</v>
      </c>
      <c r="B106" s="568" t="s">
        <v>51</v>
      </c>
      <c r="C106" s="568" t="s">
        <v>52</v>
      </c>
      <c r="D106" s="568" t="s">
        <v>53</v>
      </c>
      <c r="E106" s="1047" t="s">
        <v>54</v>
      </c>
      <c r="F106" s="1048" t="s">
        <v>55</v>
      </c>
      <c r="H106" s="567" t="s">
        <v>50</v>
      </c>
      <c r="I106" s="568" t="s">
        <v>51</v>
      </c>
      <c r="J106" s="568" t="s">
        <v>52</v>
      </c>
      <c r="K106" s="568" t="s">
        <v>53</v>
      </c>
      <c r="L106" s="1047" t="s">
        <v>54</v>
      </c>
      <c r="M106" s="1048" t="s">
        <v>55</v>
      </c>
    </row>
    <row r="107">
      <c r="A107" s="1049">
        <v>1.0</v>
      </c>
      <c r="B107" s="1050">
        <f>'WEEK 14'!B105</f>
        <v>60</v>
      </c>
      <c r="C107" s="1051" t="s">
        <v>61</v>
      </c>
      <c r="D107" s="1052" t="s">
        <v>57</v>
      </c>
      <c r="E107" s="1130" t="str">
        <f>IF('WEEK 14'!B107='WEEK 13'!B102,'WEEK 13'!F102,"")</f>
        <v/>
      </c>
      <c r="F107" s="1017"/>
      <c r="G107" s="434" t="s">
        <v>123</v>
      </c>
      <c r="H107" s="1049">
        <v>1.0</v>
      </c>
      <c r="I107" s="1050">
        <f>'WEEK 14'!I105</f>
        <v>60</v>
      </c>
      <c r="J107" s="1051" t="s">
        <v>61</v>
      </c>
      <c r="K107" s="1052" t="s">
        <v>57</v>
      </c>
      <c r="L107" s="1130" t="str">
        <f>IF('WEEK 14'!I107='WEEK 13'!I102,'WEEK 13'!M102,"")</f>
        <v/>
      </c>
      <c r="M107" s="1017"/>
    </row>
    <row r="108">
      <c r="A108" s="1049">
        <v>2.0</v>
      </c>
      <c r="B108" s="1050">
        <f>if('WEEK 14'!F107&lt;12,mround('WEEK 14'!B107*0.8,5),IF('WEEK 14'!F107&lt;=14,MROUND('WEEK 14'!B107*0.95,5),'WEEK 14'!B107))</f>
        <v>50</v>
      </c>
      <c r="C108" s="1051" t="s">
        <v>61</v>
      </c>
      <c r="D108" s="1052" t="s">
        <v>57</v>
      </c>
      <c r="E108" s="1130" t="str">
        <f>IF('WEEK 14'!B108='WEEK 13'!B103,'WEEK 13'!F103,"")</f>
        <v/>
      </c>
      <c r="F108" s="1017"/>
      <c r="H108" s="1049">
        <v>2.0</v>
      </c>
      <c r="I108" s="1050">
        <f>if('WEEK 14'!M107&lt;12,mround('WEEK 14'!I107*0.8,5),IF('WEEK 14'!M107&lt;=14,MROUND('WEEK 14'!I107*0.95,5),'WEEK 14'!I107))</f>
        <v>50</v>
      </c>
      <c r="J108" s="1051" t="s">
        <v>61</v>
      </c>
      <c r="K108" s="1052" t="s">
        <v>57</v>
      </c>
      <c r="L108" s="1130" t="str">
        <f>IF('WEEK 14'!I108='WEEK 13'!I103,'WEEK 13'!M103,"")</f>
        <v/>
      </c>
      <c r="M108" s="1017"/>
    </row>
    <row r="109">
      <c r="A109" s="1053">
        <v>3.0</v>
      </c>
      <c r="B109" s="1054">
        <f>if('WEEK 14'!F108&lt;12,mround('WEEK 14'!B108*0.8,5),IF('WEEK 14'!F108&lt;=14,MROUND('WEEK 14'!B108*0.95,5),'WEEK 14'!B108))</f>
        <v>40</v>
      </c>
      <c r="C109" s="1055" t="s">
        <v>61</v>
      </c>
      <c r="D109" s="1056" t="s">
        <v>57</v>
      </c>
      <c r="E109" s="1348" t="str">
        <f>IF('WEEK 14'!B109='WEEK 13'!B104,'WEEK 13'!F104,"")</f>
        <v/>
      </c>
      <c r="F109" s="1017"/>
      <c r="G109" s="682"/>
      <c r="H109" s="1053">
        <v>3.0</v>
      </c>
      <c r="I109" s="1054">
        <f>if('WEEK 14'!M108&lt;12,mround('WEEK 14'!I108*0.8,5),IF('WEEK 14'!M108&lt;=14,MROUND('WEEK 14'!I108*0.95,5),'WEEK 14'!I108))</f>
        <v>40</v>
      </c>
      <c r="J109" s="1055" t="s">
        <v>61</v>
      </c>
      <c r="K109" s="1056" t="s">
        <v>57</v>
      </c>
      <c r="L109" s="1348" t="str">
        <f>IF('WEEK 14'!I109='WEEK 13'!I104,'WEEK 13'!M104,"")</f>
        <v/>
      </c>
      <c r="M109" s="1017"/>
    </row>
    <row r="110">
      <c r="A110" s="849"/>
      <c r="B110" s="849"/>
      <c r="C110" s="849"/>
      <c r="D110" s="849"/>
      <c r="E110" s="849"/>
      <c r="F110" s="849"/>
      <c r="H110" s="849"/>
      <c r="I110" s="850"/>
      <c r="J110" s="850"/>
      <c r="K110" s="850"/>
      <c r="L110" s="850"/>
      <c r="M110" s="850"/>
    </row>
    <row r="112">
      <c r="A112" s="1120" t="s">
        <v>62</v>
      </c>
      <c r="B112" s="36"/>
      <c r="C112" s="36"/>
      <c r="D112" s="36"/>
      <c r="E112" s="36"/>
      <c r="F112" s="37"/>
    </row>
    <row r="115">
      <c r="A115" s="960" t="str">
        <f>HYPERLINK("https://youtu.be/ZhZ733bUA9Q","1. SHOULDER CLEANS")</f>
        <v>1. SHOULDER CLEANS</v>
      </c>
      <c r="B115" s="53"/>
      <c r="C115" s="53"/>
      <c r="D115" s="53"/>
      <c r="E115" s="53"/>
      <c r="F115" s="54"/>
    </row>
    <row r="116">
      <c r="A116" s="961" t="s">
        <v>119</v>
      </c>
      <c r="B116" s="76">
        <f>IF('WEEK 11'!B117='WEEK 11'!B119,'WEEK 11'!B117+5,IF('WEEK 11'!F117&lt;=15,MROUND('WEEK 11'!B115*0.85,5),'WEEK 11'!B117))</f>
        <v>60</v>
      </c>
      <c r="C116" s="13"/>
      <c r="D116" s="13"/>
      <c r="E116" s="13"/>
      <c r="F116" s="57"/>
    </row>
    <row r="117">
      <c r="A117" s="962" t="s">
        <v>50</v>
      </c>
      <c r="B117" s="963" t="s">
        <v>51</v>
      </c>
      <c r="C117" s="963" t="s">
        <v>52</v>
      </c>
      <c r="D117" s="981" t="s">
        <v>53</v>
      </c>
      <c r="E117" s="965" t="s">
        <v>54</v>
      </c>
      <c r="F117" s="966" t="s">
        <v>55</v>
      </c>
    </row>
    <row r="118">
      <c r="A118" s="967">
        <v>1.0</v>
      </c>
      <c r="B118" s="968">
        <f>MROUND('WEEK 14'!B116,2.5)</f>
        <v>60</v>
      </c>
      <c r="C118" s="968">
        <v>20.0</v>
      </c>
      <c r="D118" s="969" t="s">
        <v>57</v>
      </c>
      <c r="E118" s="970"/>
      <c r="F118" s="982"/>
    </row>
    <row r="119">
      <c r="A119" s="967">
        <v>2.0</v>
      </c>
      <c r="B119" s="968">
        <f>if('WEEK 14'!F118&lt;20,mround('WEEK 14'!B118*0.75,5),'WEEK 14'!B118)</f>
        <v>45</v>
      </c>
      <c r="C119" s="968">
        <v>20.0</v>
      </c>
      <c r="D119" s="969" t="s">
        <v>57</v>
      </c>
      <c r="E119" s="970"/>
      <c r="F119" s="983"/>
    </row>
    <row r="120">
      <c r="A120" s="971">
        <v>3.0</v>
      </c>
      <c r="B120" s="972">
        <f>if('WEEK 14'!F119&lt;20,mround('WEEK 14'!B119*0.6,5),'WEEK 14'!B119)</f>
        <v>25</v>
      </c>
      <c r="C120" s="972">
        <v>20.0</v>
      </c>
      <c r="D120" s="973" t="s">
        <v>57</v>
      </c>
      <c r="E120" s="974"/>
      <c r="F120" s="984"/>
    </row>
    <row r="123">
      <c r="A123" s="1217" t="str">
        <f>HYPERLINK("https://www.youtube.com/watch?v=XDLQt1j3qUU","2. DUMBBELL REAR DELT FLY ")</f>
        <v>2. DUMBBELL REAR DELT FLY </v>
      </c>
      <c r="B123" s="53"/>
      <c r="C123" s="53"/>
      <c r="D123" s="53"/>
      <c r="E123" s="53"/>
      <c r="F123" s="54"/>
    </row>
    <row r="124">
      <c r="A124" s="1268" t="s">
        <v>134</v>
      </c>
      <c r="B124" s="76">
        <f>mround('WEEK 13'!B124,2.5)</f>
        <v>0</v>
      </c>
      <c r="C124" s="13"/>
      <c r="D124" s="13"/>
      <c r="E124" s="13"/>
      <c r="F124" s="57"/>
    </row>
    <row r="125">
      <c r="A125" s="962" t="s">
        <v>50</v>
      </c>
      <c r="B125" s="963" t="s">
        <v>51</v>
      </c>
      <c r="C125" s="963" t="s">
        <v>52</v>
      </c>
      <c r="D125" s="963" t="s">
        <v>53</v>
      </c>
      <c r="E125" s="1005" t="s">
        <v>54</v>
      </c>
      <c r="F125" s="1006" t="s">
        <v>55</v>
      </c>
    </row>
    <row r="126">
      <c r="A126" s="967">
        <v>1.0</v>
      </c>
      <c r="B126" s="1028">
        <f>MROUND('WEEK 14'!B124*0.2*0.5,2.5)</f>
        <v>0</v>
      </c>
      <c r="C126" s="968">
        <v>20.0</v>
      </c>
      <c r="D126" s="969" t="s">
        <v>57</v>
      </c>
      <c r="E126" s="1010"/>
      <c r="F126" s="1017"/>
    </row>
    <row r="127">
      <c r="A127" s="967">
        <v>2.0</v>
      </c>
      <c r="B127" s="1028">
        <f>if('WEEK 14'!F126&lt;10,mround('WEEK 14'!B126*0.8,2.5),IF('WEEK 14'!F126&lt;20,MROUND('WEEK 14'!B126*0.95,2.5),'WEEK 14'!B126))</f>
        <v>0</v>
      </c>
      <c r="C127" s="968">
        <v>20.0</v>
      </c>
      <c r="D127" s="969" t="s">
        <v>57</v>
      </c>
      <c r="E127" s="1010"/>
      <c r="F127" s="1017"/>
    </row>
    <row r="128">
      <c r="A128" s="971">
        <v>3.0</v>
      </c>
      <c r="B128" s="1123">
        <f>if('WEEK 14'!F127&lt;10,mround('WEEK 14'!B127*0.8,2.5),IF('WEEK 14'!F127&lt;20,MROUND('WEEK 14'!B127*0.95,2.5),'WEEK 14'!B127))</f>
        <v>0</v>
      </c>
      <c r="C128" s="972">
        <v>20.0</v>
      </c>
      <c r="D128" s="973" t="s">
        <v>57</v>
      </c>
      <c r="E128" s="1021"/>
      <c r="F128" s="1017"/>
    </row>
    <row r="129">
      <c r="A129" s="1068"/>
      <c r="B129" s="1068"/>
      <c r="C129" s="1068"/>
      <c r="D129" s="623"/>
      <c r="E129" s="1265"/>
      <c r="F129" s="623"/>
    </row>
    <row r="130">
      <c r="A130" s="1069"/>
      <c r="B130" s="1069"/>
      <c r="C130" s="1069"/>
      <c r="D130" s="995"/>
      <c r="E130" s="1266"/>
      <c r="F130" s="995"/>
    </row>
    <row r="131">
      <c r="A131" s="1217" t="str">
        <f>HYPERLINK("https://youtu.be/QUNZvtb6mnY","3. DUMBBELL SIDE LATERAL RAISE")</f>
        <v>3. DUMBBELL SIDE LATERAL RAISE</v>
      </c>
      <c r="B131" s="53"/>
      <c r="C131" s="53"/>
      <c r="D131" s="53"/>
      <c r="E131" s="53"/>
      <c r="F131" s="54"/>
    </row>
    <row r="132">
      <c r="A132" s="1262" t="s">
        <v>134</v>
      </c>
      <c r="B132" s="76" t="str">
        <f>'WEEK 13'!B136</f>
        <v/>
      </c>
      <c r="C132" s="13"/>
      <c r="D132" s="13"/>
      <c r="E132" s="13"/>
      <c r="F132" s="57"/>
    </row>
    <row r="133">
      <c r="A133" s="1071" t="s">
        <v>50</v>
      </c>
      <c r="B133" s="1072" t="s">
        <v>51</v>
      </c>
      <c r="C133" s="1072" t="s">
        <v>52</v>
      </c>
      <c r="D133" s="1072" t="s">
        <v>53</v>
      </c>
      <c r="E133" s="1073" t="s">
        <v>54</v>
      </c>
      <c r="F133" s="1006" t="s">
        <v>55</v>
      </c>
    </row>
    <row r="134">
      <c r="A134" s="1074">
        <v>1.0</v>
      </c>
      <c r="B134" s="968">
        <f> mround('WEEK 14'!B132*0.2*0.5,2.5)</f>
        <v>0</v>
      </c>
      <c r="C134" s="968">
        <v>20.0</v>
      </c>
      <c r="D134" s="969" t="s">
        <v>57</v>
      </c>
      <c r="E134" s="1235" t="str">
        <f>if('WEEK 14'!B134='WEEK 6'!B137,'WEEK 6'!F137,"")</f>
        <v/>
      </c>
      <c r="F134" s="1017"/>
    </row>
    <row r="135">
      <c r="A135" s="1074">
        <v>2.0</v>
      </c>
      <c r="B135" s="968">
        <f>if('WEEK 14'!F134&lt;20,mround('WEEK 14'!B132*0.15,2.5),'WEEK 14'!B134)</f>
        <v>0</v>
      </c>
      <c r="C135" s="968">
        <v>20.0</v>
      </c>
      <c r="D135" s="969" t="s">
        <v>57</v>
      </c>
      <c r="E135" s="1235" t="str">
        <f>if('WEEK 14'!B135='WEEK 6'!B138,'WEEK 6'!F138,"")</f>
        <v/>
      </c>
      <c r="F135" s="1017"/>
    </row>
    <row r="136">
      <c r="A136" s="1078">
        <v>3.0</v>
      </c>
      <c r="B136" s="972">
        <f>if('WEEK 14'!F135&lt;20,mround('WEEK 14'!B132*0.1,2.5),'WEEK 14'!B135)</f>
        <v>0</v>
      </c>
      <c r="C136" s="972">
        <v>20.0</v>
      </c>
      <c r="D136" s="973" t="s">
        <v>57</v>
      </c>
      <c r="E136" s="1271" t="str">
        <f>if('WEEK 14'!B136='WEEK 6'!B139,'WEEK 6'!F139,"")</f>
        <v/>
      </c>
      <c r="F136" s="1017"/>
    </row>
    <row r="139">
      <c r="A139" s="74" t="str">
        <f>HYPERLINK("https://www.youtube.com/watch?v=Yke__29qVfo","3. TRICEPS PUSHDOWN (STRAIGHT BAR)")</f>
        <v>3. TRICEPS PUSHDOWN (STRAIGHT BAR)</v>
      </c>
      <c r="B139" s="53"/>
      <c r="C139" s="53"/>
      <c r="D139" s="53"/>
      <c r="E139" s="53"/>
      <c r="F139" s="54"/>
    </row>
    <row r="140">
      <c r="A140" s="226" t="s">
        <v>119</v>
      </c>
      <c r="B140" s="90">
        <f>'WEEK 11'!B137</f>
        <v>30</v>
      </c>
      <c r="C140" s="13"/>
      <c r="D140" s="13"/>
      <c r="E140" s="13"/>
      <c r="F140" s="57"/>
    </row>
    <row r="141">
      <c r="A141" s="77" t="s">
        <v>50</v>
      </c>
      <c r="B141" s="78" t="s">
        <v>51</v>
      </c>
      <c r="C141" s="78" t="s">
        <v>52</v>
      </c>
      <c r="D141" s="78" t="s">
        <v>53</v>
      </c>
      <c r="E141" s="80" t="s">
        <v>54</v>
      </c>
      <c r="F141" s="235" t="s">
        <v>55</v>
      </c>
    </row>
    <row r="142">
      <c r="A142" s="81">
        <v>1.0</v>
      </c>
      <c r="B142" s="82">
        <f> mround('WEEK 14'!B140*0.5,5)</f>
        <v>15</v>
      </c>
      <c r="C142" s="65">
        <v>20.0</v>
      </c>
      <c r="D142" s="83" t="s">
        <v>58</v>
      </c>
      <c r="E142" s="84" t="str">
        <f>IF('WEEK 1 '!B143=B142,'WEEK 1 '!F143,"")</f>
        <v/>
      </c>
      <c r="F142" s="85"/>
    </row>
    <row r="143">
      <c r="A143" s="81">
        <v>2.0</v>
      </c>
      <c r="B143" s="82">
        <f>if('WEEK 14'!F142&lt;10,mround(B142*0.8,5),IF('WEEK 14'!F142&lt;=19,MROUND('WEEK 14'!B142*0.95,5),'WEEK 14'!B142))</f>
        <v>10</v>
      </c>
      <c r="C143" s="65">
        <v>20.0</v>
      </c>
      <c r="D143" s="83" t="s">
        <v>58</v>
      </c>
      <c r="E143" s="84" t="str">
        <f>IF('WEEK 1 '!B144=B143,'WEEK 1 '!F144,"")</f>
        <v/>
      </c>
      <c r="F143" s="85"/>
    </row>
    <row r="144">
      <c r="A144" s="86">
        <v>3.0</v>
      </c>
      <c r="B144" s="87">
        <f>if('WEEK 14'!F143&lt;10,mround('WEEK 14'!B143*0.8,5),IF('WEEK 14'!F143&lt;=19,MROUND('WEEK 14'!B143*0.95,5),'WEEK 14'!B143))</f>
        <v>10</v>
      </c>
      <c r="C144" s="71">
        <v>20.0</v>
      </c>
      <c r="D144" s="88" t="s">
        <v>58</v>
      </c>
      <c r="E144" s="89" t="str">
        <f>IF('WEEK 1 '!B145=B144,'WEEK 1 '!F145,"")</f>
        <v/>
      </c>
      <c r="F144" s="85"/>
    </row>
    <row r="147">
      <c r="A147" s="75" t="str">
        <f>HYPERLINK("https://www.youtube.com/watch?v=9IqvmIhFxtY","5. BICEP CABLE CURL")</f>
        <v>5. BICEP CABLE CURL</v>
      </c>
      <c r="B147" s="53"/>
      <c r="C147" s="53"/>
      <c r="D147" s="53"/>
      <c r="E147" s="53"/>
      <c r="F147" s="54"/>
      <c r="G147" s="141"/>
      <c r="H147" s="75" t="str">
        <f>HYPERLINK("https://www.youtube.com/watch?v=Bi6Do6QIlpQ","5. BICEP EZ BAR CURL")</f>
        <v>5. BICEP EZ BAR CURL</v>
      </c>
      <c r="I147" s="53"/>
      <c r="J147" s="53"/>
      <c r="K147" s="53"/>
      <c r="L147" s="53"/>
      <c r="M147" s="54"/>
    </row>
    <row r="148">
      <c r="A148" s="226" t="s">
        <v>119</v>
      </c>
      <c r="B148" s="90">
        <f>IF('WEEK 11'!B147='WEEK 11'!B149,'WEEK 11'!B147+5,IF('WEEK 11'!F147&lt;=9,MROUND('WEEK 11'!B145*0.95,5),'WEEK 11'!B147))</f>
        <v>30</v>
      </c>
      <c r="C148" s="13"/>
      <c r="D148" s="13"/>
      <c r="E148" s="13"/>
      <c r="F148" s="57"/>
      <c r="G148" s="141"/>
      <c r="H148" s="226" t="s">
        <v>119</v>
      </c>
      <c r="I148" s="90">
        <f>IF('WEEK 11'!I147='WEEK 11'!I149,'WEEK 11'!I147+5,IF('WEEK 11'!M147&lt;=9,MROUND('WEEK 11'!I145*0.95,5),'WEEK 11'!I147))</f>
        <v>5</v>
      </c>
      <c r="J148" s="13"/>
      <c r="K148" s="13"/>
      <c r="L148" s="13"/>
      <c r="M148" s="57"/>
    </row>
    <row r="149">
      <c r="A149" s="77" t="s">
        <v>50</v>
      </c>
      <c r="B149" s="78" t="s">
        <v>51</v>
      </c>
      <c r="C149" s="78" t="s">
        <v>52</v>
      </c>
      <c r="D149" s="78" t="s">
        <v>53</v>
      </c>
      <c r="E149" s="80" t="s">
        <v>54</v>
      </c>
      <c r="F149" s="235" t="s">
        <v>55</v>
      </c>
      <c r="H149" s="77" t="s">
        <v>50</v>
      </c>
      <c r="I149" s="78" t="s">
        <v>51</v>
      </c>
      <c r="J149" s="78" t="s">
        <v>52</v>
      </c>
      <c r="K149" s="78" t="s">
        <v>53</v>
      </c>
      <c r="L149" s="80" t="s">
        <v>54</v>
      </c>
      <c r="M149" s="235" t="s">
        <v>55</v>
      </c>
    </row>
    <row r="150">
      <c r="A150" s="81">
        <v>1.0</v>
      </c>
      <c r="B150" s="82">
        <f>MROUND('WEEK 14'!B148*0.5,5)</f>
        <v>15</v>
      </c>
      <c r="C150" s="65">
        <v>20.0</v>
      </c>
      <c r="D150" s="83" t="s">
        <v>58</v>
      </c>
      <c r="E150" s="84">
        <f>IF('WEEK 11'!B147='WEEK 14'!B150,'WEEK 11'!B147,"")</f>
        <v>15</v>
      </c>
      <c r="F150" s="85"/>
      <c r="H150" s="81">
        <v>1.0</v>
      </c>
      <c r="I150" s="82">
        <f>MROUND('WEEK 14'!I148*0.5,5)</f>
        <v>5</v>
      </c>
      <c r="J150" s="65">
        <v>20.0</v>
      </c>
      <c r="K150" s="83" t="s">
        <v>58</v>
      </c>
      <c r="L150" s="84" t="str">
        <f>IF('WEEK 11'!I147='WEEK 14'!I150,'WEEK 11'!I147,"")</f>
        <v/>
      </c>
      <c r="M150" s="85"/>
    </row>
    <row r="151">
      <c r="A151" s="81">
        <v>2.0</v>
      </c>
      <c r="B151" s="82">
        <f>if('WEEK 14'!F150&lt;15,mround('WEEK 14'!B150*0.8,5),IF('WEEK 14'!F150&lt;=18,MROUND('WEEK 14'!B148*0.95,5),'WEEK 14'!B150))</f>
        <v>10</v>
      </c>
      <c r="C151" s="65">
        <v>20.0</v>
      </c>
      <c r="D151" s="83" t="s">
        <v>58</v>
      </c>
      <c r="E151" s="84">
        <f>IF('WEEK 11'!B148='WEEK 14'!B151,'WEEK 11'!B148,"")</f>
        <v>10</v>
      </c>
      <c r="F151" s="85"/>
      <c r="H151" s="81">
        <v>2.0</v>
      </c>
      <c r="I151" s="82">
        <f>if('WEEK 14'!M150&lt;15,mround('WEEK 14'!I150*0.8,5),IF('WEEK 14'!M150&lt;=18,MROUND('WEEK 14'!I148*0.95,5),'WEEK 14'!I150))</f>
        <v>5</v>
      </c>
      <c r="J151" s="65">
        <v>20.0</v>
      </c>
      <c r="K151" s="83" t="s">
        <v>58</v>
      </c>
      <c r="L151" s="84" t="str">
        <f>IF('WEEK 11'!I148='WEEK 14'!I151,'WEEK 11'!I148,"")</f>
        <v/>
      </c>
      <c r="M151" s="85"/>
    </row>
    <row r="152">
      <c r="A152" s="629">
        <v>3.0</v>
      </c>
      <c r="B152" s="630">
        <f>if('WEEK 14'!F151&lt;15,mround('WEEK 14'!B151*0.8,5),IF('WEEK 14'!F151&lt;=18,MROUND('WEEK 14'!B149*0.95,5),'WEEK 14'!B151))</f>
        <v>10</v>
      </c>
      <c r="C152" s="631">
        <v>20.0</v>
      </c>
      <c r="D152" s="328" t="s">
        <v>58</v>
      </c>
      <c r="E152" s="84">
        <f>IF('WEEK 11'!B149='WEEK 14'!B152,'WEEK 11'!B149,"")</f>
        <v>10</v>
      </c>
      <c r="F152" s="330"/>
      <c r="H152" s="629">
        <v>3.0</v>
      </c>
      <c r="I152" s="630">
        <f>if('WEEK 14'!M151&lt;15,mround('WEEK 14'!I151*0.8,5),IF('WEEK 14'!M151&lt;=18,MROUND('WEEK 14'!I149*0.95,5),'WEEK 14'!I151))</f>
        <v>5</v>
      </c>
      <c r="J152" s="631">
        <v>20.0</v>
      </c>
      <c r="K152" s="328" t="s">
        <v>58</v>
      </c>
      <c r="L152" s="84" t="str">
        <f>IF('WEEK 11'!I149='WEEK 14'!I152,'WEEK 11'!I149,"")</f>
        <v/>
      </c>
      <c r="M152" s="330"/>
    </row>
    <row r="155">
      <c r="A155" s="1149" t="s">
        <v>135</v>
      </c>
      <c r="B155" s="36"/>
      <c r="C155" s="36"/>
      <c r="D155" s="36"/>
      <c r="E155" s="36"/>
      <c r="F155" s="37"/>
    </row>
    <row r="156">
      <c r="A156" s="623"/>
      <c r="B156" s="623"/>
      <c r="C156" s="623"/>
      <c r="D156" s="623"/>
      <c r="E156" s="1274"/>
      <c r="F156" s="623"/>
    </row>
    <row r="157">
      <c r="A157" s="1275" t="str">
        <f>HYPERLINK("https://www.amazon.com/30-Minute-Body-Investment-Champion/dp/0692791892/ref=sr_1_1?ie=UTF8&amp;qid=1490447969&amp;sr=8-1&amp;keywords=30+minute+body","WANT TO LEARN MORE?")</f>
        <v>WANT TO LEARN MORE?</v>
      </c>
      <c r="B157" s="25"/>
      <c r="C157" s="25"/>
      <c r="D157" s="25"/>
      <c r="E157" s="25"/>
      <c r="F157" s="26"/>
    </row>
    <row r="158">
      <c r="A158" s="529"/>
      <c r="F158" s="28"/>
    </row>
    <row r="159">
      <c r="A159" s="1276"/>
      <c r="B159" s="999"/>
      <c r="C159" s="1150" t="s">
        <v>67</v>
      </c>
      <c r="F159" s="28"/>
    </row>
    <row r="160">
      <c r="A160" s="1276"/>
      <c r="B160" s="999"/>
      <c r="F160" s="28"/>
    </row>
    <row r="161">
      <c r="A161" s="1276"/>
      <c r="B161" s="999"/>
      <c r="F161" s="28"/>
    </row>
    <row r="162">
      <c r="A162" s="1276"/>
      <c r="B162" s="999"/>
      <c r="F162" s="28"/>
    </row>
    <row r="163">
      <c r="A163" s="1276"/>
      <c r="B163" s="999"/>
      <c r="F163" s="28"/>
    </row>
    <row r="164">
      <c r="A164" s="1276"/>
      <c r="B164" s="999"/>
      <c r="F164" s="28"/>
    </row>
    <row r="165">
      <c r="A165" s="1277"/>
      <c r="B165" s="999"/>
      <c r="F165" s="28"/>
    </row>
    <row r="166">
      <c r="A166" s="1276"/>
      <c r="B166" s="999"/>
      <c r="F166" s="28"/>
    </row>
    <row r="167">
      <c r="A167" s="1276"/>
      <c r="B167" s="999"/>
      <c r="F167" s="28"/>
    </row>
    <row r="168">
      <c r="A168" s="1278"/>
      <c r="B168" s="999"/>
      <c r="F168" s="28"/>
    </row>
    <row r="169">
      <c r="A169" s="1276"/>
      <c r="B169" s="999"/>
      <c r="F169" s="28"/>
    </row>
    <row r="170">
      <c r="A170" s="1276"/>
      <c r="B170" s="999"/>
      <c r="F170" s="28"/>
    </row>
    <row r="171">
      <c r="A171" s="1276"/>
      <c r="B171" s="999"/>
      <c r="F171" s="28"/>
    </row>
    <row r="172">
      <c r="A172" s="1276"/>
      <c r="B172" s="999"/>
      <c r="F172" s="28"/>
    </row>
    <row r="173">
      <c r="A173" s="1279"/>
      <c r="B173" s="1280"/>
      <c r="C173" s="11"/>
      <c r="D173" s="11"/>
      <c r="E173" s="11"/>
      <c r="F173" s="46"/>
    </row>
  </sheetData>
  <mergeCells count="77">
    <mergeCell ref="G24:G25"/>
    <mergeCell ref="A27:F27"/>
    <mergeCell ref="A30:F30"/>
    <mergeCell ref="B33:F33"/>
    <mergeCell ref="G37:G41"/>
    <mergeCell ref="B38:F38"/>
    <mergeCell ref="A44:F44"/>
    <mergeCell ref="B45:F45"/>
    <mergeCell ref="A51:F51"/>
    <mergeCell ref="A54:F54"/>
    <mergeCell ref="B57:F57"/>
    <mergeCell ref="A59:F59"/>
    <mergeCell ref="B60:F60"/>
    <mergeCell ref="A65:F66"/>
    <mergeCell ref="A67:F67"/>
    <mergeCell ref="B68:F68"/>
    <mergeCell ref="A74:F75"/>
    <mergeCell ref="A77:F77"/>
    <mergeCell ref="A80:F80"/>
    <mergeCell ref="B81:F81"/>
    <mergeCell ref="B93:F93"/>
    <mergeCell ref="A96:F96"/>
    <mergeCell ref="B97:F97"/>
    <mergeCell ref="A104:F104"/>
    <mergeCell ref="G104:G106"/>
    <mergeCell ref="H104:M104"/>
    <mergeCell ref="B105:F105"/>
    <mergeCell ref="I105:M105"/>
    <mergeCell ref="G107:G108"/>
    <mergeCell ref="G109:G110"/>
    <mergeCell ref="A112:F112"/>
    <mergeCell ref="A115:F115"/>
    <mergeCell ref="B116:F116"/>
    <mergeCell ref="A123:F123"/>
    <mergeCell ref="B124:F124"/>
    <mergeCell ref="B148:F148"/>
    <mergeCell ref="A155:F155"/>
    <mergeCell ref="A157:F158"/>
    <mergeCell ref="C159:F173"/>
    <mergeCell ref="A131:F131"/>
    <mergeCell ref="B132:F132"/>
    <mergeCell ref="A139:F139"/>
    <mergeCell ref="B140:F140"/>
    <mergeCell ref="A147:F147"/>
    <mergeCell ref="H147:M147"/>
    <mergeCell ref="I148:M148"/>
    <mergeCell ref="A9:F9"/>
    <mergeCell ref="H9:M9"/>
    <mergeCell ref="A10:F11"/>
    <mergeCell ref="H10:M10"/>
    <mergeCell ref="A12:F12"/>
    <mergeCell ref="A13:F13"/>
    <mergeCell ref="H15:M15"/>
    <mergeCell ref="A20:F20"/>
    <mergeCell ref="B21:F21"/>
    <mergeCell ref="O20:T20"/>
    <mergeCell ref="P21:T21"/>
    <mergeCell ref="N19:N26"/>
    <mergeCell ref="N27:N28"/>
    <mergeCell ref="N29:N31"/>
    <mergeCell ref="N38:N41"/>
    <mergeCell ref="A15:F15"/>
    <mergeCell ref="A19:F19"/>
    <mergeCell ref="H19:M19"/>
    <mergeCell ref="O19:T19"/>
    <mergeCell ref="H20:M20"/>
    <mergeCell ref="I21:M21"/>
    <mergeCell ref="O27:T27"/>
    <mergeCell ref="H37:M37"/>
    <mergeCell ref="I38:M38"/>
    <mergeCell ref="H27:M27"/>
    <mergeCell ref="H29:M29"/>
    <mergeCell ref="O29:T29"/>
    <mergeCell ref="I34:M34"/>
    <mergeCell ref="P34:T34"/>
    <mergeCell ref="A35:N36"/>
    <mergeCell ref="A37:F37"/>
  </mergeCells>
  <dataValidations>
    <dataValidation type="decimal" operator="greaterThanOrEqual" allowBlank="1" showDropDown="1" showErrorMessage="1" sqref="M22:M26 F39:F41 F46:F49 F53 F55 F61:F64 F69:F73">
      <formula1>0.0</formula1>
    </dataValidation>
    <dataValidation type="decimal" operator="greaterThanOrEqual" allowBlank="1" showDropDown="1" sqref="F22:F26 F28 F31 F82:F86 F88">
      <formula1>0.0</formula1>
    </dataValidation>
  </dataValidations>
  <drawing r:id="rId2"/>
  <legacy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51" t="str">
        <f>'MSW14'!A1</f>
        <v/>
      </c>
    </row>
    <row r="8">
      <c r="A8" s="11"/>
      <c r="B8" s="11"/>
      <c r="C8" s="11"/>
      <c r="D8" s="11"/>
      <c r="E8" s="11"/>
      <c r="F8" s="11"/>
      <c r="G8" s="11"/>
      <c r="H8" s="11"/>
      <c r="I8" s="11"/>
      <c r="J8" s="11"/>
      <c r="K8" s="11"/>
      <c r="L8" s="11"/>
      <c r="M8" s="11"/>
      <c r="N8" s="11"/>
      <c r="O8" s="11"/>
      <c r="P8" s="11"/>
      <c r="Q8" s="11"/>
      <c r="R8" s="11"/>
      <c r="S8" s="11"/>
      <c r="T8" s="11"/>
    </row>
    <row r="9">
      <c r="A9" s="1305" t="str">
        <f>'MSW14'!A9</f>
        <v>Week 14</v>
      </c>
      <c r="B9" s="36"/>
      <c r="C9" s="36"/>
      <c r="D9" s="36"/>
      <c r="E9" s="36"/>
      <c r="F9" s="37"/>
      <c r="G9" s="1172" t="str">
        <f>'MSW14'!G9</f>
        <v/>
      </c>
      <c r="H9" s="24" t="s">
        <v>35</v>
      </c>
      <c r="I9" s="25"/>
      <c r="J9" s="25"/>
      <c r="K9" s="25"/>
      <c r="L9" s="25"/>
      <c r="M9" s="26"/>
      <c r="N9" s="1172"/>
    </row>
    <row r="10">
      <c r="A10" s="991" t="str">
        <f>'MSW14'!A10</f>
        <v>PRESS TO RECORD BODY WEIGHT</v>
      </c>
      <c r="F10" s="28"/>
      <c r="H10" s="27" t="s">
        <v>244</v>
      </c>
      <c r="M10" s="28"/>
    </row>
    <row r="11">
      <c r="A11" s="336"/>
      <c r="B11" s="11"/>
      <c r="C11" s="11"/>
      <c r="D11" s="11"/>
      <c r="E11" s="11"/>
      <c r="F11" s="46"/>
      <c r="H11" s="29" t="s">
        <v>245</v>
      </c>
      <c r="I11" s="30"/>
      <c r="J11" s="30"/>
      <c r="K11" s="30"/>
      <c r="L11" s="30"/>
      <c r="M11" s="31"/>
    </row>
    <row r="12">
      <c r="A12" s="992" t="str">
        <f>'MSW14'!A12</f>
        <v>This Weeks Goals</v>
      </c>
      <c r="B12" s="11"/>
      <c r="C12" s="11"/>
      <c r="D12" s="11"/>
      <c r="E12" s="11"/>
      <c r="F12" s="46"/>
      <c r="H12" s="1172"/>
    </row>
    <row r="13">
      <c r="A13" s="1128" t="str">
        <f>'MSW14'!A13</f>
        <v>This week you will be attempting new max weights as well as experiencing high reps on leg day. Stay focused and remember rest and recovery are key to your results. Good luck!</v>
      </c>
      <c r="B13" s="11"/>
      <c r="C13" s="11"/>
      <c r="D13" s="11"/>
      <c r="E13" s="11"/>
      <c r="F13" s="46"/>
    </row>
    <row r="14">
      <c r="A14" s="1152" t="str">
        <f>'MSW14'!A14</f>
        <v/>
      </c>
      <c r="B14" s="11"/>
      <c r="C14" s="11"/>
      <c r="D14" s="11"/>
      <c r="E14" s="11"/>
      <c r="F14" s="11"/>
    </row>
    <row r="15">
      <c r="A15" s="996" t="str">
        <f>'MSW14'!A15</f>
        <v>DAY 1 </v>
      </c>
      <c r="B15" s="11"/>
      <c r="C15" s="11"/>
      <c r="D15" s="11"/>
      <c r="E15" s="11"/>
      <c r="F15" s="46"/>
      <c r="H15" s="1098" t="str">
        <f>'MSW14'!H15</f>
        <v>ALTERNATE WORKOUTS</v>
      </c>
      <c r="I15" s="36"/>
      <c r="J15" s="36"/>
      <c r="K15" s="36"/>
      <c r="L15" s="36"/>
      <c r="M15" s="37"/>
      <c r="N15" s="1151" t="str">
        <f>'MSW14'!N15</f>
        <v/>
      </c>
    </row>
    <row r="16">
      <c r="A16" s="1172" t="str">
        <f>'MSW14'!A16</f>
        <v/>
      </c>
      <c r="H16" s="1172" t="str">
        <f>'MSW14'!H16</f>
        <v/>
      </c>
    </row>
    <row r="19">
      <c r="A19" s="51" t="str">
        <f>'MSW14'!A19</f>
        <v>CHEST &amp; BACK </v>
      </c>
      <c r="B19" s="36"/>
      <c r="C19" s="36"/>
      <c r="D19" s="36"/>
      <c r="E19" s="36"/>
      <c r="F19" s="37"/>
      <c r="G19" s="1151" t="str">
        <f>'MSW14'!G19</f>
        <v/>
      </c>
      <c r="H19" s="51" t="str">
        <f>'MSW14'!H19</f>
        <v>CHEST &amp; BACK </v>
      </c>
      <c r="I19" s="36"/>
      <c r="J19" s="36"/>
      <c r="K19" s="36"/>
      <c r="L19" s="36"/>
      <c r="M19" s="37"/>
      <c r="N19" s="141" t="str">
        <f>'MSW14'!N19</f>
        <v/>
      </c>
      <c r="O19" s="51" t="str">
        <f>'MSW14'!O19</f>
        <v>CHEST &amp; BACK </v>
      </c>
      <c r="P19" s="36"/>
      <c r="Q19" s="36"/>
      <c r="R19" s="36"/>
      <c r="S19" s="36"/>
      <c r="T19" s="37"/>
    </row>
    <row r="20">
      <c r="A20" s="225" t="str">
        <f>'MSW14'!A20</f>
        <v>1. BENCH PRESS</v>
      </c>
      <c r="B20" s="13"/>
      <c r="C20" s="13"/>
      <c r="D20" s="13"/>
      <c r="E20" s="13"/>
      <c r="F20" s="57"/>
      <c r="H20" s="52" t="str">
        <f>'MSW14'!H20</f>
        <v>1. DUMBBELL INCLINE PRESS</v>
      </c>
      <c r="I20" s="53"/>
      <c r="J20" s="53"/>
      <c r="K20" s="53"/>
      <c r="L20" s="53"/>
      <c r="M20" s="54"/>
      <c r="O20" s="52" t="str">
        <f>'MSW14'!O20</f>
        <v>1. MACHINE PRESS</v>
      </c>
      <c r="P20" s="53"/>
      <c r="Q20" s="53"/>
      <c r="R20" s="53"/>
      <c r="S20" s="53"/>
      <c r="T20" s="54"/>
    </row>
    <row r="21">
      <c r="A21" s="226" t="str">
        <f>'MSW14'!A21</f>
        <v>CURRENT MAX</v>
      </c>
      <c r="B21" s="227" t="str">
        <f>'MSW14'!B21</f>
        <v/>
      </c>
      <c r="C21" s="20"/>
      <c r="D21" s="20"/>
      <c r="E21" s="20"/>
      <c r="F21" s="95"/>
      <c r="H21" s="228" t="str">
        <f>'MSW14'!H21</f>
        <v>CURRENT MAX</v>
      </c>
      <c r="I21" s="229">
        <f>'MSW14'!I21</f>
        <v>100</v>
      </c>
      <c r="J21" s="16"/>
      <c r="K21" s="16"/>
      <c r="L21" s="16"/>
      <c r="M21" s="230"/>
      <c r="O21" s="228" t="str">
        <f>'MSW14'!O21</f>
        <v>CURRENT MAX</v>
      </c>
      <c r="P21" s="229" t="str">
        <f>'MSW14'!P21</f>
        <v/>
      </c>
      <c r="Q21" s="16"/>
      <c r="R21" s="16"/>
      <c r="S21" s="16"/>
      <c r="T21" s="230"/>
    </row>
    <row r="22">
      <c r="A22" s="231" t="str">
        <f>'MSW14'!A22</f>
        <v>SET</v>
      </c>
      <c r="B22" s="232" t="str">
        <f>'MSW14'!B22</f>
        <v>WEIGHT</v>
      </c>
      <c r="C22" s="232" t="str">
        <f>'MSW14'!C22</f>
        <v>REPS</v>
      </c>
      <c r="D22" s="232" t="str">
        <f>'MSW14'!D22</f>
        <v>REST</v>
      </c>
      <c r="E22" s="233" t="str">
        <f>'MSW14'!E22</f>
        <v>PREVIOUS</v>
      </c>
      <c r="F22" s="61" t="str">
        <f>'MSW14'!F22</f>
        <v>REP LOG</v>
      </c>
      <c r="H22" s="96" t="str">
        <f>'MSW14'!H22</f>
        <v>SET</v>
      </c>
      <c r="I22" s="97" t="str">
        <f>'MSW14'!I22</f>
        <v>WEIGHT</v>
      </c>
      <c r="J22" s="97" t="str">
        <f>'MSW14'!J22</f>
        <v>REPS</v>
      </c>
      <c r="K22" s="97" t="str">
        <f>'MSW14'!K22</f>
        <v>REST</v>
      </c>
      <c r="L22" s="98" t="str">
        <f>'MSW14'!L22</f>
        <v>PREVIOUS</v>
      </c>
      <c r="M22" s="235" t="str">
        <f>'MSW14'!M22</f>
        <v>REP LOG</v>
      </c>
      <c r="O22" s="96" t="str">
        <f>'MSW14'!O22</f>
        <v>SET</v>
      </c>
      <c r="P22" s="97" t="str">
        <f>'MSW14'!P22</f>
        <v>WEIGHT</v>
      </c>
      <c r="Q22" s="97" t="str">
        <f>'MSW14'!Q22</f>
        <v>REPS</v>
      </c>
      <c r="R22" s="97" t="str">
        <f>'MSW14'!R22</f>
        <v>REST</v>
      </c>
      <c r="S22" s="98" t="str">
        <f>'MSW14'!S22</f>
        <v>PREVIOUS</v>
      </c>
      <c r="T22" s="235" t="str">
        <f>'MSW14'!T22</f>
        <v>REP LOG</v>
      </c>
    </row>
    <row r="23">
      <c r="A23" s="236">
        <f>'MSW14'!A23</f>
        <v>1</v>
      </c>
      <c r="B23" s="237">
        <f>'MSW14'!B23</f>
        <v>0</v>
      </c>
      <c r="C23" s="237">
        <f>'MSW14'!C23</f>
        <v>6</v>
      </c>
      <c r="D23" s="238" t="str">
        <f>'MSW14'!D23</f>
        <v>30s</v>
      </c>
      <c r="E23" s="66" t="str">
        <f>'MSW14'!E23</f>
        <v/>
      </c>
      <c r="F23" s="67"/>
      <c r="H23" s="244">
        <f>'MSW14'!H23</f>
        <v>1</v>
      </c>
      <c r="I23" s="241">
        <f>'MSW14'!I23</f>
        <v>35</v>
      </c>
      <c r="J23" s="63">
        <f>'MSW14'!J23</f>
        <v>6</v>
      </c>
      <c r="K23" s="83" t="str">
        <f>'MSW14'!K23</f>
        <v>1-3 MIN</v>
      </c>
      <c r="L23" s="66" t="str">
        <f>'MSW14'!L23</f>
        <v/>
      </c>
      <c r="M23" s="85" t="str">
        <f>'MSW14'!M23</f>
        <v/>
      </c>
      <c r="O23" s="244">
        <f>'MSW14'!O23</f>
        <v>1</v>
      </c>
      <c r="P23" s="241">
        <f>'MSW14'!P23</f>
        <v>0</v>
      </c>
      <c r="Q23" s="63">
        <f>'MSW14'!Q23</f>
        <v>6</v>
      </c>
      <c r="R23" s="83" t="str">
        <f>'MSW14'!R23</f>
        <v>1-3 MIN</v>
      </c>
      <c r="S23" s="66" t="str">
        <f>'MSW14'!S23</f>
        <v/>
      </c>
      <c r="T23" s="85"/>
    </row>
    <row r="24">
      <c r="A24" s="236">
        <f>'MSW14'!A24</f>
        <v>2</v>
      </c>
      <c r="B24" s="237">
        <f>'MSW14'!B24</f>
        <v>0</v>
      </c>
      <c r="C24" s="237">
        <f>'MSW14'!C24</f>
        <v>1</v>
      </c>
      <c r="D24" s="238" t="str">
        <f>'MSW14'!D24</f>
        <v>1-2 MIN</v>
      </c>
      <c r="E24" s="66" t="str">
        <f>'MSW14'!E24</f>
        <v/>
      </c>
      <c r="F24" s="67"/>
      <c r="G24" s="1129" t="str">
        <f>'MSW14'!G24</f>
        <v>Alternate</v>
      </c>
      <c r="H24" s="240">
        <f>'MSW14'!H24</f>
        <v>2</v>
      </c>
      <c r="I24" s="241">
        <f>'MSW14'!I24</f>
        <v>65</v>
      </c>
      <c r="J24" s="241">
        <f>'MSW14'!J24</f>
        <v>1</v>
      </c>
      <c r="K24" s="83" t="str">
        <f>'MSW14'!K24</f>
        <v>1-3 MIN</v>
      </c>
      <c r="L24" s="66" t="str">
        <f>'MSW14'!L24</f>
        <v/>
      </c>
      <c r="M24" s="85" t="str">
        <f>'MSW14'!M24</f>
        <v/>
      </c>
      <c r="O24" s="240">
        <f>'MSW14'!O24</f>
        <v>2</v>
      </c>
      <c r="P24" s="241">
        <f>'MSW14'!P24</f>
        <v>0</v>
      </c>
      <c r="Q24" s="241">
        <f>'MSW14'!Q24</f>
        <v>1</v>
      </c>
      <c r="R24" s="83" t="str">
        <f>'MSW14'!R24</f>
        <v>1-3 MIN</v>
      </c>
      <c r="S24" s="66" t="str">
        <f>'MSW14'!S24</f>
        <v/>
      </c>
      <c r="T24" s="85"/>
    </row>
    <row r="25">
      <c r="A25" s="242">
        <f>'MSW14'!A25</f>
        <v>3</v>
      </c>
      <c r="B25" s="237">
        <f>'MSW14'!B25</f>
        <v>0</v>
      </c>
      <c r="C25" s="82">
        <f>'MSW14'!C25</f>
        <v>1</v>
      </c>
      <c r="D25" s="238" t="str">
        <f>'MSW14'!D25</f>
        <v>1-2 MIN</v>
      </c>
      <c r="E25" s="66" t="str">
        <f>'MSW14'!E25</f>
        <v/>
      </c>
      <c r="F25" s="67"/>
      <c r="H25" s="240">
        <f>'MSW14'!H25</f>
        <v>3</v>
      </c>
      <c r="I25" s="241">
        <f>'MSW14'!I25</f>
        <v>85</v>
      </c>
      <c r="J25" s="63">
        <f>'MSW14'!J25</f>
        <v>1</v>
      </c>
      <c r="K25" s="83" t="str">
        <f>'MSW14'!K25</f>
        <v>1-3 MIN</v>
      </c>
      <c r="L25" s="66" t="str">
        <f>'MSW14'!L25</f>
        <v/>
      </c>
      <c r="M25" s="85" t="str">
        <f>'MSW14'!M25</f>
        <v/>
      </c>
      <c r="O25" s="240">
        <f>'MSW14'!O25</f>
        <v>3</v>
      </c>
      <c r="P25" s="241">
        <f>'MSW14'!P25</f>
        <v>0</v>
      </c>
      <c r="Q25" s="241">
        <f>'MSW14'!Q25</f>
        <v>1</v>
      </c>
      <c r="R25" s="83" t="str">
        <f>'MSW14'!R25</f>
        <v>1-3 MIN</v>
      </c>
      <c r="S25" s="66" t="str">
        <f>'MSW14'!S25</f>
        <v/>
      </c>
      <c r="T25" s="85"/>
    </row>
    <row r="26">
      <c r="A26" s="243">
        <f>'MSW14'!A26</f>
        <v>4</v>
      </c>
      <c r="B26" s="237" t="str">
        <f>'MSW14'!B26</f>
        <v/>
      </c>
      <c r="C26" s="175">
        <f>'MSW14'!C26</f>
        <v>1</v>
      </c>
      <c r="D26" s="238" t="str">
        <f>'MSW14'!D26</f>
        <v>1-5 MIN</v>
      </c>
      <c r="E26" s="66" t="str">
        <f>'MSW14'!E26</f>
        <v/>
      </c>
      <c r="F26" s="67"/>
      <c r="G26" s="1151" t="str">
        <f>'MSW14'!G26</f>
        <v/>
      </c>
      <c r="H26" s="240">
        <f>'MSW14'!H26</f>
        <v>4</v>
      </c>
      <c r="I26" s="241">
        <f>'MSW14'!I26</f>
        <v>100</v>
      </c>
      <c r="J26" s="245" t="str">
        <f>'MSW14'!J26</f>
        <v>REP OUT</v>
      </c>
      <c r="K26" s="83" t="str">
        <f>'MSW14'!K26</f>
        <v>1-3 MIN</v>
      </c>
      <c r="L26" s="66" t="str">
        <f>'MSW14'!L26</f>
        <v/>
      </c>
      <c r="M26" s="85" t="str">
        <f>'MSW14'!M26</f>
        <v/>
      </c>
      <c r="O26" s="240">
        <f>'MSW14'!O26</f>
        <v>4</v>
      </c>
      <c r="P26" s="241">
        <f>'MSW14'!P26</f>
        <v>0</v>
      </c>
      <c r="Q26" s="245" t="str">
        <f>'MSW14'!Q26</f>
        <v>REP OUT</v>
      </c>
      <c r="R26" s="83" t="str">
        <f>'MSW14'!R26</f>
        <v>1-3 MIN</v>
      </c>
      <c r="S26" s="66" t="str">
        <f>'MSW14'!S26</f>
        <v/>
      </c>
      <c r="T26" s="85"/>
    </row>
    <row r="27">
      <c r="A27" s="246" t="str">
        <f>'MSW14'!A27</f>
        <v>PROCEED TO DOWN SETS</v>
      </c>
      <c r="B27" s="20"/>
      <c r="C27" s="20"/>
      <c r="D27" s="20"/>
      <c r="E27" s="20"/>
      <c r="F27" s="95"/>
      <c r="H27" s="248" t="str">
        <f>'MSW14'!H27</f>
        <v>PROCEED TO DOWNSETS</v>
      </c>
      <c r="M27" s="28"/>
      <c r="N27" s="247" t="str">
        <f>'MSW14'!N27</f>
        <v>ALTERNATE</v>
      </c>
      <c r="O27" s="248" t="str">
        <f>'MSW14'!O27</f>
        <v>PROCEED TO DOWNSETS</v>
      </c>
      <c r="T27" s="28"/>
    </row>
    <row r="28">
      <c r="A28" s="249" t="str">
        <f>'MSW14'!A28</f>
        <v/>
      </c>
      <c r="B28" s="175" t="str">
        <f>'MSW14'!B28</f>
        <v/>
      </c>
      <c r="C28" s="238" t="str">
        <f>'MSW14'!C28</f>
        <v/>
      </c>
      <c r="D28" s="238" t="str">
        <f>'MSW14'!D28</f>
        <v/>
      </c>
      <c r="E28" s="66" t="str">
        <f>'MSW14'!E28</f>
        <v/>
      </c>
      <c r="F28" s="67" t="str">
        <f>'MSW14'!F28</f>
        <v/>
      </c>
      <c r="H28" s="251" t="str">
        <f>'MSW14'!H28</f>
        <v/>
      </c>
      <c r="I28" s="252" t="str">
        <f>'MSW14'!I28</f>
        <v/>
      </c>
      <c r="J28" s="253" t="str">
        <f>'MSW14'!J28</f>
        <v/>
      </c>
      <c r="K28" s="254" t="str">
        <f>'MSW14'!K28</f>
        <v/>
      </c>
      <c r="L28" s="66" t="str">
        <f>'MSW14'!L28</f>
        <v/>
      </c>
      <c r="M28" s="67" t="str">
        <f>'MSW14'!M28</f>
        <v/>
      </c>
      <c r="O28" s="251" t="str">
        <f>'MSW14'!O28</f>
        <v/>
      </c>
      <c r="P28" s="252" t="str">
        <f>'MSW14'!P28</f>
        <v/>
      </c>
      <c r="Q28" s="253" t="str">
        <f>'MSW14'!Q28</f>
        <v/>
      </c>
      <c r="R28" s="254" t="str">
        <f>'MSW14'!R28</f>
        <v/>
      </c>
      <c r="S28" s="66" t="str">
        <f>'MSW14'!S28</f>
        <v/>
      </c>
      <c r="T28" s="665"/>
    </row>
    <row r="29">
      <c r="A29" s="256" t="str">
        <f>'MSW14'!A29</f>
        <v/>
      </c>
      <c r="B29" s="237" t="str">
        <f>'MSW14'!B29</f>
        <v/>
      </c>
      <c r="C29" s="257" t="str">
        <f>'MSW14'!C29</f>
        <v/>
      </c>
      <c r="D29" s="257" t="str">
        <f>'MSW14'!D29</f>
        <v/>
      </c>
      <c r="E29" s="66" t="str">
        <f>'MSW14'!E29</f>
        <v/>
      </c>
      <c r="F29" s="67" t="str">
        <f>'MSW14'!F29</f>
        <v/>
      </c>
      <c r="H29" s="260" t="str">
        <f>'MSW14'!H29</f>
        <v>FILL OUT REP LOG FIRST</v>
      </c>
      <c r="I29" s="16"/>
      <c r="J29" s="16"/>
      <c r="K29" s="16"/>
      <c r="L29" s="16"/>
      <c r="M29" s="230"/>
      <c r="N29" s="141" t="str">
        <f>'MSW14'!N29</f>
        <v/>
      </c>
      <c r="O29" s="260" t="str">
        <f>'MSW14'!O29</f>
        <v>FILL OUT REP LOG FIRST</v>
      </c>
      <c r="P29" s="16"/>
      <c r="Q29" s="16"/>
      <c r="R29" s="16"/>
      <c r="S29" s="16"/>
      <c r="T29" s="230"/>
    </row>
    <row r="30">
      <c r="A30" s="246" t="str">
        <f>'MSW14'!A30</f>
        <v>FILL OUT REP LOG FOR DOWN SETS</v>
      </c>
      <c r="B30" s="20"/>
      <c r="C30" s="20"/>
      <c r="D30" s="20"/>
      <c r="E30" s="20"/>
      <c r="F30" s="95"/>
      <c r="H30" s="91" t="str">
        <f>'MSW14'!H30</f>
        <v/>
      </c>
      <c r="I30" s="261" t="str">
        <f>'MSW14'!I30</f>
        <v/>
      </c>
      <c r="J30" s="262" t="str">
        <f>'MSW14'!J30</f>
        <v/>
      </c>
      <c r="K30" s="65" t="str">
        <f>'MSW14'!K30</f>
        <v/>
      </c>
      <c r="L30" s="66" t="str">
        <f>'MSW14'!L30</f>
        <v/>
      </c>
      <c r="M30" s="263" t="str">
        <f>'MSW14'!M30</f>
        <v/>
      </c>
      <c r="O30" s="91" t="str">
        <f>'MSW14'!O30</f>
        <v/>
      </c>
      <c r="P30" s="261" t="str">
        <f>'MSW14'!P30</f>
        <v/>
      </c>
      <c r="Q30" s="262" t="str">
        <f>'MSW14'!Q30</f>
        <v/>
      </c>
      <c r="R30" s="65" t="str">
        <f>'MSW14'!R30</f>
        <v/>
      </c>
      <c r="S30" s="66" t="str">
        <f>'MSW14'!S30</f>
        <v/>
      </c>
      <c r="T30" s="263" t="str">
        <f>'MSW14'!T30</f>
        <v/>
      </c>
    </row>
    <row r="31">
      <c r="A31" s="264" t="str">
        <f>'MSW14'!A31</f>
        <v/>
      </c>
      <c r="B31" s="265" t="str">
        <f>'MSW14'!B31</f>
        <v/>
      </c>
      <c r="C31" s="266" t="str">
        <f>'MSW14'!C31</f>
        <v/>
      </c>
      <c r="D31" s="267" t="str">
        <f>'MSW14'!D31</f>
        <v/>
      </c>
      <c r="E31" s="66" t="str">
        <f>'MSW14'!E31</f>
        <v/>
      </c>
      <c r="F31" s="67" t="str">
        <f>'MSW14'!F31</f>
        <v/>
      </c>
      <c r="H31" s="269" t="str">
        <f>'MSW14'!H31</f>
        <v/>
      </c>
      <c r="I31" s="254" t="str">
        <f>'MSW14'!I31</f>
        <v/>
      </c>
      <c r="J31" s="253" t="str">
        <f>'MSW14'!J31</f>
        <v/>
      </c>
      <c r="K31" s="65" t="str">
        <f>'MSW14'!K31</f>
        <v/>
      </c>
      <c r="L31" s="66" t="str">
        <f>'MSW14'!L31</f>
        <v/>
      </c>
      <c r="M31" s="270" t="str">
        <f>'MSW14'!M31</f>
        <v/>
      </c>
      <c r="O31" s="269" t="str">
        <f>'MSW14'!O31</f>
        <v/>
      </c>
      <c r="P31" s="254" t="str">
        <f>'MSW14'!P31</f>
        <v/>
      </c>
      <c r="Q31" s="253" t="str">
        <f>'MSW14'!Q31</f>
        <v/>
      </c>
      <c r="R31" s="65" t="str">
        <f>'MSW14'!R31</f>
        <v/>
      </c>
      <c r="S31" s="66" t="str">
        <f>'MSW14'!S31</f>
        <v/>
      </c>
      <c r="T31" s="270" t="str">
        <f>'MSW14'!T31</f>
        <v/>
      </c>
    </row>
    <row r="32">
      <c r="A32" s="243" t="str">
        <f>'MSW14'!A32</f>
        <v/>
      </c>
      <c r="B32" s="237" t="str">
        <f>'MSW14'!B32</f>
        <v/>
      </c>
      <c r="C32" s="245" t="str">
        <f>'MSW14'!C32</f>
        <v/>
      </c>
      <c r="D32" s="65" t="str">
        <f>'MSW14'!D32</f>
        <v/>
      </c>
      <c r="E32" s="66" t="str">
        <f>'MSW14'!E32</f>
        <v/>
      </c>
      <c r="F32" s="271" t="str">
        <f>'MSW14'!F32</f>
        <v/>
      </c>
      <c r="H32" s="269" t="str">
        <f>'MSW14'!H32</f>
        <v/>
      </c>
      <c r="I32" s="254" t="str">
        <f>'MSW14'!I32</f>
        <v/>
      </c>
      <c r="J32" s="253" t="str">
        <f>'MSW14'!J32</f>
        <v/>
      </c>
      <c r="K32" s="65" t="str">
        <f>'MSW14'!K32</f>
        <v/>
      </c>
      <c r="L32" s="66" t="str">
        <f>'MSW14'!L32</f>
        <v/>
      </c>
      <c r="M32" s="270" t="str">
        <f>'MSW14'!M32</f>
        <v/>
      </c>
      <c r="O32" s="269" t="str">
        <f>'MSW14'!O32</f>
        <v/>
      </c>
      <c r="P32" s="254" t="str">
        <f>'MSW14'!P32</f>
        <v/>
      </c>
      <c r="Q32" s="253" t="str">
        <f>'MSW14'!Q32</f>
        <v/>
      </c>
      <c r="R32" s="65" t="str">
        <f>'MSW14'!R32</f>
        <v/>
      </c>
      <c r="S32" s="66" t="str">
        <f>'MSW14'!S32</f>
        <v/>
      </c>
      <c r="T32" s="263" t="str">
        <f>'MSW14'!T32</f>
        <v/>
      </c>
    </row>
    <row r="33">
      <c r="A33" s="272" t="str">
        <f>'MSW14'!A33</f>
        <v>FINAL MAX</v>
      </c>
      <c r="B33" s="273" t="str">
        <f>'MSW14'!B33</f>
        <v/>
      </c>
      <c r="C33" s="11"/>
      <c r="D33" s="11"/>
      <c r="E33" s="11"/>
      <c r="F33" s="46"/>
      <c r="H33" s="269" t="str">
        <f>'MSW14'!H33</f>
        <v/>
      </c>
      <c r="I33" s="254" t="str">
        <f>'MSW14'!I33</f>
        <v/>
      </c>
      <c r="J33" s="253" t="str">
        <f>'MSW14'!J33</f>
        <v/>
      </c>
      <c r="K33" s="65" t="str">
        <f>'MSW14'!K33</f>
        <v/>
      </c>
      <c r="L33" s="66" t="str">
        <f>'MSW14'!L33</f>
        <v/>
      </c>
      <c r="M33" s="270" t="str">
        <f>'MSW14'!M33</f>
        <v/>
      </c>
      <c r="O33" s="269" t="str">
        <f>'MSW14'!O33</f>
        <v/>
      </c>
      <c r="P33" s="254" t="str">
        <f>'MSW14'!P33</f>
        <v/>
      </c>
      <c r="Q33" s="253" t="str">
        <f>'MSW14'!Q33</f>
        <v/>
      </c>
      <c r="R33" s="65" t="str">
        <f>'MSW14'!R33</f>
        <v/>
      </c>
      <c r="S33" s="66" t="str">
        <f>'MSW14'!S33</f>
        <v/>
      </c>
      <c r="T33" s="263" t="str">
        <f>'MSW14'!T33</f>
        <v/>
      </c>
    </row>
    <row r="34">
      <c r="A34" s="1151" t="str">
        <f>'MSW14'!A34</f>
        <v/>
      </c>
      <c r="H34" s="280" t="str">
        <f>'MSW14'!H34</f>
        <v>FINAL MAX</v>
      </c>
      <c r="I34" s="273" t="str">
        <f>'MSW14'!I34</f>
        <v/>
      </c>
      <c r="J34" s="11"/>
      <c r="K34" s="11"/>
      <c r="L34" s="11"/>
      <c r="M34" s="46"/>
      <c r="O34" s="280" t="str">
        <f>'MSW14'!O34</f>
        <v>FINAL MAX</v>
      </c>
      <c r="P34" s="273" t="str">
        <f>'MSW14'!P34</f>
        <v/>
      </c>
      <c r="Q34" s="11"/>
      <c r="R34" s="11"/>
      <c r="S34" s="11"/>
      <c r="T34" s="46"/>
    </row>
    <row r="35">
      <c r="A35" s="658" t="str">
        <f>'MSW14'!A35</f>
        <v/>
      </c>
      <c r="O35" s="1151" t="str">
        <f>'MSW14'!O35</f>
        <v/>
      </c>
    </row>
    <row r="37">
      <c r="A37" s="440" t="str">
        <f>'MSW14'!A37</f>
        <v>2. DUMBBELL CHEST FLY</v>
      </c>
      <c r="B37" s="53"/>
      <c r="C37" s="53"/>
      <c r="D37" s="53"/>
      <c r="E37" s="53"/>
      <c r="F37" s="54"/>
      <c r="G37" s="659" t="str">
        <f>'MSW14'!G37</f>
        <v/>
      </c>
      <c r="H37" s="504" t="str">
        <f>'MSW14'!H37</f>
        <v>2. MACHINE CHEST FLY</v>
      </c>
      <c r="I37" s="53"/>
      <c r="J37" s="53"/>
      <c r="K37" s="53"/>
      <c r="L37" s="53"/>
      <c r="M37" s="54"/>
      <c r="N37" s="660" t="str">
        <f>'MSW14'!N37</f>
        <v/>
      </c>
    </row>
    <row r="38">
      <c r="A38" s="226" t="str">
        <f>'MSW14'!A38</f>
        <v>DB INCL PRSS MAX</v>
      </c>
      <c r="B38" s="548" t="str">
        <f>'MSW14'!B38</f>
        <v/>
      </c>
      <c r="C38" s="13"/>
      <c r="D38" s="13"/>
      <c r="E38" s="13"/>
      <c r="F38" s="57"/>
      <c r="H38" s="226" t="str">
        <f>'MSW14'!H38</f>
        <v>DB INCL PRSS MAX</v>
      </c>
      <c r="I38" s="548" t="str">
        <f>'MSW14'!I38</f>
        <v/>
      </c>
      <c r="J38" s="13"/>
      <c r="K38" s="13"/>
      <c r="L38" s="13"/>
      <c r="M38" s="57"/>
    </row>
    <row r="39">
      <c r="A39" s="96" t="str">
        <f>'MSW14'!A39</f>
        <v>SET</v>
      </c>
      <c r="B39" s="97" t="str">
        <f>'MSW14'!B39</f>
        <v>WEIGHT</v>
      </c>
      <c r="C39" s="97" t="str">
        <f>'MSW14'!C39</f>
        <v>REPS</v>
      </c>
      <c r="D39" s="97" t="str">
        <f>'MSW14'!D39</f>
        <v>REST</v>
      </c>
      <c r="E39" s="98" t="str">
        <f>'MSW14'!E39</f>
        <v>PREVIOUS</v>
      </c>
      <c r="F39" s="235" t="str">
        <f>'MSW14'!F39</f>
        <v>REP LOG</v>
      </c>
      <c r="H39" s="96" t="str">
        <f>'MSW14'!H39</f>
        <v>SET</v>
      </c>
      <c r="I39" s="97" t="str">
        <f>'MSW14'!I39</f>
        <v>WEIGHT</v>
      </c>
      <c r="J39" s="97" t="str">
        <f>'MSW14'!J39</f>
        <v>REPS</v>
      </c>
      <c r="K39" s="97" t="str">
        <f>'MSW14'!K39</f>
        <v>REST</v>
      </c>
      <c r="L39" s="341" t="str">
        <f>'MSW14'!L39</f>
        <v>PREVIOUS</v>
      </c>
      <c r="M39" s="235" t="str">
        <f>'MSW14'!M39</f>
        <v>REP LOG</v>
      </c>
    </row>
    <row r="40">
      <c r="A40" s="240">
        <f>'MSW14'!A40</f>
        <v>1</v>
      </c>
      <c r="B40" s="254">
        <f>'MSW14'!B40</f>
        <v>0</v>
      </c>
      <c r="C40" s="241">
        <f>'MSW14'!C40</f>
        <v>15</v>
      </c>
      <c r="D40" s="83" t="str">
        <f>'MSW14'!D40</f>
        <v>1-3 MIN</v>
      </c>
      <c r="E40" s="84" t="str">
        <f>'MSW14'!E40</f>
        <v/>
      </c>
      <c r="F40" s="85" t="str">
        <f>'MSW14'!F40</f>
        <v/>
      </c>
      <c r="H40" s="240">
        <f>'MSW14'!H40</f>
        <v>1</v>
      </c>
      <c r="I40" s="254">
        <f>'MSW14'!I40</f>
        <v>0</v>
      </c>
      <c r="J40" s="241">
        <f>'MSW14'!J40</f>
        <v>15</v>
      </c>
      <c r="K40" s="83" t="str">
        <f>'MSW14'!K40</f>
        <v>1-3 MIN</v>
      </c>
      <c r="L40" s="84" t="str">
        <f>'MSW14'!L40</f>
        <v/>
      </c>
      <c r="M40" s="85" t="str">
        <f>'MSW14'!M40</f>
        <v/>
      </c>
    </row>
    <row r="41">
      <c r="A41" s="661">
        <f>'MSW14'!A41</f>
        <v>2</v>
      </c>
      <c r="B41" s="662">
        <f>'MSW14'!B41</f>
        <v>0</v>
      </c>
      <c r="C41" s="662">
        <f>'MSW14'!C41</f>
        <v>15</v>
      </c>
      <c r="D41" s="88" t="str">
        <f>'MSW14'!D41</f>
        <v>1-3 MIN</v>
      </c>
      <c r="E41" s="89" t="str">
        <f>'MSW14'!E41</f>
        <v/>
      </c>
      <c r="F41" s="85" t="str">
        <f>'MSW14'!F41</f>
        <v/>
      </c>
      <c r="H41" s="661">
        <f>'MSW14'!H41</f>
        <v>2</v>
      </c>
      <c r="I41" s="662">
        <f>'MSW14'!I41</f>
        <v>0</v>
      </c>
      <c r="J41" s="662">
        <f>'MSW14'!J41</f>
        <v>15</v>
      </c>
      <c r="K41" s="88" t="str">
        <f>'MSW14'!K41</f>
        <v>1-3 MIN</v>
      </c>
      <c r="L41" s="89" t="str">
        <f>'MSW14'!L41</f>
        <v/>
      </c>
      <c r="M41" s="85" t="str">
        <f>'MSW14'!M41</f>
        <v/>
      </c>
    </row>
    <row r="42">
      <c r="A42" s="1151" t="str">
        <f>'MSW14'!A42</f>
        <v/>
      </c>
      <c r="G42" s="1151" t="str">
        <f>'MSW14'!G42</f>
        <v/>
      </c>
    </row>
    <row r="44">
      <c r="A44" s="73" t="str">
        <f>'MSW14'!A44</f>
        <v>3. MACHINE LOW ROW </v>
      </c>
      <c r="B44" s="53"/>
      <c r="C44" s="53"/>
      <c r="D44" s="53"/>
      <c r="E44" s="53"/>
      <c r="F44" s="54"/>
    </row>
    <row r="45">
      <c r="A45" s="226" t="str">
        <f>'MSW14'!A45</f>
        <v>CURRENT MAX</v>
      </c>
      <c r="B45" s="227">
        <f>'MSW14'!B45</f>
        <v>265</v>
      </c>
      <c r="C45" s="20"/>
      <c r="D45" s="20"/>
      <c r="E45" s="20"/>
      <c r="F45" s="95"/>
    </row>
    <row r="46">
      <c r="A46" s="231" t="str">
        <f>'MSW14'!A46</f>
        <v>SET</v>
      </c>
      <c r="B46" s="232" t="str">
        <f>'MSW14'!B46</f>
        <v>WEIGHT</v>
      </c>
      <c r="C46" s="232" t="str">
        <f>'MSW14'!C46</f>
        <v>REPS</v>
      </c>
      <c r="D46" s="232" t="str">
        <f>'MSW14'!D46</f>
        <v>REST</v>
      </c>
      <c r="E46" s="233" t="str">
        <f>'MSW14'!E46</f>
        <v>PREVIOUS</v>
      </c>
      <c r="F46" s="61" t="str">
        <f>'MSW14'!F46</f>
        <v>REP LOG</v>
      </c>
    </row>
    <row r="47">
      <c r="A47" s="236">
        <f>'MSW14'!A47</f>
        <v>1</v>
      </c>
      <c r="B47" s="237">
        <f>'MSW14'!B47</f>
        <v>70</v>
      </c>
      <c r="C47" s="237">
        <f>'MSW14'!C47</f>
        <v>6</v>
      </c>
      <c r="D47" s="238" t="str">
        <f>'MSW14'!D47</f>
        <v>30s</v>
      </c>
      <c r="E47" s="66" t="str">
        <f>'MSW14'!E47</f>
        <v/>
      </c>
      <c r="F47" s="67" t="str">
        <f>'MSW14'!F47</f>
        <v/>
      </c>
    </row>
    <row r="48">
      <c r="A48" s="236">
        <f>'MSW14'!A48</f>
        <v>2</v>
      </c>
      <c r="B48" s="237">
        <f>'MSW14'!B48</f>
        <v>170</v>
      </c>
      <c r="C48" s="238">
        <f>'MSW14'!C48</f>
        <v>3</v>
      </c>
      <c r="D48" s="238" t="str">
        <f>'MSW14'!D48</f>
        <v>1-2 MIN</v>
      </c>
      <c r="E48" s="66" t="str">
        <f>'MSW14'!E48</f>
        <v/>
      </c>
      <c r="F48" s="67" t="str">
        <f>'MSW14'!F48</f>
        <v/>
      </c>
    </row>
    <row r="49">
      <c r="A49" s="242">
        <f>'MSW14'!A49</f>
        <v>3</v>
      </c>
      <c r="B49" s="237">
        <f>'MSW14'!B49</f>
        <v>240</v>
      </c>
      <c r="C49" s="63">
        <f>'MSW14'!C49</f>
        <v>2</v>
      </c>
      <c r="D49" s="238" t="str">
        <f>'MSW14'!D49</f>
        <v>1-2 MIN</v>
      </c>
      <c r="E49" s="66" t="str">
        <f>'MSW14'!E49</f>
        <v/>
      </c>
      <c r="F49" s="67" t="str">
        <f>'MSW14'!F49</f>
        <v/>
      </c>
    </row>
    <row r="50">
      <c r="A50" s="243">
        <f>'MSW14'!A50</f>
        <v>4</v>
      </c>
      <c r="B50" s="237">
        <f>'MSW14'!B50</f>
        <v>265</v>
      </c>
      <c r="C50" s="257">
        <f>'MSW14'!C50</f>
        <v>3</v>
      </c>
      <c r="D50" s="238" t="str">
        <f>'MSW14'!D50</f>
        <v>1-5 MIN</v>
      </c>
      <c r="E50" s="66" t="str">
        <f>'MSW14'!E50</f>
        <v/>
      </c>
      <c r="F50" s="67" t="str">
        <f>'MSW14'!F50</f>
        <v/>
      </c>
    </row>
    <row r="51">
      <c r="A51" s="246" t="str">
        <f>'MSW14'!A51</f>
        <v>PROCEED TO DOWN SETS</v>
      </c>
      <c r="B51" s="20"/>
      <c r="C51" s="20"/>
      <c r="D51" s="20"/>
      <c r="E51" s="20"/>
      <c r="F51" s="95"/>
    </row>
    <row r="52">
      <c r="A52" s="249" t="str">
        <f>'MSW14'!A52</f>
        <v/>
      </c>
      <c r="B52" s="175" t="str">
        <f>'MSW14'!B52</f>
        <v/>
      </c>
      <c r="C52" s="238" t="str">
        <f>'MSW14'!C52</f>
        <v/>
      </c>
      <c r="D52" s="238" t="str">
        <f>'MSW14'!D52</f>
        <v/>
      </c>
      <c r="E52" s="250" t="str">
        <f>'MSW14'!E52</f>
        <v/>
      </c>
      <c r="F52" s="67" t="str">
        <f>'MSW14'!F52</f>
        <v/>
      </c>
    </row>
    <row r="53">
      <c r="A53" s="259" t="str">
        <f>'MSW14'!A53</f>
        <v/>
      </c>
      <c r="B53" s="237" t="str">
        <f>'MSW14'!B53</f>
        <v/>
      </c>
      <c r="C53" s="257" t="str">
        <f>'MSW14'!C53</f>
        <v/>
      </c>
      <c r="D53" s="257" t="str">
        <f>'MSW14'!D53</f>
        <v/>
      </c>
      <c r="E53" s="258" t="str">
        <f>'MSW14'!E53</f>
        <v/>
      </c>
      <c r="F53" s="67" t="str">
        <f>'MSW14'!F53</f>
        <v/>
      </c>
    </row>
    <row r="54">
      <c r="A54" s="246" t="str">
        <f>'MSW14'!A54</f>
        <v>DOWN SETS</v>
      </c>
      <c r="B54" s="20"/>
      <c r="C54" s="20"/>
      <c r="D54" s="20"/>
      <c r="E54" s="20"/>
      <c r="F54" s="95"/>
    </row>
    <row r="55">
      <c r="A55" s="264" t="str">
        <f>'MSW14'!A55</f>
        <v/>
      </c>
      <c r="B55" s="265">
        <f>'MSW14'!B55</f>
        <v>0</v>
      </c>
      <c r="C55" s="266" t="str">
        <f>'MSW14'!C55</f>
        <v>REP OUT</v>
      </c>
      <c r="D55" s="267" t="str">
        <f>'MSW14'!D55</f>
        <v>1-3 MIN</v>
      </c>
      <c r="E55" s="268" t="str">
        <f>'MSW14'!E55</f>
        <v/>
      </c>
      <c r="F55" s="67" t="str">
        <f>'MSW14'!F55</f>
        <v/>
      </c>
    </row>
    <row r="56">
      <c r="A56" s="243" t="str">
        <f>'MSW14'!A56</f>
        <v/>
      </c>
      <c r="B56" s="237">
        <f>'MSW14'!B56</f>
        <v>0</v>
      </c>
      <c r="C56" s="245" t="str">
        <f>'MSW14'!C56</f>
        <v>REP OUT</v>
      </c>
      <c r="D56" s="65" t="str">
        <f>'MSW14'!D56</f>
        <v>1-3 MIN</v>
      </c>
      <c r="E56" s="258" t="str">
        <f>'MSW14'!E56</f>
        <v/>
      </c>
      <c r="F56" s="271" t="str">
        <f>'MSW14'!F56</f>
        <v/>
      </c>
    </row>
    <row r="57">
      <c r="A57" s="272" t="str">
        <f>'MSW14'!A57</f>
        <v>FINAL MAX</v>
      </c>
      <c r="B57" s="273" t="str">
        <f>'MSW14'!B57</f>
        <v/>
      </c>
      <c r="C57" s="11"/>
      <c r="D57" s="11"/>
      <c r="E57" s="11"/>
      <c r="F57" s="46"/>
    </row>
    <row r="58">
      <c r="A58" s="292" t="str">
        <f>'MSW14'!A58</f>
        <v/>
      </c>
    </row>
    <row r="59">
      <c r="A59" s="73" t="str">
        <f>'MSW14'!A59</f>
        <v>4. HIGH ROW</v>
      </c>
      <c r="B59" s="53"/>
      <c r="C59" s="53"/>
      <c r="D59" s="53"/>
      <c r="E59" s="53"/>
      <c r="F59" s="54"/>
    </row>
    <row r="60">
      <c r="A60" s="282" t="str">
        <f>'MSW14'!A60</f>
        <v>CURRENT MAX</v>
      </c>
      <c r="B60" s="56" t="str">
        <f>'MSW14'!B60</f>
        <v/>
      </c>
      <c r="C60" s="13"/>
      <c r="D60" s="13"/>
      <c r="E60" s="13"/>
      <c r="F60" s="57"/>
    </row>
    <row r="61">
      <c r="A61" s="58" t="str">
        <f>'MSW14'!A61</f>
        <v>SET</v>
      </c>
      <c r="B61" s="59" t="str">
        <f>'MSW14'!B61</f>
        <v>WEIGHT</v>
      </c>
      <c r="C61" s="59" t="str">
        <f>'MSW14'!C61</f>
        <v>REPS</v>
      </c>
      <c r="D61" s="59" t="str">
        <f>'MSW14'!D61</f>
        <v>REST</v>
      </c>
      <c r="E61" s="60" t="str">
        <f>'MSW14'!E61</f>
        <v>PREVIOUS</v>
      </c>
      <c r="F61" s="61" t="str">
        <f>'MSW14'!F61</f>
        <v>REP LOG</v>
      </c>
    </row>
    <row r="62">
      <c r="A62" s="62">
        <f>'MSW14'!A62</f>
        <v>1</v>
      </c>
      <c r="B62" s="63">
        <f>'MSW14'!B62</f>
        <v>0</v>
      </c>
      <c r="C62" s="104" t="str">
        <f>'MSW14'!C62</f>
        <v>REP OUT</v>
      </c>
      <c r="D62" s="65" t="str">
        <f>'MSW14'!D62</f>
        <v>1-3 MIN</v>
      </c>
      <c r="E62" s="84" t="str">
        <f>'MSW14'!E62</f>
        <v/>
      </c>
      <c r="F62" s="67" t="str">
        <f>'MSW14'!F62</f>
        <v/>
      </c>
    </row>
    <row r="63">
      <c r="A63" s="62">
        <f>'MSW14'!A63</f>
        <v>2</v>
      </c>
      <c r="B63" s="63">
        <f>'MSW14'!B63</f>
        <v>0</v>
      </c>
      <c r="C63" s="104" t="str">
        <f>'MSW14'!C63</f>
        <v>REP OUT</v>
      </c>
      <c r="D63" s="65" t="str">
        <f>'MSW14'!D63</f>
        <v>1-3 MIN</v>
      </c>
      <c r="E63" s="84" t="str">
        <f>'MSW14'!E63</f>
        <v/>
      </c>
      <c r="F63" s="67" t="str">
        <f>'MSW14'!F63</f>
        <v/>
      </c>
    </row>
    <row r="64">
      <c r="A64" s="68">
        <f>'MSW14'!A64</f>
        <v>3</v>
      </c>
      <c r="B64" s="69">
        <f>'MSW14'!B64</f>
        <v>0</v>
      </c>
      <c r="C64" s="105" t="str">
        <f>'MSW14'!C64</f>
        <v>REP OUT</v>
      </c>
      <c r="D64" s="65" t="str">
        <f>'MSW14'!D64</f>
        <v>1-3 MIN</v>
      </c>
      <c r="E64" s="89" t="str">
        <f>'MSW14'!E64</f>
        <v/>
      </c>
      <c r="F64" s="67" t="str">
        <f>'MSW14'!F64</f>
        <v/>
      </c>
    </row>
    <row r="65">
      <c r="A65" s="657" t="str">
        <f>'MSW14'!A65</f>
        <v/>
      </c>
    </row>
    <row r="67">
      <c r="A67" s="440" t="str">
        <f>'MSW14'!A67</f>
        <v>5. LAT PULL DOWN</v>
      </c>
      <c r="B67" s="53"/>
      <c r="C67" s="53"/>
      <c r="D67" s="53"/>
      <c r="E67" s="53"/>
      <c r="F67" s="54"/>
    </row>
    <row r="68">
      <c r="A68" s="282" t="str">
        <f>'MSW14'!A68</f>
        <v>CURRENT MAX</v>
      </c>
      <c r="B68" s="56" t="str">
        <f>'MSW14'!B68</f>
        <v/>
      </c>
      <c r="C68" s="13"/>
      <c r="D68" s="13"/>
      <c r="E68" s="13"/>
      <c r="F68" s="57"/>
    </row>
    <row r="69">
      <c r="A69" s="58" t="str">
        <f>'MSW14'!A69</f>
        <v>SET</v>
      </c>
      <c r="B69" s="59" t="str">
        <f>'MSW14'!B69</f>
        <v>WEIGHT</v>
      </c>
      <c r="C69" s="59" t="str">
        <f>'MSW14'!C69</f>
        <v>REPS</v>
      </c>
      <c r="D69" s="59" t="str">
        <f>'MSW14'!D69</f>
        <v>REST</v>
      </c>
      <c r="E69" s="60" t="str">
        <f>'MSW14'!E69</f>
        <v>PREVIOUS</v>
      </c>
      <c r="F69" s="61" t="str">
        <f>'MSW14'!F69</f>
        <v>REP LOG</v>
      </c>
    </row>
    <row r="70">
      <c r="A70" s="62">
        <f>'MSW14'!A70</f>
        <v>1</v>
      </c>
      <c r="B70" s="63">
        <f>'MSW14'!B70</f>
        <v>0</v>
      </c>
      <c r="C70" s="104" t="str">
        <f>'MSW14'!C70</f>
        <v>REP OUT</v>
      </c>
      <c r="D70" s="65" t="str">
        <f>'MSW14'!D70</f>
        <v>1-3 MIN</v>
      </c>
      <c r="E70" s="66" t="str">
        <f>'MSW14'!E70</f>
        <v/>
      </c>
      <c r="F70" s="67" t="str">
        <f>'MSW14'!F70</f>
        <v/>
      </c>
    </row>
    <row r="71">
      <c r="A71" s="62">
        <f>'MSW14'!A71</f>
        <v>2</v>
      </c>
      <c r="B71" s="663">
        <f>'MSW14'!B71</f>
        <v>0</v>
      </c>
      <c r="C71" s="104" t="str">
        <f>'MSW14'!C71</f>
        <v>REP OUT</v>
      </c>
      <c r="D71" s="65" t="str">
        <f>'MSW14'!D71</f>
        <v>1-3 MIN</v>
      </c>
      <c r="E71" s="66" t="str">
        <f>'MSW14'!E71</f>
        <v/>
      </c>
      <c r="F71" s="67" t="str">
        <f>'MSW14'!F71</f>
        <v/>
      </c>
    </row>
    <row r="72">
      <c r="A72" s="325">
        <f>'MSW14'!A72</f>
        <v>3</v>
      </c>
      <c r="B72" s="663">
        <f>'MSW14'!B72</f>
        <v>0</v>
      </c>
      <c r="C72" s="327" t="str">
        <f>'MSW14'!C72</f>
        <v>REP OUT</v>
      </c>
      <c r="D72" s="65" t="str">
        <f>'MSW14'!D72</f>
        <v>1-3 MIN</v>
      </c>
      <c r="E72" s="664" t="str">
        <f>'MSW14'!E72</f>
        <v/>
      </c>
      <c r="F72" s="665" t="str">
        <f>'MSW14'!F72</f>
        <v/>
      </c>
    </row>
    <row r="73">
      <c r="A73" s="580" t="str">
        <f>'MSW14'!A73</f>
        <v/>
      </c>
      <c r="B73" s="666" t="str">
        <f>'MSW14'!B73</f>
        <v/>
      </c>
      <c r="C73" s="667" t="str">
        <f>'MSW14'!C73</f>
        <v/>
      </c>
      <c r="D73" s="666" t="str">
        <f>'MSW14'!D73</f>
        <v/>
      </c>
      <c r="E73" s="668" t="str">
        <f>'MSW14'!E73</f>
        <v/>
      </c>
      <c r="F73" s="666" t="str">
        <f>'MSW14'!F73</f>
        <v/>
      </c>
    </row>
    <row r="74">
      <c r="A74" s="581" t="str">
        <f>'MSW14'!A74</f>
        <v>CLICK TO COMPLETE WORKOUT</v>
      </c>
      <c r="B74" s="25"/>
      <c r="C74" s="25"/>
      <c r="D74" s="25"/>
      <c r="E74" s="25"/>
      <c r="F74" s="26"/>
    </row>
    <row r="75">
      <c r="A75" s="336"/>
      <c r="B75" s="11"/>
      <c r="C75" s="11"/>
      <c r="D75" s="11"/>
      <c r="E75" s="11"/>
      <c r="F75" s="46"/>
    </row>
    <row r="76">
      <c r="A76" s="582" t="str">
        <f>'MSW14'!A76</f>
        <v/>
      </c>
      <c r="B76" s="582" t="str">
        <f>'MSW14'!B76</f>
        <v/>
      </c>
      <c r="C76" s="582" t="str">
        <f>'MSW14'!C76</f>
        <v/>
      </c>
      <c r="D76" s="582" t="str">
        <f>'MSW14'!D76</f>
        <v/>
      </c>
      <c r="E76" s="582" t="str">
        <f>'MSW14'!E76</f>
        <v/>
      </c>
      <c r="F76" s="582" t="str">
        <f>'MSW14'!F76</f>
        <v/>
      </c>
    </row>
    <row r="77">
      <c r="A77" s="669" t="str">
        <f>'MSW14'!A77</f>
        <v>DAY 2 </v>
      </c>
      <c r="B77" s="11"/>
      <c r="C77" s="11"/>
      <c r="D77" s="11"/>
      <c r="E77" s="11"/>
      <c r="F77" s="46"/>
    </row>
    <row r="78">
      <c r="A78" s="1151" t="str">
        <f>'MSW14'!A78</f>
        <v/>
      </c>
      <c r="B78" s="1151" t="str">
        <f>'MSW14'!B78</f>
        <v/>
      </c>
      <c r="C78" s="1151" t="str">
        <f>'MSW14'!C78</f>
        <v/>
      </c>
      <c r="D78" s="1151" t="str">
        <f>'MSW14'!D78</f>
        <v/>
      </c>
      <c r="E78" s="1151" t="str">
        <f>'MSW14'!E78</f>
        <v/>
      </c>
      <c r="F78" s="1151" t="str">
        <f>'MSW14'!F78</f>
        <v/>
      </c>
    </row>
    <row r="79">
      <c r="A79" s="1151" t="str">
        <f>'MSW14'!A79</f>
        <v/>
      </c>
      <c r="B79" s="1151" t="str">
        <f>'MSW14'!B79</f>
        <v/>
      </c>
      <c r="C79" s="1151" t="str">
        <f>'MSW14'!C79</f>
        <v/>
      </c>
      <c r="D79" s="1151" t="str">
        <f>'MSW14'!D79</f>
        <v/>
      </c>
      <c r="E79" s="1151" t="str">
        <f>'MSW14'!E79</f>
        <v/>
      </c>
      <c r="F79" s="1151" t="str">
        <f>'MSW14'!F79</f>
        <v/>
      </c>
    </row>
    <row r="80">
      <c r="A80" s="1355" t="str">
        <f>'MSW14'!A80</f>
        <v>1. MACHINE SQUAT</v>
      </c>
      <c r="B80" s="53"/>
      <c r="C80" s="53"/>
      <c r="D80" s="53"/>
      <c r="E80" s="53"/>
      <c r="F80" s="54"/>
    </row>
    <row r="81">
      <c r="A81" s="961" t="str">
        <f>'MSW14'!A81</f>
        <v>4 REP MAX</v>
      </c>
      <c r="B81" s="1035">
        <f>'MSW14'!B81</f>
        <v>100</v>
      </c>
      <c r="C81" s="13"/>
      <c r="D81" s="13"/>
      <c r="E81" s="13"/>
      <c r="F81" s="57"/>
    </row>
    <row r="82">
      <c r="A82" s="231" t="str">
        <f>'MSW14'!A82</f>
        <v>SET</v>
      </c>
      <c r="B82" s="232" t="str">
        <f>'MSW14'!B82</f>
        <v>WEIGHT</v>
      </c>
      <c r="C82" s="232" t="str">
        <f>'MSW14'!C82</f>
        <v>REPS</v>
      </c>
      <c r="D82" s="232" t="str">
        <f>'MSW14'!D82</f>
        <v>REST</v>
      </c>
      <c r="E82" s="233" t="str">
        <f>'MSW14'!E82</f>
        <v>PREVIOUS</v>
      </c>
      <c r="F82" s="61" t="str">
        <f>'MSW14'!F82</f>
        <v>REP LOG</v>
      </c>
    </row>
    <row r="83">
      <c r="A83" s="236">
        <f>'MSW14'!A83</f>
        <v>1</v>
      </c>
      <c r="B83" s="237">
        <f>'MSW14'!B83</f>
        <v>35</v>
      </c>
      <c r="C83" s="238">
        <f>'MSW14'!C83</f>
        <v>10</v>
      </c>
      <c r="D83" s="238" t="str">
        <f>'MSW14'!D83</f>
        <v>30s</v>
      </c>
      <c r="E83" s="66" t="str">
        <f>'MSW14'!E83</f>
        <v/>
      </c>
      <c r="F83" s="1300" t="str">
        <f>'MSW14'!F83</f>
        <v/>
      </c>
    </row>
    <row r="84">
      <c r="A84" s="236">
        <f>'MSW14'!A84</f>
        <v>2</v>
      </c>
      <c r="B84" s="237">
        <f>'MSW14'!B84</f>
        <v>65</v>
      </c>
      <c r="C84" s="238">
        <f>'MSW14'!C84</f>
        <v>10</v>
      </c>
      <c r="D84" s="238" t="str">
        <f>'MSW14'!D84</f>
        <v>1-2 MIN</v>
      </c>
      <c r="E84" s="66" t="str">
        <f>'MSW14'!E84</f>
        <v/>
      </c>
      <c r="F84" s="1300"/>
    </row>
    <row r="85">
      <c r="A85" s="242">
        <f>'MSW14'!A85</f>
        <v>3</v>
      </c>
      <c r="B85" s="237">
        <f>'MSW14'!B85</f>
        <v>90</v>
      </c>
      <c r="C85" s="238">
        <f>'MSW14'!C85</f>
        <v>10</v>
      </c>
      <c r="D85" s="238" t="str">
        <f>'MSW14'!D85</f>
        <v>1-2 MIN</v>
      </c>
      <c r="E85" s="66" t="str">
        <f>'MSW14'!E85</f>
        <v/>
      </c>
      <c r="F85" s="1300"/>
    </row>
    <row r="86">
      <c r="A86" s="249">
        <f>'MSW14'!A86</f>
        <v>4</v>
      </c>
      <c r="B86" s="175">
        <f>'MSW14'!B86</f>
        <v>70</v>
      </c>
      <c r="C86" s="238">
        <f>'MSW14'!C86</f>
        <v>10</v>
      </c>
      <c r="D86" s="238" t="str">
        <f>'MSW14'!D86</f>
        <v>1-5 MIN</v>
      </c>
      <c r="E86" s="66" t="str">
        <f>'MSW14'!E86</f>
        <v/>
      </c>
      <c r="F86" s="1300"/>
    </row>
    <row r="87">
      <c r="A87" s="249">
        <f>'MSW14'!A87</f>
        <v>5</v>
      </c>
      <c r="B87" s="175">
        <f>'MSW14'!B87</f>
        <v>55</v>
      </c>
      <c r="C87" s="238">
        <f>'MSW14'!C87</f>
        <v>10</v>
      </c>
      <c r="D87" s="238" t="str">
        <f>'MSW14'!D87</f>
        <v>1-5 MIN</v>
      </c>
      <c r="E87" s="1108" t="str">
        <f>'MSW14'!E87</f>
        <v/>
      </c>
      <c r="F87" s="1301"/>
    </row>
    <row r="88">
      <c r="A88" s="249">
        <f>'MSW14'!A88</f>
        <v>6</v>
      </c>
      <c r="B88" s="175">
        <f>'MSW14'!B88</f>
        <v>45</v>
      </c>
      <c r="C88" s="238">
        <f>'MSW14'!C88</f>
        <v>10</v>
      </c>
      <c r="D88" s="238" t="str">
        <f>'MSW14'!D88</f>
        <v>1-5 MIN</v>
      </c>
      <c r="E88" s="1108" t="str">
        <f>'MSW14'!E88</f>
        <v/>
      </c>
      <c r="F88" s="1300"/>
    </row>
    <row r="89">
      <c r="A89" s="1038">
        <f>'MSW14'!A89</f>
        <v>7</v>
      </c>
      <c r="B89" s="175">
        <f>'MSW14'!B89</f>
        <v>35</v>
      </c>
      <c r="C89" s="238">
        <f>'MSW14'!C89</f>
        <v>10</v>
      </c>
      <c r="D89" s="238" t="str">
        <f>'MSW14'!D89</f>
        <v>1-5 MIN</v>
      </c>
      <c r="E89" s="1108" t="str">
        <f>'MSW14'!E89</f>
        <v/>
      </c>
      <c r="F89" s="1300"/>
    </row>
    <row r="90">
      <c r="A90" s="249">
        <f>'MSW14'!A90</f>
        <v>8</v>
      </c>
      <c r="B90" s="175">
        <f>'MSW14'!B90</f>
        <v>30</v>
      </c>
      <c r="C90" s="238">
        <f>'MSW14'!C90</f>
        <v>10</v>
      </c>
      <c r="D90" s="238" t="str">
        <f>'MSW14'!D90</f>
        <v>1-5 MIN</v>
      </c>
      <c r="E90" s="1108" t="str">
        <f>'MSW14'!E90</f>
        <v/>
      </c>
      <c r="F90" s="1300"/>
    </row>
    <row r="91">
      <c r="A91" s="1038">
        <f>'MSW14'!A91</f>
        <v>9</v>
      </c>
      <c r="B91" s="175">
        <f>'MSW14'!B91</f>
        <v>25</v>
      </c>
      <c r="C91" s="238">
        <f>'MSW14'!C91</f>
        <v>10</v>
      </c>
      <c r="D91" s="238" t="str">
        <f>'MSW14'!D91</f>
        <v>1-5 MIN</v>
      </c>
      <c r="E91" s="1108" t="str">
        <f>'MSW14'!E91</f>
        <v/>
      </c>
      <c r="F91" s="1300"/>
    </row>
    <row r="92">
      <c r="A92" s="1038" t="str">
        <f>'MSW14'!A92</f>
        <v>10</v>
      </c>
      <c r="B92" s="175">
        <f>'MSW14'!B92</f>
        <v>20</v>
      </c>
      <c r="C92" s="238">
        <f>'MSW14'!C92</f>
        <v>10</v>
      </c>
      <c r="D92" s="238" t="str">
        <f>'MSW14'!D92</f>
        <v>1-5 MIN</v>
      </c>
      <c r="E92" s="1108" t="str">
        <f>'MSW14'!E92</f>
        <v/>
      </c>
      <c r="F92" s="1300"/>
    </row>
    <row r="93">
      <c r="A93" s="272" t="str">
        <f>'MSW14'!A93</f>
        <v>4 REP MAX</v>
      </c>
      <c r="B93" s="1109">
        <f>'MSW14'!B93</f>
        <v>100</v>
      </c>
      <c r="C93" s="11"/>
      <c r="D93" s="11"/>
      <c r="E93" s="11"/>
      <c r="F93" s="46"/>
    </row>
    <row r="94">
      <c r="A94" s="1151" t="str">
        <f>'MSW14'!A94</f>
        <v/>
      </c>
      <c r="B94" s="1151" t="str">
        <f>'MSW14'!B94</f>
        <v/>
      </c>
      <c r="C94" s="1151" t="str">
        <f>'MSW14'!C94</f>
        <v/>
      </c>
      <c r="D94" s="1151" t="str">
        <f>'MSW14'!D94</f>
        <v/>
      </c>
      <c r="E94" s="1151" t="str">
        <f>'MSW14'!E94</f>
        <v/>
      </c>
      <c r="F94" s="1151" t="str">
        <f>'MSW14'!F94</f>
        <v/>
      </c>
    </row>
    <row r="95">
      <c r="A95" s="1151" t="str">
        <f>'MSW14'!A95</f>
        <v/>
      </c>
      <c r="B95" s="1151" t="str">
        <f>'MSW14'!B95</f>
        <v/>
      </c>
      <c r="C95" s="1151" t="str">
        <f>'MSW14'!C95</f>
        <v/>
      </c>
      <c r="D95" s="1151" t="str">
        <f>'MSW14'!D95</f>
        <v/>
      </c>
      <c r="E95" s="1151" t="str">
        <f>'MSW14'!E95</f>
        <v/>
      </c>
      <c r="F95" s="1151" t="str">
        <f>'MSW14'!F95</f>
        <v/>
      </c>
    </row>
    <row r="96">
      <c r="A96" s="1285" t="str">
        <f>'MSW14'!A96</f>
        <v>2. LEG EXTENSION</v>
      </c>
      <c r="B96" s="53"/>
      <c r="C96" s="53"/>
      <c r="D96" s="53"/>
      <c r="E96" s="53"/>
      <c r="F96" s="54"/>
    </row>
    <row r="97">
      <c r="A97" s="1045" t="str">
        <f>'MSW14'!A97</f>
        <v>CURRENT MAX</v>
      </c>
      <c r="B97" s="1367">
        <f>'MSW14'!B97</f>
        <v>55</v>
      </c>
      <c r="C97" s="20"/>
      <c r="D97" s="20"/>
      <c r="E97" s="20"/>
      <c r="F97" s="95"/>
    </row>
    <row r="98">
      <c r="A98" s="567" t="str">
        <f>'MSW14'!A98</f>
        <v>SET</v>
      </c>
      <c r="B98" s="568" t="str">
        <f>'MSW14'!B98</f>
        <v>WEIGHT</v>
      </c>
      <c r="C98" s="568" t="str">
        <f>'MSW14'!C98</f>
        <v>REPS</v>
      </c>
      <c r="D98" s="568" t="str">
        <f>'MSW14'!D98</f>
        <v>REST</v>
      </c>
      <c r="E98" s="1047" t="str">
        <f>'MSW14'!E98</f>
        <v>PREVIOUS</v>
      </c>
      <c r="F98" s="1048" t="str">
        <f>'MSW14'!F98</f>
        <v>REP LOG</v>
      </c>
    </row>
    <row r="99">
      <c r="A99" s="1049">
        <f>'MSW14'!A99</f>
        <v>1</v>
      </c>
      <c r="B99" s="1050">
        <f>'MSW14'!B99</f>
        <v>55</v>
      </c>
      <c r="C99" s="1051" t="str">
        <f>'MSW14'!C99</f>
        <v>10 - 15</v>
      </c>
      <c r="D99" s="1052" t="str">
        <f>'MSW14'!D99</f>
        <v>1 MIN</v>
      </c>
      <c r="E99" s="1130" t="str">
        <f>'MSW14'!E99</f>
        <v/>
      </c>
      <c r="F99" s="1113" t="str">
        <f>'MSW14'!F99</f>
        <v/>
      </c>
    </row>
    <row r="100">
      <c r="A100" s="1049">
        <f>'MSW14'!A100</f>
        <v>2</v>
      </c>
      <c r="B100" s="1050">
        <f>'MSW14'!B100</f>
        <v>45</v>
      </c>
      <c r="C100" s="1051" t="str">
        <f>'MSW14'!C100</f>
        <v>10 - 15</v>
      </c>
      <c r="D100" s="1052" t="str">
        <f>'MSW14'!D100</f>
        <v>1 MIN</v>
      </c>
      <c r="E100" s="1130" t="str">
        <f>'MSW14'!E100</f>
        <v/>
      </c>
      <c r="F100" s="1113" t="str">
        <f>'MSW14'!F100</f>
        <v/>
      </c>
    </row>
    <row r="101">
      <c r="A101" s="1053">
        <f>'MSW14'!A101</f>
        <v>3</v>
      </c>
      <c r="B101" s="1054">
        <f>'MSW14'!B101</f>
        <v>35</v>
      </c>
      <c r="C101" s="1055" t="str">
        <f>'MSW14'!C101</f>
        <v>10 - 15</v>
      </c>
      <c r="D101" s="1056" t="str">
        <f>'MSW14'!D101</f>
        <v>1 MIN</v>
      </c>
      <c r="E101" s="1348" t="str">
        <f>'MSW14'!E101</f>
        <v/>
      </c>
      <c r="F101" s="1113" t="str">
        <f>'MSW14'!F101</f>
        <v/>
      </c>
    </row>
    <row r="102">
      <c r="A102" s="1151" t="str">
        <f>'MSW14'!A102</f>
        <v/>
      </c>
    </row>
    <row r="104">
      <c r="A104" s="323" t="str">
        <f>'MSW14'!A104</f>
        <v>3. MACHINE LEG CURL</v>
      </c>
      <c r="B104" s="53"/>
      <c r="C104" s="53"/>
      <c r="D104" s="53"/>
      <c r="E104" s="53"/>
      <c r="F104" s="54"/>
      <c r="G104" s="141" t="str">
        <f>'MSW14'!G104</f>
        <v/>
      </c>
      <c r="H104" s="323" t="str">
        <f>'MSW14'!H104</f>
        <v>3. PRONE LEG CURL</v>
      </c>
      <c r="I104" s="53"/>
      <c r="J104" s="53"/>
      <c r="K104" s="53"/>
      <c r="L104" s="53"/>
      <c r="M104" s="54"/>
    </row>
    <row r="105">
      <c r="A105" s="1045" t="str">
        <f>'MSW14'!A105</f>
        <v>CURRENT MAX</v>
      </c>
      <c r="B105" s="1368">
        <f>'MSW14'!B105</f>
        <v>60</v>
      </c>
      <c r="C105" s="13"/>
      <c r="D105" s="13"/>
      <c r="E105" s="13"/>
      <c r="F105" s="57"/>
      <c r="H105" s="1045" t="str">
        <f>'MSW14'!H105</f>
        <v>CURRENT MAX</v>
      </c>
      <c r="I105" s="1046">
        <f>'MSW14'!I105</f>
        <v>60</v>
      </c>
      <c r="J105" s="13"/>
      <c r="K105" s="13"/>
      <c r="L105" s="13"/>
      <c r="M105" s="57"/>
    </row>
    <row r="106">
      <c r="A106" s="567" t="str">
        <f>'MSW14'!A106</f>
        <v>SET</v>
      </c>
      <c r="B106" s="568" t="str">
        <f>'MSW14'!B106</f>
        <v>WEIGHT</v>
      </c>
      <c r="C106" s="568" t="str">
        <f>'MSW14'!C106</f>
        <v>REPS</v>
      </c>
      <c r="D106" s="568" t="str">
        <f>'MSW14'!D106</f>
        <v>REST</v>
      </c>
      <c r="E106" s="1047" t="str">
        <f>'MSW14'!E106</f>
        <v>PREVIOUS</v>
      </c>
      <c r="F106" s="1048" t="str">
        <f>'MSW14'!F106</f>
        <v>REP LOG</v>
      </c>
      <c r="H106" s="567" t="str">
        <f>'MSW14'!H106</f>
        <v>SET</v>
      </c>
      <c r="I106" s="568" t="str">
        <f>'MSW14'!I106</f>
        <v>WEIGHT</v>
      </c>
      <c r="J106" s="568" t="str">
        <f>'MSW14'!J106</f>
        <v>REPS</v>
      </c>
      <c r="K106" s="568" t="str">
        <f>'MSW14'!K106</f>
        <v>REST</v>
      </c>
      <c r="L106" s="1047" t="str">
        <f>'MSW14'!L106</f>
        <v>PREVIOUS</v>
      </c>
      <c r="M106" s="1048" t="str">
        <f>'MSW14'!M106</f>
        <v>REP LOG</v>
      </c>
    </row>
    <row r="107">
      <c r="A107" s="1049">
        <f>'MSW14'!A107</f>
        <v>1</v>
      </c>
      <c r="B107" s="1050">
        <f>'MSW14'!B107</f>
        <v>60</v>
      </c>
      <c r="C107" s="1051" t="str">
        <f>'MSW14'!C107</f>
        <v>10 - 15</v>
      </c>
      <c r="D107" s="1052" t="str">
        <f>'MSW14'!D107</f>
        <v>1 MIN</v>
      </c>
      <c r="E107" s="1130" t="str">
        <f>'MSW14'!E107</f>
        <v/>
      </c>
      <c r="F107" s="1113" t="str">
        <f>'MSW14'!F107</f>
        <v/>
      </c>
      <c r="G107" s="434" t="str">
        <f>'MSW14'!G107</f>
        <v>ALTERNATE</v>
      </c>
      <c r="H107" s="1049">
        <f>'MSW14'!H107</f>
        <v>1</v>
      </c>
      <c r="I107" s="1050">
        <f>'MSW14'!I107</f>
        <v>60</v>
      </c>
      <c r="J107" s="1051" t="str">
        <f>'MSW14'!J107</f>
        <v>10 - 15</v>
      </c>
      <c r="K107" s="1052" t="str">
        <f>'MSW14'!K107</f>
        <v>1 MIN</v>
      </c>
      <c r="L107" s="1130" t="str">
        <f>'MSW14'!L107</f>
        <v/>
      </c>
      <c r="M107" s="1113" t="str">
        <f>'MSW14'!M107</f>
        <v/>
      </c>
    </row>
    <row r="108">
      <c r="A108" s="1049">
        <f>'MSW14'!A108</f>
        <v>2</v>
      </c>
      <c r="B108" s="1050">
        <f>'MSW14'!B108</f>
        <v>50</v>
      </c>
      <c r="C108" s="1051" t="str">
        <f>'MSW14'!C108</f>
        <v>10 - 15</v>
      </c>
      <c r="D108" s="1052" t="str">
        <f>'MSW14'!D108</f>
        <v>1 MIN</v>
      </c>
      <c r="E108" s="1130" t="str">
        <f>'MSW14'!E108</f>
        <v/>
      </c>
      <c r="F108" s="1113" t="str">
        <f>'MSW14'!F108</f>
        <v/>
      </c>
      <c r="H108" s="1049">
        <f>'MSW14'!H108</f>
        <v>2</v>
      </c>
      <c r="I108" s="1050">
        <f>'MSW14'!I108</f>
        <v>50</v>
      </c>
      <c r="J108" s="1051" t="str">
        <f>'MSW14'!J108</f>
        <v>10 - 15</v>
      </c>
      <c r="K108" s="1052" t="str">
        <f>'MSW14'!K108</f>
        <v>1 MIN</v>
      </c>
      <c r="L108" s="1130" t="str">
        <f>'MSW14'!L108</f>
        <v/>
      </c>
      <c r="M108" s="1113" t="str">
        <f>'MSW14'!M108</f>
        <v/>
      </c>
    </row>
    <row r="109">
      <c r="A109" s="1053">
        <f>'MSW14'!A109</f>
        <v>3</v>
      </c>
      <c r="B109" s="1054">
        <f>'MSW14'!B109</f>
        <v>40</v>
      </c>
      <c r="C109" s="1055" t="str">
        <f>'MSW14'!C109</f>
        <v>10 - 15</v>
      </c>
      <c r="D109" s="1056" t="str">
        <f>'MSW14'!D109</f>
        <v>1 MIN</v>
      </c>
      <c r="E109" s="1348" t="str">
        <f>'MSW14'!E109</f>
        <v/>
      </c>
      <c r="F109" s="1113" t="str">
        <f>'MSW14'!F109</f>
        <v/>
      </c>
      <c r="G109" s="682" t="str">
        <f>'MSW14'!G109</f>
        <v/>
      </c>
      <c r="H109" s="1053">
        <f>'MSW14'!H109</f>
        <v>3</v>
      </c>
      <c r="I109" s="1054">
        <f>'MSW14'!I109</f>
        <v>40</v>
      </c>
      <c r="J109" s="1055" t="str">
        <f>'MSW14'!J109</f>
        <v>10 - 15</v>
      </c>
      <c r="K109" s="1056" t="str">
        <f>'MSW14'!K109</f>
        <v>1 MIN</v>
      </c>
      <c r="L109" s="1348" t="str">
        <f>'MSW14'!L109</f>
        <v/>
      </c>
      <c r="M109" s="1113" t="str">
        <f>'MSW14'!M109</f>
        <v/>
      </c>
    </row>
    <row r="110">
      <c r="A110" s="849" t="str">
        <f>'MSW14'!A110</f>
        <v/>
      </c>
      <c r="G110" s="849" t="str">
        <f>'MSW14'!H110</f>
        <v/>
      </c>
    </row>
    <row r="112">
      <c r="A112" s="1120" t="str">
        <f>'MSW14'!A112</f>
        <v>DAY 3</v>
      </c>
      <c r="B112" s="36"/>
      <c r="C112" s="36"/>
      <c r="D112" s="36"/>
      <c r="E112" s="36"/>
      <c r="F112" s="37"/>
    </row>
    <row r="113">
      <c r="A113" s="1151" t="str">
        <f>'MSW14'!A113</f>
        <v/>
      </c>
    </row>
    <row r="115">
      <c r="A115" s="960" t="str">
        <f>'MSW14'!A115</f>
        <v>1. SHOULDER CLEANS</v>
      </c>
      <c r="B115" s="53"/>
      <c r="C115" s="53"/>
      <c r="D115" s="53"/>
      <c r="E115" s="53"/>
      <c r="F115" s="54"/>
    </row>
    <row r="116">
      <c r="A116" s="961" t="str">
        <f>'MSW14'!A116</f>
        <v>CURRENT MAX</v>
      </c>
      <c r="B116" s="76">
        <f>'MSW14'!B116</f>
        <v>60</v>
      </c>
      <c r="C116" s="13"/>
      <c r="D116" s="13"/>
      <c r="E116" s="13"/>
      <c r="F116" s="57"/>
    </row>
    <row r="117">
      <c r="A117" s="962" t="str">
        <f>'MSW14'!A117</f>
        <v>SET</v>
      </c>
      <c r="B117" s="963" t="str">
        <f>'MSW14'!B117</f>
        <v>WEIGHT</v>
      </c>
      <c r="C117" s="963" t="str">
        <f>'MSW14'!C117</f>
        <v>REPS</v>
      </c>
      <c r="D117" s="981" t="str">
        <f>'MSW14'!D117</f>
        <v>REST</v>
      </c>
      <c r="E117" s="965" t="str">
        <f>'MSW14'!E117</f>
        <v>PREVIOUS</v>
      </c>
      <c r="F117" s="966" t="str">
        <f>'MSW14'!F117</f>
        <v>REP LOG</v>
      </c>
    </row>
    <row r="118">
      <c r="A118" s="967">
        <f>'MSW14'!A118</f>
        <v>1</v>
      </c>
      <c r="B118" s="968">
        <f>'MSW14'!B118</f>
        <v>60</v>
      </c>
      <c r="C118" s="968">
        <f>'MSW14'!C118</f>
        <v>20</v>
      </c>
      <c r="D118" s="969" t="str">
        <f>'MSW14'!D118</f>
        <v>1 MIN</v>
      </c>
      <c r="E118" s="1369" t="str">
        <f>'MSW14'!E118</f>
        <v/>
      </c>
      <c r="F118" s="982"/>
    </row>
    <row r="119">
      <c r="A119" s="967">
        <f>'MSW14'!A119</f>
        <v>2</v>
      </c>
      <c r="B119" s="968">
        <f>'MSW14'!B119</f>
        <v>45</v>
      </c>
      <c r="C119" s="968">
        <f>'MSW14'!C119</f>
        <v>20</v>
      </c>
      <c r="D119" s="969" t="str">
        <f>'MSW14'!D119</f>
        <v>1 MIN</v>
      </c>
      <c r="E119" s="1369" t="str">
        <f>'MSW14'!E119</f>
        <v/>
      </c>
      <c r="F119" s="982"/>
    </row>
    <row r="120">
      <c r="A120" s="971">
        <f>'MSW14'!A120</f>
        <v>3</v>
      </c>
      <c r="B120" s="972">
        <f>'MSW14'!B120</f>
        <v>25</v>
      </c>
      <c r="C120" s="972">
        <f>'MSW14'!C120</f>
        <v>20</v>
      </c>
      <c r="D120" s="973" t="str">
        <f>'MSW14'!D120</f>
        <v>1 MIN</v>
      </c>
      <c r="E120" s="1370" t="str">
        <f>'MSW14'!E120</f>
        <v/>
      </c>
      <c r="F120" s="1131"/>
    </row>
    <row r="121">
      <c r="A121" s="1151" t="str">
        <f>'MSW14'!A121</f>
        <v/>
      </c>
    </row>
    <row r="123">
      <c r="A123" s="1217" t="str">
        <f>'MSW14'!A123</f>
        <v>2. DUMBBELL REAR DELT FLY </v>
      </c>
      <c r="B123" s="53"/>
      <c r="C123" s="53"/>
      <c r="D123" s="53"/>
      <c r="E123" s="53"/>
      <c r="F123" s="54"/>
    </row>
    <row r="124">
      <c r="A124" s="961" t="str">
        <f>'MSW14'!A124</f>
        <v>SHLDR PRSS MAX</v>
      </c>
      <c r="B124" s="76">
        <f>'MSW14'!B124</f>
        <v>0</v>
      </c>
      <c r="C124" s="13"/>
      <c r="D124" s="13"/>
      <c r="E124" s="13"/>
      <c r="F124" s="57"/>
    </row>
    <row r="125">
      <c r="A125" s="962" t="str">
        <f>'MSW14'!A125</f>
        <v>SET</v>
      </c>
      <c r="B125" s="963" t="str">
        <f>'MSW14'!B125</f>
        <v>WEIGHT</v>
      </c>
      <c r="C125" s="963" t="str">
        <f>'MSW14'!C125</f>
        <v>REPS</v>
      </c>
      <c r="D125" s="963" t="str">
        <f>'MSW14'!D125</f>
        <v>REST</v>
      </c>
      <c r="E125" s="1005" t="str">
        <f>'MSW14'!E125</f>
        <v>PREVIOUS</v>
      </c>
      <c r="F125" s="1006" t="str">
        <f>'MSW14'!F125</f>
        <v>REP LOG</v>
      </c>
    </row>
    <row r="126">
      <c r="A126" s="967">
        <f>'MSW14'!A126</f>
        <v>1</v>
      </c>
      <c r="B126" s="1028">
        <f>'MSW14'!B126</f>
        <v>0</v>
      </c>
      <c r="C126" s="968">
        <f>'MSW14'!C126</f>
        <v>20</v>
      </c>
      <c r="D126" s="969" t="str">
        <f>'MSW14'!D126</f>
        <v>1 MIN</v>
      </c>
      <c r="E126" s="1104" t="str">
        <f>'MSW14'!E126</f>
        <v/>
      </c>
      <c r="F126" s="1113" t="str">
        <f>'MSW14'!F126</f>
        <v/>
      </c>
    </row>
    <row r="127">
      <c r="A127" s="967">
        <f>'MSW14'!A127</f>
        <v>2</v>
      </c>
      <c r="B127" s="1028">
        <f>'MSW14'!B127</f>
        <v>0</v>
      </c>
      <c r="C127" s="968">
        <f>'MSW14'!C127</f>
        <v>20</v>
      </c>
      <c r="D127" s="969" t="str">
        <f>'MSW14'!D127</f>
        <v>1 MIN</v>
      </c>
      <c r="E127" s="1104" t="str">
        <f>'MSW14'!E127</f>
        <v/>
      </c>
      <c r="F127" s="1113" t="str">
        <f>'MSW14'!F127</f>
        <v/>
      </c>
    </row>
    <row r="128">
      <c r="A128" s="971">
        <f>'MSW14'!A128</f>
        <v>3</v>
      </c>
      <c r="B128" s="1123">
        <f>'MSW14'!B128</f>
        <v>0</v>
      </c>
      <c r="C128" s="972">
        <f>'MSW14'!C128</f>
        <v>20</v>
      </c>
      <c r="D128" s="973" t="str">
        <f>'MSW14'!D128</f>
        <v>1 MIN</v>
      </c>
      <c r="E128" s="1105" t="str">
        <f>'MSW14'!E128</f>
        <v/>
      </c>
      <c r="F128" s="1113" t="str">
        <f>'MSW14'!F128</f>
        <v/>
      </c>
    </row>
    <row r="129">
      <c r="A129" s="1371" t="str">
        <f>'MSW14'!A129</f>
        <v/>
      </c>
      <c r="B129" s="1371" t="str">
        <f>'MSW14'!B129</f>
        <v/>
      </c>
      <c r="C129" s="1371" t="str">
        <f>'MSW14'!C129</f>
        <v/>
      </c>
      <c r="D129" s="1153" t="str">
        <f>'MSW14'!D129</f>
        <v/>
      </c>
      <c r="E129" s="1265" t="str">
        <f>'MSW14'!E129</f>
        <v/>
      </c>
      <c r="F129" s="1153" t="str">
        <f>'MSW14'!F129</f>
        <v/>
      </c>
    </row>
    <row r="130">
      <c r="A130" s="1372" t="str">
        <f>'MSW14'!A130</f>
        <v/>
      </c>
      <c r="B130" s="1372" t="str">
        <f>'MSW14'!B130</f>
        <v/>
      </c>
      <c r="C130" s="1372" t="str">
        <f>'MSW14'!C130</f>
        <v/>
      </c>
      <c r="D130" s="1373" t="str">
        <f>'MSW14'!D130</f>
        <v/>
      </c>
      <c r="E130" s="1266" t="str">
        <f>'MSW14'!E130</f>
        <v/>
      </c>
      <c r="F130" s="1373" t="str">
        <f>'MSW14'!F130</f>
        <v/>
      </c>
    </row>
    <row r="131">
      <c r="A131" s="1217" t="str">
        <f>'MSW14'!A131</f>
        <v>3. DUMBBELL SIDE LATERAL RAISE</v>
      </c>
      <c r="B131" s="53"/>
      <c r="C131" s="53"/>
      <c r="D131" s="53"/>
      <c r="E131" s="53"/>
      <c r="F131" s="54"/>
    </row>
    <row r="132">
      <c r="A132" s="1262" t="str">
        <f>'MSW14'!A132</f>
        <v>SHLDR PRSS MAX</v>
      </c>
      <c r="B132" s="76" t="str">
        <f>'MSW14'!B132</f>
        <v/>
      </c>
      <c r="C132" s="13"/>
      <c r="D132" s="13"/>
      <c r="E132" s="13"/>
      <c r="F132" s="57"/>
    </row>
    <row r="133">
      <c r="A133" s="1071" t="str">
        <f>'MSW14'!A133</f>
        <v>SET</v>
      </c>
      <c r="B133" s="1072" t="str">
        <f>'MSW14'!B133</f>
        <v>WEIGHT</v>
      </c>
      <c r="C133" s="1072" t="str">
        <f>'MSW14'!C133</f>
        <v>REPS</v>
      </c>
      <c r="D133" s="1072" t="str">
        <f>'MSW14'!D133</f>
        <v>REST</v>
      </c>
      <c r="E133" s="1073" t="str">
        <f>'MSW14'!E133</f>
        <v>PREVIOUS</v>
      </c>
      <c r="F133" s="1006" t="str">
        <f>'MSW14'!F133</f>
        <v>REP LOG</v>
      </c>
    </row>
    <row r="134">
      <c r="A134" s="1074">
        <f>'MSW14'!A134</f>
        <v>1</v>
      </c>
      <c r="B134" s="968">
        <f>'MSW14'!B134</f>
        <v>0</v>
      </c>
      <c r="C134" s="968">
        <f>'MSW14'!C134</f>
        <v>20</v>
      </c>
      <c r="D134" s="969" t="str">
        <f>'MSW14'!D134</f>
        <v>1 MIN</v>
      </c>
      <c r="E134" s="1235" t="str">
        <f>'MSW14'!E134</f>
        <v/>
      </c>
      <c r="F134" s="1113" t="str">
        <f>'MSW14'!F134</f>
        <v/>
      </c>
    </row>
    <row r="135">
      <c r="A135" s="1074">
        <f>'MSW14'!A135</f>
        <v>2</v>
      </c>
      <c r="B135" s="968">
        <f>'MSW14'!B135</f>
        <v>0</v>
      </c>
      <c r="C135" s="968">
        <f>'MSW14'!C135</f>
        <v>20</v>
      </c>
      <c r="D135" s="969" t="str">
        <f>'MSW14'!D135</f>
        <v>1 MIN</v>
      </c>
      <c r="E135" s="1235" t="str">
        <f>'MSW14'!E135</f>
        <v/>
      </c>
      <c r="F135" s="1113" t="str">
        <f>'MSW14'!F135</f>
        <v/>
      </c>
    </row>
    <row r="136">
      <c r="A136" s="1078">
        <f>'MSW14'!A136</f>
        <v>3</v>
      </c>
      <c r="B136" s="972">
        <f>'MSW14'!B136</f>
        <v>0</v>
      </c>
      <c r="C136" s="972">
        <f>'MSW14'!C136</f>
        <v>20</v>
      </c>
      <c r="D136" s="973" t="str">
        <f>'MSW14'!D136</f>
        <v>1 MIN</v>
      </c>
      <c r="E136" s="1271" t="str">
        <f>'MSW14'!E136</f>
        <v/>
      </c>
      <c r="F136" s="1113" t="str">
        <f>'MSW14'!F136</f>
        <v/>
      </c>
    </row>
    <row r="137">
      <c r="A137" s="1151" t="str">
        <f>'MSW14'!A137</f>
        <v/>
      </c>
      <c r="B137" s="1151" t="str">
        <f>'MSW14'!B137</f>
        <v/>
      </c>
      <c r="C137" s="1151" t="str">
        <f>'MSW14'!C137</f>
        <v/>
      </c>
      <c r="D137" s="1151" t="str">
        <f>'MSW14'!D137</f>
        <v/>
      </c>
      <c r="E137" s="1151" t="str">
        <f>'MSW14'!E137</f>
        <v/>
      </c>
      <c r="F137" s="1151" t="str">
        <f>'MSW14'!F137</f>
        <v/>
      </c>
    </row>
    <row r="138">
      <c r="A138" s="1151" t="str">
        <f>'MSW14'!A138</f>
        <v/>
      </c>
      <c r="B138" s="1151" t="str">
        <f>'MSW14'!B138</f>
        <v/>
      </c>
      <c r="C138" s="1151" t="str">
        <f>'MSW14'!C138</f>
        <v/>
      </c>
      <c r="D138" s="1151" t="str">
        <f>'MSW14'!D138</f>
        <v/>
      </c>
      <c r="E138" s="1151" t="str">
        <f>'MSW14'!E138</f>
        <v/>
      </c>
      <c r="F138" s="1151" t="str">
        <f>'MSW14'!F138</f>
        <v/>
      </c>
    </row>
    <row r="139">
      <c r="A139" s="74" t="str">
        <f>'MSW14'!A139</f>
        <v>3. TRICEPS PUSHDOWN (STRAIGHT BAR)</v>
      </c>
      <c r="B139" s="53"/>
      <c r="C139" s="53"/>
      <c r="D139" s="53"/>
      <c r="E139" s="53"/>
      <c r="F139" s="54"/>
    </row>
    <row r="140">
      <c r="A140" s="226" t="str">
        <f>'MSW14'!A140</f>
        <v>CURRENT MAX</v>
      </c>
      <c r="B140" s="90">
        <f>'MSW14'!B140</f>
        <v>30</v>
      </c>
      <c r="C140" s="13"/>
      <c r="D140" s="13"/>
      <c r="E140" s="13"/>
      <c r="F140" s="57"/>
    </row>
    <row r="141">
      <c r="A141" s="77" t="str">
        <f>'MSW14'!A141</f>
        <v>SET</v>
      </c>
      <c r="B141" s="78" t="str">
        <f>'MSW14'!B141</f>
        <v>WEIGHT</v>
      </c>
      <c r="C141" s="78" t="str">
        <f>'MSW14'!C141</f>
        <v>REPS</v>
      </c>
      <c r="D141" s="78" t="str">
        <f>'MSW14'!D141</f>
        <v>REST</v>
      </c>
      <c r="E141" s="80" t="str">
        <f>'MSW14'!E141</f>
        <v>PREVIOUS</v>
      </c>
      <c r="F141" s="235" t="str">
        <f>'MSW14'!F141</f>
        <v>REP LOG</v>
      </c>
    </row>
    <row r="142">
      <c r="A142" s="81">
        <f>'MSW14'!A142</f>
        <v>1</v>
      </c>
      <c r="B142" s="82">
        <f>'MSW14'!B142</f>
        <v>15</v>
      </c>
      <c r="C142" s="65">
        <f>'MSW14'!C142</f>
        <v>20</v>
      </c>
      <c r="D142" s="83" t="str">
        <f>'MSW14'!D142</f>
        <v>1MIN</v>
      </c>
      <c r="E142" s="84" t="str">
        <f>'MSW14'!E142</f>
        <v/>
      </c>
      <c r="F142" s="85"/>
    </row>
    <row r="143">
      <c r="A143" s="81">
        <f>'MSW14'!A143</f>
        <v>2</v>
      </c>
      <c r="B143" s="82">
        <f>'MSW14'!B143</f>
        <v>10</v>
      </c>
      <c r="C143" s="65">
        <f>'MSW14'!C143</f>
        <v>20</v>
      </c>
      <c r="D143" s="83" t="str">
        <f>'MSW14'!D143</f>
        <v>1MIN</v>
      </c>
      <c r="E143" s="84" t="str">
        <f>'MSW14'!E143</f>
        <v/>
      </c>
      <c r="F143" s="85"/>
    </row>
    <row r="144">
      <c r="A144" s="86">
        <f>'MSW14'!A144</f>
        <v>3</v>
      </c>
      <c r="B144" s="87">
        <f>'MSW14'!B144</f>
        <v>10</v>
      </c>
      <c r="C144" s="71">
        <f>'MSW14'!C144</f>
        <v>20</v>
      </c>
      <c r="D144" s="88" t="str">
        <f>'MSW14'!D144</f>
        <v>1MIN</v>
      </c>
      <c r="E144" s="89" t="str">
        <f>'MSW14'!E144</f>
        <v/>
      </c>
      <c r="F144" s="85"/>
    </row>
    <row r="145">
      <c r="A145" s="1151" t="str">
        <f>'MSW14'!A145</f>
        <v/>
      </c>
      <c r="B145" s="1151" t="str">
        <f>'MSW14'!B145</f>
        <v/>
      </c>
      <c r="C145" s="1151" t="str">
        <f>'MSW14'!C145</f>
        <v/>
      </c>
      <c r="D145" s="1151" t="str">
        <f>'MSW14'!D145</f>
        <v/>
      </c>
      <c r="E145" s="1151" t="str">
        <f>'MSW14'!E145</f>
        <v/>
      </c>
      <c r="F145" s="1151" t="str">
        <f>'MSW14'!F145</f>
        <v/>
      </c>
    </row>
    <row r="146">
      <c r="A146" s="1151" t="str">
        <f>'MSW14'!A146</f>
        <v/>
      </c>
      <c r="B146" s="1151" t="str">
        <f>'MSW14'!B146</f>
        <v/>
      </c>
      <c r="C146" s="1151" t="str">
        <f>'MSW14'!C146</f>
        <v/>
      </c>
      <c r="D146" s="1151" t="str">
        <f>'MSW14'!D146</f>
        <v/>
      </c>
      <c r="E146" s="1151" t="str">
        <f>'MSW14'!E146</f>
        <v/>
      </c>
      <c r="F146" s="1151" t="str">
        <f>'MSW14'!F146</f>
        <v/>
      </c>
    </row>
    <row r="147">
      <c r="A147" s="75" t="str">
        <f>'MSW14'!A147</f>
        <v>5. BICEP CABLE CURL</v>
      </c>
      <c r="B147" s="53"/>
      <c r="C147" s="53"/>
      <c r="D147" s="53"/>
      <c r="E147" s="53"/>
      <c r="F147" s="54"/>
      <c r="G147" s="141" t="str">
        <f>'MSW14'!G147</f>
        <v/>
      </c>
      <c r="H147" s="75" t="str">
        <f>'MSW14'!H147</f>
        <v>5. BICEP EZ BAR CURL</v>
      </c>
      <c r="I147" s="53"/>
      <c r="J147" s="53"/>
      <c r="K147" s="53"/>
      <c r="L147" s="53"/>
      <c r="M147" s="54"/>
    </row>
    <row r="148">
      <c r="A148" s="226" t="str">
        <f>'MSW14'!A148</f>
        <v>CURRENT MAX</v>
      </c>
      <c r="B148" s="90">
        <f>'MSW14'!B148</f>
        <v>30</v>
      </c>
      <c r="C148" s="13"/>
      <c r="D148" s="13"/>
      <c r="E148" s="13"/>
      <c r="F148" s="57"/>
      <c r="H148" s="226" t="str">
        <f>'MSW14'!H148</f>
        <v>CURRENT MAX</v>
      </c>
      <c r="I148" s="90">
        <f>'MSW14'!I148</f>
        <v>5</v>
      </c>
      <c r="J148" s="13"/>
      <c r="K148" s="13"/>
      <c r="L148" s="13"/>
      <c r="M148" s="57"/>
    </row>
    <row r="149">
      <c r="A149" s="77" t="str">
        <f>'MSW14'!A149</f>
        <v>SET</v>
      </c>
      <c r="B149" s="78" t="str">
        <f>'MSW14'!B149</f>
        <v>WEIGHT</v>
      </c>
      <c r="C149" s="78" t="str">
        <f>'MSW14'!C149</f>
        <v>REPS</v>
      </c>
      <c r="D149" s="78" t="str">
        <f>'MSW14'!D149</f>
        <v>REST</v>
      </c>
      <c r="E149" s="80" t="str">
        <f>'MSW14'!E149</f>
        <v>PREVIOUS</v>
      </c>
      <c r="F149" s="235" t="str">
        <f>'MSW14'!F149</f>
        <v>REP LOG</v>
      </c>
      <c r="H149" s="77" t="str">
        <f>'MSW14'!H149</f>
        <v>SET</v>
      </c>
      <c r="I149" s="78" t="str">
        <f>'MSW14'!I149</f>
        <v>WEIGHT</v>
      </c>
      <c r="J149" s="78" t="str">
        <f>'MSW14'!J149</f>
        <v>REPS</v>
      </c>
      <c r="K149" s="78" t="str">
        <f>'MSW14'!K149</f>
        <v>REST</v>
      </c>
      <c r="L149" s="80" t="str">
        <f>'MSW14'!L149</f>
        <v>PREVIOUS</v>
      </c>
      <c r="M149" s="235" t="str">
        <f>'MSW14'!M149</f>
        <v>REP LOG</v>
      </c>
    </row>
    <row r="150">
      <c r="A150" s="81">
        <f>'MSW14'!A150</f>
        <v>1</v>
      </c>
      <c r="B150" s="82">
        <f>'MSW14'!B150</f>
        <v>15</v>
      </c>
      <c r="C150" s="65">
        <f>'MSW14'!C150</f>
        <v>20</v>
      </c>
      <c r="D150" s="83" t="str">
        <f>'MSW14'!D150</f>
        <v>1MIN</v>
      </c>
      <c r="E150" s="84">
        <f>'MSW14'!E150</f>
        <v>15</v>
      </c>
      <c r="F150" s="85" t="str">
        <f>'MSW14'!F150</f>
        <v/>
      </c>
      <c r="H150" s="81">
        <f>'MSW14'!H150</f>
        <v>1</v>
      </c>
      <c r="I150" s="82">
        <f>'MSW14'!I150</f>
        <v>5</v>
      </c>
      <c r="J150" s="65">
        <f>'MSW14'!J150</f>
        <v>20</v>
      </c>
      <c r="K150" s="83" t="str">
        <f>'MSW14'!K150</f>
        <v>1MIN</v>
      </c>
      <c r="L150" s="84" t="str">
        <f>'MSW14'!L150</f>
        <v/>
      </c>
      <c r="M150" s="85" t="str">
        <f>'MSW14'!M150</f>
        <v/>
      </c>
    </row>
    <row r="151">
      <c r="A151" s="81">
        <f>'MSW14'!A151</f>
        <v>2</v>
      </c>
      <c r="B151" s="82">
        <f>'MSW14'!B151</f>
        <v>10</v>
      </c>
      <c r="C151" s="65">
        <f>'MSW14'!C151</f>
        <v>20</v>
      </c>
      <c r="D151" s="83" t="str">
        <f>'MSW14'!D151</f>
        <v>1MIN</v>
      </c>
      <c r="E151" s="84">
        <f>'MSW14'!E151</f>
        <v>10</v>
      </c>
      <c r="F151" s="85" t="str">
        <f>'MSW14'!F151</f>
        <v/>
      </c>
      <c r="H151" s="81">
        <f>'MSW14'!H151</f>
        <v>2</v>
      </c>
      <c r="I151" s="82">
        <f>'MSW14'!I151</f>
        <v>5</v>
      </c>
      <c r="J151" s="65">
        <f>'MSW14'!J151</f>
        <v>20</v>
      </c>
      <c r="K151" s="83" t="str">
        <f>'MSW14'!K151</f>
        <v>1MIN</v>
      </c>
      <c r="L151" s="84" t="str">
        <f>'MSW14'!L151</f>
        <v/>
      </c>
      <c r="M151" s="85" t="str">
        <f>'MSW14'!M151</f>
        <v/>
      </c>
    </row>
    <row r="152">
      <c r="A152" s="86">
        <f>'MSW14'!A152</f>
        <v>3</v>
      </c>
      <c r="B152" s="87">
        <f>'MSW14'!B152</f>
        <v>10</v>
      </c>
      <c r="C152" s="71">
        <f>'MSW14'!C152</f>
        <v>20</v>
      </c>
      <c r="D152" s="88" t="str">
        <f>'MSW14'!D152</f>
        <v>1MIN</v>
      </c>
      <c r="E152" s="89">
        <f>'MSW14'!E152</f>
        <v>10</v>
      </c>
      <c r="F152" s="85" t="str">
        <f>'MSW14'!F152</f>
        <v/>
      </c>
      <c r="H152" s="86">
        <f>'MSW14'!H152</f>
        <v>3</v>
      </c>
      <c r="I152" s="87">
        <f>'MSW14'!I152</f>
        <v>5</v>
      </c>
      <c r="J152" s="71">
        <f>'MSW14'!J152</f>
        <v>20</v>
      </c>
      <c r="K152" s="88" t="str">
        <f>'MSW14'!K152</f>
        <v>1MIN</v>
      </c>
      <c r="L152" s="89" t="str">
        <f>'MSW14'!L152</f>
        <v/>
      </c>
      <c r="M152" s="85" t="str">
        <f>'MSW14'!M152</f>
        <v/>
      </c>
    </row>
    <row r="153">
      <c r="A153" s="1151"/>
      <c r="G153" s="1151" t="str">
        <f>'MSW14'!G153</f>
        <v/>
      </c>
    </row>
    <row r="155">
      <c r="A155" s="1149" t="str">
        <f>'MSW14'!A155</f>
        <v>WORKOUT COMPLETE!</v>
      </c>
      <c r="B155" s="36"/>
      <c r="C155" s="36"/>
      <c r="D155" s="36"/>
      <c r="E155" s="36"/>
      <c r="F155" s="37"/>
    </row>
    <row r="156">
      <c r="A156" s="1153"/>
      <c r="B156" s="1153"/>
      <c r="C156" s="1153"/>
      <c r="D156" s="1153"/>
      <c r="E156" s="1274"/>
      <c r="F156" s="1153"/>
    </row>
    <row r="157">
      <c r="A157" s="1275" t="str">
        <f>'MSW14'!A157</f>
        <v>WANT TO LEARN MORE?</v>
      </c>
      <c r="B157" s="25"/>
      <c r="C157" s="25"/>
      <c r="D157" s="25"/>
      <c r="E157" s="25"/>
      <c r="F157" s="26"/>
    </row>
    <row r="158">
      <c r="A158" s="529"/>
      <c r="F158" s="28"/>
    </row>
    <row r="159">
      <c r="A159" s="1374" t="str">
        <f>'MSW14'!A159</f>
        <v/>
      </c>
      <c r="B159" s="1173" t="str">
        <f>'MSW14'!B159</f>
        <v/>
      </c>
      <c r="C159" s="1375" t="str">
        <f>'MSW14'!C159</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59" s="28"/>
    </row>
    <row r="160">
      <c r="A160" s="1374" t="str">
        <f>'MSW14'!A160</f>
        <v/>
      </c>
      <c r="B160" s="1173" t="str">
        <f>'MSW14'!B160</f>
        <v/>
      </c>
      <c r="F160" s="28"/>
    </row>
    <row r="161">
      <c r="A161" s="1374" t="str">
        <f>'MSW14'!A161</f>
        <v/>
      </c>
      <c r="B161" s="1173" t="str">
        <f>'MSW14'!B161</f>
        <v/>
      </c>
      <c r="F161" s="28"/>
    </row>
    <row r="162">
      <c r="A162" s="1374" t="str">
        <f>'MSW14'!A162</f>
        <v/>
      </c>
      <c r="B162" s="1173" t="str">
        <f>'MSW14'!B162</f>
        <v/>
      </c>
      <c r="F162" s="28"/>
    </row>
    <row r="163">
      <c r="A163" s="1374" t="str">
        <f>'MSW14'!A163</f>
        <v/>
      </c>
      <c r="B163" s="1173" t="str">
        <f>'MSW14'!B163</f>
        <v/>
      </c>
      <c r="F163" s="28"/>
    </row>
    <row r="164">
      <c r="A164" s="1374" t="str">
        <f>'MSW14'!A164</f>
        <v/>
      </c>
      <c r="B164" s="1173" t="str">
        <f>'MSW14'!B164</f>
        <v/>
      </c>
      <c r="F164" s="28"/>
    </row>
    <row r="165">
      <c r="A165" s="1376" t="str">
        <f>'MSW14'!A165</f>
        <v/>
      </c>
      <c r="B165" s="1173" t="str">
        <f>'MSW14'!B165</f>
        <v/>
      </c>
      <c r="F165" s="28"/>
    </row>
    <row r="166">
      <c r="A166" s="1374" t="str">
        <f>'MSW14'!A166</f>
        <v/>
      </c>
      <c r="B166" s="1173" t="str">
        <f>'MSW14'!B166</f>
        <v/>
      </c>
      <c r="F166" s="28"/>
    </row>
    <row r="167">
      <c r="A167" s="1374" t="str">
        <f>'MSW14'!A167</f>
        <v/>
      </c>
      <c r="B167" s="1173" t="str">
        <f>'MSW14'!B167</f>
        <v/>
      </c>
      <c r="F167" s="28"/>
    </row>
    <row r="168">
      <c r="A168" s="1377" t="str">
        <f>'MSW14'!A168</f>
        <v/>
      </c>
      <c r="B168" s="1173" t="str">
        <f>'MSW14'!B168</f>
        <v/>
      </c>
      <c r="F168" s="28"/>
    </row>
    <row r="169">
      <c r="A169" s="1374" t="str">
        <f>'MSW14'!A169</f>
        <v/>
      </c>
      <c r="B169" s="1173" t="str">
        <f>'MSW14'!B169</f>
        <v/>
      </c>
      <c r="F169" s="28"/>
    </row>
    <row r="170">
      <c r="A170" s="1374" t="str">
        <f>'MSW14'!A170</f>
        <v/>
      </c>
      <c r="B170" s="1173" t="str">
        <f>'MSW14'!B170</f>
        <v/>
      </c>
      <c r="F170" s="28"/>
    </row>
    <row r="171">
      <c r="A171" s="1374" t="str">
        <f>'MSW14'!A171</f>
        <v/>
      </c>
      <c r="B171" s="1173" t="str">
        <f>'MSW14'!B171</f>
        <v/>
      </c>
      <c r="F171" s="28"/>
    </row>
    <row r="172">
      <c r="A172" s="1374" t="str">
        <f>'MSW14'!A172</f>
        <v/>
      </c>
      <c r="B172" s="1173" t="str">
        <f>'MSW14'!B172</f>
        <v/>
      </c>
      <c r="F172" s="28"/>
    </row>
    <row r="173">
      <c r="A173" s="1378" t="str">
        <f>'MSW14'!A173</f>
        <v/>
      </c>
      <c r="B173" s="1379" t="str">
        <f>'MSW14'!B173</f>
        <v/>
      </c>
      <c r="C173" s="11"/>
      <c r="D173" s="11"/>
      <c r="E173" s="11"/>
      <c r="F173" s="46"/>
    </row>
  </sheetData>
  <mergeCells count="99">
    <mergeCell ref="A13:F13"/>
    <mergeCell ref="A14:F14"/>
    <mergeCell ref="A12:F12"/>
    <mergeCell ref="A16:F18"/>
    <mergeCell ref="A19:F19"/>
    <mergeCell ref="G19:G23"/>
    <mergeCell ref="A20:F20"/>
    <mergeCell ref="B21:F21"/>
    <mergeCell ref="A27:F27"/>
    <mergeCell ref="H29:M29"/>
    <mergeCell ref="I34:M34"/>
    <mergeCell ref="A30:F30"/>
    <mergeCell ref="B33:F33"/>
    <mergeCell ref="A34:F34"/>
    <mergeCell ref="A35:N36"/>
    <mergeCell ref="A37:F37"/>
    <mergeCell ref="H37:M37"/>
    <mergeCell ref="I38:M38"/>
    <mergeCell ref="A58:F58"/>
    <mergeCell ref="A59:F59"/>
    <mergeCell ref="B38:F38"/>
    <mergeCell ref="A42:F43"/>
    <mergeCell ref="A44:F44"/>
    <mergeCell ref="B45:F45"/>
    <mergeCell ref="A51:F51"/>
    <mergeCell ref="A54:F54"/>
    <mergeCell ref="B57:F57"/>
    <mergeCell ref="B81:F81"/>
    <mergeCell ref="B93:F93"/>
    <mergeCell ref="A96:F96"/>
    <mergeCell ref="B97:F97"/>
    <mergeCell ref="G37:G41"/>
    <mergeCell ref="G42:M103"/>
    <mergeCell ref="B60:F60"/>
    <mergeCell ref="A65:F66"/>
    <mergeCell ref="A67:F67"/>
    <mergeCell ref="B68:F68"/>
    <mergeCell ref="A74:F75"/>
    <mergeCell ref="A102:F103"/>
    <mergeCell ref="A121:F122"/>
    <mergeCell ref="A123:F123"/>
    <mergeCell ref="B124:F124"/>
    <mergeCell ref="A131:F131"/>
    <mergeCell ref="B132:F132"/>
    <mergeCell ref="A139:F139"/>
    <mergeCell ref="G107:G108"/>
    <mergeCell ref="A110:F111"/>
    <mergeCell ref="G110:M146"/>
    <mergeCell ref="A112:F112"/>
    <mergeCell ref="A113:F114"/>
    <mergeCell ref="A115:F115"/>
    <mergeCell ref="B116:F116"/>
    <mergeCell ref="B140:F140"/>
    <mergeCell ref="A155:F155"/>
    <mergeCell ref="A157:F158"/>
    <mergeCell ref="A147:F147"/>
    <mergeCell ref="G147:G152"/>
    <mergeCell ref="H147:M147"/>
    <mergeCell ref="B148:F148"/>
    <mergeCell ref="I148:M148"/>
    <mergeCell ref="A153:F154"/>
    <mergeCell ref="G153:M173"/>
    <mergeCell ref="C159:F173"/>
    <mergeCell ref="H10:M10"/>
    <mergeCell ref="H12:M14"/>
    <mergeCell ref="A15:F15"/>
    <mergeCell ref="H15:M15"/>
    <mergeCell ref="O19:T19"/>
    <mergeCell ref="O20:T20"/>
    <mergeCell ref="P21:T21"/>
    <mergeCell ref="O27:T27"/>
    <mergeCell ref="O29:T29"/>
    <mergeCell ref="P34:T34"/>
    <mergeCell ref="O35:T173"/>
    <mergeCell ref="A1:T8"/>
    <mergeCell ref="A9:F9"/>
    <mergeCell ref="G9:G18"/>
    <mergeCell ref="H9:M9"/>
    <mergeCell ref="N9:T14"/>
    <mergeCell ref="A10:F11"/>
    <mergeCell ref="N15:T18"/>
    <mergeCell ref="N19:N26"/>
    <mergeCell ref="N27:N28"/>
    <mergeCell ref="N29:N34"/>
    <mergeCell ref="N37:N173"/>
    <mergeCell ref="H16:M18"/>
    <mergeCell ref="H19:M19"/>
    <mergeCell ref="H20:M20"/>
    <mergeCell ref="I21:M21"/>
    <mergeCell ref="G24:G25"/>
    <mergeCell ref="G26:G34"/>
    <mergeCell ref="H27:M27"/>
    <mergeCell ref="A77:F77"/>
    <mergeCell ref="A80:F80"/>
    <mergeCell ref="A104:F104"/>
    <mergeCell ref="G104:G106"/>
    <mergeCell ref="H104:M104"/>
    <mergeCell ref="B105:F105"/>
    <mergeCell ref="I105:M105"/>
  </mergeCells>
  <dataValidations>
    <dataValidation type="decimal" allowBlank="1" showDropDown="1" showInputMessage="1" showErrorMessage="1" prompt="Enter a number between 0 and 30" sqref="F22:F26 M22:M26 T22:T26 M28 T28 F28:F29 F31:F32 M30:M33 T30:T33 F39:F41 M39:M41 F46:F50 F52:F53 F55:F56 F61:F64 F69:F73 F76 F78:F79 F82:F92 F94:F95 F98:F101 F106:F109 M106:M109 F117:F120 F125:F130 F133:F138 F141:F146 F149:F152 M149:M152 F156">
      <formula1>0.0</formula1>
      <formula2>30.0</formula2>
    </dataValidation>
    <dataValidation type="decimal" operator="greaterThan" allowBlank="1" showDropDown="1" showErrorMessage="1" sqref="M11">
      <formula1>0.0</formula1>
    </dataValidation>
  </dataValidation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246</v>
      </c>
      <c r="B9" s="20"/>
      <c r="C9" s="20"/>
      <c r="D9" s="20"/>
      <c r="E9" s="20"/>
      <c r="F9" s="21"/>
      <c r="G9" s="103"/>
      <c r="H9" s="24" t="s">
        <v>35</v>
      </c>
      <c r="I9" s="25"/>
      <c r="J9" s="25"/>
      <c r="K9" s="25"/>
      <c r="L9" s="25"/>
      <c r="M9" s="26"/>
      <c r="N9" s="103"/>
    </row>
    <row r="10">
      <c r="A10" s="15" t="str">
        <f>HYPERLINK("https://goo.gl/forms/3ibooB993Hi7SS2d2","PRESS TO RECORD BODY WEIGHT")</f>
        <v>PRESS TO RECORD BODY WEIGHT</v>
      </c>
      <c r="B10" s="16"/>
      <c r="C10" s="16"/>
      <c r="D10" s="16"/>
      <c r="E10" s="16"/>
      <c r="F10" s="17"/>
      <c r="G10" s="103"/>
      <c r="H10" s="147" t="s">
        <v>247</v>
      </c>
      <c r="M10" s="28"/>
      <c r="N10" s="103"/>
    </row>
    <row r="11">
      <c r="A11" s="18"/>
      <c r="B11" s="13"/>
      <c r="C11" s="13"/>
      <c r="D11" s="13"/>
      <c r="E11" s="13"/>
      <c r="F11" s="14"/>
      <c r="G11" s="103"/>
      <c r="H11" s="29" t="s">
        <v>248</v>
      </c>
      <c r="I11" s="30"/>
      <c r="J11" s="30"/>
      <c r="K11" s="30"/>
      <c r="L11" s="30"/>
      <c r="M11" s="31"/>
      <c r="N11" s="103"/>
    </row>
    <row r="12">
      <c r="A12" s="19" t="s">
        <v>69</v>
      </c>
      <c r="B12" s="20"/>
      <c r="C12" s="20"/>
      <c r="D12" s="20"/>
      <c r="E12" s="20"/>
      <c r="F12" s="21"/>
      <c r="G12" s="103"/>
      <c r="H12" s="219"/>
      <c r="I12" s="220"/>
      <c r="J12" s="221"/>
      <c r="K12" s="219"/>
      <c r="L12" s="222"/>
      <c r="M12" s="103"/>
      <c r="N12" s="103"/>
    </row>
    <row r="13">
      <c r="A13" s="22" t="s">
        <v>177</v>
      </c>
      <c r="B13" s="20"/>
      <c r="C13" s="20"/>
      <c r="D13" s="20"/>
      <c r="E13" s="20"/>
      <c r="F13" s="21"/>
      <c r="G13" s="103"/>
      <c r="H13" s="103"/>
      <c r="I13" s="103"/>
      <c r="J13" s="103"/>
      <c r="K13" s="103"/>
      <c r="L13" s="222"/>
      <c r="M13" s="103"/>
      <c r="N13" s="103"/>
    </row>
    <row r="14">
      <c r="A14" s="219"/>
      <c r="B14" s="219"/>
      <c r="C14" s="219"/>
      <c r="D14" s="219"/>
      <c r="E14" s="223"/>
      <c r="F14" s="103"/>
      <c r="G14" s="103"/>
      <c r="H14" s="219"/>
      <c r="I14" s="219"/>
      <c r="J14" s="219"/>
      <c r="K14" s="103"/>
      <c r="L14" s="222"/>
      <c r="M14" s="103"/>
      <c r="N14" s="103"/>
    </row>
    <row r="15">
      <c r="A15" s="209"/>
      <c r="G15" s="277"/>
      <c r="H15" s="850"/>
      <c r="N15" s="277"/>
    </row>
    <row r="16">
      <c r="A16" s="50" t="s">
        <v>79</v>
      </c>
      <c r="B16" s="36"/>
      <c r="C16" s="36"/>
      <c r="D16" s="36"/>
      <c r="E16" s="36"/>
      <c r="F16" s="37"/>
      <c r="G16" s="141"/>
      <c r="H16" s="50" t="s">
        <v>118</v>
      </c>
      <c r="I16" s="36"/>
      <c r="J16" s="36"/>
      <c r="K16" s="36"/>
      <c r="L16" s="36"/>
      <c r="M16" s="37"/>
      <c r="N16" s="141"/>
    </row>
    <row r="17">
      <c r="A17" s="657"/>
    </row>
    <row r="19">
      <c r="A19" s="1344" t="s">
        <v>48</v>
      </c>
      <c r="B19" s="36"/>
      <c r="C19" s="36"/>
      <c r="D19" s="36"/>
      <c r="E19" s="36"/>
      <c r="F19" s="37"/>
      <c r="G19" s="141"/>
      <c r="H19" s="51" t="s">
        <v>48</v>
      </c>
      <c r="I19" s="36"/>
      <c r="J19" s="36"/>
      <c r="K19" s="36"/>
      <c r="L19" s="36"/>
      <c r="M19" s="37"/>
      <c r="N19" s="141"/>
    </row>
    <row r="20">
      <c r="A20" s="52" t="str">
        <f>HYPERLINK("https://youtu.be/ujVN-A0Z-ic","1. DUMBBELL INCLINE PRESS")</f>
        <v>1. DUMBBELL INCLINE PRESS</v>
      </c>
      <c r="B20" s="53"/>
      <c r="C20" s="53"/>
      <c r="D20" s="53"/>
      <c r="E20" s="53"/>
      <c r="F20" s="54"/>
      <c r="H20" s="52" t="str">
        <f>HYPERLINK("https://youtu.be/75e_H9Vq_Lw","1. MACHINE PRESS")</f>
        <v>1. MACHINE PRESS</v>
      </c>
      <c r="I20" s="53"/>
      <c r="J20" s="53"/>
      <c r="K20" s="53"/>
      <c r="L20" s="53"/>
      <c r="M20" s="54"/>
    </row>
    <row r="21">
      <c r="A21" s="228" t="s">
        <v>119</v>
      </c>
      <c r="B21" s="229" t="str">
        <f>IF('WEEK 11'!I34="",'WEEK 8'!B34,'WEEK 11'!I34)</f>
        <v/>
      </c>
      <c r="C21" s="16"/>
      <c r="D21" s="16"/>
      <c r="E21" s="16"/>
      <c r="F21" s="230"/>
      <c r="H21" s="228" t="s">
        <v>119</v>
      </c>
      <c r="I21" s="229" t="str">
        <f>if('WEEK 7'!P34="",'WEEK 5'!I34,'WEEK 7'!P34)</f>
        <v/>
      </c>
      <c r="J21" s="16"/>
      <c r="K21" s="16"/>
      <c r="L21" s="16"/>
      <c r="M21" s="230"/>
    </row>
    <row r="22">
      <c r="A22" s="96" t="s">
        <v>50</v>
      </c>
      <c r="B22" s="97" t="s">
        <v>51</v>
      </c>
      <c r="C22" s="97" t="s">
        <v>52</v>
      </c>
      <c r="D22" s="97" t="s">
        <v>53</v>
      </c>
      <c r="E22" s="98" t="s">
        <v>54</v>
      </c>
      <c r="F22" s="235" t="s">
        <v>55</v>
      </c>
      <c r="H22" s="96" t="s">
        <v>50</v>
      </c>
      <c r="I22" s="97" t="s">
        <v>51</v>
      </c>
      <c r="J22" s="97" t="s">
        <v>52</v>
      </c>
      <c r="K22" s="97" t="s">
        <v>53</v>
      </c>
      <c r="L22" s="98" t="s">
        <v>54</v>
      </c>
      <c r="M22" s="235" t="s">
        <v>55</v>
      </c>
    </row>
    <row r="23">
      <c r="A23" s="244">
        <v>1.0</v>
      </c>
      <c r="B23" s="241">
        <f>mround('WEEK 15'!B21*0.35,5)</f>
        <v>0</v>
      </c>
      <c r="C23" s="63">
        <v>6.0</v>
      </c>
      <c r="D23" s="83" t="s">
        <v>57</v>
      </c>
      <c r="E23" s="84" t="str">
        <f>IF('WEEK 12'!B23='WEEK 15'!B23,'WEEK 12'!F23,"")</f>
        <v/>
      </c>
      <c r="F23" s="85"/>
      <c r="H23" s="244">
        <v>1.0</v>
      </c>
      <c r="I23" s="241">
        <f>mround('WEEK 15'!I21*0.35,5)</f>
        <v>0</v>
      </c>
      <c r="J23" s="63">
        <v>6.0</v>
      </c>
      <c r="K23" s="83" t="s">
        <v>57</v>
      </c>
      <c r="L23" s="84" t="str">
        <f>IF('WEEK 12'!I23='WEEK 15'!I23,'WEEK 12'!M23,"")</f>
        <v/>
      </c>
      <c r="M23" s="85"/>
    </row>
    <row r="24">
      <c r="A24" s="240">
        <v>2.0</v>
      </c>
      <c r="B24" s="241">
        <f>mround('WEEK 15'!B21*0.65,5)</f>
        <v>0</v>
      </c>
      <c r="C24" s="241">
        <v>1.0</v>
      </c>
      <c r="D24" s="83" t="s">
        <v>57</v>
      </c>
      <c r="E24" s="84" t="str">
        <f>IF('WEEK 12'!B24='WEEK 15'!B24,'WEEK 12'!F24,"")</f>
        <v/>
      </c>
      <c r="F24" s="85"/>
      <c r="H24" s="240">
        <v>2.0</v>
      </c>
      <c r="I24" s="241">
        <f>mround('WEEK 15'!I21*0.65,5)</f>
        <v>0</v>
      </c>
      <c r="J24" s="241">
        <v>1.0</v>
      </c>
      <c r="K24" s="83" t="s">
        <v>57</v>
      </c>
      <c r="L24" s="84" t="str">
        <f>IF('WEEK 12'!I24='WEEK 15'!I24,'WEEK 12'!M24,"")</f>
        <v/>
      </c>
      <c r="M24" s="85"/>
    </row>
    <row r="25">
      <c r="A25" s="240">
        <v>3.0</v>
      </c>
      <c r="B25" s="241">
        <f>mround('WEEK 15'!B21*0.85,5)</f>
        <v>0</v>
      </c>
      <c r="C25" s="63">
        <v>1.0</v>
      </c>
      <c r="D25" s="83" t="s">
        <v>57</v>
      </c>
      <c r="E25" s="84" t="str">
        <f>IF('WEEK 12'!B25='WEEK 15'!B25,'WEEK 12'!F25,"")</f>
        <v/>
      </c>
      <c r="F25" s="85"/>
      <c r="H25" s="240">
        <v>3.0</v>
      </c>
      <c r="I25" s="241">
        <f>mround('WEEK 15'!I21*0.85,5)</f>
        <v>0</v>
      </c>
      <c r="J25" s="241">
        <v>1.0</v>
      </c>
      <c r="K25" s="83" t="s">
        <v>57</v>
      </c>
      <c r="L25" s="84" t="str">
        <f>IF('WEEK 12'!I25='WEEK 15'!I25,'WEEK 12'!M25,"")</f>
        <v/>
      </c>
      <c r="M25" s="85"/>
    </row>
    <row r="26">
      <c r="A26" s="240">
        <v>4.0</v>
      </c>
      <c r="B26" s="241">
        <f>mround('WEEK 15'!B21*1,5)</f>
        <v>0</v>
      </c>
      <c r="C26" s="245" t="s">
        <v>65</v>
      </c>
      <c r="D26" s="83" t="s">
        <v>57</v>
      </c>
      <c r="E26" s="84" t="str">
        <f>IF('WEEK 12'!B26='WEEK 15'!B26,'WEEK 12'!F26,"")</f>
        <v/>
      </c>
      <c r="F26" s="85"/>
      <c r="H26" s="240">
        <v>4.0</v>
      </c>
      <c r="I26" s="241">
        <f>mround('WEEK 15'!I21*1,5)</f>
        <v>0</v>
      </c>
      <c r="J26" s="245" t="s">
        <v>65</v>
      </c>
      <c r="K26" s="83" t="s">
        <v>57</v>
      </c>
      <c r="L26" s="84" t="str">
        <f>IF('WEEK 12'!I26='WEEK 15'!I26,'WEEK 12'!M26,"")</f>
        <v/>
      </c>
      <c r="M26" s="85"/>
    </row>
    <row r="27">
      <c r="A27" s="248" t="str">
        <f>IF(OR(ISBLANK('WEEK 15'!F26),ISBLANK('WEEK 15'!F25),ISBLANK('WEEK 15'!F24)),"PROCEED TO DOWNSETS",if('WEEK 15'!F26&gt;=6,"NEW 4 REP MAX ATTEMPT","PROCEED TO DOWN SETS"))</f>
        <v>PROCEED TO DOWNSETS</v>
      </c>
      <c r="F27" s="28"/>
      <c r="G27" s="247" t="s">
        <v>123</v>
      </c>
      <c r="H27" s="248" t="str">
        <f>IF(OR(ISBLANK('WEEK 15'!M26),ISBLANK('WEEK 15'!M25),ISBLANK('WEEK 15'!M24)),"PROCEED TO DOWNSETS",if('WEEK 15'!M26&gt;=6,"NEW 4 REP MAX ATTEMPT","PROCEED TO DOWN SETS"))</f>
        <v>PROCEED TO DOWNSETS</v>
      </c>
      <c r="M27" s="28"/>
    </row>
    <row r="28">
      <c r="A28" s="251" t="str">
        <f>IF(OR(ISBLANK('WEEK 15'!F26),ISBLANK('WEEK 15'!F25),ISBLANK('WEEK 15'!F24)),"",IF('WEEK 15'!F26&gt;=6,5,""))</f>
        <v/>
      </c>
      <c r="B28" s="252" t="str">
        <f>IF(OR(ISBLANK('WEEK 15'!F26),ISBLANK('WEEK 15'!F25),ISBLANK('WEEK 15'!F24)),"",IF('WEEK 15'!F26&gt;=6,'WEEK 15'!B21+5,""))</f>
        <v/>
      </c>
      <c r="C28" s="253" t="str">
        <f>IF(OR(ISBLANK('WEEK 15'!F26),ISBLANK('WEEK 15'!F25),ISBLANK('WEEK 15'!F24)),"",IF('WEEK 15'!F26&gt;=6,"REP OUT",""))</f>
        <v/>
      </c>
      <c r="D28" s="254" t="str">
        <f>IF(OR(ISBLANK('WEEK 15'!F26),ISBLANK('WEEK 15'!F25),ISBLANK('WEEK 15'!F24)),"",IF('WEEK 15'!F26&gt;5,"1 MIN",""))</f>
        <v/>
      </c>
      <c r="E28" s="84" t="str">
        <f>IF('WEEK 12'!B28='WEEK 15'!B28,'WEEK 12'!F28,"")</f>
        <v/>
      </c>
      <c r="F28" s="67"/>
      <c r="H28" s="251" t="str">
        <f>IF(OR(ISBLANK('WEEK 15'!M26),ISBLANK('WEEK 15'!M25),ISBLANK('WEEK 15'!M24)),"",IF('WEEK 15'!M26&gt;=6,5,""))</f>
        <v/>
      </c>
      <c r="I28" s="252" t="str">
        <f>IF(OR(ISBLANK('WEEK 15'!M26),ISBLANK('WEEK 15'!M25),ISBLANK('WEEK 15'!M24)),"",IF('WEEK 15'!M26&gt;=6,'WEEK 15'!I21+5,""))</f>
        <v/>
      </c>
      <c r="J28" s="253" t="str">
        <f>IF(OR(ISBLANK('WEEK 15'!M26),ISBLANK('WEEK 15'!M25),ISBLANK('WEEK 15'!M24)),"",IF('WEEK 15'!M26&gt;=6,"REP OUT",""))</f>
        <v/>
      </c>
      <c r="K28" s="254" t="str">
        <f>IF(OR(ISBLANK('WEEK 15'!M26),ISBLANK('WEEK 15'!M25),ISBLANK('WEEK 15'!M24)),"",IF('WEEK 15'!M26&gt;5,"1 MIN",""))</f>
        <v/>
      </c>
      <c r="L28" s="84" t="str">
        <f>IF('WEEK 12'!I28='WEEK 15'!I28,'WEEK 12'!M28,"")</f>
        <v/>
      </c>
      <c r="M28" s="67"/>
    </row>
    <row r="29">
      <c r="A29" s="260" t="str">
        <f>IF(OR(ISBLANK('WEEK 15'!F26),ISBLANK('WEEK 15'!F25),ISBLANK('WEEK 15'!F24)),"FILL OUT REP LOG FIRST","DOWN SETS")</f>
        <v>FILL OUT REP LOG FIRST</v>
      </c>
      <c r="B29" s="16"/>
      <c r="C29" s="16"/>
      <c r="D29" s="16"/>
      <c r="E29" s="16"/>
      <c r="F29" s="230"/>
      <c r="G29" s="141"/>
      <c r="H29" s="260" t="str">
        <f>IF(OR(ISBLANK('WEEK 15'!M26),ISBLANK('WEEK 15'!M25),ISBLANK('WEEK 15'!M24)),"FILL OUT REP LOG FIRST","DOWN SETS")</f>
        <v>FILL OUT REP LOG FIRST</v>
      </c>
      <c r="I29" s="16"/>
      <c r="J29" s="16"/>
      <c r="K29" s="16"/>
      <c r="L29" s="16"/>
      <c r="M29" s="230"/>
    </row>
    <row r="30">
      <c r="A30" s="545" t="str">
        <f>IF('WEEK 15'!F28&gt;=4,"",IF(OR(ISBLANK('WEEK 15'!F26),ISBLANK('WEEK 15'!F25),ISBLANK('WEEK 15'!F24)),"",IF('WEEK 15'!F26&gt;5,6,5)))</f>
        <v/>
      </c>
      <c r="B30" s="261" t="str">
        <f>IF('WEEK 15'!F28&gt;=4,"",IF(OR(ISBLANK('WEEK 15'!F26),ISBLANK('WEEK 15'!F25),ISBLANK('WEEK 15'!F24)),"",IF('WEEK 15'!F26&lt;6,mround('WEEK 15'!B21*0.8,5),IF('WEEK 15'!F26&lt;10,mround('WEEK 15'!B21*0.93,5),mround('WEEK 15'!B21*0.7,5)))))</f>
        <v/>
      </c>
      <c r="C30" s="262" t="str">
        <f>IF('WEEK 15'!F28&gt;=4,"",IF(OR(ISBLANK('WEEK 15'!F26),ISBLANK('WEEK 15'!F25),ISBLANK('WEEK 15'!F24)),"","REP OUT"))</f>
        <v/>
      </c>
      <c r="D30" s="65" t="str">
        <f>IF('WEEK 15'!F28&gt;=4,"",IF(OR(ISBLANK('WEEK 15'!F26),ISBLANK('WEEK 15'!F25),ISBLANK('WEEK 15'!F24)),"","1 MIN"))</f>
        <v/>
      </c>
      <c r="E30" s="84" t="str">
        <f>IF('WEEK 12'!B30='WEEK 15'!B30,'WEEK 12'!F30,"")</f>
        <v/>
      </c>
      <c r="F30" s="263"/>
      <c r="H30" s="91" t="str">
        <f>IF('WEEK 15'!M28&gt;=4,"",IF(OR(ISBLANK('WEEK 15'!M26),ISBLANK('WEEK 15'!M25),ISBLANK('WEEK 15'!M24)),"",IF('WEEK 15'!M26&gt;5,6,5)))</f>
        <v/>
      </c>
      <c r="I30" s="261" t="str">
        <f>IF('WEEK 15'!M28&gt;=4,"",IF(OR(ISBLANK('WEEK 15'!M26),ISBLANK('WEEK 15'!M25),ISBLANK('WEEK 15'!M24)),"",IF('WEEK 15'!M26&lt;6,mround('WEEK 15'!I21*0.8,5),IF('WEEK 15'!M26&lt;10,mround('WEEK 15'!I21*0.93,5),mround('WEEK 15'!I21*0.7,5)))))</f>
        <v/>
      </c>
      <c r="J30" s="262" t="str">
        <f>IF('WEEK 15'!M28&gt;=4,"",IF(OR(ISBLANK('WEEK 15'!M26),ISBLANK('WEEK 15'!M25),ISBLANK('WEEK 15'!M24)),"","REP OUT"))</f>
        <v/>
      </c>
      <c r="K30" s="65" t="str">
        <f>IF('WEEK 15'!M28&gt;=4,"",IF(OR(ISBLANK('WEEK 15'!M26),ISBLANK('WEEK 15'!M25),ISBLANK('WEEK 15'!M24)),"","1 MIN"))</f>
        <v/>
      </c>
      <c r="L30" s="84" t="str">
        <f>IF('WEEK 12'!I30='WEEK 15'!I30,'WEEK 12'!M30,"")</f>
        <v/>
      </c>
      <c r="M30" s="263"/>
    </row>
    <row r="31">
      <c r="A31" s="546" t="str">
        <f>IF('WEEK 15'!F28&gt;=4,"",IF(OR(ISBLANK('WEEK 15'!F26),ISBLANK('WEEK 15'!F25),ISBLANK('WEEK 15'!F24)),"",IF('WEEK 15'!F26&gt;5,7,6)))</f>
        <v/>
      </c>
      <c r="B31" s="254" t="str">
        <f>IF('WEEK 15'!F28&gt;=4,"",IF(OR(ISBLANK('WEEK 15'!F26),ISBLANK('WEEK 15'!F25),ISBLANK('WEEK 15'!F24)),"",IF('WEEK 15'!F26&lt;6,mround('WEEK 15'!B21*0.65,5),IF('WEEK 15'!F26&lt;10,mround('WEEK 15'!B21*0.7,5),mround('WEEK 15'!B21*0.65,5)))))</f>
        <v/>
      </c>
      <c r="C31" s="253" t="str">
        <f>IF('WEEK 15'!F28&gt;=4,"",IF(OR(ISBLANK('WEEK 15'!F26),ISBLANK('WEEK 15'!F25),ISBLANK('WEEK 15'!F24)),"","REP OUT"))</f>
        <v/>
      </c>
      <c r="D31" s="65" t="str">
        <f>IF('WEEK 15'!F28&gt;=4,"",IF(OR(ISBLANK('WEEK 15'!F26),ISBLANK('WEEK 15'!F25),ISBLANK('WEEK 15'!F24)),"","1 MIN"))</f>
        <v/>
      </c>
      <c r="E31" s="84" t="str">
        <f>IF('WEEK 12'!B31='WEEK 15'!B31,'WEEK 12'!F31,"")</f>
        <v/>
      </c>
      <c r="F31" s="270"/>
      <c r="H31" s="269" t="str">
        <f>IF('WEEK 15'!M28&gt;=4,"",IF(OR(ISBLANK('WEEK 15'!M26),ISBLANK('WEEK 15'!M25),ISBLANK('WEEK 15'!M24)),"",IF('WEEK 15'!M26&gt;5,7,6)))</f>
        <v/>
      </c>
      <c r="I31" s="254" t="str">
        <f>IF('WEEK 15'!M28&gt;=4,"",IF(OR(ISBLANK('WEEK 15'!M26),ISBLANK('WEEK 15'!M25),ISBLANK('WEEK 15'!M24)),"",IF('WEEK 15'!M26&lt;6,mround('WEEK 15'!I21*0.65,5),IF('WEEK 15'!M26&lt;10,mround('WEEK 15'!I21*0.7,5),mround('WEEK 15'!I21*0.65,5)))))</f>
        <v/>
      </c>
      <c r="J31" s="253" t="str">
        <f>IF('WEEK 15'!M28&gt;=4,"",IF(OR(ISBLANK('WEEK 15'!M26),ISBLANK('WEEK 15'!M25),ISBLANK('WEEK 15'!M24)),"","REP OUT"))</f>
        <v/>
      </c>
      <c r="K31" s="65" t="str">
        <f>IF('WEEK 15'!M28&gt;=4,"",IF(OR(ISBLANK('WEEK 15'!M26),ISBLANK('WEEK 15'!M25),ISBLANK('WEEK 15'!M24)),"","1 MIN"))</f>
        <v/>
      </c>
      <c r="L31" s="84" t="str">
        <f>IF('WEEK 12'!I31='WEEK 15'!I31,'WEEK 12'!M31,"")</f>
        <v/>
      </c>
      <c r="M31" s="270"/>
    </row>
    <row r="32">
      <c r="A32" s="546" t="str">
        <f>IF('WEEK 15'!F28&lt;4,"",IF(OR(ISBLANK('WEEK 15'!F26),ISBLANK('WEEK 15'!F25),ISBLANK('WEEK 15'!F24)),"",IF('WEEK 15'!F28&gt;3,6,5)))</f>
        <v/>
      </c>
      <c r="B32" s="254" t="str">
        <f>IF('WEEK 15'!F28&lt;4,"",IF(OR(ISBLANK('WEEK 15'!F26),ISBLANK('WEEK 15'!F25),ISBLANK('WEEK 15'!F24)),"",IF('WEEK 15'!F28&lt;6,mround('WEEK 15'!B34*0.8,5),IF('WEEK 15'!F28&lt;10,mround('WEEK 15'!B34*0.93,5),mround(B34*0.7,5)))))</f>
        <v/>
      </c>
      <c r="C32" s="253" t="str">
        <f>IF('WEEK 15'!F28&lt;4,"",IF(OR(ISBLANK('WEEK 15'!F26),ISBLANK('WEEK 15'!F25),ISBLANK('WEEK 15'!F24)),"","REP OUT"))</f>
        <v/>
      </c>
      <c r="D32" s="65" t="str">
        <f>IF('WEEK 15'!F28&lt;4,"",IF(OR(ISBLANK('WEEK 15'!F26),ISBLANK('WEEK 15'!F25),ISBLANK('WEEK 15'!F24)),"","1 MIN"))</f>
        <v/>
      </c>
      <c r="E32" s="84" t="str">
        <f>IF('WEEK 12'!B32='WEEK 15'!B32,'WEEK 12'!F32,"")</f>
        <v/>
      </c>
      <c r="F32" s="270"/>
      <c r="G32" s="141"/>
      <c r="H32" s="269" t="str">
        <f>IF('WEEK 15'!M28&lt;4,"",IF(OR(ISBLANK('WEEK 15'!M26),ISBLANK('WEEK 15'!M25),ISBLANK('WEEK 15'!M24)),"",IF('WEEK 15'!M28&gt;3,6,5)))</f>
        <v/>
      </c>
      <c r="I32" s="254" t="str">
        <f>IF('WEEK 15'!M28&lt;4,"",IF(OR(ISBLANK('WEEK 15'!M26),ISBLANK('WEEK 15'!M25),ISBLANK('WEEK 15'!M24)),"",IF('WEEK 15'!M28&lt;6,mround('WEEK 15'!I34*0.7,5),IF('WEEK 15'!M28&lt;10,mround('WEEK 15'!I34*0.8,5),mround(I34*0.93,5)))))</f>
        <v/>
      </c>
      <c r="J32" s="253" t="str">
        <f>IF('WEEK 15'!M28&lt;4,"",IF(OR(ISBLANK('WEEK 15'!M26),ISBLANK('WEEK 15'!M25),ISBLANK('WEEK 15'!M24)),"","REP OUT"))</f>
        <v/>
      </c>
      <c r="K32" s="65" t="str">
        <f>IF('WEEK 15'!M28&lt;4,"",IF(OR(ISBLANK('WEEK 15'!M26),ISBLANK('WEEK 15'!M25),ISBLANK('WEEK 15'!M24)),"","1 MIN"))</f>
        <v/>
      </c>
      <c r="L32" s="84" t="str">
        <f>IF('WEEK 12'!I32='WEEK 15'!I32,'WEEK 12'!M32,"")</f>
        <v/>
      </c>
      <c r="M32" s="270"/>
      <c r="N32" s="141"/>
    </row>
    <row r="33">
      <c r="A33" s="546" t="str">
        <f>IF('WEEK 15'!F28&lt;4,"",IF(OR(ISBLANK('WEEK 15'!F26),ISBLANK('WEEK 15'!F25),ISBLANK('WEEK 15'!F24)),"",IF('WEEK 15'!F28&gt;3,7,"")))</f>
        <v/>
      </c>
      <c r="B33" s="254" t="str">
        <f>IF('WEEK 15'!F28&lt;4,"",IF(OR(ISBLANK('WEEK 15'!F26),ISBLANK('WEEK 15'!F25),ISBLANK('WEEK 15'!F24)),"",IF('WEEK 15'!F28&lt;6,mround('WEEK 15'!B34*0.65,5),IF('WEEK 15'!F28&lt;10,mround('WEEK 15'!B34*0.7,5),mround(B34*0.65,5)))))</f>
        <v/>
      </c>
      <c r="C33" s="253" t="str">
        <f>IF('WEEK 15'!F28&lt;4,"",IF(OR(ISBLANK('WEEK 15'!F26),ISBLANK('WEEK 15'!F25),ISBLANK('WEEK 15'!F24)),"","REP OUT"))</f>
        <v/>
      </c>
      <c r="D33" s="65" t="str">
        <f>IF('WEEK 15'!F28&lt;4,"",IF(OR(ISBLANK('WEEK 15'!F26),ISBLANK('WEEK 15'!F25),ISBLANK('WEEK 15'!F24)),"","1 MIN"))</f>
        <v/>
      </c>
      <c r="E33" s="84" t="str">
        <f>IF('WEEK 12'!B33='WEEK 15'!B33,'WEEK 12'!F33,"")</f>
        <v/>
      </c>
      <c r="F33" s="270"/>
      <c r="G33" s="141"/>
      <c r="H33" s="269" t="str">
        <f>IF('WEEK 15'!M28&lt;4,"",IF(OR(ISBLANK('WEEK 15'!M26),ISBLANK('WEEK 15'!M25),ISBLANK('WEEK 15'!M24)),"",IF('WEEK 15'!M28&gt;3,7,"")))</f>
        <v/>
      </c>
      <c r="I33" s="254" t="str">
        <f>IF('WEEK 15'!M28&lt;4,"",IF(OR(ISBLANK('WEEK 15'!M26),ISBLANK('WEEK 15'!M25),ISBLANK('WEEK 15'!M24)),"",IF('WEEK 15'!M28&lt;6,mround('WEEK 15'!I34*0.65,5),IF('WEEK 15'!M28&lt;10,mround('WEEK 15'!I34*0.7,5),mround(I34*0.75,5)))))</f>
        <v/>
      </c>
      <c r="J33" s="253" t="str">
        <f>IF('WEEK 15'!M28&lt;4,"",IF(OR(ISBLANK('WEEK 15'!M26),ISBLANK('WEEK 15'!M25),ISBLANK('WEEK 15'!M24)),"","REP OUT"))</f>
        <v/>
      </c>
      <c r="K33" s="65" t="str">
        <f>IF('WEEK 15'!M28&lt;4,"",IF(OR(ISBLANK('WEEK 15'!M26),ISBLANK('WEEK 15'!M25),ISBLANK('WEEK 15'!M24)),"","1 MIN"))</f>
        <v/>
      </c>
      <c r="L33" s="84" t="str">
        <f>IF('WEEK 12'!I33='WEEK 15'!I33,'WEEK 12'!M33,"")</f>
        <v/>
      </c>
      <c r="M33" s="270"/>
      <c r="N33" s="141"/>
    </row>
    <row r="34">
      <c r="A34" s="280" t="s">
        <v>124</v>
      </c>
      <c r="B34" s="273" t="str">
        <f>IF(OR(ISBLANK('WEEK 15'!F24),ISBLANK('WEEK 15'!F25),ISBLANK('WEEK 15'!F26)),"",IF('WEEK 15'!F28&gt;=4,'WEEK 15'!B28,IF('WEEK 15'!F26&lt;=3,'WEEK 15'!B26-5,'WEEK 15'!B26)))</f>
        <v/>
      </c>
      <c r="C34" s="11"/>
      <c r="D34" s="11"/>
      <c r="E34" s="11"/>
      <c r="F34" s="46"/>
      <c r="G34" s="141"/>
      <c r="H34" s="280" t="s">
        <v>124</v>
      </c>
      <c r="I34" s="273" t="str">
        <f>IF(OR(ISBLANK('WEEK 12'!M24),ISBLANK('WEEK 12'!M25),ISBLANK('WEEK 12'!M26)),"",IF('WEEK 12'!M28&gt;=4,'WEEK 12'!I28,IF('WEEK 12'!M26&lt;=3,'WEEK 12'!I26-5,'WEEK 12'!I26)))</f>
        <v/>
      </c>
      <c r="J34" s="11"/>
      <c r="K34" s="11"/>
      <c r="L34" s="11"/>
      <c r="M34" s="46"/>
      <c r="N34" s="141"/>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228</v>
      </c>
      <c r="B38" s="548" t="str">
        <f>if('WEEK 15'!B34="",'WEEK 12'!B34,'WEEK 15'!B34)</f>
        <v/>
      </c>
      <c r="C38" s="13"/>
      <c r="D38" s="13"/>
      <c r="E38" s="13"/>
      <c r="F38" s="57"/>
      <c r="G38" s="247" t="s">
        <v>123</v>
      </c>
      <c r="H38" s="226" t="s">
        <v>228</v>
      </c>
      <c r="I38" s="548" t="str">
        <f>'WEEK 15'!B38</f>
        <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15'!B38*0.29,2.5)</f>
        <v>0</v>
      </c>
      <c r="C40" s="241">
        <v>15.0</v>
      </c>
      <c r="D40" s="83" t="s">
        <v>57</v>
      </c>
      <c r="E40" s="84" t="str">
        <f>IF('WEEK 12'!B40='WEEK 15'!B40,'WEEK 12'!F40,"")</f>
        <v/>
      </c>
      <c r="F40" s="85"/>
      <c r="G40" s="659"/>
      <c r="H40" s="240">
        <v>1.0</v>
      </c>
      <c r="I40" s="254">
        <f>mround('WEEK 15'!I38*2*0.75,10)</f>
        <v>0</v>
      </c>
      <c r="J40" s="241">
        <v>15.0</v>
      </c>
      <c r="K40" s="83" t="s">
        <v>57</v>
      </c>
      <c r="L40" s="84" t="str">
        <f>IF('WEEK 12'!I40='WEEK 15'!I40,'WEEK 12'!M40,"")</f>
        <v/>
      </c>
      <c r="M40" s="85"/>
    </row>
    <row r="41">
      <c r="A41" s="661">
        <v>2.0</v>
      </c>
      <c r="B41" s="662">
        <f>mround('WEEK 15'!B38*0.29,2.5)</f>
        <v>0</v>
      </c>
      <c r="C41" s="69">
        <v>15.0</v>
      </c>
      <c r="D41" s="88" t="s">
        <v>57</v>
      </c>
      <c r="E41" s="84" t="str">
        <f>IF('WEEK 12'!B41='WEEK 15'!B41,'WEEK 12'!F41,"")</f>
        <v/>
      </c>
      <c r="F41" s="85"/>
      <c r="H41" s="661">
        <v>2.0</v>
      </c>
      <c r="I41" s="662">
        <f>mround('WEEK 15'!I38*2*0.75,10)</f>
        <v>0</v>
      </c>
      <c r="J41" s="662">
        <v>15.0</v>
      </c>
      <c r="K41" s="88" t="s">
        <v>57</v>
      </c>
      <c r="L41" s="84" t="str">
        <f>IF('WEEK 12'!I41='WEEK 15'!I41,'WEEK 12'!M41,"")</f>
        <v/>
      </c>
      <c r="M41" s="85"/>
    </row>
    <row r="44">
      <c r="A44" s="73" t="str">
        <f>HYPERLINK("https://youtu.be/hMUUvL3FlkE","3. MACHINE HIGH ROW")</f>
        <v>3. MACHINE HIGH ROW</v>
      </c>
      <c r="B44" s="53"/>
      <c r="C44" s="53"/>
      <c r="D44" s="53"/>
      <c r="E44" s="53"/>
      <c r="F44" s="54"/>
    </row>
    <row r="45">
      <c r="A45" s="226" t="s">
        <v>119</v>
      </c>
      <c r="B45" s="227" t="str">
        <f>'WEEK 11'!B57</f>
        <v/>
      </c>
      <c r="C45" s="20"/>
      <c r="D45" s="20"/>
      <c r="E45" s="20"/>
      <c r="F45" s="95"/>
    </row>
    <row r="46">
      <c r="A46" s="231" t="s">
        <v>50</v>
      </c>
      <c r="B46" s="232" t="s">
        <v>51</v>
      </c>
      <c r="C46" s="232" t="s">
        <v>52</v>
      </c>
      <c r="D46" s="232" t="s">
        <v>53</v>
      </c>
      <c r="E46" s="233" t="s">
        <v>54</v>
      </c>
      <c r="F46" s="61" t="s">
        <v>55</v>
      </c>
    </row>
    <row r="47">
      <c r="A47" s="236">
        <v>1.0</v>
      </c>
      <c r="B47" s="237">
        <f>mround('WEEK 15'!B45*0.35,5)</f>
        <v>0</v>
      </c>
      <c r="C47" s="237">
        <v>6.0</v>
      </c>
      <c r="D47" s="238" t="s">
        <v>120</v>
      </c>
      <c r="E47" s="89" t="str">
        <f>IF('WEEK 11'!B47='WEEK 15'!B47,'WEEK 11'!F47,"")</f>
        <v/>
      </c>
      <c r="F47" s="67"/>
    </row>
    <row r="48">
      <c r="A48" s="236">
        <v>2.0</v>
      </c>
      <c r="B48" s="237">
        <f>mround('WEEK 15'!B45*0.65,5)</f>
        <v>0</v>
      </c>
      <c r="C48" s="238">
        <v>3.0</v>
      </c>
      <c r="D48" s="238" t="s">
        <v>121</v>
      </c>
      <c r="E48" s="89" t="str">
        <f>IF('WEEK 11'!B48='WEEK 15'!B48,'WEEK 11'!F48,"")</f>
        <v/>
      </c>
      <c r="F48" s="67"/>
    </row>
    <row r="49">
      <c r="A49" s="242">
        <v>3.0</v>
      </c>
      <c r="B49" s="237">
        <f>mround('WEEK 15'!B45*0.9,5)</f>
        <v>0</v>
      </c>
      <c r="C49" s="63">
        <v>2.0</v>
      </c>
      <c r="D49" s="238" t="s">
        <v>121</v>
      </c>
      <c r="E49" s="89" t="str">
        <f>IF('WEEK 11'!B49='WEEK 15'!B49,'WEEK 11'!F49,"")</f>
        <v/>
      </c>
      <c r="F49" s="67"/>
    </row>
    <row r="50">
      <c r="A50" s="243">
        <v>4.0</v>
      </c>
      <c r="B50" s="237" t="str">
        <f>'WEEK 15'!B45</f>
        <v/>
      </c>
      <c r="C50" s="257">
        <v>3.0</v>
      </c>
      <c r="D50" s="238" t="s">
        <v>122</v>
      </c>
      <c r="E50" s="89" t="str">
        <f>IF('WEEK 11'!B50='WEEK 15'!B50,'WEEK 11'!F50,"")</f>
        <v/>
      </c>
      <c r="F50" s="67"/>
    </row>
    <row r="51">
      <c r="A51" s="246" t="str">
        <f>IF('WEEK 15'!F50&lt;3,"PROCEED TO DOWN SETS","NEW 4 REP MAX ATTEMPT")</f>
        <v>PROCEED TO DOWN SETS</v>
      </c>
      <c r="B51" s="20"/>
      <c r="C51" s="20"/>
      <c r="D51" s="20"/>
      <c r="E51" s="20"/>
      <c r="F51" s="95"/>
    </row>
    <row r="52">
      <c r="A52" s="249" t="str">
        <f>if('WEEK 15'!F50&lt;=2,"",5)</f>
        <v/>
      </c>
      <c r="B52" s="175" t="str">
        <f>IF('WEEK 15'!F50&lt;=2,"",'WEEK 15'!B50+5)</f>
        <v/>
      </c>
      <c r="C52" s="238" t="str">
        <f>if('WEEK 15'!F50&lt;=2,"",4)</f>
        <v/>
      </c>
      <c r="D52" s="238" t="str">
        <f>if('WEEK 15'!F50&lt;=2,"","1-5 MIN")</f>
        <v/>
      </c>
      <c r="E52" s="89" t="str">
        <f>IF('WEEK 11'!B52='WEEK 15'!B52,'WEEK 11'!F52,"")</f>
        <v/>
      </c>
      <c r="F52" s="67"/>
    </row>
    <row r="53">
      <c r="A53" s="259" t="str">
        <f>IF('WEEK 15'!F52&lt;4,"","6")</f>
        <v/>
      </c>
      <c r="B53" s="237" t="str">
        <f>IF('WEEK 15'!F52&lt;4,"",'WEEK 15'!B52+5)</f>
        <v/>
      </c>
      <c r="C53" s="257" t="str">
        <f>IF('WEEK 15'!F52&lt;4,"","4")</f>
        <v/>
      </c>
      <c r="D53" s="257" t="str">
        <f>IF('WEEK 15'!F52&lt;4,"","1-5 MIN")</f>
        <v/>
      </c>
      <c r="E53" s="89" t="str">
        <f>IF('WEEK 11'!B53='WEEK 15'!B53,'WEEK 11'!F53,"")</f>
        <v/>
      </c>
      <c r="F53" s="67"/>
    </row>
    <row r="54">
      <c r="A54" s="246" t="s">
        <v>133</v>
      </c>
      <c r="B54" s="20"/>
      <c r="C54" s="20"/>
      <c r="D54" s="20"/>
      <c r="E54" s="20"/>
      <c r="F54" s="95"/>
    </row>
    <row r="55">
      <c r="A55" s="264">
        <f>IF('WEEK 15'!F52&gt;=1,7,IF('WEEK 15'!F50&lt;1,5,6))</f>
        <v>5</v>
      </c>
      <c r="B55" s="265">
        <f>MROUND('WEEK 15'!B57*0.8,5)</f>
        <v>0</v>
      </c>
      <c r="C55" s="266" t="s">
        <v>65</v>
      </c>
      <c r="D55" s="267" t="s">
        <v>127</v>
      </c>
      <c r="E55" s="89" t="str">
        <f>IF('WEEK 11'!B55='WEEK 15'!B55,'WEEK 11'!F55,"")</f>
        <v/>
      </c>
      <c r="F55" s="67"/>
    </row>
    <row r="56">
      <c r="A56" s="243">
        <f>IF('WEEK 15'!F52&gt;=1,8,IF('WEEK 15'!F50&lt;1,6,7))</f>
        <v>6</v>
      </c>
      <c r="B56" s="237">
        <f>mround('WEEK 15'!B57*0.7,5)</f>
        <v>0</v>
      </c>
      <c r="C56" s="245" t="s">
        <v>65</v>
      </c>
      <c r="D56" s="65" t="s">
        <v>127</v>
      </c>
      <c r="E56" s="89" t="str">
        <f>IF('WEEK 11'!B56='WEEK 15'!B56,'WEEK 11'!F56,"")</f>
        <v/>
      </c>
      <c r="F56" s="271"/>
    </row>
    <row r="57">
      <c r="A57" s="228" t="s">
        <v>124</v>
      </c>
      <c r="B57" s="549" t="str">
        <f>IF(OR(ISBLANK('WEEK 15'!F50),ISBLANK('WEEK 15'!F49),ISBLANK('WEEK 15'!F48)),"",IF('WEEK 15'!F53&gt;=4,'WEEK 15'!B53,IF('WEEK 15'!F52&gt;=1,'WEEK 15'!B52,IF('WEEK 15'!F50&lt;3,'WEEK 15'!B50-5,'WEEK 15'!B50))))</f>
        <v/>
      </c>
      <c r="F57" s="28"/>
    </row>
    <row r="58">
      <c r="A58" s="750"/>
      <c r="B58" s="750"/>
      <c r="C58" s="750"/>
      <c r="D58" s="750"/>
      <c r="E58" s="750"/>
      <c r="F58" s="750"/>
    </row>
    <row r="59">
      <c r="A59" s="751" t="str">
        <f>HYPERLINK("https://www.youtube.com/watch?v=PnaDzYh2axA","4. LAT PULL DOWN")</f>
        <v>4. LAT PULL DOWN</v>
      </c>
      <c r="B59" s="13"/>
      <c r="C59" s="13"/>
      <c r="D59" s="13"/>
      <c r="E59" s="13"/>
      <c r="F59" s="57"/>
    </row>
    <row r="60">
      <c r="A60" s="226" t="s">
        <v>119</v>
      </c>
      <c r="B60" s="691" t="str">
        <f>'WEEK 11'!B60</f>
        <v/>
      </c>
      <c r="C60" s="13"/>
      <c r="D60" s="13"/>
      <c r="E60" s="13"/>
      <c r="F60" s="57"/>
    </row>
    <row r="61">
      <c r="A61" s="96" t="s">
        <v>50</v>
      </c>
      <c r="B61" s="97" t="s">
        <v>51</v>
      </c>
      <c r="C61" s="97" t="s">
        <v>52</v>
      </c>
      <c r="D61" s="97" t="s">
        <v>53</v>
      </c>
      <c r="E61" s="341" t="s">
        <v>54</v>
      </c>
      <c r="F61" s="235" t="s">
        <v>55</v>
      </c>
    </row>
    <row r="62">
      <c r="A62" s="725">
        <v>1.0</v>
      </c>
      <c r="B62" s="344">
        <f> mround('WEEK 15'!B60*0.9,5)</f>
        <v>0</v>
      </c>
      <c r="C62" s="437" t="s">
        <v>65</v>
      </c>
      <c r="D62" s="343" t="s">
        <v>57</v>
      </c>
      <c r="E62" s="89" t="str">
        <f>IF('WEEK 11'!B62='WEEK 15'!B62,'WEEK 11'!F62,"")</f>
        <v/>
      </c>
      <c r="F62" s="85"/>
    </row>
    <row r="63">
      <c r="A63" s="725">
        <v>2.0</v>
      </c>
      <c r="B63" s="344">
        <f>IF('WEEK 15'!F62&lt;6,MROUND('WEEK 15'!B60*0.75,5),IF('WEEK 15'!F62&lt;=11,MROUND('WEEK 15'!B60*0.85,5),'WEEK 15'!B62))</f>
        <v>0</v>
      </c>
      <c r="C63" s="437" t="s">
        <v>65</v>
      </c>
      <c r="D63" s="343" t="s">
        <v>57</v>
      </c>
      <c r="E63" s="89" t="str">
        <f>IF('WEEK 11'!B63='WEEK 15'!B63,'WEEK 11'!F63,"")</f>
        <v/>
      </c>
      <c r="F63" s="85"/>
    </row>
    <row r="64">
      <c r="A64" s="753">
        <v>3.0</v>
      </c>
      <c r="B64" s="754">
        <f>IF('WEEK 15'!F63&lt;6,MROUND('WEEK 15'!B60*0.75,5),IF('WEEK 15'!F63&lt;=11,MROUND('WEEK 15'!B60*0.85,5),'WEEK 15'!B63))</f>
        <v>0</v>
      </c>
      <c r="C64" s="733" t="s">
        <v>65</v>
      </c>
      <c r="D64" s="486" t="s">
        <v>57</v>
      </c>
      <c r="E64" s="89" t="str">
        <f>IF('WEEK 11'!B64='WEEK 15'!B64,'WEEK 11'!F64,"")</f>
        <v/>
      </c>
      <c r="F64" s="85"/>
    </row>
    <row r="65">
      <c r="A65" s="756"/>
      <c r="B65" s="756"/>
      <c r="C65" s="756"/>
      <c r="D65" s="756"/>
      <c r="E65" s="757"/>
      <c r="F65" s="419"/>
    </row>
    <row r="66">
      <c r="A66" s="756"/>
      <c r="B66" s="756"/>
      <c r="C66" s="756"/>
      <c r="D66" s="756"/>
      <c r="E66" s="757"/>
      <c r="F66" s="419"/>
    </row>
    <row r="67">
      <c r="A67" s="73" t="str">
        <f>HYPERLINK("https://youtu.be/9YH1YvZbiY0","5. LOW ROW ")</f>
        <v>5. LOW ROW </v>
      </c>
      <c r="B67" s="53"/>
      <c r="C67" s="53"/>
      <c r="D67" s="53"/>
      <c r="E67" s="53"/>
      <c r="F67" s="54"/>
    </row>
    <row r="68">
      <c r="A68" s="226" t="s">
        <v>119</v>
      </c>
      <c r="B68" s="691">
        <f>'WEEK 11'!B68</f>
        <v>265</v>
      </c>
      <c r="C68" s="13"/>
      <c r="D68" s="13"/>
      <c r="E68" s="13"/>
      <c r="F68" s="57"/>
    </row>
    <row r="69">
      <c r="A69" s="96" t="s">
        <v>50</v>
      </c>
      <c r="B69" s="97" t="s">
        <v>51</v>
      </c>
      <c r="C69" s="97" t="s">
        <v>52</v>
      </c>
      <c r="D69" s="97" t="s">
        <v>53</v>
      </c>
      <c r="E69" s="341" t="s">
        <v>54</v>
      </c>
      <c r="F69" s="235" t="s">
        <v>55</v>
      </c>
    </row>
    <row r="70">
      <c r="A70" s="725">
        <v>1.0</v>
      </c>
      <c r="B70" s="344">
        <f>mround('WEEK 15'!B68*0.85,5)</f>
        <v>225</v>
      </c>
      <c r="C70" s="437" t="s">
        <v>65</v>
      </c>
      <c r="D70" s="343" t="s">
        <v>127</v>
      </c>
      <c r="E70" s="89" t="str">
        <f>IF('WEEK 11'!B70='WEEK 15'!B70,'WEEK 11'!F70,"")</f>
        <v/>
      </c>
      <c r="F70" s="85"/>
    </row>
    <row r="71">
      <c r="A71" s="725">
        <v>2.0</v>
      </c>
      <c r="B71" s="344">
        <f>IF('WEEK 15'!F70&lt;6,MROUND('WEEK 15'!B68*0.75,5),IF('WEEK 15'!F70&lt;=11,MROUND('WEEK 15'!B68*0.75,5),'WEEK 15'!B70))</f>
        <v>200</v>
      </c>
      <c r="C71" s="437" t="s">
        <v>65</v>
      </c>
      <c r="D71" s="343" t="s">
        <v>127</v>
      </c>
      <c r="E71" s="89" t="str">
        <f>IF('WEEK 11'!B71='WEEK 15'!B71,'WEEK 11'!F71,"")</f>
        <v/>
      </c>
      <c r="F71" s="85"/>
    </row>
    <row r="72">
      <c r="A72" s="753">
        <v>3.0</v>
      </c>
      <c r="B72" s="754">
        <f>IF('WEEK 15'!F71&lt;6,MROUND('WEEK 15'!B71*0.8,5),IF('WEEK 15'!F71&lt;=11,MROUND('WEEK 15'!B68*0.75,5),'WEEK 15'!B71))</f>
        <v>160</v>
      </c>
      <c r="C72" s="733" t="s">
        <v>65</v>
      </c>
      <c r="D72" s="486" t="s">
        <v>127</v>
      </c>
      <c r="E72" s="89" t="str">
        <f>IF('WEEK 11'!B72='WEEK 15'!B72,'WEEK 11'!F72,"")</f>
        <v/>
      </c>
      <c r="F72" s="85"/>
    </row>
    <row r="73">
      <c r="A73" s="758"/>
      <c r="B73" s="736"/>
      <c r="C73" s="759"/>
      <c r="D73" s="760"/>
      <c r="E73" s="761"/>
      <c r="F73" s="762"/>
    </row>
    <row r="74">
      <c r="A74" s="310" t="str">
        <f>HYPERLINK("https://docs.google.com/a/fitnessresults.com/forms/d/e/1FAIpQLSd7MoczESe8Yjv6BKpmwAZGn9Aiymrs9-UdgfYIUpbr9t5NXg/viewform?usp=pp_url&amp;entry.93370101","CLICK TO COMPLETE WORKOUT")</f>
        <v>CLICK TO COMPLETE WORKOUT</v>
      </c>
      <c r="B74" s="36"/>
      <c r="C74" s="36"/>
      <c r="D74" s="36"/>
      <c r="E74" s="36"/>
      <c r="F74" s="37"/>
    </row>
    <row r="75">
      <c r="A75" s="763"/>
      <c r="B75" s="764"/>
      <c r="C75" s="764"/>
      <c r="D75" s="764"/>
      <c r="E75" s="764"/>
      <c r="F75" s="764"/>
    </row>
    <row r="76">
      <c r="A76" s="50" t="s">
        <v>128</v>
      </c>
      <c r="B76" s="36"/>
      <c r="C76" s="36"/>
      <c r="D76" s="36"/>
      <c r="E76" s="36"/>
      <c r="F76" s="37"/>
    </row>
    <row r="79">
      <c r="A79" s="1176" t="str">
        <f>HYPERLINK("https://www.youtube.com/watch?v=JDPkRuVBZ90","2. SUPER SET")</f>
        <v>2. SUPER SET</v>
      </c>
      <c r="B79" s="36"/>
      <c r="C79" s="36"/>
      <c r="D79" s="36"/>
      <c r="E79" s="36"/>
      <c r="F79" s="37"/>
    </row>
    <row r="80">
      <c r="A80" s="1177" t="s">
        <v>119</v>
      </c>
      <c r="B80" s="1178">
        <f>'WEEK 14'!B97</f>
        <v>55</v>
      </c>
      <c r="C80" s="46"/>
      <c r="D80" s="1178">
        <f>'MSW11'!B79</f>
        <v>250</v>
      </c>
      <c r="E80" s="11"/>
      <c r="F80" s="46"/>
    </row>
    <row r="81">
      <c r="A81" s="1179" t="s">
        <v>50</v>
      </c>
      <c r="B81" s="1180" t="s">
        <v>200</v>
      </c>
      <c r="C81" s="1181" t="s">
        <v>51</v>
      </c>
      <c r="D81" s="1181" t="s">
        <v>52</v>
      </c>
      <c r="E81" s="1182" t="s">
        <v>54</v>
      </c>
      <c r="F81" s="1006" t="s">
        <v>55</v>
      </c>
    </row>
    <row r="82">
      <c r="A82" s="1183">
        <v>1.0</v>
      </c>
      <c r="B82" s="1345" t="str">
        <f>HYPERLINK("https://www.youtube.com/watch?v=NZ9KiFtbiMs","LEG EXTENSION")</f>
        <v>LEG EXTENSION</v>
      </c>
      <c r="C82" s="1346">
        <f>MROUND('WEEK 15'!B80*0.45,5)</f>
        <v>25</v>
      </c>
      <c r="D82" s="1347">
        <v>15.0</v>
      </c>
      <c r="E82" s="1187"/>
      <c r="F82" s="1188"/>
      <c r="I82" s="1380"/>
      <c r="J82" s="1381"/>
      <c r="K82" s="1381"/>
      <c r="L82" s="1381"/>
      <c r="M82" s="1381"/>
      <c r="N82" s="1382"/>
    </row>
    <row r="83">
      <c r="A83" s="1189"/>
      <c r="B83" s="1190" t="str">
        <f>HYPERLINK("https://www.youtube.com/watch?v=dVterVQksD4","LEG PRESS")</f>
        <v>LEG PRESS</v>
      </c>
      <c r="C83" s="1191">
        <f>MROUND('WEEK 15'!D80*0.45,5)</f>
        <v>115</v>
      </c>
      <c r="D83" s="1192">
        <v>30.0</v>
      </c>
      <c r="E83" s="1193"/>
      <c r="F83" s="1188"/>
    </row>
    <row r="84">
      <c r="A84" s="1194" t="s">
        <v>201</v>
      </c>
      <c r="B84" s="11"/>
      <c r="C84" s="11"/>
      <c r="D84" s="11"/>
      <c r="E84" s="11"/>
      <c r="F84" s="46"/>
    </row>
    <row r="85">
      <c r="A85" s="1195">
        <v>2.0</v>
      </c>
      <c r="B85" s="1345" t="str">
        <f>HYPERLINK("https://www.youtube.com/watch?v=NZ9KiFtbiMs","LEG EXTENSION")</f>
        <v>LEG EXTENSION</v>
      </c>
      <c r="C85" s="1346">
        <f>IF('WEEK 15'!F82&gt;=10,'WEEK 15'!C82,MROUND('WEEK 15'!C82*0.9,5))</f>
        <v>25</v>
      </c>
      <c r="D85" s="1347">
        <v>12.0</v>
      </c>
      <c r="E85" s="1187"/>
      <c r="F85" s="1188"/>
    </row>
    <row r="86">
      <c r="A86" s="1196"/>
      <c r="B86" s="1190" t="str">
        <f>HYPERLINK("https://www.youtube.com/watch?v=dVterVQksD4","LEG PRESS")</f>
        <v>LEG PRESS</v>
      </c>
      <c r="C86" s="1191">
        <f>IF('WEEK 15'!F83&gt;=10,'WEEK 15'!C83,MROUND('WEEK 15'!C83*0.9,5))</f>
        <v>105</v>
      </c>
      <c r="D86" s="1192">
        <v>30.0</v>
      </c>
      <c r="E86" s="1193"/>
      <c r="F86" s="1188"/>
    </row>
    <row r="87">
      <c r="A87" s="1194" t="s">
        <v>201</v>
      </c>
      <c r="B87" s="11"/>
      <c r="C87" s="11"/>
      <c r="D87" s="11"/>
      <c r="E87" s="11"/>
      <c r="F87" s="46"/>
    </row>
    <row r="88">
      <c r="A88" s="1195">
        <v>3.0</v>
      </c>
      <c r="B88" s="1345" t="str">
        <f>HYPERLINK("https://www.youtube.com/watch?v=NZ9KiFtbiMs","LEG EXTENSION")</f>
        <v>LEG EXTENSION</v>
      </c>
      <c r="C88" s="1346">
        <f>IF('WEEK 15'!F85&gt;=10,'WEEK 15'!C85,MROUND('WEEK 15'!C85*0.9,5))</f>
        <v>25</v>
      </c>
      <c r="D88" s="1347">
        <v>10.0</v>
      </c>
      <c r="E88" s="1187"/>
      <c r="F88" s="1133"/>
    </row>
    <row r="89">
      <c r="A89" s="1196"/>
      <c r="B89" s="1190" t="str">
        <f>HYPERLINK("https://www.youtube.com/watch?v=dVterVQksD4","LEG PRESS")</f>
        <v>LEG PRESS</v>
      </c>
      <c r="C89" s="1191">
        <f>IF('WEEK 15'!F86&gt;=10,'WEEK 15'!C86,MROUND('WEEK 15'!C86*0.9,5))</f>
        <v>95</v>
      </c>
      <c r="D89" s="1192">
        <v>30.0</v>
      </c>
      <c r="E89" s="1193"/>
      <c r="F89" s="1133"/>
    </row>
    <row r="90">
      <c r="A90" s="1194" t="s">
        <v>201</v>
      </c>
      <c r="B90" s="11"/>
      <c r="C90" s="11"/>
      <c r="D90" s="11"/>
      <c r="E90" s="11"/>
      <c r="F90" s="46"/>
    </row>
    <row r="91">
      <c r="A91" s="1197">
        <v>4.0</v>
      </c>
      <c r="B91" s="1345" t="str">
        <f>HYPERLINK("https://www.youtube.com/watch?v=NZ9KiFtbiMs","LEG EXTENSION")</f>
        <v>LEG EXTENSION</v>
      </c>
      <c r="C91" s="1346">
        <f>IF('WEEK 15'!F88&gt;=10,'WEEK 15'!C88,MROUND('WEEK 15'!C88*0.9,5))</f>
        <v>25</v>
      </c>
      <c r="D91" s="1347">
        <v>10.0</v>
      </c>
      <c r="E91" s="1187"/>
      <c r="F91" s="1133"/>
    </row>
    <row r="92">
      <c r="A92" s="1196"/>
      <c r="B92" s="1190" t="str">
        <f>HYPERLINK("https://www.youtube.com/watch?v=dVterVQksD4","LEG PRESS")</f>
        <v>LEG PRESS</v>
      </c>
      <c r="C92" s="1191">
        <f>IF('WEEK 15'!F89&gt;=10,'WEEK 15'!C89,MROUND('WEEK 15'!C89*0.9,5))</f>
        <v>85</v>
      </c>
      <c r="D92" s="1192">
        <v>30.0</v>
      </c>
      <c r="E92" s="1193"/>
      <c r="F92" s="1133"/>
    </row>
    <row r="93">
      <c r="A93" s="1194" t="s">
        <v>201</v>
      </c>
      <c r="B93" s="11"/>
      <c r="C93" s="11"/>
      <c r="D93" s="11"/>
      <c r="E93" s="11"/>
      <c r="F93" s="46"/>
    </row>
    <row r="94">
      <c r="A94" s="1383">
        <v>5.0</v>
      </c>
      <c r="B94" s="1345" t="str">
        <f>HYPERLINK("https://www.youtube.com/watch?v=NZ9KiFtbiMs","LEG EXTENSION")</f>
        <v>LEG EXTENSION</v>
      </c>
      <c r="C94" s="1346">
        <f>IF('WEEK 15'!F91&gt;=10,'WEEK 15'!C91,MROUND('WEEK 15'!C91*0.9,5))</f>
        <v>25</v>
      </c>
      <c r="D94" s="1347">
        <v>10.0</v>
      </c>
      <c r="E94" s="1187"/>
      <c r="F94" s="1133"/>
    </row>
    <row r="95">
      <c r="A95" s="1196"/>
      <c r="B95" s="1190" t="str">
        <f>HYPERLINK("https://www.youtube.com/watch?v=dVterVQksD4","LEG PRESS")</f>
        <v>LEG PRESS</v>
      </c>
      <c r="C95" s="1191">
        <f>IF('WEEK 15'!F92&gt;=10,'WEEK 15'!C92,MROUND('WEEK 15'!C92*0.9,5))</f>
        <v>75</v>
      </c>
      <c r="D95" s="1192">
        <v>30.0</v>
      </c>
      <c r="E95" s="1193"/>
      <c r="F95" s="1133"/>
    </row>
    <row r="96">
      <c r="A96" s="1194" t="s">
        <v>201</v>
      </c>
      <c r="B96" s="11"/>
      <c r="C96" s="11"/>
      <c r="D96" s="11"/>
      <c r="E96" s="11"/>
      <c r="F96" s="46"/>
    </row>
    <row r="97">
      <c r="A97" s="1383">
        <v>6.0</v>
      </c>
      <c r="B97" s="1345" t="str">
        <f>HYPERLINK("https://www.youtube.com/watch?v=NZ9KiFtbiMs","LEG EXTENSION")</f>
        <v>LEG EXTENSION</v>
      </c>
      <c r="C97" s="1346">
        <f>IF('WEEK 15'!F94&gt;=10,'WEEK 15'!C94,MROUND('WEEK 15'!C94*0.9,5))</f>
        <v>25</v>
      </c>
      <c r="D97" s="1347">
        <v>10.0</v>
      </c>
      <c r="E97" s="1187"/>
      <c r="F97" s="1133"/>
    </row>
    <row r="98">
      <c r="A98" s="985"/>
      <c r="B98" s="1190" t="str">
        <f>HYPERLINK("https://www.youtube.com/watch?v=dVterVQksD4","LEG PRESS")</f>
        <v>LEG PRESS</v>
      </c>
      <c r="C98" s="1191">
        <f>IF('WEEK 15'!F95&gt;=10,'WEEK 15'!C95,MROUND('WEEK 15'!C95*0.9,5))</f>
        <v>70</v>
      </c>
      <c r="D98" s="1192">
        <v>30.0</v>
      </c>
      <c r="E98" s="1193"/>
      <c r="F98" s="1133"/>
    </row>
    <row r="99">
      <c r="A99" s="1194" t="s">
        <v>201</v>
      </c>
      <c r="B99" s="11"/>
      <c r="C99" s="11"/>
      <c r="D99" s="11"/>
      <c r="E99" s="11"/>
      <c r="F99" s="46"/>
    </row>
    <row r="100">
      <c r="A100" s="1383">
        <v>7.0</v>
      </c>
      <c r="B100" s="1345" t="str">
        <f>HYPERLINK("https://www.youtube.com/watch?v=NZ9KiFtbiMs","LEG EXTENSION")</f>
        <v>LEG EXTENSION</v>
      </c>
      <c r="C100" s="1346">
        <f>IF('WEEK 15'!F97&gt;=10,'WEEK 15'!C97,MROUND('WEEK 15'!C97*0.9,5))</f>
        <v>25</v>
      </c>
      <c r="D100" s="1347">
        <v>10.0</v>
      </c>
      <c r="E100" s="1187"/>
      <c r="F100" s="1133"/>
    </row>
    <row r="101">
      <c r="A101" s="1196"/>
      <c r="B101" s="1190" t="str">
        <f>HYPERLINK("https://www.youtube.com/watch?v=dVterVQksD4","LEG PRESS")</f>
        <v>LEG PRESS</v>
      </c>
      <c r="C101" s="1191">
        <f>IF('WEEK 15'!F98&gt;=10,'WEEK 15'!C98,MROUND('WEEK 15'!C98*0.9,5))</f>
        <v>65</v>
      </c>
      <c r="D101" s="1192">
        <v>30.0</v>
      </c>
      <c r="E101" s="1193"/>
      <c r="F101" s="1133"/>
    </row>
    <row r="102">
      <c r="A102" s="1194" t="s">
        <v>201</v>
      </c>
      <c r="B102" s="11"/>
      <c r="C102" s="11"/>
      <c r="D102" s="11"/>
      <c r="E102" s="11"/>
      <c r="F102" s="46"/>
    </row>
    <row r="103">
      <c r="A103" s="1383">
        <v>8.0</v>
      </c>
      <c r="B103" s="1345" t="str">
        <f>HYPERLINK("https://www.youtube.com/watch?v=NZ9KiFtbiMs","LEG EXTENSION")</f>
        <v>LEG EXTENSION</v>
      </c>
      <c r="C103" s="1346">
        <f>IF('WEEK 15'!F100&gt;=10,'WEEK 15'!C100,MROUND('WEEK 15'!C100*0.9,5))</f>
        <v>25</v>
      </c>
      <c r="D103" s="1347">
        <v>10.0</v>
      </c>
      <c r="E103" s="1187"/>
      <c r="F103" s="1133"/>
    </row>
    <row r="104">
      <c r="A104" s="1196"/>
      <c r="B104" s="1190" t="str">
        <f>HYPERLINK("https://www.youtube.com/watch?v=dVterVQksD4","LEG PRESS")</f>
        <v>LEG PRESS</v>
      </c>
      <c r="C104" s="1191">
        <f>IF('WEEK 15'!F101&gt;=10,'WEEK 15'!C101,MROUND('WEEK 15'!C101*0.9,5))</f>
        <v>60</v>
      </c>
      <c r="D104" s="1192">
        <v>30.0</v>
      </c>
      <c r="E104" s="1193"/>
      <c r="F104" s="1133"/>
    </row>
    <row r="105">
      <c r="A105" s="1194" t="s">
        <v>201</v>
      </c>
      <c r="B105" s="11"/>
      <c r="C105" s="11"/>
      <c r="D105" s="11"/>
      <c r="E105" s="11"/>
      <c r="F105" s="46"/>
    </row>
    <row r="106">
      <c r="A106" s="1383">
        <v>9.0</v>
      </c>
      <c r="B106" s="1345" t="str">
        <f>HYPERLINK("https://www.youtube.com/watch?v=NZ9KiFtbiMs","LEG EXTENSION")</f>
        <v>LEG EXTENSION</v>
      </c>
      <c r="C106" s="1346">
        <f>IF('WEEK 15'!F103&gt;=10,'WEEK 15'!C103,MROUND('WEEK 15'!C103*0.9,5))</f>
        <v>25</v>
      </c>
      <c r="D106" s="1347">
        <v>10.0</v>
      </c>
      <c r="E106" s="1187"/>
      <c r="F106" s="1133"/>
    </row>
    <row r="107">
      <c r="A107" s="1196"/>
      <c r="B107" s="1190" t="str">
        <f>HYPERLINK("https://www.youtube.com/watch?v=dVterVQksD4","LEG PRESS")</f>
        <v>LEG PRESS</v>
      </c>
      <c r="C107" s="1191">
        <f>IF('WEEK 15'!F104&gt;=10,'WEEK 15'!C104,MROUND('WEEK 15'!C104*0.9,5))</f>
        <v>55</v>
      </c>
      <c r="D107" s="1192">
        <v>30.0</v>
      </c>
      <c r="E107" s="1193"/>
      <c r="F107" s="1133"/>
    </row>
    <row r="108">
      <c r="A108" s="1194" t="s">
        <v>201</v>
      </c>
      <c r="B108" s="11"/>
      <c r="C108" s="11"/>
      <c r="D108" s="11"/>
      <c r="E108" s="11"/>
      <c r="F108" s="46"/>
    </row>
    <row r="109">
      <c r="A109" s="1383">
        <v>10.0</v>
      </c>
      <c r="B109" s="1345" t="str">
        <f>HYPERLINK("https://www.youtube.com/watch?v=NZ9KiFtbiMs","LEG EXTENSION")</f>
        <v>LEG EXTENSION</v>
      </c>
      <c r="C109" s="1346">
        <f>IF('WEEK 15'!F106&gt;=10,'WEEK 15'!C106,MROUND('WEEK 15'!C106*0.9,5))</f>
        <v>25</v>
      </c>
      <c r="D109" s="1347">
        <v>10.0</v>
      </c>
      <c r="E109" s="1187"/>
      <c r="F109" s="1133"/>
    </row>
    <row r="110">
      <c r="A110" s="1196"/>
      <c r="B110" s="1190" t="str">
        <f>HYPERLINK("https://www.youtube.com/watch?v=dVterVQksD4","LEG PRESS")</f>
        <v>LEG PRESS</v>
      </c>
      <c r="C110" s="1191">
        <f>IF('WEEK 15'!F107&gt;=10,'WEEK 15'!C107,MROUND('WEEK 15'!C107*0.9,5))</f>
        <v>50</v>
      </c>
      <c r="D110" s="1192">
        <v>30.0</v>
      </c>
      <c r="E110" s="1193"/>
      <c r="F110" s="1133"/>
    </row>
    <row r="113">
      <c r="A113" s="581" t="str">
        <f>HYPERLINK("https://docs.google.com/a/fitnessresults.com/forms/d/e/1FAIpQLSd7MoczESe8Yjv6BKpmwAZGn9Aiymrs9-UdgfYIUpbr9t5NXg/viewform?usp=pp_url&amp;entry.93370101","CLICK TO COMPLETE WORKOUT")</f>
        <v>CLICK TO COMPLETE WORKOUT</v>
      </c>
      <c r="B113" s="25"/>
      <c r="C113" s="25"/>
      <c r="D113" s="25"/>
      <c r="E113" s="25"/>
      <c r="F113" s="26"/>
    </row>
    <row r="114">
      <c r="A114" s="336"/>
      <c r="B114" s="11"/>
      <c r="C114" s="11"/>
      <c r="D114" s="11"/>
      <c r="E114" s="11"/>
      <c r="F114" s="46"/>
    </row>
    <row r="117">
      <c r="A117" s="1120" t="s">
        <v>62</v>
      </c>
      <c r="B117" s="36"/>
      <c r="C117" s="36"/>
      <c r="D117" s="36"/>
      <c r="E117" s="36"/>
      <c r="F117" s="37"/>
    </row>
    <row r="120">
      <c r="A120" s="51" t="s">
        <v>131</v>
      </c>
      <c r="B120" s="36"/>
      <c r="C120" s="36"/>
      <c r="D120" s="36"/>
      <c r="E120" s="36"/>
      <c r="F120" s="37"/>
      <c r="G120" s="419"/>
      <c r="H120" s="51" t="s">
        <v>131</v>
      </c>
      <c r="I120" s="36"/>
      <c r="J120" s="36"/>
      <c r="K120" s="36"/>
      <c r="L120" s="36"/>
      <c r="M120" s="37"/>
    </row>
    <row r="121">
      <c r="A121" s="504" t="str">
        <f>HYPERLINK("https://youtu.be/rmxOkkd2hUk","1. SHOULDER PRESS")</f>
        <v>1. SHOULDER PRESS</v>
      </c>
      <c r="B121" s="53"/>
      <c r="C121" s="53"/>
      <c r="D121" s="53"/>
      <c r="E121" s="53"/>
      <c r="F121" s="54"/>
      <c r="G121" s="419"/>
      <c r="H121" s="778" t="str">
        <f>HYPERLINK("https://www.youtube.com/watch?v=-cSBPE-y38M","1. MACHINE SHOULDER PRESS")</f>
        <v>1. MACHINE SHOULDER PRESS</v>
      </c>
      <c r="I121" s="53"/>
      <c r="J121" s="53"/>
      <c r="K121" s="53"/>
      <c r="L121" s="53"/>
      <c r="M121" s="54"/>
    </row>
    <row r="122">
      <c r="A122" s="589" t="s">
        <v>119</v>
      </c>
      <c r="B122" s="227" t="str">
        <f>IF('WEEK 13'!B124="",'WEEK 12'!B100,'WEEK 13'!B124)</f>
        <v/>
      </c>
      <c r="C122" s="20"/>
      <c r="D122" s="20"/>
      <c r="E122" s="20"/>
      <c r="F122" s="95"/>
      <c r="G122" s="419"/>
      <c r="H122" s="589" t="s">
        <v>119</v>
      </c>
      <c r="I122" s="227">
        <f>IF('WEEK 13'!I124="",'WEEK 12'!I100,'WEEK 13'!I124)</f>
        <v>105</v>
      </c>
      <c r="J122" s="20"/>
      <c r="K122" s="20"/>
      <c r="L122" s="20"/>
      <c r="M122" s="95"/>
    </row>
    <row r="123">
      <c r="A123" s="364" t="s">
        <v>50</v>
      </c>
      <c r="B123" s="365" t="s">
        <v>51</v>
      </c>
      <c r="C123" s="365" t="s">
        <v>52</v>
      </c>
      <c r="D123" s="365" t="s">
        <v>53</v>
      </c>
      <c r="E123" s="609" t="s">
        <v>54</v>
      </c>
      <c r="F123" s="61" t="s">
        <v>55</v>
      </c>
      <c r="G123" s="724"/>
      <c r="H123" s="364" t="s">
        <v>50</v>
      </c>
      <c r="I123" s="365" t="s">
        <v>51</v>
      </c>
      <c r="J123" s="365" t="s">
        <v>52</v>
      </c>
      <c r="K123" s="365" t="s">
        <v>53</v>
      </c>
      <c r="L123" s="609" t="s">
        <v>54</v>
      </c>
      <c r="M123" s="61" t="s">
        <v>55</v>
      </c>
    </row>
    <row r="124">
      <c r="A124" s="236">
        <v>1.0</v>
      </c>
      <c r="B124" s="237">
        <f>mround('WEEK 15'!B122*0.35,5)</f>
        <v>0</v>
      </c>
      <c r="C124" s="237">
        <v>6.0</v>
      </c>
      <c r="D124" s="238" t="s">
        <v>120</v>
      </c>
      <c r="E124" s="66" t="str">
        <f>IF('WEEK 15'!B124='WEEK 12'!B102,'WEEK 12'!F102,"")</f>
        <v/>
      </c>
      <c r="F124" s="67"/>
      <c r="G124" s="728"/>
      <c r="H124" s="236">
        <v>1.0</v>
      </c>
      <c r="I124" s="237">
        <f>mround('WEEK 15'!I122*0.35,5)</f>
        <v>35</v>
      </c>
      <c r="J124" s="237">
        <v>6.0</v>
      </c>
      <c r="K124" s="238" t="s">
        <v>120</v>
      </c>
      <c r="L124" s="66" t="str">
        <f>IF('WEEK 15'!I124='WEEK 12'!I102,'WEEK 12'!M102,"")</f>
        <v/>
      </c>
      <c r="M124" s="67"/>
    </row>
    <row r="125">
      <c r="A125" s="236">
        <v>2.0</v>
      </c>
      <c r="B125" s="237">
        <f>mround('WEEK 15'!B122*0.65,5)</f>
        <v>0</v>
      </c>
      <c r="C125" s="237">
        <v>1.0</v>
      </c>
      <c r="D125" s="238" t="s">
        <v>57</v>
      </c>
      <c r="E125" s="66" t="str">
        <f>IF('WEEK 15'!B125='WEEK 12'!B103,'WEEK 12'!F103,"")</f>
        <v/>
      </c>
      <c r="F125" s="67"/>
      <c r="G125" s="728"/>
      <c r="H125" s="236">
        <v>2.0</v>
      </c>
      <c r="I125" s="237">
        <f>mround('WEEK 15'!I122*0.65,5)</f>
        <v>70</v>
      </c>
      <c r="J125" s="237">
        <v>1.0</v>
      </c>
      <c r="K125" s="238" t="s">
        <v>57</v>
      </c>
      <c r="L125" s="66" t="str">
        <f>IF('WEEK 15'!I125='WEEK 12'!I103,'WEEK 12'!M103,"")</f>
        <v/>
      </c>
      <c r="M125" s="67"/>
    </row>
    <row r="126">
      <c r="A126" s="779">
        <v>3.0</v>
      </c>
      <c r="B126" s="780">
        <f> mround('WEEK 15'!B122*0.9,5)</f>
        <v>0</v>
      </c>
      <c r="C126" s="781" t="s">
        <v>65</v>
      </c>
      <c r="D126" s="782" t="s">
        <v>57</v>
      </c>
      <c r="E126" s="66" t="str">
        <f>IF('WEEK 15'!B126='WEEK 12'!B104,'WEEK 12'!F104,"")</f>
        <v/>
      </c>
      <c r="F126" s="784"/>
      <c r="G126" s="728"/>
      <c r="H126" s="779">
        <v>3.0</v>
      </c>
      <c r="I126" s="780">
        <f> mround('WEEK 15'!I122*0.9,5)</f>
        <v>95</v>
      </c>
      <c r="J126" s="781" t="s">
        <v>65</v>
      </c>
      <c r="K126" s="782" t="s">
        <v>57</v>
      </c>
      <c r="L126" s="66" t="str">
        <f>IF('WEEK 15'!I126='WEEK 12'!I104,'WEEK 12'!M104,"")</f>
        <v/>
      </c>
      <c r="M126" s="784"/>
    </row>
    <row r="127">
      <c r="A127" s="785">
        <v>4.0</v>
      </c>
      <c r="B127" s="388">
        <f>if('WEEK 15'!F126&lt;20,mround('WEEK 15'!B126*0.85,5),'WEEK 15'!B126)</f>
        <v>0</v>
      </c>
      <c r="C127" s="781" t="s">
        <v>65</v>
      </c>
      <c r="D127" s="390" t="s">
        <v>57</v>
      </c>
      <c r="E127" s="66" t="str">
        <f>IF('WEEK 15'!B127='WEEK 12'!B105,'WEEK 12'!F105,"")</f>
        <v/>
      </c>
      <c r="F127" s="392"/>
      <c r="G127" s="728"/>
      <c r="H127" s="785">
        <v>4.0</v>
      </c>
      <c r="I127" s="388">
        <f>if('WEEK 15'!M126&lt;20,mround('WEEK 15'!I126*0.85,5),'WEEK 15'!I126)</f>
        <v>80</v>
      </c>
      <c r="J127" s="781" t="s">
        <v>65</v>
      </c>
      <c r="K127" s="390" t="s">
        <v>57</v>
      </c>
      <c r="L127" s="66" t="str">
        <f>IF('WEEK 15'!I127='WEEK 12'!I105,'WEEK 12'!M105,"")</f>
        <v/>
      </c>
      <c r="M127" s="392"/>
    </row>
    <row r="128">
      <c r="A128" s="787">
        <v>5.0</v>
      </c>
      <c r="B128" s="788">
        <f>if('WEEK 15'!F127&lt;20,mround('WEEK 15'!B127*0.85,2.5),'WEEK 15'!B127)</f>
        <v>0</v>
      </c>
      <c r="C128" s="789" t="s">
        <v>65</v>
      </c>
      <c r="D128" s="397" t="s">
        <v>57</v>
      </c>
      <c r="E128" s="66" t="str">
        <f>IF('WEEK 15'!B128='WEEK 12'!B106,'WEEK 12'!F106,"")</f>
        <v/>
      </c>
      <c r="F128" s="392"/>
      <c r="G128" s="724"/>
      <c r="H128" s="787">
        <v>5.0</v>
      </c>
      <c r="I128" s="788">
        <f>if('WEEK 15'!M127&lt;20,mround('WEEK 15'!I127*0.85,10),'WEEK 15'!I127)</f>
        <v>70</v>
      </c>
      <c r="J128" s="789" t="s">
        <v>65</v>
      </c>
      <c r="K128" s="397" t="s">
        <v>57</v>
      </c>
      <c r="L128" s="66" t="str">
        <f>IF('WEEK 15'!I128='WEEK 12'!I106,'WEEK 12'!M106,"")</f>
        <v/>
      </c>
      <c r="M128" s="392"/>
    </row>
    <row r="131">
      <c r="A131" s="1217" t="str">
        <f>HYPERLINK("https://www.youtube.com/watch?v=XDLQt1j3qUU","2. DUMBBELL REAR DELT FLY ")</f>
        <v>2. DUMBBELL REAR DELT FLY </v>
      </c>
      <c r="B131" s="53"/>
      <c r="C131" s="53"/>
      <c r="D131" s="53"/>
      <c r="E131" s="53"/>
      <c r="F131" s="54"/>
    </row>
    <row r="132">
      <c r="A132" s="1268" t="s">
        <v>134</v>
      </c>
      <c r="B132" s="76">
        <f>mround('WEEK 14'!B124,2.5)</f>
        <v>0</v>
      </c>
      <c r="C132" s="13"/>
      <c r="D132" s="13"/>
      <c r="E132" s="13"/>
      <c r="F132" s="57"/>
    </row>
    <row r="133">
      <c r="A133" s="962" t="s">
        <v>50</v>
      </c>
      <c r="B133" s="963" t="s">
        <v>51</v>
      </c>
      <c r="C133" s="963" t="s">
        <v>52</v>
      </c>
      <c r="D133" s="963" t="s">
        <v>53</v>
      </c>
      <c r="E133" s="1005" t="s">
        <v>54</v>
      </c>
      <c r="F133" s="1006" t="s">
        <v>55</v>
      </c>
    </row>
    <row r="134">
      <c r="A134" s="967">
        <v>1.0</v>
      </c>
      <c r="B134" s="1028">
        <f>MROUND('WEEK 15'!B132*0.2*0.9,2.5)</f>
        <v>0</v>
      </c>
      <c r="C134" s="1067" t="s">
        <v>249</v>
      </c>
      <c r="D134" s="1384" t="s">
        <v>127</v>
      </c>
      <c r="E134" s="66" t="str">
        <f>IF('WEEK 15'!B134='WEEK 14'!B126,'WEEK 14'!F126,"")</f>
        <v/>
      </c>
      <c r="F134" s="1017"/>
    </row>
    <row r="135">
      <c r="A135" s="967">
        <v>2.0</v>
      </c>
      <c r="B135" s="1028">
        <f>if('WEEK 15'!F134&lt;10,mround('WEEK 15'!B134*0.8,2.5),IF('WEEK 15'!F134&lt;15,MROUND('WEEK 15'!B134*0.95,2.5),'WEEK 15'!B134))</f>
        <v>0</v>
      </c>
      <c r="C135" s="1067" t="s">
        <v>249</v>
      </c>
      <c r="D135" s="1384" t="s">
        <v>127</v>
      </c>
      <c r="E135" s="66" t="str">
        <f>IF('WEEK 15'!B135='WEEK 14'!B127,'WEEK 14'!F127,"")</f>
        <v/>
      </c>
      <c r="F135" s="1017"/>
    </row>
    <row r="136">
      <c r="A136" s="971">
        <v>3.0</v>
      </c>
      <c r="B136" s="1123">
        <f>if('WEEK 15'!F135&lt;10,mround('WEEK 15'!B135*0.8,2.5),IF('WEEK 15'!F135&lt;15,MROUND('WEEK 15'!B135*0.95,2.5),'WEEK 15'!B135))</f>
        <v>0</v>
      </c>
      <c r="C136" s="1067" t="s">
        <v>249</v>
      </c>
      <c r="D136" s="1384" t="s">
        <v>127</v>
      </c>
      <c r="E136" s="66" t="str">
        <f>IF('WEEK 15'!B136='WEEK 14'!B128,'WEEK 14'!F128,"")</f>
        <v/>
      </c>
      <c r="F136" s="1017"/>
    </row>
    <row r="139">
      <c r="A139" s="1217" t="str">
        <f>HYPERLINK("https://youtu.be/QUNZvtb6mnY","3. DUMBBELL SIDE LATERAL RAISE")</f>
        <v>3. DUMBBELL SIDE LATERAL RAISE</v>
      </c>
      <c r="B139" s="53"/>
      <c r="C139" s="53"/>
      <c r="D139" s="53"/>
      <c r="E139" s="53"/>
      <c r="F139" s="54"/>
    </row>
    <row r="140">
      <c r="A140" s="1268" t="s">
        <v>134</v>
      </c>
      <c r="B140" s="76" t="str">
        <f>'WEEK 15'!B122</f>
        <v/>
      </c>
      <c r="C140" s="13"/>
      <c r="D140" s="13"/>
      <c r="E140" s="13"/>
      <c r="F140" s="57"/>
    </row>
    <row r="141">
      <c r="A141" s="1071" t="s">
        <v>50</v>
      </c>
      <c r="B141" s="1072" t="s">
        <v>51</v>
      </c>
      <c r="C141" s="1072" t="s">
        <v>52</v>
      </c>
      <c r="D141" s="1072" t="s">
        <v>53</v>
      </c>
      <c r="E141" s="1073" t="s">
        <v>54</v>
      </c>
      <c r="F141" s="1006" t="s">
        <v>55</v>
      </c>
    </row>
    <row r="142">
      <c r="A142" s="1074">
        <v>1.0</v>
      </c>
      <c r="B142" s="968">
        <f> mround('WEEK 15'!B140*0.2*0.9,5)</f>
        <v>0</v>
      </c>
      <c r="C142" s="1075" t="s">
        <v>61</v>
      </c>
      <c r="D142" s="1384" t="s">
        <v>127</v>
      </c>
      <c r="E142" s="84" t="str">
        <f>IF('WEEK 14'!B134='WEEK 15'!B142,'WEEK 14'!F134,"")</f>
        <v/>
      </c>
      <c r="F142" s="1017"/>
    </row>
    <row r="143">
      <c r="A143" s="1074">
        <v>2.0</v>
      </c>
      <c r="B143" s="968">
        <f>if('WEEK 15'!F142&lt;15,mround('WEEK 15'!B140*0.15,2.5),'WEEK 15'!B142)</f>
        <v>0</v>
      </c>
      <c r="C143" s="1075" t="s">
        <v>61</v>
      </c>
      <c r="D143" s="1384" t="s">
        <v>127</v>
      </c>
      <c r="E143" s="84" t="str">
        <f>IF('WEEK 14'!B135='WEEK 15'!B143,'WEEK 14'!F135,"")</f>
        <v/>
      </c>
      <c r="F143" s="1017"/>
    </row>
    <row r="144">
      <c r="A144" s="1078">
        <v>3.0</v>
      </c>
      <c r="B144" s="972">
        <f>if('WEEK 15'!F143&lt;15,mround('WEEK 15'!B140*0.1,2.5),'WEEK 15'!B143)</f>
        <v>0</v>
      </c>
      <c r="C144" s="1079" t="s">
        <v>61</v>
      </c>
      <c r="D144" s="1384" t="s">
        <v>127</v>
      </c>
      <c r="E144" s="84" t="str">
        <f>IF('WEEK 14'!B136='WEEK 15'!B144,'WEEK 14'!F136,"")</f>
        <v/>
      </c>
      <c r="F144" s="1017"/>
    </row>
    <row r="147">
      <c r="A147" s="361" t="str">
        <f>HYPERLINK("https://www.youtube.com/watch?v=Zt0LwrUdpNs","4.  TRICEP OVERHEAD ROPE EXTENSION")</f>
        <v>4.  TRICEP OVERHEAD ROPE EXTENSION</v>
      </c>
      <c r="B147" s="53"/>
      <c r="C147" s="53"/>
      <c r="D147" s="53"/>
      <c r="E147" s="53"/>
      <c r="F147" s="54"/>
    </row>
    <row r="148">
      <c r="A148" s="226" t="s">
        <v>119</v>
      </c>
      <c r="B148" s="839">
        <f>IF('WEEK 13'!B146='WEEK 13'!B148,'WEEK 13'!B146,IF('WEEK 13'!F146&lt;=15,MROUND('WEEK 13'!B144*0.9,5),'WEEK 13'!B146))</f>
        <v>10</v>
      </c>
      <c r="F148" s="28"/>
    </row>
    <row r="149">
      <c r="A149" s="77" t="s">
        <v>50</v>
      </c>
      <c r="B149" s="78" t="s">
        <v>51</v>
      </c>
      <c r="C149" s="78" t="s">
        <v>52</v>
      </c>
      <c r="D149" s="78" t="s">
        <v>53</v>
      </c>
      <c r="E149" s="80" t="s">
        <v>54</v>
      </c>
      <c r="F149" s="1003" t="s">
        <v>55</v>
      </c>
    </row>
    <row r="150">
      <c r="A150" s="81">
        <v>1.0</v>
      </c>
      <c r="B150" s="82">
        <f>'WEEK 15'!B148</f>
        <v>10</v>
      </c>
      <c r="C150" s="65" t="s">
        <v>61</v>
      </c>
      <c r="D150" s="1384" t="s">
        <v>127</v>
      </c>
      <c r="E150" s="84">
        <f>IF('WEEK 15'!B150='WEEK 13'!B146,'WEEK 13'!F146,"")</f>
        <v>15</v>
      </c>
      <c r="F150" s="85"/>
    </row>
    <row r="151">
      <c r="A151" s="81">
        <v>2.0</v>
      </c>
      <c r="B151" s="82">
        <f>if('WEEK 15'!F150&lt;6,mround('WEEK 15'!B150*0.8,5),IF('WEEK 15'!F150&lt;=14,MROUND('WEEK 15'!B150*0.95,5),'WEEK 15'!B150))</f>
        <v>10</v>
      </c>
      <c r="C151" s="65" t="s">
        <v>61</v>
      </c>
      <c r="D151" s="1384" t="s">
        <v>127</v>
      </c>
      <c r="E151" s="84">
        <f>IF('WEEK 15'!B151='WEEK 13'!B147,'WEEK 13'!F147,"")</f>
        <v>15</v>
      </c>
      <c r="F151" s="85"/>
    </row>
    <row r="152">
      <c r="A152" s="86">
        <v>3.0</v>
      </c>
      <c r="B152" s="87">
        <f>if('WEEK 15'!F151&lt;6,mround('WEEK 15'!B151*0.8,5),IF('WEEK 15'!F151&lt;=14,MROUND('WEEK 15'!B151*0.95,5),'WEEK 15'!B151))</f>
        <v>10</v>
      </c>
      <c r="C152" s="65" t="s">
        <v>61</v>
      </c>
      <c r="D152" s="1384" t="s">
        <v>127</v>
      </c>
      <c r="E152" s="84">
        <f>IF('WEEK 15'!B152='WEEK 13'!B148,'WEEK 13'!F148,"")</f>
        <v>15</v>
      </c>
      <c r="F152" s="85"/>
    </row>
    <row r="155">
      <c r="A155" s="1217" t="str">
        <f>HYPERLINK("https://youtu.be/TorWpKwLCSg","5. ALTERNATING DUMBBELL BICEP CURLS")</f>
        <v>5. ALTERNATING DUMBBELL BICEP CURLS</v>
      </c>
      <c r="B155" s="53"/>
      <c r="C155" s="53"/>
      <c r="D155" s="53"/>
      <c r="E155" s="53"/>
      <c r="F155" s="54"/>
    </row>
    <row r="156">
      <c r="A156" s="961" t="s">
        <v>119</v>
      </c>
      <c r="B156" s="839">
        <f>IF('WEEK 12'!B136='WEEK 12'!B138,'WEEK 12'!B136,IF('WEEK 12'!F136&lt;=15,MROUND('WEEK 12'!B134*0.9,5),'WEEK 12'!B136))</f>
        <v>35</v>
      </c>
      <c r="F156" s="28"/>
    </row>
    <row r="157">
      <c r="A157" s="962" t="s">
        <v>50</v>
      </c>
      <c r="B157" s="963" t="s">
        <v>51</v>
      </c>
      <c r="C157" s="963" t="s">
        <v>52</v>
      </c>
      <c r="D157" s="963" t="s">
        <v>53</v>
      </c>
      <c r="E157" s="1073" t="s">
        <v>54</v>
      </c>
      <c r="F157" s="1006" t="s">
        <v>55</v>
      </c>
    </row>
    <row r="158">
      <c r="A158" s="967">
        <v>1.0</v>
      </c>
      <c r="B158" s="968">
        <f> mround('WEEK 15'!B156*0.9,5)</f>
        <v>30</v>
      </c>
      <c r="C158" s="1067" t="s">
        <v>61</v>
      </c>
      <c r="D158" s="1076" t="s">
        <v>57</v>
      </c>
      <c r="E158" s="1235" t="str">
        <f>if('WEEK 15'!B158='WEEK 12'!B136,'WEEK 12'!F136,"")</f>
        <v/>
      </c>
      <c r="F158" s="984">
        <v>10.0</v>
      </c>
    </row>
    <row r="159">
      <c r="A159" s="967">
        <v>2.0</v>
      </c>
      <c r="B159" s="968">
        <f>if('WEEK 15'!F158&lt;10,mround('WEEK 15'!B156*0.35,5),'WEEK 15'!B158)</f>
        <v>10</v>
      </c>
      <c r="C159" s="1067" t="s">
        <v>61</v>
      </c>
      <c r="D159" s="1076" t="s">
        <v>57</v>
      </c>
      <c r="E159" s="1235" t="str">
        <f>if('WEEK 15'!B159='WEEK 12'!B137,'WEEK 12'!F137,"")</f>
        <v/>
      </c>
      <c r="F159" s="984">
        <v>10.0</v>
      </c>
    </row>
    <row r="160">
      <c r="A160" s="971">
        <v>3.0</v>
      </c>
      <c r="B160" s="972">
        <f>if('WEEK 15'!F159&lt;10,mround('WEEK 15'!B159*0.75,5),'WEEK 15'!B159)</f>
        <v>10</v>
      </c>
      <c r="C160" s="1220" t="s">
        <v>61</v>
      </c>
      <c r="D160" s="1080" t="s">
        <v>57</v>
      </c>
      <c r="E160" s="1235" t="str">
        <f>if('WEEK 15'!B160='WEEK 12'!B138,'WEEK 12'!F138,"")</f>
        <v/>
      </c>
      <c r="F160" s="984">
        <v>5.0</v>
      </c>
    </row>
    <row r="163">
      <c r="A163" s="1149" t="s">
        <v>135</v>
      </c>
      <c r="B163" s="36"/>
      <c r="C163" s="36"/>
      <c r="D163" s="36"/>
      <c r="E163" s="36"/>
      <c r="F163" s="37"/>
    </row>
    <row r="164">
      <c r="A164" s="623"/>
      <c r="B164" s="623"/>
      <c r="C164" s="623"/>
      <c r="D164" s="623"/>
      <c r="E164" s="1274"/>
      <c r="F164" s="623"/>
    </row>
    <row r="165">
      <c r="A165" s="1275" t="str">
        <f>HYPERLINK("https://www.amazon.com/30-Minute-Body-Investment-Champion/dp/0692791892/ref=sr_1_1?ie=UTF8&amp;qid=1490447969&amp;sr=8-1&amp;keywords=30+minute+body","WANT TO LEARN MORE?")</f>
        <v>WANT TO LEARN MORE?</v>
      </c>
      <c r="B165" s="25"/>
      <c r="C165" s="25"/>
      <c r="D165" s="25"/>
      <c r="E165" s="25"/>
      <c r="F165" s="26"/>
    </row>
    <row r="166">
      <c r="A166" s="529"/>
      <c r="F166" s="28"/>
    </row>
    <row r="167">
      <c r="A167" s="1276"/>
      <c r="B167" s="999"/>
      <c r="C167" s="1150" t="s">
        <v>67</v>
      </c>
      <c r="F167" s="28"/>
    </row>
    <row r="168">
      <c r="A168" s="1276"/>
      <c r="B168" s="999"/>
      <c r="F168" s="28"/>
    </row>
    <row r="169">
      <c r="A169" s="1276"/>
      <c r="B169" s="999"/>
      <c r="F169" s="28"/>
    </row>
    <row r="170">
      <c r="A170" s="1276"/>
      <c r="B170" s="999"/>
      <c r="F170" s="28"/>
    </row>
    <row r="171">
      <c r="A171" s="1276"/>
      <c r="B171" s="999"/>
      <c r="F171" s="28"/>
    </row>
    <row r="172">
      <c r="A172" s="1276"/>
      <c r="B172" s="999"/>
      <c r="F172" s="28"/>
    </row>
    <row r="173">
      <c r="A173" s="1277"/>
      <c r="B173" s="999"/>
      <c r="F173" s="28"/>
    </row>
    <row r="174">
      <c r="A174" s="1276"/>
      <c r="B174" s="999"/>
      <c r="F174" s="28"/>
    </row>
    <row r="175">
      <c r="A175" s="1276"/>
      <c r="B175" s="999"/>
      <c r="F175" s="28"/>
    </row>
    <row r="176">
      <c r="A176" s="1278"/>
      <c r="B176" s="999"/>
      <c r="F176" s="28"/>
    </row>
    <row r="177">
      <c r="A177" s="1276"/>
      <c r="B177" s="999"/>
      <c r="F177" s="28"/>
    </row>
    <row r="178">
      <c r="A178" s="1276"/>
      <c r="B178" s="999"/>
      <c r="F178" s="28"/>
    </row>
    <row r="179">
      <c r="A179" s="1276"/>
      <c r="B179" s="999"/>
      <c r="F179" s="28"/>
    </row>
    <row r="180">
      <c r="A180" s="1276"/>
      <c r="B180" s="999"/>
      <c r="F180" s="28"/>
    </row>
    <row r="181">
      <c r="A181" s="1279"/>
      <c r="B181" s="1280"/>
      <c r="C181" s="11"/>
      <c r="D181" s="11"/>
      <c r="E181" s="11"/>
      <c r="F181" s="46"/>
    </row>
  </sheetData>
  <mergeCells count="87">
    <mergeCell ref="H16:M16"/>
    <mergeCell ref="A17:N18"/>
    <mergeCell ref="A19:F19"/>
    <mergeCell ref="H19:M19"/>
    <mergeCell ref="A9:F9"/>
    <mergeCell ref="H9:M9"/>
    <mergeCell ref="A10:F11"/>
    <mergeCell ref="H10:M10"/>
    <mergeCell ref="A12:F12"/>
    <mergeCell ref="A13:F13"/>
    <mergeCell ref="H15:M15"/>
    <mergeCell ref="B21:F21"/>
    <mergeCell ref="A27:F27"/>
    <mergeCell ref="G27:G28"/>
    <mergeCell ref="H27:M27"/>
    <mergeCell ref="G19:G26"/>
    <mergeCell ref="G29:G31"/>
    <mergeCell ref="G38:G39"/>
    <mergeCell ref="A29:F29"/>
    <mergeCell ref="B34:F34"/>
    <mergeCell ref="A15:F15"/>
    <mergeCell ref="A16:F16"/>
    <mergeCell ref="N19:N31"/>
    <mergeCell ref="A20:F20"/>
    <mergeCell ref="H20:M20"/>
    <mergeCell ref="I21:M21"/>
    <mergeCell ref="H29:M29"/>
    <mergeCell ref="B148:F148"/>
    <mergeCell ref="A155:F155"/>
    <mergeCell ref="B156:F156"/>
    <mergeCell ref="A163:F163"/>
    <mergeCell ref="A165:F166"/>
    <mergeCell ref="C167:F181"/>
    <mergeCell ref="A121:F121"/>
    <mergeCell ref="B122:F122"/>
    <mergeCell ref="A131:F131"/>
    <mergeCell ref="B132:F132"/>
    <mergeCell ref="A139:F139"/>
    <mergeCell ref="B140:F140"/>
    <mergeCell ref="A147:F147"/>
    <mergeCell ref="I34:M34"/>
    <mergeCell ref="A35:N36"/>
    <mergeCell ref="A37:F37"/>
    <mergeCell ref="H37:M37"/>
    <mergeCell ref="B38:F38"/>
    <mergeCell ref="I38:M38"/>
    <mergeCell ref="N38:N41"/>
    <mergeCell ref="G40:G41"/>
    <mergeCell ref="A44:F44"/>
    <mergeCell ref="B45:F45"/>
    <mergeCell ref="A51:F51"/>
    <mergeCell ref="A54:F54"/>
    <mergeCell ref="B57:F57"/>
    <mergeCell ref="A59:F59"/>
    <mergeCell ref="B60:F60"/>
    <mergeCell ref="A67:F67"/>
    <mergeCell ref="B68:F68"/>
    <mergeCell ref="A74:F74"/>
    <mergeCell ref="A76:F76"/>
    <mergeCell ref="A79:F79"/>
    <mergeCell ref="D80:F80"/>
    <mergeCell ref="B80:C80"/>
    <mergeCell ref="A82:A83"/>
    <mergeCell ref="A84:F84"/>
    <mergeCell ref="A85:A86"/>
    <mergeCell ref="A87:F87"/>
    <mergeCell ref="A88:A89"/>
    <mergeCell ref="A90:F90"/>
    <mergeCell ref="A100:A101"/>
    <mergeCell ref="A103:A104"/>
    <mergeCell ref="A106:A107"/>
    <mergeCell ref="A109:A110"/>
    <mergeCell ref="A91:A92"/>
    <mergeCell ref="A93:F93"/>
    <mergeCell ref="A94:A95"/>
    <mergeCell ref="A96:F96"/>
    <mergeCell ref="A97:A98"/>
    <mergeCell ref="A99:F99"/>
    <mergeCell ref="A102:F102"/>
    <mergeCell ref="A105:F105"/>
    <mergeCell ref="A108:F108"/>
    <mergeCell ref="A113:F114"/>
    <mergeCell ref="A117:F117"/>
    <mergeCell ref="A120:F120"/>
    <mergeCell ref="H120:M120"/>
    <mergeCell ref="H121:M121"/>
    <mergeCell ref="I122:M122"/>
  </mergeCells>
  <dataValidations>
    <dataValidation type="decimal" operator="greaterThanOrEqual" allowBlank="1" showDropDown="1" showErrorMessage="1" sqref="M12:M14 F22:F26 F39:F41">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14">
      <formula1>0.0</formula1>
    </dataValidation>
  </dataValidations>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'MSW15'!A1</f>
        <v/>
      </c>
    </row>
    <row r="8">
      <c r="A8" s="11"/>
      <c r="B8" s="11"/>
      <c r="C8" s="11"/>
      <c r="D8" s="11"/>
      <c r="E8" s="11"/>
      <c r="F8" s="11"/>
      <c r="G8" s="11"/>
      <c r="H8" s="11"/>
      <c r="I8" s="11"/>
      <c r="J8" s="11"/>
      <c r="K8" s="11"/>
      <c r="L8" s="11"/>
      <c r="M8" s="11"/>
    </row>
    <row r="9">
      <c r="A9" s="12" t="str">
        <f>'MSW15'!A9</f>
        <v>Week 15</v>
      </c>
      <c r="B9" s="13"/>
      <c r="C9" s="13"/>
      <c r="D9" s="13"/>
      <c r="E9" s="13"/>
      <c r="F9" s="14"/>
      <c r="G9" s="103" t="str">
        <f>'MSW15'!G9</f>
        <v/>
      </c>
      <c r="H9" s="24" t="s">
        <v>35</v>
      </c>
      <c r="I9" s="25"/>
      <c r="J9" s="25"/>
      <c r="K9" s="25"/>
      <c r="L9" s="25"/>
      <c r="M9" s="26"/>
    </row>
    <row r="10">
      <c r="A10" s="15" t="str">
        <f>'MSW15'!A10</f>
        <v>PRESS TO RECORD BODY WEIGHT</v>
      </c>
      <c r="B10" s="16"/>
      <c r="C10" s="16"/>
      <c r="D10" s="16"/>
      <c r="E10" s="16"/>
      <c r="F10" s="17"/>
      <c r="H10" s="27" t="s">
        <v>250</v>
      </c>
      <c r="M10" s="28"/>
    </row>
    <row r="11">
      <c r="A11" s="18"/>
      <c r="B11" s="13"/>
      <c r="C11" s="13"/>
      <c r="D11" s="13"/>
      <c r="E11" s="13"/>
      <c r="F11" s="14"/>
      <c r="H11" s="29" t="s">
        <v>251</v>
      </c>
      <c r="I11" s="30"/>
      <c r="J11" s="30"/>
      <c r="K11" s="30"/>
      <c r="L11" s="30"/>
      <c r="M11" s="31"/>
    </row>
    <row r="12">
      <c r="A12" s="19" t="str">
        <f>'MSW15'!A12</f>
        <v>This Weeks Goals</v>
      </c>
      <c r="B12" s="20"/>
      <c r="C12" s="20"/>
      <c r="D12" s="20"/>
      <c r="E12" s="20"/>
      <c r="F12" s="21"/>
      <c r="H12" s="219" t="str">
        <f>'MSW15'!H12</f>
        <v/>
      </c>
    </row>
    <row r="13">
      <c r="A13" s="22" t="str">
        <f>'MSW15'!A13</f>
        <v>Working hard this week establishing new maxes in a few areas. Give it everything you've got. Pay close attention to rest times and rep counts. </v>
      </c>
      <c r="B13" s="20"/>
      <c r="C13" s="20"/>
      <c r="D13" s="20"/>
      <c r="E13" s="20"/>
      <c r="F13" s="21"/>
    </row>
    <row r="14">
      <c r="A14" s="219" t="str">
        <f>'MSW15'!A14</f>
        <v/>
      </c>
    </row>
    <row r="16">
      <c r="A16" s="50" t="str">
        <f>'MSW15'!A16</f>
        <v>DAY 1</v>
      </c>
      <c r="B16" s="36"/>
      <c r="C16" s="36"/>
      <c r="D16" s="36"/>
      <c r="E16" s="36"/>
      <c r="F16" s="37"/>
      <c r="H16" s="50" t="str">
        <f>'MSW15'!H16</f>
        <v>ALTERNATE WORKOUTS</v>
      </c>
      <c r="I16" s="36"/>
      <c r="J16" s="36"/>
      <c r="K16" s="36"/>
      <c r="L16" s="36"/>
      <c r="M16" s="37"/>
    </row>
    <row r="17">
      <c r="A17" s="657" t="str">
        <f>'MSW15'!A17</f>
        <v/>
      </c>
    </row>
    <row r="19">
      <c r="A19" s="1344" t="str">
        <f>'MSW15'!A19</f>
        <v>CHEST &amp; BACK </v>
      </c>
      <c r="B19" s="36"/>
      <c r="C19" s="36"/>
      <c r="D19" s="36"/>
      <c r="E19" s="36"/>
      <c r="F19" s="37"/>
      <c r="G19" s="141" t="str">
        <f>'MSW15'!G19</f>
        <v/>
      </c>
      <c r="H19" s="51" t="str">
        <f>'MSW15'!H19</f>
        <v>CHEST &amp; BACK </v>
      </c>
      <c r="I19" s="36"/>
      <c r="J19" s="36"/>
      <c r="K19" s="36"/>
      <c r="L19" s="36"/>
      <c r="M19" s="37"/>
    </row>
    <row r="20">
      <c r="A20" s="52" t="str">
        <f>'MSW15'!A20</f>
        <v>1. DUMBBELL INCLINE PRESS</v>
      </c>
      <c r="B20" s="53"/>
      <c r="C20" s="53"/>
      <c r="D20" s="53"/>
      <c r="E20" s="53"/>
      <c r="F20" s="54"/>
      <c r="H20" s="52" t="str">
        <f>'MSW15'!H20</f>
        <v>1. MACHINE PRESS</v>
      </c>
      <c r="I20" s="53"/>
      <c r="J20" s="53"/>
      <c r="K20" s="53"/>
      <c r="L20" s="53"/>
      <c r="M20" s="54"/>
    </row>
    <row r="21">
      <c r="A21" s="228" t="str">
        <f>'MSW15'!A21</f>
        <v>CURRENT MAX</v>
      </c>
      <c r="B21" s="229" t="str">
        <f>'MSW15'!B21</f>
        <v/>
      </c>
      <c r="C21" s="16"/>
      <c r="D21" s="16"/>
      <c r="E21" s="16"/>
      <c r="F21" s="230"/>
      <c r="H21" s="228" t="str">
        <f>'MSW15'!H21</f>
        <v>CURRENT MAX</v>
      </c>
      <c r="I21" s="229" t="str">
        <f>'MSW15'!I21</f>
        <v/>
      </c>
      <c r="J21" s="16"/>
      <c r="K21" s="16"/>
      <c r="L21" s="16"/>
      <c r="M21" s="230"/>
    </row>
    <row r="22">
      <c r="A22" s="96" t="str">
        <f>'MSW15'!A22</f>
        <v>SET</v>
      </c>
      <c r="B22" s="97" t="str">
        <f>'MSW15'!B22</f>
        <v>WEIGHT</v>
      </c>
      <c r="C22" s="97" t="str">
        <f>'MSW15'!C22</f>
        <v>REPS</v>
      </c>
      <c r="D22" s="97" t="str">
        <f>'MSW15'!D22</f>
        <v>REST</v>
      </c>
      <c r="E22" s="1385" t="str">
        <f>'MSW15'!E22</f>
        <v>PREVIOUS</v>
      </c>
      <c r="F22" s="235" t="str">
        <f>'MSW15'!F22</f>
        <v>REP LOG</v>
      </c>
      <c r="H22" s="96" t="str">
        <f>'MSW15'!H22</f>
        <v>SET</v>
      </c>
      <c r="I22" s="97" t="str">
        <f>'MSW15'!I22</f>
        <v>WEIGHT</v>
      </c>
      <c r="J22" s="97" t="str">
        <f>'MSW15'!J22</f>
        <v>REPS</v>
      </c>
      <c r="K22" s="97" t="str">
        <f>'MSW15'!K22</f>
        <v>REST</v>
      </c>
      <c r="L22" s="98" t="str">
        <f>'MSW15'!L22</f>
        <v>PREVIOUS</v>
      </c>
      <c r="M22" s="235" t="str">
        <f>'MSW15'!M22</f>
        <v>REP LOG</v>
      </c>
    </row>
    <row r="23">
      <c r="A23" s="244">
        <f>'MSW15'!A23</f>
        <v>1</v>
      </c>
      <c r="B23" s="241">
        <f>'MSW15'!B23</f>
        <v>0</v>
      </c>
      <c r="C23" s="63">
        <f>'MSW15'!C23</f>
        <v>6</v>
      </c>
      <c r="D23" s="83" t="str">
        <f>'MSW15'!D23</f>
        <v>1 MIN</v>
      </c>
      <c r="E23" s="84" t="str">
        <f>'MSW15'!E23</f>
        <v/>
      </c>
      <c r="F23" s="85"/>
      <c r="H23" s="244">
        <f>'MSW15'!H23</f>
        <v>1</v>
      </c>
      <c r="I23" s="241">
        <f>'MSW15'!I23</f>
        <v>0</v>
      </c>
      <c r="J23" s="63">
        <f>'MSW15'!J23</f>
        <v>6</v>
      </c>
      <c r="K23" s="83" t="str">
        <f>'MSW15'!K23</f>
        <v>1 MIN</v>
      </c>
      <c r="L23" s="84" t="str">
        <f>'MSW15'!L23</f>
        <v/>
      </c>
      <c r="M23" s="85" t="str">
        <f>'MSW15'!M23</f>
        <v/>
      </c>
    </row>
    <row r="24">
      <c r="A24" s="240">
        <f>'MSW15'!A24</f>
        <v>2</v>
      </c>
      <c r="B24" s="241">
        <f>'MSW15'!B24</f>
        <v>0</v>
      </c>
      <c r="C24" s="241">
        <f>'MSW15'!C24</f>
        <v>1</v>
      </c>
      <c r="D24" s="83" t="str">
        <f>'MSW15'!D24</f>
        <v>1 MIN</v>
      </c>
      <c r="E24" s="84" t="str">
        <f>'MSW15'!E24</f>
        <v/>
      </c>
      <c r="F24" s="85"/>
      <c r="H24" s="240">
        <f>'MSW15'!H24</f>
        <v>2</v>
      </c>
      <c r="I24" s="241">
        <f>'MSW15'!I24</f>
        <v>0</v>
      </c>
      <c r="J24" s="241">
        <f>'MSW15'!J24</f>
        <v>1</v>
      </c>
      <c r="K24" s="83" t="str">
        <f>'MSW15'!K24</f>
        <v>1 MIN</v>
      </c>
      <c r="L24" s="84" t="str">
        <f>'MSW15'!L24</f>
        <v/>
      </c>
      <c r="M24" s="85" t="str">
        <f>'MSW15'!M24</f>
        <v/>
      </c>
    </row>
    <row r="25">
      <c r="A25" s="240">
        <f>'MSW15'!A25</f>
        <v>3</v>
      </c>
      <c r="B25" s="241">
        <f>'MSW15'!B25</f>
        <v>0</v>
      </c>
      <c r="C25" s="63">
        <f>'MSW15'!C25</f>
        <v>1</v>
      </c>
      <c r="D25" s="83" t="str">
        <f>'MSW15'!D25</f>
        <v>1 MIN</v>
      </c>
      <c r="E25" s="84" t="str">
        <f>'MSW15'!E25</f>
        <v/>
      </c>
      <c r="F25" s="85"/>
      <c r="H25" s="240">
        <f>'MSW15'!H25</f>
        <v>3</v>
      </c>
      <c r="I25" s="241">
        <f>'MSW15'!I25</f>
        <v>0</v>
      </c>
      <c r="J25" s="241">
        <f>'MSW15'!J25</f>
        <v>1</v>
      </c>
      <c r="K25" s="83" t="str">
        <f>'MSW15'!K25</f>
        <v>1 MIN</v>
      </c>
      <c r="L25" s="84" t="str">
        <f>'MSW15'!L25</f>
        <v/>
      </c>
      <c r="M25" s="85" t="str">
        <f>'MSW15'!M25</f>
        <v/>
      </c>
    </row>
    <row r="26">
      <c r="A26" s="240">
        <f>'MSW15'!A26</f>
        <v>4</v>
      </c>
      <c r="B26" s="241">
        <f>'MSW15'!B26</f>
        <v>0</v>
      </c>
      <c r="C26" s="245" t="str">
        <f>'MSW15'!C26</f>
        <v>REP OUT</v>
      </c>
      <c r="D26" s="83" t="str">
        <f>'MSW15'!D26</f>
        <v>1 MIN</v>
      </c>
      <c r="E26" s="84" t="str">
        <f>'MSW15'!E26</f>
        <v/>
      </c>
      <c r="F26" s="85"/>
      <c r="H26" s="240">
        <f>'MSW15'!H26</f>
        <v>4</v>
      </c>
      <c r="I26" s="241">
        <f>'MSW15'!I26</f>
        <v>0</v>
      </c>
      <c r="J26" s="245" t="str">
        <f>'MSW15'!J26</f>
        <v>REP OUT</v>
      </c>
      <c r="K26" s="83" t="str">
        <f>'MSW15'!K26</f>
        <v>1 MIN</v>
      </c>
      <c r="L26" s="84" t="str">
        <f>'MSW15'!L26</f>
        <v/>
      </c>
      <c r="M26" s="85" t="str">
        <f>'MSW15'!M26</f>
        <v/>
      </c>
    </row>
    <row r="27">
      <c r="A27" s="248" t="str">
        <f>'MSW15'!A27</f>
        <v>PROCEED TO DOWNSETS</v>
      </c>
      <c r="F27" s="28"/>
      <c r="G27" s="247" t="str">
        <f>'MSW15'!G27</f>
        <v>ALTERNATE</v>
      </c>
      <c r="H27" s="248" t="str">
        <f>'MSW15'!H27</f>
        <v>PROCEED TO DOWNSETS</v>
      </c>
      <c r="M27" s="28"/>
    </row>
    <row r="28">
      <c r="A28" s="251" t="str">
        <f>'MSW15'!A28</f>
        <v/>
      </c>
      <c r="B28" s="252" t="str">
        <f>'MSW15'!B28</f>
        <v/>
      </c>
      <c r="C28" s="253" t="str">
        <f>'MSW15'!C28</f>
        <v/>
      </c>
      <c r="D28" s="254" t="str">
        <f>'MSW15'!D28</f>
        <v/>
      </c>
      <c r="E28" s="84" t="str">
        <f>'MSW15'!E28</f>
        <v/>
      </c>
      <c r="F28" s="67"/>
      <c r="H28" s="251" t="str">
        <f>'MSW15'!H28</f>
        <v/>
      </c>
      <c r="I28" s="252" t="str">
        <f>'MSW15'!I28</f>
        <v/>
      </c>
      <c r="J28" s="253" t="str">
        <f>'MSW15'!J28</f>
        <v/>
      </c>
      <c r="K28" s="254" t="str">
        <f>'MSW15'!K28</f>
        <v/>
      </c>
      <c r="L28" s="84" t="str">
        <f>'MSW15'!L28</f>
        <v/>
      </c>
      <c r="M28" s="67" t="str">
        <f>'MSW15'!M28</f>
        <v/>
      </c>
    </row>
    <row r="29">
      <c r="A29" s="260" t="str">
        <f>'MSW15'!A29</f>
        <v>FILL OUT REP LOG FIRST</v>
      </c>
      <c r="B29" s="16"/>
      <c r="C29" s="16"/>
      <c r="D29" s="16"/>
      <c r="E29" s="16"/>
      <c r="F29" s="230"/>
      <c r="G29" s="141" t="str">
        <f>'MSW15'!G29</f>
        <v/>
      </c>
      <c r="H29" s="260" t="str">
        <f>'MSW15'!H29</f>
        <v>FILL OUT REP LOG FIRST</v>
      </c>
      <c r="I29" s="16"/>
      <c r="J29" s="16"/>
      <c r="K29" s="16"/>
      <c r="L29" s="16"/>
      <c r="M29" s="230"/>
    </row>
    <row r="30">
      <c r="A30" s="545" t="str">
        <f>'MSW15'!A30</f>
        <v/>
      </c>
      <c r="B30" s="261" t="str">
        <f>'MSW15'!B30</f>
        <v/>
      </c>
      <c r="C30" s="262" t="str">
        <f>'MSW15'!C30</f>
        <v/>
      </c>
      <c r="D30" s="65" t="str">
        <f>'MSW15'!D30</f>
        <v/>
      </c>
      <c r="E30" s="84" t="str">
        <f>'MSW15'!E30</f>
        <v/>
      </c>
      <c r="F30" s="263" t="str">
        <f>'MSW15'!F30</f>
        <v/>
      </c>
      <c r="H30" s="91" t="str">
        <f>'MSW15'!H30</f>
        <v/>
      </c>
      <c r="I30" s="261" t="str">
        <f>'MSW15'!I30</f>
        <v/>
      </c>
      <c r="J30" s="262" t="str">
        <f>'MSW15'!J30</f>
        <v/>
      </c>
      <c r="K30" s="65" t="str">
        <f>'MSW15'!K30</f>
        <v/>
      </c>
      <c r="L30" s="84" t="str">
        <f>'MSW15'!L30</f>
        <v/>
      </c>
      <c r="M30" s="263" t="str">
        <f>'MSW15'!M30</f>
        <v/>
      </c>
    </row>
    <row r="31">
      <c r="A31" s="546" t="str">
        <f>'MSW15'!A31</f>
        <v/>
      </c>
      <c r="B31" s="254" t="str">
        <f>'MSW15'!B31</f>
        <v/>
      </c>
      <c r="C31" s="253" t="str">
        <f>'MSW15'!C31</f>
        <v/>
      </c>
      <c r="D31" s="65" t="str">
        <f>'MSW15'!D31</f>
        <v/>
      </c>
      <c r="E31" s="84" t="str">
        <f>'MSW15'!E31</f>
        <v/>
      </c>
      <c r="F31" s="270" t="str">
        <f>'MSW15'!F31</f>
        <v/>
      </c>
      <c r="H31" s="269" t="str">
        <f>'MSW15'!H31</f>
        <v/>
      </c>
      <c r="I31" s="254" t="str">
        <f>'MSW15'!I31</f>
        <v/>
      </c>
      <c r="J31" s="253" t="str">
        <f>'MSW15'!J31</f>
        <v/>
      </c>
      <c r="K31" s="65" t="str">
        <f>'MSW15'!K31</f>
        <v/>
      </c>
      <c r="L31" s="84" t="str">
        <f>'MSW15'!L31</f>
        <v/>
      </c>
      <c r="M31" s="270" t="str">
        <f>'MSW15'!M31</f>
        <v/>
      </c>
    </row>
    <row r="32">
      <c r="A32" s="546" t="str">
        <f>'MSW15'!A32</f>
        <v/>
      </c>
      <c r="B32" s="254" t="str">
        <f>'MSW15'!B32</f>
        <v/>
      </c>
      <c r="C32" s="253" t="str">
        <f>'MSW15'!C32</f>
        <v/>
      </c>
      <c r="D32" s="65" t="str">
        <f>'MSW15'!D32</f>
        <v/>
      </c>
      <c r="E32" s="84" t="str">
        <f>'MSW15'!E32</f>
        <v/>
      </c>
      <c r="F32" s="263"/>
      <c r="H32" s="269" t="str">
        <f>'MSW15'!H32</f>
        <v/>
      </c>
      <c r="I32" s="254" t="str">
        <f>'MSW15'!I32</f>
        <v/>
      </c>
      <c r="J32" s="253" t="str">
        <f>'MSW15'!J32</f>
        <v/>
      </c>
      <c r="K32" s="65" t="str">
        <f>'MSW15'!K32</f>
        <v/>
      </c>
      <c r="L32" s="84" t="str">
        <f>'MSW15'!L32</f>
        <v/>
      </c>
      <c r="M32" s="270" t="str">
        <f>'MSW15'!M32</f>
        <v/>
      </c>
    </row>
    <row r="33">
      <c r="A33" s="546" t="str">
        <f>'MSW15'!A33</f>
        <v/>
      </c>
      <c r="B33" s="254" t="str">
        <f>'MSW15'!B33</f>
        <v/>
      </c>
      <c r="C33" s="253" t="str">
        <f>'MSW15'!C33</f>
        <v/>
      </c>
      <c r="D33" s="65" t="str">
        <f>'MSW15'!D33</f>
        <v/>
      </c>
      <c r="E33" s="84" t="str">
        <f>'MSW15'!E33</f>
        <v/>
      </c>
      <c r="F33" s="263"/>
      <c r="H33" s="269" t="str">
        <f>'MSW15'!H33</f>
        <v/>
      </c>
      <c r="I33" s="254" t="str">
        <f>'MSW15'!I33</f>
        <v/>
      </c>
      <c r="J33" s="253" t="str">
        <f>'MSW15'!J33</f>
        <v/>
      </c>
      <c r="K33" s="65" t="str">
        <f>'MSW15'!K33</f>
        <v/>
      </c>
      <c r="L33" s="84" t="str">
        <f>'MSW15'!L33</f>
        <v/>
      </c>
      <c r="M33" s="270" t="str">
        <f>'MSW15'!M33</f>
        <v/>
      </c>
    </row>
    <row r="34">
      <c r="A34" s="280" t="str">
        <f>'MSW15'!A34</f>
        <v>FINAL MAX</v>
      </c>
      <c r="B34" s="273" t="str">
        <f>'MSW15'!B34</f>
        <v/>
      </c>
      <c r="C34" s="11"/>
      <c r="D34" s="11"/>
      <c r="E34" s="11"/>
      <c r="F34" s="46"/>
      <c r="H34" s="280" t="str">
        <f>'MSW15'!H34</f>
        <v>FINAL MAX</v>
      </c>
      <c r="I34" s="273" t="str">
        <f>'MSW15'!I34</f>
        <v/>
      </c>
      <c r="J34" s="11"/>
      <c r="K34" s="11"/>
      <c r="L34" s="11"/>
      <c r="M34" s="46"/>
    </row>
    <row r="35">
      <c r="A35" s="658" t="str">
        <f>'MSW15'!A35</f>
        <v/>
      </c>
    </row>
    <row r="37">
      <c r="A37" s="440" t="str">
        <f>'MSW15'!A37</f>
        <v>2. DUMBBELL CHEST FLY</v>
      </c>
      <c r="B37" s="53"/>
      <c r="C37" s="53"/>
      <c r="D37" s="53"/>
      <c r="E37" s="53"/>
      <c r="F37" s="54"/>
      <c r="G37" s="659" t="str">
        <f>'MSW15'!G37</f>
        <v/>
      </c>
      <c r="H37" s="504" t="str">
        <f>'MSW15'!H37</f>
        <v>2. MACHINE CHEST FLY</v>
      </c>
      <c r="I37" s="53"/>
      <c r="J37" s="53"/>
      <c r="K37" s="53"/>
      <c r="L37" s="53"/>
      <c r="M37" s="54"/>
    </row>
    <row r="38">
      <c r="A38" s="226" t="str">
        <f>'MSW15'!A38</f>
        <v>DB INCL PRSS MAX</v>
      </c>
      <c r="B38" s="548" t="str">
        <f>'MSW15'!B38</f>
        <v/>
      </c>
      <c r="C38" s="13"/>
      <c r="D38" s="13"/>
      <c r="E38" s="13"/>
      <c r="F38" s="57"/>
      <c r="G38" s="247" t="str">
        <f>'MSW15'!G38</f>
        <v>ALTERNATE</v>
      </c>
      <c r="H38" s="226" t="str">
        <f>'MSW15'!H38</f>
        <v>DB INCL PRSS MAX</v>
      </c>
      <c r="I38" s="548" t="str">
        <f>'MSW15'!I38</f>
        <v/>
      </c>
      <c r="J38" s="13"/>
      <c r="K38" s="13"/>
      <c r="L38" s="13"/>
      <c r="M38" s="57"/>
    </row>
    <row r="39">
      <c r="A39" s="96" t="str">
        <f>'MSW15'!A39</f>
        <v>SET</v>
      </c>
      <c r="B39" s="97" t="str">
        <f>'MSW15'!B39</f>
        <v>WEIGHT</v>
      </c>
      <c r="C39" s="97" t="str">
        <f>'MSW15'!C39</f>
        <v>REPS</v>
      </c>
      <c r="D39" s="97" t="str">
        <f>'MSW15'!D39</f>
        <v>REST</v>
      </c>
      <c r="E39" s="1385" t="str">
        <f>'MSW15'!E39</f>
        <v>PREVIOUS</v>
      </c>
      <c r="F39" s="235" t="str">
        <f>'MSW15'!F39</f>
        <v>REP LOG</v>
      </c>
      <c r="H39" s="96" t="str">
        <f>'MSW15'!H39</f>
        <v>SET</v>
      </c>
      <c r="I39" s="97" t="str">
        <f>'MSW15'!I39</f>
        <v>WEIGHT</v>
      </c>
      <c r="J39" s="97" t="str">
        <f>'MSW15'!J39</f>
        <v>REPS</v>
      </c>
      <c r="K39" s="97" t="str">
        <f>'MSW15'!K39</f>
        <v>REST</v>
      </c>
      <c r="L39" s="98" t="str">
        <f>'MSW15'!L39</f>
        <v>PREVIOUS</v>
      </c>
      <c r="M39" s="235" t="str">
        <f>'MSW15'!M39</f>
        <v>REP LOG</v>
      </c>
    </row>
    <row r="40">
      <c r="A40" s="240">
        <f>'MSW15'!A40</f>
        <v>1</v>
      </c>
      <c r="B40" s="254">
        <f>'MSW15'!B40</f>
        <v>0</v>
      </c>
      <c r="C40" s="241">
        <f>'MSW15'!C40</f>
        <v>15</v>
      </c>
      <c r="D40" s="83" t="str">
        <f>'MSW15'!D40</f>
        <v>1 MIN</v>
      </c>
      <c r="E40" s="84" t="str">
        <f>'MSW15'!E40</f>
        <v/>
      </c>
      <c r="F40" s="85"/>
      <c r="G40" s="659" t="str">
        <f>'MSW15'!G40</f>
        <v/>
      </c>
      <c r="H40" s="240">
        <f>'MSW15'!H40</f>
        <v>1</v>
      </c>
      <c r="I40" s="254">
        <f>'MSW15'!I40</f>
        <v>0</v>
      </c>
      <c r="J40" s="241">
        <f>'MSW15'!J40</f>
        <v>15</v>
      </c>
      <c r="K40" s="83" t="str">
        <f>'MSW15'!K40</f>
        <v>1 MIN</v>
      </c>
      <c r="L40" s="84" t="str">
        <f>'MSW15'!L40</f>
        <v/>
      </c>
      <c r="M40" s="85" t="str">
        <f>'MSW15'!M40</f>
        <v/>
      </c>
    </row>
    <row r="41">
      <c r="A41" s="661">
        <f>'MSW15'!A41</f>
        <v>2</v>
      </c>
      <c r="B41" s="662">
        <f>'MSW15'!B41</f>
        <v>0</v>
      </c>
      <c r="C41" s="69">
        <f>'MSW15'!C41</f>
        <v>15</v>
      </c>
      <c r="D41" s="88" t="str">
        <f>'MSW15'!D41</f>
        <v>1 MIN</v>
      </c>
      <c r="E41" s="89" t="str">
        <f>'MSW15'!E41</f>
        <v/>
      </c>
      <c r="F41" s="85"/>
      <c r="H41" s="661">
        <f>'MSW15'!H41</f>
        <v>2</v>
      </c>
      <c r="I41" s="662">
        <f>'MSW15'!I41</f>
        <v>0</v>
      </c>
      <c r="J41" s="662">
        <f>'MSW15'!J41</f>
        <v>15</v>
      </c>
      <c r="K41" s="88" t="str">
        <f>'MSW15'!K41</f>
        <v>1 MIN</v>
      </c>
      <c r="L41" s="89" t="str">
        <f>'MSW15'!L41</f>
        <v/>
      </c>
      <c r="M41" s="85" t="str">
        <f>'MSW15'!M41</f>
        <v/>
      </c>
    </row>
    <row r="42">
      <c r="A42" t="str">
        <f>'MSW15'!A42</f>
        <v/>
      </c>
      <c r="G42" t="str">
        <f>'MSW15'!G42</f>
        <v/>
      </c>
    </row>
    <row r="44">
      <c r="A44" s="73" t="str">
        <f>'MSW15'!A44</f>
        <v>3. MACHINE HIGH ROW</v>
      </c>
      <c r="B44" s="53"/>
      <c r="C44" s="53"/>
      <c r="D44" s="53"/>
      <c r="E44" s="53"/>
      <c r="F44" s="54"/>
    </row>
    <row r="45">
      <c r="A45" s="226" t="str">
        <f>'MSW15'!A45</f>
        <v>CURRENT MAX</v>
      </c>
      <c r="B45" s="227" t="str">
        <f>'MSW15'!B45</f>
        <v/>
      </c>
      <c r="C45" s="20"/>
      <c r="D45" s="20"/>
      <c r="E45" s="20"/>
      <c r="F45" s="95"/>
    </row>
    <row r="46">
      <c r="A46" s="231" t="str">
        <f>'MSW15'!A46</f>
        <v>SET</v>
      </c>
      <c r="B46" s="232" t="str">
        <f>'MSW15'!B46</f>
        <v>WEIGHT</v>
      </c>
      <c r="C46" s="232" t="str">
        <f>'MSW15'!C46</f>
        <v>REPS</v>
      </c>
      <c r="D46" s="232" t="str">
        <f>'MSW15'!D46</f>
        <v>REST</v>
      </c>
      <c r="E46" s="1386" t="str">
        <f>'MSW15'!E46</f>
        <v>PREVIOUS</v>
      </c>
      <c r="F46" s="61" t="str">
        <f>'MSW15'!F46</f>
        <v>REP LOG</v>
      </c>
    </row>
    <row r="47">
      <c r="A47" s="236">
        <f>'MSW15'!A47</f>
        <v>1</v>
      </c>
      <c r="B47" s="237">
        <f>'MSW15'!B47</f>
        <v>0</v>
      </c>
      <c r="C47" s="237">
        <f>'MSW15'!C47</f>
        <v>6</v>
      </c>
      <c r="D47" s="238" t="str">
        <f>'MSW15'!D47</f>
        <v>30s</v>
      </c>
      <c r="E47" s="632" t="str">
        <f>'MSW15'!E47</f>
        <v/>
      </c>
      <c r="F47" s="67"/>
    </row>
    <row r="48">
      <c r="A48" s="236">
        <f>'MSW15'!A48</f>
        <v>2</v>
      </c>
      <c r="B48" s="237">
        <f>'MSW15'!B48</f>
        <v>0</v>
      </c>
      <c r="C48" s="238">
        <f>'MSW15'!C48</f>
        <v>3</v>
      </c>
      <c r="D48" s="1387" t="str">
        <f>'MSW15'!D48</f>
        <v>1-2 MIN</v>
      </c>
      <c r="E48" s="1388" t="str">
        <f>'MSW15'!E48</f>
        <v/>
      </c>
      <c r="F48" s="1389"/>
    </row>
    <row r="49">
      <c r="A49" s="242">
        <f>'MSW15'!A49</f>
        <v>3</v>
      </c>
      <c r="B49" s="237">
        <f>'MSW15'!B49</f>
        <v>0</v>
      </c>
      <c r="C49" s="63">
        <f>'MSW15'!C49</f>
        <v>2</v>
      </c>
      <c r="D49" s="1387" t="str">
        <f>'MSW15'!D49</f>
        <v>1-2 MIN</v>
      </c>
      <c r="E49" s="1388" t="str">
        <f>'MSW15'!E49</f>
        <v/>
      </c>
      <c r="F49" s="1389"/>
    </row>
    <row r="50">
      <c r="A50" s="243">
        <f>'MSW15'!A50</f>
        <v>4</v>
      </c>
      <c r="B50" s="237" t="str">
        <f>'MSW15'!B50</f>
        <v/>
      </c>
      <c r="C50" s="257">
        <f>'MSW15'!C50</f>
        <v>3</v>
      </c>
      <c r="D50" s="1387" t="str">
        <f>'MSW15'!D50</f>
        <v>1-5 MIN</v>
      </c>
      <c r="E50" s="1390" t="str">
        <f>'MSW15'!E50</f>
        <v/>
      </c>
      <c r="F50" s="1389"/>
    </row>
    <row r="51">
      <c r="A51" s="246" t="str">
        <f>'MSW15'!A51</f>
        <v>PROCEED TO DOWN SETS</v>
      </c>
      <c r="B51" s="20"/>
      <c r="C51" s="20"/>
      <c r="D51" s="20"/>
      <c r="E51" s="20"/>
      <c r="F51" s="95"/>
    </row>
    <row r="52">
      <c r="A52" s="249" t="str">
        <f>'MSW15'!A52</f>
        <v/>
      </c>
      <c r="B52" s="175" t="str">
        <f>'MSW15'!B52</f>
        <v/>
      </c>
      <c r="C52" s="238" t="str">
        <f>'MSW15'!C52</f>
        <v/>
      </c>
      <c r="D52" s="1387" t="str">
        <f>'MSW15'!D52</f>
        <v/>
      </c>
      <c r="E52" s="1388" t="str">
        <f>'MSW15'!E52</f>
        <v/>
      </c>
      <c r="F52" s="1389"/>
    </row>
    <row r="53">
      <c r="A53" s="259" t="str">
        <f>'MSW15'!A53</f>
        <v/>
      </c>
      <c r="B53" s="237" t="str">
        <f>'MSW15'!B53</f>
        <v/>
      </c>
      <c r="C53" s="257" t="str">
        <f>'MSW15'!C53</f>
        <v/>
      </c>
      <c r="D53" s="1391" t="str">
        <f>'MSW15'!D53</f>
        <v/>
      </c>
      <c r="E53" s="1388" t="str">
        <f>'MSW15'!E53</f>
        <v/>
      </c>
      <c r="F53" s="1389"/>
    </row>
    <row r="54">
      <c r="A54" s="246" t="str">
        <f>'MSW15'!A54</f>
        <v>DOWN SETS</v>
      </c>
      <c r="B54" s="20"/>
      <c r="C54" s="20"/>
      <c r="D54" s="20"/>
      <c r="E54" s="20"/>
      <c r="F54" s="95"/>
    </row>
    <row r="55">
      <c r="A55" s="264">
        <f>'MSW15'!A55</f>
        <v>5</v>
      </c>
      <c r="B55" s="265">
        <f>'MSW15'!B55</f>
        <v>0</v>
      </c>
      <c r="C55" s="266" t="str">
        <f>'MSW15'!C55</f>
        <v>REP OUT</v>
      </c>
      <c r="D55" s="267" t="str">
        <f>'MSW15'!D55</f>
        <v>1-3 MIN</v>
      </c>
      <c r="E55" s="1388" t="str">
        <f>'MSW15'!E55</f>
        <v/>
      </c>
      <c r="F55" s="1389"/>
    </row>
    <row r="56">
      <c r="A56" s="243">
        <f>'MSW15'!A56</f>
        <v>6</v>
      </c>
      <c r="B56" s="237">
        <f>'MSW15'!B56</f>
        <v>0</v>
      </c>
      <c r="C56" s="245" t="str">
        <f>'MSW15'!C56</f>
        <v>REP OUT</v>
      </c>
      <c r="D56" s="1392" t="str">
        <f>'MSW15'!D56</f>
        <v>1-3 MIN</v>
      </c>
      <c r="E56" s="1388" t="str">
        <f>'MSW15'!E56</f>
        <v/>
      </c>
      <c r="F56" s="843"/>
    </row>
    <row r="57">
      <c r="A57" s="228" t="str">
        <f>'MSW15'!A57</f>
        <v>FINAL MAX</v>
      </c>
      <c r="B57" s="549" t="str">
        <f>'MSW15'!B57</f>
        <v/>
      </c>
      <c r="F57" s="28"/>
    </row>
    <row r="58">
      <c r="A58" s="750" t="str">
        <f>'MSW15'!A58</f>
        <v/>
      </c>
      <c r="B58" s="36"/>
      <c r="C58" s="36"/>
      <c r="D58" s="36"/>
      <c r="E58" s="36"/>
      <c r="F58" s="36"/>
    </row>
    <row r="59">
      <c r="A59" s="751" t="str">
        <f>'MSW15'!A59</f>
        <v>4. LAT PULL DOWN</v>
      </c>
      <c r="B59" s="13"/>
      <c r="C59" s="13"/>
      <c r="D59" s="13"/>
      <c r="E59" s="13"/>
      <c r="F59" s="57"/>
    </row>
    <row r="60">
      <c r="A60" s="226" t="str">
        <f>'MSW15'!A60</f>
        <v>CURRENT MAX</v>
      </c>
      <c r="B60" s="691" t="str">
        <f>'MSW15'!B60</f>
        <v/>
      </c>
      <c r="C60" s="13"/>
      <c r="D60" s="13"/>
      <c r="E60" s="13"/>
      <c r="F60" s="57"/>
    </row>
    <row r="61">
      <c r="A61" s="96" t="str">
        <f>'MSW15'!A61</f>
        <v>SET</v>
      </c>
      <c r="B61" s="97" t="str">
        <f>'MSW15'!B61</f>
        <v>WEIGHT</v>
      </c>
      <c r="C61" s="97" t="str">
        <f>'MSW15'!C61</f>
        <v>REPS</v>
      </c>
      <c r="D61" s="97" t="str">
        <f>'MSW15'!D61</f>
        <v>REST</v>
      </c>
      <c r="E61" s="1385" t="str">
        <f>'MSW15'!E61</f>
        <v>PREVIOUS</v>
      </c>
      <c r="F61" s="235" t="str">
        <f>'MSW15'!F61</f>
        <v>REP LOG</v>
      </c>
    </row>
    <row r="62">
      <c r="A62" s="725">
        <f>'MSW15'!A62</f>
        <v>1</v>
      </c>
      <c r="B62" s="344">
        <f>'MSW15'!B62</f>
        <v>0</v>
      </c>
      <c r="C62" s="437" t="str">
        <f>'MSW15'!C62</f>
        <v>REP OUT</v>
      </c>
      <c r="D62" s="343" t="str">
        <f>'MSW15'!D62</f>
        <v>1 MIN</v>
      </c>
      <c r="E62" s="84" t="str">
        <f>'MSW15'!E62</f>
        <v/>
      </c>
      <c r="F62" s="85"/>
    </row>
    <row r="63">
      <c r="A63" s="725">
        <f>'MSW15'!A63</f>
        <v>2</v>
      </c>
      <c r="B63" s="344">
        <f>'MSW15'!B63</f>
        <v>0</v>
      </c>
      <c r="C63" s="437" t="str">
        <f>'MSW15'!C63</f>
        <v>REP OUT</v>
      </c>
      <c r="D63" s="343" t="str">
        <f>'MSW15'!D63</f>
        <v>1 MIN</v>
      </c>
      <c r="E63" s="84" t="str">
        <f>'MSW15'!E63</f>
        <v/>
      </c>
      <c r="F63" s="85"/>
    </row>
    <row r="64">
      <c r="A64" s="753">
        <f>'MSW15'!A64</f>
        <v>3</v>
      </c>
      <c r="B64" s="754">
        <f>'MSW15'!B64</f>
        <v>0</v>
      </c>
      <c r="C64" s="733" t="str">
        <f>'MSW15'!C64</f>
        <v>REP OUT</v>
      </c>
      <c r="D64" s="486" t="str">
        <f>'MSW15'!D64</f>
        <v>1 MIN</v>
      </c>
      <c r="E64" s="89" t="str">
        <f>'MSW15'!E64</f>
        <v/>
      </c>
      <c r="F64" s="85" t="str">
        <f>'MSW15'!F64</f>
        <v/>
      </c>
    </row>
    <row r="65">
      <c r="A65" s="756" t="str">
        <f>'MSW15'!A65</f>
        <v/>
      </c>
    </row>
    <row r="67">
      <c r="A67" s="73" t="str">
        <f>'MSW15'!A67</f>
        <v>5. LOW ROW </v>
      </c>
      <c r="B67" s="53"/>
      <c r="C67" s="53"/>
      <c r="D67" s="53"/>
      <c r="E67" s="53"/>
      <c r="F67" s="54"/>
    </row>
    <row r="68">
      <c r="A68" s="226" t="str">
        <f>'MSW15'!A68</f>
        <v>CURRENT MAX</v>
      </c>
      <c r="B68" s="691">
        <f>'MSW15'!B68</f>
        <v>265</v>
      </c>
      <c r="C68" s="13"/>
      <c r="D68" s="13"/>
      <c r="E68" s="13"/>
      <c r="F68" s="57"/>
    </row>
    <row r="69">
      <c r="A69" s="96" t="str">
        <f>'MSW15'!A69</f>
        <v>SET</v>
      </c>
      <c r="B69" s="97" t="str">
        <f>'MSW15'!B69</f>
        <v>WEIGHT</v>
      </c>
      <c r="C69" s="97" t="str">
        <f>'MSW15'!C69</f>
        <v>REPS</v>
      </c>
      <c r="D69" s="97" t="str">
        <f>'MSW15'!D69</f>
        <v>REST</v>
      </c>
      <c r="E69" s="1385" t="str">
        <f>'MSW15'!E69</f>
        <v>PREVIOUS</v>
      </c>
      <c r="F69" s="235" t="str">
        <f>'MSW15'!F69</f>
        <v>REP LOG</v>
      </c>
    </row>
    <row r="70">
      <c r="A70" s="725">
        <f>'MSW15'!A70</f>
        <v>1</v>
      </c>
      <c r="B70" s="344">
        <f>'MSW15'!B70</f>
        <v>225</v>
      </c>
      <c r="C70" s="437" t="str">
        <f>'MSW15'!C70</f>
        <v>REP OUT</v>
      </c>
      <c r="D70" s="343" t="str">
        <f>'MSW15'!D70</f>
        <v>1-3 MIN</v>
      </c>
      <c r="E70" s="84" t="str">
        <f>'MSW15'!E70</f>
        <v/>
      </c>
      <c r="F70" s="85"/>
    </row>
    <row r="71">
      <c r="A71" s="725">
        <f>'MSW15'!A71</f>
        <v>2</v>
      </c>
      <c r="B71" s="344">
        <f>'MSW15'!B71</f>
        <v>200</v>
      </c>
      <c r="C71" s="437" t="str">
        <f>'MSW15'!C71</f>
        <v>REP OUT</v>
      </c>
      <c r="D71" s="343" t="str">
        <f>'MSW15'!D71</f>
        <v>1-3 MIN</v>
      </c>
      <c r="E71" s="84" t="str">
        <f>'MSW15'!E71</f>
        <v/>
      </c>
      <c r="F71" s="85"/>
    </row>
    <row r="72">
      <c r="A72" s="753">
        <f>'MSW15'!A72</f>
        <v>3</v>
      </c>
      <c r="B72" s="754">
        <f>'MSW15'!B72</f>
        <v>160</v>
      </c>
      <c r="C72" s="733" t="str">
        <f>'MSW15'!C72</f>
        <v>REP OUT</v>
      </c>
      <c r="D72" s="486" t="str">
        <f>'MSW15'!D72</f>
        <v>1-3 MIN</v>
      </c>
      <c r="E72" s="89" t="str">
        <f>'MSW15'!E72</f>
        <v/>
      </c>
      <c r="F72" s="85"/>
    </row>
    <row r="73">
      <c r="A73" s="1157" t="str">
        <f>'MSW15'!A73</f>
        <v/>
      </c>
      <c r="F73" s="39"/>
    </row>
    <row r="74">
      <c r="A74" s="310" t="str">
        <f>'MSW15'!A74</f>
        <v>CLICK TO COMPLETE WORKOUT</v>
      </c>
      <c r="B74" s="36"/>
      <c r="C74" s="36"/>
      <c r="D74" s="36"/>
      <c r="E74" s="36"/>
      <c r="F74" s="37"/>
    </row>
    <row r="75">
      <c r="A75" s="763" t="str">
        <f>'MSW15'!A75</f>
        <v/>
      </c>
      <c r="B75" s="11"/>
      <c r="C75" s="11"/>
      <c r="D75" s="11"/>
      <c r="E75" s="11"/>
      <c r="F75" s="11"/>
    </row>
    <row r="76">
      <c r="A76" s="50" t="str">
        <f>'MSW15'!A76</f>
        <v>DAY 2 </v>
      </c>
      <c r="B76" s="36"/>
      <c r="C76" s="36"/>
      <c r="D76" s="36"/>
      <c r="E76" s="36"/>
      <c r="F76" s="37"/>
    </row>
    <row r="77">
      <c r="A77" t="str">
        <f>'MSW15'!A77</f>
        <v/>
      </c>
    </row>
    <row r="79">
      <c r="A79" s="1176" t="str">
        <f>'MSW15'!A79</f>
        <v>2. SUPER SET</v>
      </c>
      <c r="B79" s="36"/>
      <c r="C79" s="36"/>
      <c r="D79" s="36"/>
      <c r="E79" s="36"/>
      <c r="F79" s="37"/>
    </row>
    <row r="80">
      <c r="A80" s="1177" t="str">
        <f>'MSW15'!A80</f>
        <v>CURRENT MAX</v>
      </c>
      <c r="B80" s="1178">
        <f>'MSW15'!B80</f>
        <v>55</v>
      </c>
      <c r="C80" s="46"/>
      <c r="D80" s="1178">
        <f>'MSW15'!D80</f>
        <v>250</v>
      </c>
      <c r="E80" s="11"/>
      <c r="F80" s="46"/>
    </row>
    <row r="81">
      <c r="A81" s="1179" t="str">
        <f>'MSW15'!A81</f>
        <v>SET</v>
      </c>
      <c r="B81" s="1180" t="str">
        <f>'MSW15'!B81</f>
        <v>EXERCISE</v>
      </c>
      <c r="C81" s="1181" t="str">
        <f>'MSW15'!C81</f>
        <v>WEIGHT</v>
      </c>
      <c r="D81" s="1181" t="str">
        <f>'MSW15'!D81</f>
        <v>REPS</v>
      </c>
      <c r="E81" s="1182" t="str">
        <f>'MSW15'!E81</f>
        <v>PREVIOUS</v>
      </c>
      <c r="F81" s="1006" t="str">
        <f>'MSW15'!F81</f>
        <v>REP LOG</v>
      </c>
    </row>
    <row r="82">
      <c r="A82" s="1183">
        <f>'MSW15'!A82</f>
        <v>1</v>
      </c>
      <c r="B82" s="1393" t="str">
        <f>'MSW15'!B82</f>
        <v>LEG EXTENSION</v>
      </c>
      <c r="C82" s="1185">
        <f>'MSW15'!C82</f>
        <v>25</v>
      </c>
      <c r="D82" s="1186">
        <f>'MSW15'!D82</f>
        <v>15</v>
      </c>
      <c r="E82" s="1394" t="str">
        <f>'MSW15'!E82</f>
        <v/>
      </c>
      <c r="F82" s="1223"/>
    </row>
    <row r="83">
      <c r="A83" s="1189"/>
      <c r="B83" s="1190" t="str">
        <f>'MSW15'!B83</f>
        <v>LEG PRESS</v>
      </c>
      <c r="C83" s="1191">
        <f>'MSW15'!C83</f>
        <v>115</v>
      </c>
      <c r="D83" s="1192">
        <f>'MSW15'!D83</f>
        <v>30</v>
      </c>
      <c r="E83" s="1395" t="str">
        <f>'MSW15'!E83</f>
        <v/>
      </c>
      <c r="F83" s="1223"/>
    </row>
    <row r="84">
      <c r="A84" s="1194" t="str">
        <f>'MSW15'!A84</f>
        <v>REST 1 MIN</v>
      </c>
      <c r="B84" s="11"/>
      <c r="C84" s="11"/>
      <c r="D84" s="11"/>
      <c r="E84" s="11"/>
      <c r="F84" s="46"/>
    </row>
    <row r="85">
      <c r="A85" s="1195">
        <f>'MSW15'!A85</f>
        <v>2</v>
      </c>
      <c r="B85" s="1393" t="str">
        <f>'MSW15'!B85</f>
        <v>LEG EXTENSION</v>
      </c>
      <c r="C85" s="1185">
        <f>'MSW15'!C85</f>
        <v>25</v>
      </c>
      <c r="D85" s="1186">
        <f>'MSW15'!D85</f>
        <v>12</v>
      </c>
      <c r="E85" s="1394" t="str">
        <f>'MSW15'!E85</f>
        <v/>
      </c>
      <c r="F85" s="1223"/>
    </row>
    <row r="86">
      <c r="A86" s="1196"/>
      <c r="B86" s="1190" t="str">
        <f>'MSW15'!B86</f>
        <v>LEG PRESS</v>
      </c>
      <c r="C86" s="1191">
        <f>'MSW15'!C86</f>
        <v>105</v>
      </c>
      <c r="D86" s="1192">
        <f>'MSW15'!D86</f>
        <v>30</v>
      </c>
      <c r="E86" s="1395" t="str">
        <f>'MSW15'!E86</f>
        <v/>
      </c>
      <c r="F86" s="1223"/>
    </row>
    <row r="87">
      <c r="A87" s="1194" t="str">
        <f>'MSW15'!A87</f>
        <v>REST 1 MIN</v>
      </c>
      <c r="B87" s="11"/>
      <c r="C87" s="11"/>
      <c r="D87" s="11"/>
      <c r="E87" s="11"/>
      <c r="F87" s="46"/>
    </row>
    <row r="88">
      <c r="A88" s="1195">
        <f>'MSW15'!A88</f>
        <v>3</v>
      </c>
      <c r="B88" s="1393" t="str">
        <f>'MSW15'!B88</f>
        <v>LEG EXTENSION</v>
      </c>
      <c r="C88" s="1185">
        <f>'MSW15'!C88</f>
        <v>25</v>
      </c>
      <c r="D88" s="1186">
        <f>'MSW15'!D88</f>
        <v>10</v>
      </c>
      <c r="E88" s="1396" t="str">
        <f>'MSW15'!E88</f>
        <v/>
      </c>
      <c r="F88" s="1226"/>
    </row>
    <row r="89">
      <c r="A89" s="1196"/>
      <c r="B89" s="1190" t="str">
        <f>'MSW15'!B89</f>
        <v>LEG PRESS</v>
      </c>
      <c r="C89" s="1191">
        <f>'MSW15'!C89</f>
        <v>95</v>
      </c>
      <c r="D89" s="1192">
        <f>'MSW15'!D89</f>
        <v>30</v>
      </c>
      <c r="E89" s="1397" t="str">
        <f>'MSW15'!E89</f>
        <v/>
      </c>
      <c r="F89" s="1226"/>
    </row>
    <row r="90">
      <c r="A90" s="1194" t="str">
        <f>'MSW15'!A90</f>
        <v>REST 1 MIN</v>
      </c>
      <c r="B90" s="11"/>
      <c r="C90" s="11"/>
      <c r="D90" s="11"/>
      <c r="E90" s="11"/>
      <c r="F90" s="46"/>
    </row>
    <row r="91">
      <c r="A91" s="1197">
        <f>'MSW15'!A91</f>
        <v>4</v>
      </c>
      <c r="B91" s="1393" t="str">
        <f>'MSW15'!B91</f>
        <v>LEG EXTENSION</v>
      </c>
      <c r="C91" s="1185">
        <f>'MSW15'!C91</f>
        <v>25</v>
      </c>
      <c r="D91" s="1186">
        <f>'MSW15'!D91</f>
        <v>10</v>
      </c>
      <c r="E91" s="1396" t="str">
        <f>'MSW15'!E91</f>
        <v/>
      </c>
      <c r="F91" s="1226"/>
    </row>
    <row r="92">
      <c r="A92" s="1196"/>
      <c r="B92" s="1190" t="str">
        <f>'MSW15'!B92</f>
        <v>LEG PRESS</v>
      </c>
      <c r="C92" s="1191">
        <f>'MSW15'!C92</f>
        <v>85</v>
      </c>
      <c r="D92" s="1192">
        <f>'MSW15'!D92</f>
        <v>30</v>
      </c>
      <c r="E92" s="1397" t="str">
        <f>'MSW15'!E92</f>
        <v/>
      </c>
      <c r="F92" s="1226"/>
    </row>
    <row r="93">
      <c r="A93" s="1194" t="str">
        <f>'MSW15'!A93</f>
        <v>REST 1 MIN</v>
      </c>
      <c r="B93" s="11"/>
      <c r="C93" s="11"/>
      <c r="D93" s="11"/>
      <c r="E93" s="11"/>
      <c r="F93" s="46"/>
    </row>
    <row r="94">
      <c r="A94" s="1383">
        <f>'MSW15'!A94</f>
        <v>5</v>
      </c>
      <c r="B94" s="1393" t="str">
        <f>'MSW15'!B94</f>
        <v>LEG EXTENSION</v>
      </c>
      <c r="C94" s="1185">
        <f>'MSW15'!C94</f>
        <v>25</v>
      </c>
      <c r="D94" s="1186">
        <f>'MSW15'!D94</f>
        <v>10</v>
      </c>
      <c r="E94" s="1396" t="str">
        <f>'MSW15'!E94</f>
        <v/>
      </c>
      <c r="F94" s="1226"/>
    </row>
    <row r="95">
      <c r="A95" s="1196"/>
      <c r="B95" s="1190" t="str">
        <f>'MSW15'!B95</f>
        <v>LEG PRESS</v>
      </c>
      <c r="C95" s="1191">
        <f>'MSW15'!C95</f>
        <v>75</v>
      </c>
      <c r="D95" s="1192">
        <f>'MSW15'!D95</f>
        <v>30</v>
      </c>
      <c r="E95" s="1397" t="str">
        <f>'MSW15'!E95</f>
        <v/>
      </c>
      <c r="F95" s="1226"/>
    </row>
    <row r="96">
      <c r="A96" s="1194" t="str">
        <f>'MSW15'!A96</f>
        <v>REST 1 MIN</v>
      </c>
      <c r="B96" s="11"/>
      <c r="C96" s="11"/>
      <c r="D96" s="11"/>
      <c r="E96" s="11"/>
      <c r="F96" s="46"/>
    </row>
    <row r="97">
      <c r="A97" s="1383">
        <f>'MSW15'!A97</f>
        <v>6</v>
      </c>
      <c r="B97" s="1393" t="str">
        <f>'MSW15'!B97</f>
        <v>LEG EXTENSION</v>
      </c>
      <c r="C97" s="1185">
        <f>'MSW15'!C97</f>
        <v>25</v>
      </c>
      <c r="D97" s="1186">
        <f>'MSW15'!D97</f>
        <v>10</v>
      </c>
      <c r="E97" s="1396" t="str">
        <f>'MSW15'!E97</f>
        <v/>
      </c>
      <c r="F97" s="1357" t="str">
        <f>'MSW15'!F97</f>
        <v/>
      </c>
    </row>
    <row r="98">
      <c r="A98" s="1196"/>
      <c r="B98" s="1190" t="str">
        <f>'MSW15'!B98</f>
        <v>LEG PRESS</v>
      </c>
      <c r="C98" s="1191">
        <f>'MSW15'!C98</f>
        <v>70</v>
      </c>
      <c r="D98" s="1192">
        <f>'MSW15'!D98</f>
        <v>30</v>
      </c>
      <c r="E98" s="1397" t="str">
        <f>'MSW15'!E98</f>
        <v/>
      </c>
      <c r="F98" s="1357" t="str">
        <f>'MSW15'!F98</f>
        <v/>
      </c>
    </row>
    <row r="99">
      <c r="A99" s="1194" t="str">
        <f>'MSW15'!A99</f>
        <v>REST 1 MIN</v>
      </c>
      <c r="B99" s="11"/>
      <c r="C99" s="11"/>
      <c r="D99" s="11"/>
      <c r="E99" s="11"/>
      <c r="F99" s="46"/>
    </row>
    <row r="100">
      <c r="A100" s="1383">
        <f>'MSW15'!A100</f>
        <v>7</v>
      </c>
      <c r="B100" s="1393" t="str">
        <f>'MSW15'!B100</f>
        <v>LEG EXTENSION</v>
      </c>
      <c r="C100" s="1185">
        <f>'MSW15'!C100</f>
        <v>25</v>
      </c>
      <c r="D100" s="1186">
        <f>'MSW15'!D100</f>
        <v>10</v>
      </c>
      <c r="E100" s="1396" t="str">
        <f>'MSW15'!E100</f>
        <v/>
      </c>
      <c r="F100" s="1357" t="str">
        <f>'MSW15'!F100</f>
        <v/>
      </c>
    </row>
    <row r="101">
      <c r="A101" s="1196"/>
      <c r="B101" s="1190" t="str">
        <f>'MSW15'!B101</f>
        <v>LEG PRESS</v>
      </c>
      <c r="C101" s="1191">
        <f>'MSW15'!C101</f>
        <v>65</v>
      </c>
      <c r="D101" s="1192">
        <f>'MSW15'!D101</f>
        <v>30</v>
      </c>
      <c r="E101" s="1397" t="str">
        <f>'MSW15'!E101</f>
        <v/>
      </c>
      <c r="F101" s="1357" t="str">
        <f>'MSW15'!F101</f>
        <v/>
      </c>
    </row>
    <row r="102">
      <c r="A102" s="1194" t="str">
        <f>'MSW15'!A102</f>
        <v>REST 1 MIN</v>
      </c>
      <c r="B102" s="11"/>
      <c r="C102" s="11"/>
      <c r="D102" s="11"/>
      <c r="E102" s="11"/>
      <c r="F102" s="46"/>
    </row>
    <row r="103">
      <c r="A103" s="1383">
        <f>'MSW15'!A103</f>
        <v>8</v>
      </c>
      <c r="B103" s="1393" t="str">
        <f>'MSW15'!B103</f>
        <v>LEG EXTENSION</v>
      </c>
      <c r="C103" s="1185">
        <f>'MSW15'!C103</f>
        <v>25</v>
      </c>
      <c r="D103" s="1186">
        <f>'MSW15'!D103</f>
        <v>10</v>
      </c>
      <c r="E103" s="1396" t="str">
        <f>'MSW15'!E103</f>
        <v/>
      </c>
      <c r="F103" s="1357" t="str">
        <f>'MSW15'!F103</f>
        <v/>
      </c>
    </row>
    <row r="104">
      <c r="A104" s="1196"/>
      <c r="B104" s="1190" t="str">
        <f>'MSW15'!B104</f>
        <v>LEG PRESS</v>
      </c>
      <c r="C104" s="1191">
        <f>'MSW15'!C104</f>
        <v>60</v>
      </c>
      <c r="D104" s="1192">
        <f>'MSW15'!D104</f>
        <v>30</v>
      </c>
      <c r="E104" s="1397" t="str">
        <f>'MSW15'!E104</f>
        <v/>
      </c>
      <c r="F104" s="1357" t="str">
        <f>'MSW15'!F104</f>
        <v/>
      </c>
    </row>
    <row r="105">
      <c r="A105" s="1194" t="str">
        <f>'MSW15'!A105</f>
        <v>REST 1 MIN</v>
      </c>
      <c r="B105" s="11"/>
      <c r="C105" s="11"/>
      <c r="D105" s="11"/>
      <c r="E105" s="11"/>
      <c r="F105" s="46"/>
    </row>
    <row r="106">
      <c r="A106" s="1383">
        <f>'MSW15'!A106</f>
        <v>9</v>
      </c>
      <c r="B106" s="1393" t="str">
        <f>'MSW15'!B106</f>
        <v>LEG EXTENSION</v>
      </c>
      <c r="C106" s="1185">
        <f>'MSW15'!C106</f>
        <v>25</v>
      </c>
      <c r="D106" s="1186">
        <f>'MSW15'!D106</f>
        <v>10</v>
      </c>
      <c r="E106" s="1396" t="str">
        <f>'MSW15'!E106</f>
        <v/>
      </c>
      <c r="F106" s="1357" t="str">
        <f>'MSW15'!F106</f>
        <v/>
      </c>
    </row>
    <row r="107">
      <c r="A107" s="1196"/>
      <c r="B107" s="1190" t="str">
        <f>'MSW15'!B107</f>
        <v>LEG PRESS</v>
      </c>
      <c r="C107" s="1191">
        <f>'MSW15'!C107</f>
        <v>55</v>
      </c>
      <c r="D107" s="1192">
        <f>'MSW15'!D107</f>
        <v>30</v>
      </c>
      <c r="E107" s="1397" t="str">
        <f>'MSW15'!E107</f>
        <v/>
      </c>
      <c r="F107" s="1357" t="str">
        <f>'MSW15'!F107</f>
        <v/>
      </c>
    </row>
    <row r="108">
      <c r="A108" s="1194" t="str">
        <f>'MSW15'!A108</f>
        <v>REST 1 MIN</v>
      </c>
      <c r="B108" s="11"/>
      <c r="C108" s="11"/>
      <c r="D108" s="11"/>
      <c r="E108" s="11"/>
      <c r="F108" s="46"/>
    </row>
    <row r="109">
      <c r="A109" s="1383">
        <f>'MSW15'!A109</f>
        <v>10</v>
      </c>
      <c r="B109" s="1393" t="str">
        <f>'MSW15'!B109</f>
        <v>LEG EXTENSION</v>
      </c>
      <c r="C109" s="1185">
        <f>'MSW15'!C109</f>
        <v>25</v>
      </c>
      <c r="D109" s="1186">
        <f>'MSW15'!D109</f>
        <v>10</v>
      </c>
      <c r="E109" s="1396" t="str">
        <f>'MSW15'!E109</f>
        <v/>
      </c>
      <c r="F109" s="1357" t="str">
        <f>'MSW15'!F109</f>
        <v/>
      </c>
    </row>
    <row r="110">
      <c r="A110" s="1196"/>
      <c r="B110" s="1190" t="str">
        <f>'MSW15'!B110</f>
        <v>LEG PRESS</v>
      </c>
      <c r="C110" s="1191">
        <f>'MSW15'!C110</f>
        <v>50</v>
      </c>
      <c r="D110" s="1192">
        <f>'MSW15'!D110</f>
        <v>30</v>
      </c>
      <c r="E110" s="1397" t="str">
        <f>'MSW15'!E110</f>
        <v/>
      </c>
      <c r="F110" s="1357" t="str">
        <f>'MSW15'!F110</f>
        <v/>
      </c>
    </row>
    <row r="111">
      <c r="A111" t="str">
        <f>'MSW15'!A111</f>
        <v/>
      </c>
    </row>
    <row r="113">
      <c r="A113" s="581" t="str">
        <f>'MSW15'!A113</f>
        <v>CLICK TO COMPLETE WORKOUT</v>
      </c>
      <c r="B113" s="25"/>
      <c r="C113" s="25"/>
      <c r="D113" s="25"/>
      <c r="E113" s="25"/>
      <c r="F113" s="26"/>
    </row>
    <row r="114">
      <c r="A114" s="336"/>
      <c r="B114" s="11"/>
      <c r="C114" s="11"/>
      <c r="D114" s="11"/>
      <c r="E114" s="11"/>
      <c r="F114" s="46"/>
    </row>
    <row r="115">
      <c r="A115" t="str">
        <f>'MSW15'!A115</f>
        <v/>
      </c>
    </row>
    <row r="117">
      <c r="A117" s="1398" t="str">
        <f>'MSW15'!A117</f>
        <v>DAY 3</v>
      </c>
      <c r="B117" s="25"/>
      <c r="C117" s="25"/>
      <c r="D117" s="25"/>
      <c r="E117" s="25"/>
      <c r="F117" s="26"/>
    </row>
    <row r="118">
      <c r="A118" s="1107" t="str">
        <f>'MSW15'!A118</f>
        <v/>
      </c>
      <c r="B118" s="25"/>
      <c r="C118" s="25"/>
      <c r="D118" s="25"/>
      <c r="E118" s="25"/>
      <c r="F118" s="25"/>
    </row>
    <row r="120">
      <c r="A120" s="51" t="str">
        <f>'MSW15'!A120</f>
        <v>SHOULDERS &amp; ARMS</v>
      </c>
      <c r="B120" s="36"/>
      <c r="C120" s="36"/>
      <c r="D120" s="36"/>
      <c r="E120" s="36"/>
      <c r="F120" s="37"/>
      <c r="G120" s="419" t="str">
        <f>'MSW15'!G120</f>
        <v/>
      </c>
      <c r="H120" s="51" t="str">
        <f>'MSW15'!H120</f>
        <v>SHOULDERS &amp; ARMS</v>
      </c>
      <c r="I120" s="36"/>
      <c r="J120" s="36"/>
      <c r="K120" s="36"/>
      <c r="L120" s="36"/>
      <c r="M120" s="37"/>
    </row>
    <row r="121">
      <c r="A121" s="504" t="str">
        <f>'MSW15'!A121</f>
        <v>1. SHOULDER PRESS</v>
      </c>
      <c r="B121" s="53"/>
      <c r="C121" s="53"/>
      <c r="D121" s="53"/>
      <c r="E121" s="53"/>
      <c r="F121" s="54"/>
      <c r="H121" s="778" t="str">
        <f>'MSW15'!H121</f>
        <v>1. MACHINE SHOULDER PRESS</v>
      </c>
      <c r="I121" s="53"/>
      <c r="J121" s="53"/>
      <c r="K121" s="53"/>
      <c r="L121" s="53"/>
      <c r="M121" s="54"/>
    </row>
    <row r="122">
      <c r="A122" s="589" t="str">
        <f>'MSW15'!A122</f>
        <v>CURRENT MAX</v>
      </c>
      <c r="B122" s="227" t="str">
        <f>'MSW15'!B122</f>
        <v/>
      </c>
      <c r="C122" s="20"/>
      <c r="D122" s="20"/>
      <c r="E122" s="20"/>
      <c r="F122" s="95"/>
      <c r="H122" s="589" t="str">
        <f>'MSW15'!H122</f>
        <v>CURRENT MAX</v>
      </c>
      <c r="I122" s="227">
        <f>'MSW15'!I122</f>
        <v>105</v>
      </c>
      <c r="J122" s="20"/>
      <c r="K122" s="20"/>
      <c r="L122" s="20"/>
      <c r="M122" s="95"/>
    </row>
    <row r="123">
      <c r="A123" s="364" t="str">
        <f>'MSW15'!A123</f>
        <v>SET</v>
      </c>
      <c r="B123" s="365" t="str">
        <f>'MSW15'!B123</f>
        <v>WEIGHT</v>
      </c>
      <c r="C123" s="365" t="str">
        <f>'MSW15'!C123</f>
        <v>REPS</v>
      </c>
      <c r="D123" s="365" t="str">
        <f>'MSW15'!D123</f>
        <v>REST</v>
      </c>
      <c r="E123" s="609" t="str">
        <f>'MSW15'!E123</f>
        <v>PREVIOUS</v>
      </c>
      <c r="F123" s="61" t="str">
        <f>'MSW15'!F123</f>
        <v>REP LOG</v>
      </c>
      <c r="H123" s="364" t="str">
        <f>'MSW15'!H123</f>
        <v>SET</v>
      </c>
      <c r="I123" s="365" t="str">
        <f>'MSW15'!I123</f>
        <v>WEIGHT</v>
      </c>
      <c r="J123" s="365" t="str">
        <f>'MSW15'!J123</f>
        <v>REPS</v>
      </c>
      <c r="K123" s="365" t="str">
        <f>'MSW15'!K123</f>
        <v>REST</v>
      </c>
      <c r="L123" s="609" t="str">
        <f>'MSW15'!L123</f>
        <v>PREVIOUS</v>
      </c>
      <c r="M123" s="61" t="str">
        <f>'MSW15'!M123</f>
        <v>REP LOG</v>
      </c>
    </row>
    <row r="124">
      <c r="A124" s="236">
        <f>'MSW15'!A124</f>
        <v>1</v>
      </c>
      <c r="B124" s="237">
        <f>'MSW15'!B124</f>
        <v>0</v>
      </c>
      <c r="C124" s="237">
        <f>'MSW15'!C124</f>
        <v>6</v>
      </c>
      <c r="D124" s="238" t="str">
        <f>'MSW15'!D124</f>
        <v>30s</v>
      </c>
      <c r="E124" s="66" t="str">
        <f>'MSW15'!E124</f>
        <v/>
      </c>
      <c r="F124" s="67" t="str">
        <f>'MSW15'!F124</f>
        <v/>
      </c>
      <c r="H124" s="236">
        <f>'MSW15'!H124</f>
        <v>1</v>
      </c>
      <c r="I124" s="237">
        <f>'MSW15'!I124</f>
        <v>35</v>
      </c>
      <c r="J124" s="237">
        <f>'MSW15'!J124</f>
        <v>6</v>
      </c>
      <c r="K124" s="238" t="str">
        <f>'MSW15'!K124</f>
        <v>30s</v>
      </c>
      <c r="L124" s="66" t="str">
        <f>'MSW15'!L124</f>
        <v/>
      </c>
      <c r="M124" s="67" t="str">
        <f>'MSW15'!M124</f>
        <v/>
      </c>
    </row>
    <row r="125">
      <c r="A125" s="236">
        <f>'MSW15'!A125</f>
        <v>2</v>
      </c>
      <c r="B125" s="237">
        <f>'MSW15'!B125</f>
        <v>0</v>
      </c>
      <c r="C125" s="237">
        <f>'MSW15'!C125</f>
        <v>1</v>
      </c>
      <c r="D125" s="238" t="str">
        <f>'MSW15'!D125</f>
        <v>1 MIN</v>
      </c>
      <c r="E125" s="66" t="str">
        <f>'MSW15'!E125</f>
        <v/>
      </c>
      <c r="F125" s="67" t="str">
        <f>'MSW15'!F125</f>
        <v/>
      </c>
      <c r="H125" s="236">
        <f>'MSW15'!H125</f>
        <v>2</v>
      </c>
      <c r="I125" s="237">
        <f>'MSW15'!I125</f>
        <v>70</v>
      </c>
      <c r="J125" s="237">
        <f>'MSW15'!J125</f>
        <v>1</v>
      </c>
      <c r="K125" s="238" t="str">
        <f>'MSW15'!K125</f>
        <v>1 MIN</v>
      </c>
      <c r="L125" s="66" t="str">
        <f>'MSW15'!L125</f>
        <v/>
      </c>
      <c r="M125" s="67" t="str">
        <f>'MSW15'!M125</f>
        <v/>
      </c>
    </row>
    <row r="126">
      <c r="A126" s="779">
        <f>'MSW15'!A126</f>
        <v>3</v>
      </c>
      <c r="B126" s="780">
        <f>'MSW15'!B126</f>
        <v>0</v>
      </c>
      <c r="C126" s="781" t="str">
        <f>'MSW15'!C126</f>
        <v>REP OUT</v>
      </c>
      <c r="D126" s="782" t="str">
        <f>'MSW15'!D126</f>
        <v>1 MIN</v>
      </c>
      <c r="E126" s="66" t="str">
        <f>'MSW15'!E126</f>
        <v/>
      </c>
      <c r="F126" s="1399" t="str">
        <f>'MSW15'!F126</f>
        <v/>
      </c>
      <c r="H126" s="779">
        <f>'MSW15'!H126</f>
        <v>3</v>
      </c>
      <c r="I126" s="780">
        <f>'MSW15'!I126</f>
        <v>95</v>
      </c>
      <c r="J126" s="781" t="str">
        <f>'MSW15'!J126</f>
        <v>REP OUT</v>
      </c>
      <c r="K126" s="782" t="str">
        <f>'MSW15'!K126</f>
        <v>1 MIN</v>
      </c>
      <c r="L126" s="66" t="str">
        <f>'MSW15'!L126</f>
        <v/>
      </c>
      <c r="M126" s="1399" t="str">
        <f>'MSW15'!M126</f>
        <v/>
      </c>
    </row>
    <row r="127">
      <c r="A127" s="785">
        <f>'MSW15'!A127</f>
        <v>4</v>
      </c>
      <c r="B127" s="388">
        <f>'MSW15'!B127</f>
        <v>0</v>
      </c>
      <c r="C127" s="781" t="str">
        <f>'MSW15'!C127</f>
        <v>REP OUT</v>
      </c>
      <c r="D127" s="390" t="str">
        <f>'MSW15'!D127</f>
        <v>1 MIN</v>
      </c>
      <c r="E127" s="66" t="str">
        <f>'MSW15'!E127</f>
        <v/>
      </c>
      <c r="F127" s="1400" t="str">
        <f>'MSW15'!F127</f>
        <v/>
      </c>
      <c r="H127" s="785">
        <f>'MSW15'!H127</f>
        <v>4</v>
      </c>
      <c r="I127" s="388">
        <f>'MSW15'!I127</f>
        <v>80</v>
      </c>
      <c r="J127" s="781" t="str">
        <f>'MSW15'!J127</f>
        <v>REP OUT</v>
      </c>
      <c r="K127" s="390" t="str">
        <f>'MSW15'!K127</f>
        <v>1 MIN</v>
      </c>
      <c r="L127" s="66" t="str">
        <f>'MSW15'!L127</f>
        <v/>
      </c>
      <c r="M127" s="1400" t="str">
        <f>'MSW15'!M127</f>
        <v/>
      </c>
    </row>
    <row r="128">
      <c r="A128" s="787">
        <f>'MSW15'!A128</f>
        <v>5</v>
      </c>
      <c r="B128" s="788">
        <f>'MSW15'!B128</f>
        <v>0</v>
      </c>
      <c r="C128" s="789" t="str">
        <f>'MSW15'!C128</f>
        <v>REP OUT</v>
      </c>
      <c r="D128" s="397" t="str">
        <f>'MSW15'!D128</f>
        <v>1 MIN</v>
      </c>
      <c r="E128" s="72" t="str">
        <f>'MSW15'!E128</f>
        <v/>
      </c>
      <c r="F128" s="1400" t="str">
        <f>'MSW15'!F128</f>
        <v/>
      </c>
      <c r="H128" s="787">
        <f>'MSW15'!H128</f>
        <v>5</v>
      </c>
      <c r="I128" s="788">
        <f>'MSW15'!I128</f>
        <v>70</v>
      </c>
      <c r="J128" s="789" t="str">
        <f>'MSW15'!J128</f>
        <v>REP OUT</v>
      </c>
      <c r="K128" s="397" t="str">
        <f>'MSW15'!K128</f>
        <v>1 MIN</v>
      </c>
      <c r="L128" s="72" t="str">
        <f>'MSW15'!L128</f>
        <v/>
      </c>
      <c r="M128" s="1400" t="str">
        <f>'MSW15'!M128</f>
        <v/>
      </c>
    </row>
    <row r="129">
      <c r="A129" t="str">
        <f>'MSW15'!A129</f>
        <v/>
      </c>
      <c r="H129" t="str">
        <f>'MSW15'!H129</f>
        <v/>
      </c>
    </row>
    <row r="131">
      <c r="A131" s="1217" t="str">
        <f>'MSW15'!A131</f>
        <v>2. DUMBBELL REAR DELT FLY </v>
      </c>
      <c r="B131" s="53"/>
      <c r="C131" s="53"/>
      <c r="D131" s="53"/>
      <c r="E131" s="53"/>
      <c r="F131" s="54"/>
      <c r="G131" t="str">
        <f>'MSW15'!G131</f>
        <v/>
      </c>
    </row>
    <row r="132">
      <c r="A132" s="961" t="str">
        <f>'MSW15'!A132</f>
        <v>SHLDR PRSS MAX</v>
      </c>
      <c r="B132" s="76">
        <f>'MSW15'!B132</f>
        <v>0</v>
      </c>
      <c r="C132" s="13"/>
      <c r="D132" s="13"/>
      <c r="E132" s="13"/>
      <c r="F132" s="57"/>
    </row>
    <row r="133">
      <c r="A133" s="962" t="str">
        <f>'MSW15'!A133</f>
        <v>SET</v>
      </c>
      <c r="B133" s="963" t="str">
        <f>'MSW15'!B133</f>
        <v>WEIGHT</v>
      </c>
      <c r="C133" s="963" t="str">
        <f>'MSW15'!C133</f>
        <v>REPS</v>
      </c>
      <c r="D133" s="963" t="str">
        <f>'MSW15'!D133</f>
        <v>REST</v>
      </c>
      <c r="E133" s="1073" t="str">
        <f>'MSW15'!E133</f>
        <v>PREVIOUS</v>
      </c>
      <c r="F133" s="1006" t="str">
        <f>'MSW15'!F133</f>
        <v>REP LOG</v>
      </c>
    </row>
    <row r="134">
      <c r="A134" s="967">
        <f>'MSW15'!A134</f>
        <v>1</v>
      </c>
      <c r="B134" s="1028">
        <f>'MSW15'!B134</f>
        <v>0</v>
      </c>
      <c r="C134" s="1067" t="str">
        <f>'MSW15'!C134</f>
        <v>10 -15</v>
      </c>
      <c r="D134" s="1384" t="str">
        <f>'MSW15'!D134</f>
        <v>1-3 MIN</v>
      </c>
      <c r="E134" s="1401" t="str">
        <f>'MSW15'!E134</f>
        <v/>
      </c>
      <c r="F134" s="1017" t="str">
        <f>'MSW15'!F134</f>
        <v/>
      </c>
    </row>
    <row r="135">
      <c r="A135" s="967">
        <f>'MSW15'!A135</f>
        <v>2</v>
      </c>
      <c r="B135" s="1028">
        <f>'MSW15'!B135</f>
        <v>0</v>
      </c>
      <c r="C135" s="1067" t="str">
        <f>'MSW15'!C135</f>
        <v>10 -15</v>
      </c>
      <c r="D135" s="1384" t="str">
        <f>'MSW15'!D135</f>
        <v>1-3 MIN</v>
      </c>
      <c r="E135" s="1401" t="str">
        <f>'MSW15'!E135</f>
        <v/>
      </c>
      <c r="F135" s="1017" t="str">
        <f>'MSW15'!F135</f>
        <v/>
      </c>
    </row>
    <row r="136">
      <c r="A136" s="971">
        <f>'MSW15'!A136</f>
        <v>3</v>
      </c>
      <c r="B136" s="1123">
        <f>'MSW15'!B136</f>
        <v>0</v>
      </c>
      <c r="C136" s="1220" t="str">
        <f>'MSW15'!C136</f>
        <v>10 -15</v>
      </c>
      <c r="D136" s="1402" t="str">
        <f>'MSW15'!D136</f>
        <v>1-3 MIN</v>
      </c>
      <c r="E136" s="1403" t="str">
        <f>'MSW15'!E136</f>
        <v/>
      </c>
      <c r="F136" s="1017" t="str">
        <f>'MSW15'!F136</f>
        <v/>
      </c>
    </row>
    <row r="137">
      <c r="A137" t="str">
        <f>'MSW15'!A137</f>
        <v/>
      </c>
    </row>
    <row r="139">
      <c r="A139" s="1217" t="str">
        <f>'MSW15'!A139</f>
        <v>3. DUMBBELL SIDE LATERAL RAISE</v>
      </c>
      <c r="B139" s="53"/>
      <c r="C139" s="53"/>
      <c r="D139" s="53"/>
      <c r="E139" s="53"/>
      <c r="F139" s="54"/>
    </row>
    <row r="140">
      <c r="A140" s="1268" t="str">
        <f>'MSW15'!A140</f>
        <v>SHLDR PRSS MAX</v>
      </c>
      <c r="B140" s="76" t="str">
        <f>'MSW15'!B140</f>
        <v/>
      </c>
      <c r="C140" s="13"/>
      <c r="D140" s="13"/>
      <c r="E140" s="13"/>
      <c r="F140" s="57"/>
    </row>
    <row r="141">
      <c r="A141" s="1071" t="str">
        <f>'MSW15'!A141</f>
        <v>SET</v>
      </c>
      <c r="B141" s="1072" t="str">
        <f>'MSW15'!B141</f>
        <v>WEIGHT</v>
      </c>
      <c r="C141" s="1072" t="str">
        <f>'MSW15'!C141</f>
        <v>REPS</v>
      </c>
      <c r="D141" s="1072" t="str">
        <f>'MSW15'!D141</f>
        <v>REST</v>
      </c>
      <c r="E141" s="1073" t="str">
        <f>'MSW15'!E141</f>
        <v>PREVIOUS</v>
      </c>
      <c r="F141" s="1404" t="str">
        <f>'MSW15'!F141</f>
        <v>REP LOG</v>
      </c>
    </row>
    <row r="142">
      <c r="A142" s="1074">
        <f>'MSW15'!A142</f>
        <v>1</v>
      </c>
      <c r="B142" s="968">
        <f>'MSW15'!B142</f>
        <v>0</v>
      </c>
      <c r="C142" s="1075" t="str">
        <f>'MSW15'!C142</f>
        <v>10 - 15</v>
      </c>
      <c r="D142" s="1384" t="str">
        <f>'MSW15'!D142</f>
        <v>1-3 MIN</v>
      </c>
      <c r="E142" s="84" t="str">
        <f>'MSW15'!E142</f>
        <v/>
      </c>
      <c r="F142" s="1133" t="str">
        <f>'MSW15'!F142</f>
        <v/>
      </c>
    </row>
    <row r="143">
      <c r="A143" s="1074">
        <f>'MSW15'!A143</f>
        <v>2</v>
      </c>
      <c r="B143" s="968">
        <f>'MSW15'!B143</f>
        <v>0</v>
      </c>
      <c r="C143" s="1075" t="str">
        <f>'MSW15'!C143</f>
        <v>10 - 15</v>
      </c>
      <c r="D143" s="1384" t="str">
        <f>'MSW15'!D143</f>
        <v>1-3 MIN</v>
      </c>
      <c r="E143" s="84" t="str">
        <f>'MSW15'!E143</f>
        <v/>
      </c>
      <c r="F143" s="1133" t="str">
        <f>'MSW15'!F143</f>
        <v/>
      </c>
    </row>
    <row r="144">
      <c r="A144" s="1078">
        <f>'MSW15'!A144</f>
        <v>3</v>
      </c>
      <c r="B144" s="972">
        <f>'MSW15'!B144</f>
        <v>0</v>
      </c>
      <c r="C144" s="1079" t="str">
        <f>'MSW15'!C144</f>
        <v>10 - 15</v>
      </c>
      <c r="D144" s="1402" t="str">
        <f>'MSW15'!D144</f>
        <v>1-3 MIN</v>
      </c>
      <c r="E144" s="89" t="str">
        <f>'MSW15'!E144</f>
        <v/>
      </c>
      <c r="F144" s="1133" t="str">
        <f>'MSW15'!F144</f>
        <v/>
      </c>
    </row>
    <row r="145">
      <c r="A145" t="str">
        <f>'MSW15'!A145</f>
        <v/>
      </c>
    </row>
    <row r="147">
      <c r="A147" s="361" t="str">
        <f>'MSW15'!A147</f>
        <v>4.  TRICEP OVERHEAD ROPE EXTENSION</v>
      </c>
      <c r="B147" s="53"/>
      <c r="C147" s="53"/>
      <c r="D147" s="53"/>
      <c r="E147" s="53"/>
      <c r="F147" s="54"/>
    </row>
    <row r="148">
      <c r="A148" s="226" t="str">
        <f>'MSW15'!A148</f>
        <v>CURRENT MAX</v>
      </c>
      <c r="B148" s="839">
        <f>'MSW15'!B148</f>
        <v>10</v>
      </c>
      <c r="F148" s="28"/>
    </row>
    <row r="149">
      <c r="A149" s="77" t="str">
        <f>'MSW15'!A149</f>
        <v>SET</v>
      </c>
      <c r="B149" s="78" t="str">
        <f>'MSW15'!B149</f>
        <v>WEIGHT</v>
      </c>
      <c r="C149" s="78" t="str">
        <f>'MSW15'!C149</f>
        <v>REPS</v>
      </c>
      <c r="D149" s="79" t="str">
        <f>'MSW15'!D149</f>
        <v>REST</v>
      </c>
      <c r="E149" s="80" t="str">
        <f>'MSW15'!E149</f>
        <v>PREVIOUS</v>
      </c>
      <c r="F149" s="1003" t="str">
        <f>'MSW15'!F149</f>
        <v>REP LOG</v>
      </c>
    </row>
    <row r="150">
      <c r="A150" s="81">
        <f>'MSW15'!A150</f>
        <v>1</v>
      </c>
      <c r="B150" s="82">
        <f>'MSW15'!B150</f>
        <v>10</v>
      </c>
      <c r="C150" s="65" t="str">
        <f>'MSW15'!C150</f>
        <v>10 - 15</v>
      </c>
      <c r="D150" s="1384" t="str">
        <f>'MSW15'!D150</f>
        <v>1-3 MIN</v>
      </c>
      <c r="E150" s="84">
        <f>'MSW15'!E150</f>
        <v>15</v>
      </c>
      <c r="F150" s="85"/>
    </row>
    <row r="151">
      <c r="A151" s="81">
        <f>'MSW15'!A151</f>
        <v>2</v>
      </c>
      <c r="B151" s="82">
        <f>'MSW15'!B151</f>
        <v>10</v>
      </c>
      <c r="C151" s="65" t="str">
        <f>'MSW15'!C151</f>
        <v>10 - 15</v>
      </c>
      <c r="D151" s="1384" t="str">
        <f>'MSW15'!D151</f>
        <v>1-3 MIN</v>
      </c>
      <c r="E151" s="84">
        <f>'MSW15'!E151</f>
        <v>15</v>
      </c>
      <c r="F151" s="85"/>
    </row>
    <row r="152">
      <c r="A152" s="86">
        <f>'MSW15'!A152</f>
        <v>3</v>
      </c>
      <c r="B152" s="87">
        <f>'MSW15'!B152</f>
        <v>10</v>
      </c>
      <c r="C152" s="71" t="str">
        <f>'MSW15'!C152</f>
        <v>10 - 15</v>
      </c>
      <c r="D152" s="1402" t="str">
        <f>'MSW15'!D152</f>
        <v>1-3 MIN</v>
      </c>
      <c r="E152" s="89">
        <f>'MSW15'!E152</f>
        <v>15</v>
      </c>
      <c r="F152" s="85"/>
    </row>
    <row r="153">
      <c r="A153" t="str">
        <f>'MSW15'!A153</f>
        <v/>
      </c>
    </row>
    <row r="155">
      <c r="A155" s="1217" t="str">
        <f>'MSW15'!A155</f>
        <v>5. ALTERNATING DUMBBELL BICEP CURLS</v>
      </c>
      <c r="B155" s="53"/>
      <c r="C155" s="53"/>
      <c r="D155" s="53"/>
      <c r="E155" s="53"/>
      <c r="F155" s="54"/>
    </row>
    <row r="156">
      <c r="A156" s="961" t="str">
        <f>'MSW15'!A156</f>
        <v>CURRENT MAX</v>
      </c>
      <c r="B156" s="839">
        <f>'MSW15'!B156</f>
        <v>35</v>
      </c>
      <c r="F156" s="28"/>
    </row>
    <row r="157">
      <c r="A157" s="962" t="str">
        <f>'MSW15'!A157</f>
        <v>SET</v>
      </c>
      <c r="B157" s="963" t="str">
        <f>'MSW15'!B157</f>
        <v>WEIGHT</v>
      </c>
      <c r="C157" s="963" t="str">
        <f>'MSW15'!C157</f>
        <v>REPS</v>
      </c>
      <c r="D157" s="963" t="str">
        <f>'MSW15'!D157</f>
        <v>REST</v>
      </c>
      <c r="E157" s="1073" t="str">
        <f>'MSW15'!E157</f>
        <v>PREVIOUS</v>
      </c>
      <c r="F157" s="1006" t="str">
        <f>'MSW15'!F157</f>
        <v>REP LOG</v>
      </c>
    </row>
    <row r="158">
      <c r="A158" s="967">
        <f>'MSW15'!A158</f>
        <v>1</v>
      </c>
      <c r="B158" s="968">
        <f>'MSW15'!B158</f>
        <v>30</v>
      </c>
      <c r="C158" s="1067" t="str">
        <f>'MSW15'!C158</f>
        <v>10 - 15</v>
      </c>
      <c r="D158" s="1076" t="str">
        <f>'MSW15'!D158</f>
        <v>1 MIN</v>
      </c>
      <c r="E158" s="1235" t="str">
        <f>'MSW15'!E158</f>
        <v/>
      </c>
      <c r="F158" s="984"/>
    </row>
    <row r="159">
      <c r="A159" s="967">
        <f>'MSW15'!A159</f>
        <v>2</v>
      </c>
      <c r="B159" s="968">
        <f>'MSW15'!B159</f>
        <v>10</v>
      </c>
      <c r="C159" s="1067" t="str">
        <f>'MSW15'!C159</f>
        <v>10 - 15</v>
      </c>
      <c r="D159" s="1076" t="str">
        <f>'MSW15'!D159</f>
        <v>1 MIN</v>
      </c>
      <c r="E159" s="1235" t="str">
        <f>'MSW15'!E159</f>
        <v/>
      </c>
      <c r="F159" s="984"/>
    </row>
    <row r="160">
      <c r="A160" s="971">
        <f>'MSW15'!A160</f>
        <v>3</v>
      </c>
      <c r="B160" s="972">
        <f>'MSW15'!B160</f>
        <v>10</v>
      </c>
      <c r="C160" s="1220" t="str">
        <f>'MSW15'!C160</f>
        <v>10 - 15</v>
      </c>
      <c r="D160" s="1080" t="str">
        <f>'MSW15'!D160</f>
        <v>1 MIN</v>
      </c>
      <c r="E160" s="1271" t="str">
        <f>'MSW15'!E160</f>
        <v/>
      </c>
      <c r="F160" s="984"/>
    </row>
    <row r="161">
      <c r="A161" t="str">
        <f>'MSW15'!A161</f>
        <v/>
      </c>
    </row>
    <row r="163">
      <c r="A163" s="1149" t="str">
        <f>'MSW15'!A163</f>
        <v>WORKOUT COMPLETE!</v>
      </c>
      <c r="B163" s="36"/>
      <c r="C163" s="36"/>
      <c r="D163" s="36"/>
      <c r="E163" s="36"/>
      <c r="F163" s="37"/>
    </row>
    <row r="164">
      <c r="A164" s="623" t="str">
        <f>'MSW15'!A164</f>
        <v/>
      </c>
    </row>
    <row r="165">
      <c r="A165" s="1275" t="str">
        <f>'MSW15'!A165</f>
        <v>WANT TO LEARN MORE?</v>
      </c>
      <c r="B165" s="25"/>
      <c r="C165" s="25"/>
      <c r="D165" s="25"/>
      <c r="E165" s="25"/>
      <c r="F165" s="26"/>
    </row>
    <row r="166">
      <c r="A166" s="529"/>
      <c r="F166" s="28"/>
    </row>
    <row r="167">
      <c r="A167" s="1276" t="str">
        <f>'MSW15'!A167</f>
        <v/>
      </c>
      <c r="B167" s="999" t="str">
        <f>'MSW15'!B167</f>
        <v/>
      </c>
      <c r="C167" s="1150" t="str">
        <f>'MSW15'!C167</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67" s="28"/>
    </row>
    <row r="168">
      <c r="A168" s="1276" t="str">
        <f>'MSW15'!A168</f>
        <v/>
      </c>
      <c r="B168" s="999" t="str">
        <f>'MSW15'!B168</f>
        <v/>
      </c>
      <c r="F168" s="28"/>
    </row>
    <row r="169">
      <c r="A169" s="1276" t="str">
        <f>'MSW15'!A169</f>
        <v/>
      </c>
      <c r="B169" s="999" t="str">
        <f>'MSW15'!B169</f>
        <v/>
      </c>
      <c r="F169" s="28"/>
    </row>
    <row r="170">
      <c r="A170" s="1276" t="str">
        <f>'MSW15'!A170</f>
        <v/>
      </c>
      <c r="B170" s="999" t="str">
        <f>'MSW15'!B170</f>
        <v/>
      </c>
      <c r="F170" s="28"/>
    </row>
    <row r="171">
      <c r="A171" s="1276" t="str">
        <f>'MSW15'!A171</f>
        <v/>
      </c>
      <c r="B171" s="999" t="str">
        <f>'MSW15'!B171</f>
        <v/>
      </c>
      <c r="F171" s="28"/>
    </row>
    <row r="172">
      <c r="A172" s="1276" t="str">
        <f>'MSW15'!A172</f>
        <v/>
      </c>
      <c r="B172" s="999" t="str">
        <f>'MSW15'!B172</f>
        <v/>
      </c>
      <c r="F172" s="28"/>
    </row>
    <row r="173">
      <c r="A173" s="1277" t="str">
        <f>'MSW15'!A173</f>
        <v/>
      </c>
      <c r="B173" s="999" t="str">
        <f>'MSW15'!B173</f>
        <v/>
      </c>
      <c r="F173" s="28"/>
    </row>
    <row r="174">
      <c r="A174" s="1276" t="str">
        <f>'MSW15'!A174</f>
        <v/>
      </c>
      <c r="B174" s="999" t="str">
        <f>'MSW15'!B174</f>
        <v/>
      </c>
      <c r="F174" s="28"/>
    </row>
    <row r="175">
      <c r="A175" s="1276" t="str">
        <f>'MSW15'!A175</f>
        <v/>
      </c>
      <c r="B175" s="999" t="str">
        <f>'MSW15'!B175</f>
        <v/>
      </c>
      <c r="F175" s="28"/>
    </row>
    <row r="176">
      <c r="A176" s="1278" t="str">
        <f>'MSW15'!A176</f>
        <v/>
      </c>
      <c r="B176" s="999" t="str">
        <f>'MSW15'!B176</f>
        <v/>
      </c>
      <c r="F176" s="28"/>
    </row>
    <row r="177">
      <c r="A177" s="1276" t="str">
        <f>'MSW15'!A177</f>
        <v/>
      </c>
      <c r="B177" s="999" t="str">
        <f>'MSW15'!B177</f>
        <v/>
      </c>
      <c r="F177" s="28"/>
    </row>
    <row r="178">
      <c r="A178" s="1276" t="str">
        <f>'MSW15'!A178</f>
        <v/>
      </c>
      <c r="B178" s="999" t="str">
        <f>'MSW15'!B178</f>
        <v/>
      </c>
      <c r="F178" s="28"/>
    </row>
    <row r="179">
      <c r="A179" s="1276" t="str">
        <f>'MSW15'!A179</f>
        <v/>
      </c>
      <c r="B179" s="999" t="str">
        <f>'MSW15'!B179</f>
        <v/>
      </c>
      <c r="F179" s="28"/>
    </row>
    <row r="180">
      <c r="A180" s="1276" t="str">
        <f>'MSW15'!A180</f>
        <v/>
      </c>
      <c r="B180" s="999" t="str">
        <f>'MSW15'!B180</f>
        <v/>
      </c>
      <c r="F180" s="28"/>
    </row>
    <row r="181">
      <c r="A181" s="1279" t="str">
        <f>'MSW15'!A181</f>
        <v/>
      </c>
      <c r="B181" s="1280" t="str">
        <f>'MSW15'!B181</f>
        <v/>
      </c>
      <c r="C181" s="11"/>
      <c r="D181" s="11"/>
      <c r="E181" s="11"/>
      <c r="F181" s="46"/>
    </row>
  </sheetData>
  <mergeCells count="106">
    <mergeCell ref="A75:F75"/>
    <mergeCell ref="A76:F76"/>
    <mergeCell ref="A59:F59"/>
    <mergeCell ref="B60:F60"/>
    <mergeCell ref="A65:F66"/>
    <mergeCell ref="A67:F67"/>
    <mergeCell ref="B68:F68"/>
    <mergeCell ref="A73:F73"/>
    <mergeCell ref="A74:F74"/>
    <mergeCell ref="A85:A86"/>
    <mergeCell ref="A88:A89"/>
    <mergeCell ref="A77:F78"/>
    <mergeCell ref="A79:F79"/>
    <mergeCell ref="B80:C80"/>
    <mergeCell ref="D80:F80"/>
    <mergeCell ref="A82:A83"/>
    <mergeCell ref="A84:F84"/>
    <mergeCell ref="A87:F87"/>
    <mergeCell ref="A100:A101"/>
    <mergeCell ref="A102:F102"/>
    <mergeCell ref="A90:F90"/>
    <mergeCell ref="A91:A92"/>
    <mergeCell ref="A93:F93"/>
    <mergeCell ref="A94:A95"/>
    <mergeCell ref="A96:F96"/>
    <mergeCell ref="A97:A98"/>
    <mergeCell ref="A99:F99"/>
    <mergeCell ref="A103:A104"/>
    <mergeCell ref="A105:F105"/>
    <mergeCell ref="A106:A107"/>
    <mergeCell ref="A108:F108"/>
    <mergeCell ref="A109:A110"/>
    <mergeCell ref="A111:F112"/>
    <mergeCell ref="A113:F114"/>
    <mergeCell ref="A115:F116"/>
    <mergeCell ref="A117:F117"/>
    <mergeCell ref="G120:G130"/>
    <mergeCell ref="A121:F121"/>
    <mergeCell ref="B122:F122"/>
    <mergeCell ref="A129:F130"/>
    <mergeCell ref="A131:F131"/>
    <mergeCell ref="A153:F154"/>
    <mergeCell ref="A155:F155"/>
    <mergeCell ref="B156:F156"/>
    <mergeCell ref="A161:F162"/>
    <mergeCell ref="A163:F163"/>
    <mergeCell ref="A164:F164"/>
    <mergeCell ref="A165:F166"/>
    <mergeCell ref="C167:F181"/>
    <mergeCell ref="B132:F132"/>
    <mergeCell ref="A137:F138"/>
    <mergeCell ref="A139:F139"/>
    <mergeCell ref="B140:F140"/>
    <mergeCell ref="A145:F146"/>
    <mergeCell ref="A147:F147"/>
    <mergeCell ref="B148:F148"/>
    <mergeCell ref="H129:M130"/>
    <mergeCell ref="G131:M181"/>
    <mergeCell ref="H37:M37"/>
    <mergeCell ref="I38:M38"/>
    <mergeCell ref="G40:G41"/>
    <mergeCell ref="G42:M119"/>
    <mergeCell ref="H120:M120"/>
    <mergeCell ref="H121:M121"/>
    <mergeCell ref="I122:M122"/>
    <mergeCell ref="A12:F12"/>
    <mergeCell ref="A13:F13"/>
    <mergeCell ref="H16:M16"/>
    <mergeCell ref="A17:M18"/>
    <mergeCell ref="A19:F19"/>
    <mergeCell ref="H19:M19"/>
    <mergeCell ref="H20:M20"/>
    <mergeCell ref="I21:M21"/>
    <mergeCell ref="H27:M27"/>
    <mergeCell ref="H29:M29"/>
    <mergeCell ref="A1:M8"/>
    <mergeCell ref="A9:F9"/>
    <mergeCell ref="G9:G16"/>
    <mergeCell ref="H9:M9"/>
    <mergeCell ref="A10:F11"/>
    <mergeCell ref="H10:M10"/>
    <mergeCell ref="H12:M15"/>
    <mergeCell ref="A14:F15"/>
    <mergeCell ref="A16:F16"/>
    <mergeCell ref="G19:G26"/>
    <mergeCell ref="A20:F20"/>
    <mergeCell ref="B21:F21"/>
    <mergeCell ref="A27:F27"/>
    <mergeCell ref="A29:F29"/>
    <mergeCell ref="B34:F34"/>
    <mergeCell ref="G27:G28"/>
    <mergeCell ref="G29:G34"/>
    <mergeCell ref="I34:M34"/>
    <mergeCell ref="A35:M36"/>
    <mergeCell ref="A37:F37"/>
    <mergeCell ref="B38:F38"/>
    <mergeCell ref="G38:G39"/>
    <mergeCell ref="A118:F119"/>
    <mergeCell ref="A120:F120"/>
    <mergeCell ref="A42:F43"/>
    <mergeCell ref="A44:F44"/>
    <mergeCell ref="B45:F45"/>
    <mergeCell ref="A51:F51"/>
    <mergeCell ref="A54:F54"/>
    <mergeCell ref="B57:F57"/>
    <mergeCell ref="A58:F58"/>
  </mergeCells>
  <dataValidations>
    <dataValidation type="decimal" allowBlank="1" showDropDown="1" showInputMessage="1" showErrorMessage="1" prompt="Enter a number between 0 and 30" sqref="F22:F26 M22:M26 F28 M28 F30:F33 M30:M33 F39:F41 M39:M41 F46:F50 F52:F53 F55:F56 F61:F64 F69:F72 F81:F83 F85:F86 F88:F89 F91:F92 F94:F95 F97:F98 F100:F101 F103:F104 F106:F107 F109:F110 F123:F128 M123:M128 F133:F136 F141:F144 F149:F152 F157:F160">
      <formula1>0.0</formula1>
      <formula2>30.0</formula2>
    </dataValidation>
    <dataValidation type="decimal" operator="greaterThan" allowBlank="1" showDropDown="1" showErrorMessage="1" sqref="M11">
      <formula1>0.0</formula1>
    </dataValidation>
  </dataValidation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60" t="str">
        <f>HYPERLINK("https://www.youtube.com/watch?v=dVterVQksD4","2. LEG PRESS")</f>
        <v>2. LEG PRESS</v>
      </c>
      <c r="B1" s="53"/>
      <c r="C1" s="53"/>
      <c r="D1" s="53"/>
      <c r="E1" s="53"/>
      <c r="F1" s="54"/>
      <c r="H1" s="51"/>
      <c r="I1" s="36"/>
      <c r="J1" s="36"/>
      <c r="K1" s="36"/>
      <c r="L1" s="36"/>
      <c r="M1" s="37"/>
    </row>
    <row r="2">
      <c r="A2" s="961" t="s">
        <v>119</v>
      </c>
      <c r="B2" s="1405">
        <v>300.0</v>
      </c>
      <c r="C2" s="13"/>
      <c r="D2" s="13"/>
      <c r="E2" s="13"/>
      <c r="F2" s="57"/>
    </row>
    <row r="3">
      <c r="A3" s="962" t="s">
        <v>50</v>
      </c>
      <c r="B3" s="1203" t="s">
        <v>51</v>
      </c>
      <c r="C3" s="963" t="s">
        <v>52</v>
      </c>
      <c r="D3" s="963" t="s">
        <v>53</v>
      </c>
      <c r="E3" s="1073" t="s">
        <v>54</v>
      </c>
      <c r="F3" s="1006" t="s">
        <v>55</v>
      </c>
    </row>
    <row r="4">
      <c r="A4" s="1307">
        <v>1.0</v>
      </c>
      <c r="B4" s="1015">
        <f>mround(B2*0.5,5)</f>
        <v>150</v>
      </c>
      <c r="C4" s="1234">
        <v>10.0</v>
      </c>
      <c r="D4" s="1028" t="s">
        <v>127</v>
      </c>
      <c r="E4" s="1130" t="str">
        <f>IF('WEEK 14'!B19=B4,'WEEK 14'!F19,"")</f>
        <v/>
      </c>
      <c r="F4" s="1131">
        <v>10.0</v>
      </c>
    </row>
    <row r="5">
      <c r="A5" s="967">
        <v>2.0</v>
      </c>
      <c r="B5" s="1015">
        <f>mround(B2*0.8,5)</f>
        <v>240</v>
      </c>
      <c r="C5" s="1067">
        <v>10.0</v>
      </c>
      <c r="D5" s="1028" t="s">
        <v>127</v>
      </c>
      <c r="E5" s="1130" t="str">
        <f>IF('WEEK 14'!B20=B5,'WEEK 14'!F20,"")</f>
        <v/>
      </c>
      <c r="F5" s="1011">
        <v>10.0</v>
      </c>
    </row>
    <row r="6">
      <c r="A6" s="1308">
        <v>3.0</v>
      </c>
      <c r="B6" s="1205">
        <f>mround(B2*0.9,5)</f>
        <v>270</v>
      </c>
      <c r="C6" s="1239">
        <v>10.0</v>
      </c>
      <c r="D6" s="1028" t="s">
        <v>127</v>
      </c>
      <c r="E6" s="1130" t="str">
        <f>IF('WEEK 14'!B21=B6,'WEEK 14'!F21,"")</f>
        <v/>
      </c>
      <c r="F6" s="1011">
        <v>10.0</v>
      </c>
    </row>
    <row r="7">
      <c r="A7" s="1308">
        <f>IF(OR(ISBLANK(F4),ISBLANK(F5),ISBLANK(F6),),"",IF(F6&lt;10,"",4))</f>
        <v>4</v>
      </c>
      <c r="B7" s="1210">
        <f t="shared" ref="B7:B11" si="1">IF(F6&lt;10,"",IF(F6&gt;=10,MROUND(B6+B6*0.05,5),))</f>
        <v>285</v>
      </c>
      <c r="C7" s="1205">
        <f>IF(OR(ISBLANK(F4),ISBLANK(F5),ISBLANK(F6)),"",IF(F6&lt;10,"",10))</f>
        <v>10</v>
      </c>
      <c r="D7" s="1234" t="str">
        <f>IF(OR(ISBLANK(F4),ISBLANK(F5),ISBLANK(F6)),"",IF(F6&gt;=10,"1-3 MIN",""))</f>
        <v>1-3 MIN</v>
      </c>
      <c r="E7" s="1130" t="str">
        <f>IF('WEEK 14'!B22=B7,'WEEK 14'!F22,"")</f>
        <v/>
      </c>
      <c r="F7" s="1406">
        <v>10.0</v>
      </c>
    </row>
    <row r="8">
      <c r="A8" s="1308" t="str">
        <f>IF(OR(ISBLANK(F4),ISBLANK(F5),ISBLANK(F6),ISBLANK(F7)), "",IF(F7&gt;=10,"5",""))</f>
        <v>5</v>
      </c>
      <c r="B8" s="1243">
        <f t="shared" si="1"/>
        <v>300</v>
      </c>
      <c r="C8" s="1234" t="str">
        <f>IF(OR(ISBLANK(F4),ISBLANK(F5),ISBLANK(F6),ISBLANK(F7)), "",IF(F7&gt;=10,"10",""))</f>
        <v>10</v>
      </c>
      <c r="D8" s="1234" t="str">
        <f>IF(OR(ISBLANK(F4),ISBLANK(F5),ISBLANK(F6),ISBLANK(F7)), "",IF(F7&gt;=10,"1-3 MIN",""))</f>
        <v>1-3 MIN</v>
      </c>
      <c r="E8" s="1130" t="str">
        <f>IF('WEEK 14'!B23=B8,'WEEK 14'!F23,"")</f>
        <v/>
      </c>
      <c r="F8" s="1011">
        <v>10.0</v>
      </c>
    </row>
    <row r="9">
      <c r="A9" s="1310" t="str">
        <f>IF(OR(ISBLANK(F4),ISBLANK(F5),ISBLANK(F6),ISBLANK(F7),ISBLANK(F8)), "",IF(F8&lt;10,"","6"))</f>
        <v>6</v>
      </c>
      <c r="B9" s="1243">
        <f t="shared" si="1"/>
        <v>315</v>
      </c>
      <c r="C9" s="1311" t="str">
        <f>IF(OR(ISBLANK(F4),ISBLANK(F5),ISBLANK(F6),ISBLANK(F7),ISBLANK(F8)), "",IF(F8&gt;=10,"10",""))</f>
        <v>10</v>
      </c>
      <c r="D9" s="1234" t="str">
        <f>IF(OR(ISBLANK(F4),ISBLANK(F5),ISBLANK(F6),ISBLANK(F7),ISBLANK(F8)), "",IF(F8&gt;=10,"1-3 MIN",""))</f>
        <v>1-3 MIN</v>
      </c>
      <c r="E9" s="1130" t="str">
        <f>IF('WEEK 14'!B24=B9,'WEEK 14'!F24,"")</f>
        <v/>
      </c>
      <c r="F9" s="1011">
        <v>10.0</v>
      </c>
    </row>
    <row r="10">
      <c r="A10" s="1310">
        <f>IF(OR(ISBLANK(F4),ISBLANK(F5),ISBLANK(F6),ISBLANK(F7),ISBLANK(F8),ISBLANK(F9)), "",IF(F9&lt;10,"",7))</f>
        <v>7</v>
      </c>
      <c r="B10" s="1243">
        <f t="shared" si="1"/>
        <v>330</v>
      </c>
      <c r="C10" s="1311" t="str">
        <f>IF(OR(ISBLANK(F4),ISBLANK(F5),ISBLANK(F6),ISBLANK(F7),ISBLANK(F8),ISBLANK(F9)), "",IF(F9&gt;=10,C9,""))</f>
        <v>10</v>
      </c>
      <c r="D10" s="1234" t="str">
        <f>IF(OR(ISBLANK(F4),ISBLANK(F5),ISBLANK(F6),ISBLANK(F7),ISBLANK(F8),ISBLANK(F9)), "",IF(F9&gt;=10,D9,""))</f>
        <v>1-3 MIN</v>
      </c>
      <c r="E10" s="1130" t="str">
        <f>IF('WEEK 14'!B25=B10,'WEEK 14'!F25,"")</f>
        <v/>
      </c>
      <c r="F10" s="1340">
        <v>10.0</v>
      </c>
    </row>
    <row r="11">
      <c r="A11" s="1407" t="str">
        <f>IF(OR(ISBLANK(F4),ISBLANK(F5),ISBLANK(F6),ISBLANK(F7),ISBLANK(F8),ISBLANK(F9),ISBLANK(F10)), "",IF(F10&lt;10,"","8"))</f>
        <v>8</v>
      </c>
      <c r="B11" s="1243">
        <f t="shared" si="1"/>
        <v>345</v>
      </c>
      <c r="C11" s="1408" t="str">
        <f>IF(OR(ISBLANK(F4),ISBLANK(F5),ISBLANK(F6),ISBLANK(F7),ISBLANK(F8),ISBLANK(F9),ISBLANK(F10)), "",IF(F10&gt;=10,"10",""))</f>
        <v>10</v>
      </c>
      <c r="D11" s="1409" t="str">
        <f>IF(OR(ISBLANK(F4),ISBLANK(F5),ISBLANK(F6),ISBLANK(F7),ISBLANK(F8),ISBLANK(F9),ISBLANK(F10)), "",IF(F10&gt;=10,"1-3 MIN",""))</f>
        <v>1-3 MIN</v>
      </c>
      <c r="E11" s="1130" t="str">
        <f>IF('WEEK 14'!B26=B11,'WEEK 14'!F26,"")</f>
        <v/>
      </c>
      <c r="F11" s="1336">
        <v>10.0</v>
      </c>
    </row>
    <row r="12">
      <c r="A12" s="1410">
        <v>8.0</v>
      </c>
      <c r="B12" s="1243"/>
      <c r="C12" s="1408"/>
      <c r="D12" s="1409"/>
      <c r="E12" s="1130"/>
      <c r="F12" s="1336"/>
    </row>
    <row r="13">
      <c r="A13" s="1410">
        <v>8.0</v>
      </c>
      <c r="B13" s="1243"/>
      <c r="C13" s="1408"/>
      <c r="D13" s="1409"/>
      <c r="E13" s="1130"/>
      <c r="F13" s="1336"/>
    </row>
    <row r="14">
      <c r="A14" s="1410">
        <v>8.0</v>
      </c>
      <c r="B14" s="1243"/>
      <c r="C14" s="1408"/>
      <c r="D14" s="1409"/>
      <c r="E14" s="1130"/>
      <c r="F14" s="1336"/>
    </row>
    <row r="15">
      <c r="A15" s="1407" t="str">
        <f>IF(OR(ISBLANK(F4),ISBLANK(F5),ISBLANK(F6),ISBLANK(F7),ISBLANK(F8),ISBLANK(F9),ISBLANK(F10),ISBLANK(F11)), "",IF(F11&lt;10,"","9"))</f>
        <v>9</v>
      </c>
      <c r="B15" s="1243">
        <f>IF(F11&lt;10,"",IF(F11&gt;=10,MROUND(B11+B11*0.05,5),))</f>
        <v>360</v>
      </c>
      <c r="C15" s="1408" t="str">
        <f>IF(OR(ISBLANK(F4),ISBLANK(F5),ISBLANK(F6),ISBLANK(F7),ISBLANK(F8),ISBLANK(F9),ISBLANK(F10),ISBLANK(F11)), "",IF(F11&gt;=10,"10",""))</f>
        <v>10</v>
      </c>
      <c r="D15" s="1409" t="str">
        <f>IF(OR(ISBLANK(F4),ISBLANK(F5),ISBLANK(F6),ISBLANK(F7),ISBLANK(F8),ISBLANK(F9),ISBLANK(F10),ISBLANK(F11)), "",IF(F11&gt;=10,"1-3 MIN",""))</f>
        <v>1-3 MIN</v>
      </c>
      <c r="E15" s="1130" t="str">
        <f>IF('WEEK 14'!B27=B15,'WEEK 14'!F27,"")</f>
        <v/>
      </c>
      <c r="F15" s="1336">
        <v>10.0</v>
      </c>
    </row>
    <row r="16">
      <c r="A16" s="1411" t="str">
        <f>IF(OR(ISBLANK(F5),ISBLANK(F6),ISBLANK(F7),ISBLANK(F8),ISBLANK(F9),ISBLANK(F10),ISBLANK(F11),ISBLANK(F15)), "",IF(F15&lt;10,"","10"))</f>
        <v>10</v>
      </c>
      <c r="B16" s="1412">
        <f>IF(F15&lt;10,"",IF(F15&gt;=10,MROUND(B15+B15*0.05,5),))</f>
        <v>380</v>
      </c>
      <c r="C16" s="1413" t="str">
        <f>IF(OR(ISBLANK(F5),ISBLANK(F6),ISBLANK(F7),ISBLANK(F8),ISBLANK(F9),ISBLANK(F10),ISBLANK(F11),ISBLANK(F15)), "",IF(F15&gt;=10,"10",""))</f>
        <v>10</v>
      </c>
      <c r="D16" s="1414" t="str">
        <f>IF(OR(ISBLANK(F5),ISBLANK(F6),ISBLANK(F7),ISBLANK(F8),ISBLANK(F9),ISBLANK(F10),ISBLANK(F11),ISBLANK(F15)), "",IF(F15&gt;=10,"1-3 MIN",""))</f>
        <v>1-3 MIN</v>
      </c>
      <c r="E16" s="1130" t="str">
        <f>IF('WEEK 14'!B28=B16,'WEEK 14'!F28,"")</f>
        <v/>
      </c>
      <c r="F16" s="1085"/>
      <c r="H16" s="25"/>
      <c r="I16" s="25"/>
      <c r="J16" s="25"/>
      <c r="K16" s="25"/>
      <c r="L16" s="25"/>
      <c r="M16" s="25"/>
    </row>
    <row r="17">
      <c r="A17" s="1415" t="s">
        <v>133</v>
      </c>
      <c r="B17" s="20"/>
      <c r="C17" s="20"/>
      <c r="D17" s="20"/>
      <c r="E17" s="20"/>
      <c r="F17" s="95"/>
      <c r="H17" s="414"/>
      <c r="I17" s="1416"/>
      <c r="J17" s="1417"/>
      <c r="K17" s="416"/>
      <c r="L17" s="1418"/>
      <c r="M17" s="416"/>
    </row>
    <row r="18">
      <c r="A18" s="570" t="str">
        <f>IF(OR(ISBLANK(F6),ISBLANK(F5),ISBLANK(F4)),"",IF(F6&lt;10,4,IF(F7&lt;10,5,IF(F8&lt;10,6,IF(F9&lt;10,7,IF(F10&lt;10,8,IF(F11&lt;10,9,IF(F15&lt;10,10,""))))))))</f>
        <v/>
      </c>
      <c r="B18" s="1210" t="str">
        <f>IF(OR(ISBLANK(F6),ISBLANK(F5),ISBLANK(F4)),"",IF(F6&lt;10,B5,IF(F7&lt;10,B6,IF(F8&lt;10,B7,IF(F9&lt;10,B8,IF(F10&lt;10,B9,IF(F11&lt;10,B10,IF(F15&lt;10,B11,""))))))))</f>
        <v/>
      </c>
      <c r="C18" s="1243" t="str">
        <f>IF(OR(ISBLANK(F6),ISBLANK(F5),ISBLANK(F4)),"",IF(F6&lt;10,10,IF(F7&lt;10,10,IF(F8&lt;10,10,IF(F9&lt;10,10,IF(F10&lt;10,10,IF(F11&lt;10,10,IF(F15&lt;10,10,""))))))))</f>
        <v/>
      </c>
      <c r="D18" s="1210" t="str">
        <f>IF(OR(ISBLANK(F6),ISBLANK(F5),ISBLANK(F4)),"",IF(F6&lt;10,"1-3 MIN",IF(F7&lt;10,"1-3 MIN",IF(F8&lt;10,"1-3 MIN",IF(F9&lt;10,"1-3 MIN",IF(F10&lt;10,"1-3 MIN",IF(F11&lt;10,"1-3 MIN",IF(F15&lt;10,"1-3 MIN",""))))))))</f>
        <v/>
      </c>
      <c r="E18" s="1130" t="str">
        <f>IF('WEEK 14'!B30=B18,'WEEK 14'!F30,"")</f>
        <v/>
      </c>
      <c r="F18" s="1419">
        <v>10.0</v>
      </c>
      <c r="H18" s="850"/>
      <c r="I18" s="850"/>
      <c r="J18" s="850"/>
      <c r="K18" s="850"/>
      <c r="L18" s="850"/>
    </row>
    <row r="19">
      <c r="A19" s="1420" t="str">
        <f>IF(OR(ISBLANK(F6),ISBLANK(F5),ISBLANK(F4)),"",IF(F6&lt;10,5,IF(F7&lt;10,6,IF(F8&lt;10,7,IF(F9&lt;10,8,IF(F10&lt;10,9,IF(F11&lt;10,"","")))))))</f>
        <v/>
      </c>
      <c r="B19" s="1421" t="b">
        <f>IF(OR(ISBLANK(F18),ISBLANK(A7),ISBLANK(F7)),"",IF((AND(A7=4,A18=5)),if(F18&gt;=10,B18,IF(OR(ISBLANK(F6),ISBLANK(F5),ISBLANK(F4)),"",IF(F6&lt;10,MROUND(B18-(B18*20%),5),IF(F7&lt;10,MROUND(B18-(B18*20%),5),IF(F8&lt;10,MROUND(B18-(B18*20%),5),IF(F9&lt;10,MROUND(B18-(B18*20%),5),IF(F10&lt;10,MROUND(B18-(B18*20%),5),IF(F11&lt;10,"",IF(F18&gt;10,B18,MROUND(B18-(B18*20%),5),"")))))))))))</f>
        <v>0</v>
      </c>
      <c r="C19" s="1422" t="str">
        <f>IF(OR(ISBLANK(F6),ISBLANK(F5),ISBLANK(F4)),"",IF(F6&lt;10,10,IF(F7&lt;10,10,IF(F8&lt;10,10,IF(F9&lt;10,10,IF(F10&lt;10,10,IF(F11&lt;10,"","")))))))</f>
        <v/>
      </c>
      <c r="D19" s="1421" t="str">
        <f>IF(OR(ISBLANK(F6),ISBLANK(F5),ISBLANK(F4)),"",IF(F6&lt;10,"1-3 MIN",IF(F7&lt;10,"1-3 MIN",IF(F8&lt;10,"1-3 MIN",IF(F9&lt;10,"1-3 MIN",IF(F10&lt;10,"1-3 MIN",IF(F11&lt;10,"","")))))))</f>
        <v/>
      </c>
      <c r="E19" s="1130" t="str">
        <f>IF('WEEK 14'!B31=B19,'WEEK 14'!F31,"")</f>
        <v/>
      </c>
      <c r="F19" s="1011"/>
    </row>
    <row r="20">
      <c r="A20" s="1423" t="str">
        <f>IF(OR(ISBLANK(F6),ISBLANK(F5),ISBLANK(F4)),"",IF(F6&lt;10,6,IF(F7&lt;10,7,IF(F8&lt;10,8,IF(F9&lt;10,9,IF(F10&lt;10,"",""))))))</f>
        <v/>
      </c>
      <c r="B20" s="1421" t="str">
        <f>IF(OR(ISBLANK(F6),ISBLANK(F5),ISBLANK(F4)),"",IF(F6&lt;10,MROUND(B19-(B19*20%),5),IF(F7&lt;10,MROUND(B19-(B19*20%),5),IF(F8&lt;10,MROUND(B19-(B19*20%),5),IF(F9&lt;10,MROUND(B19-(B19*20%),5),IF(F10&lt;10,"",""))))))</f>
        <v/>
      </c>
      <c r="C20" s="1422" t="str">
        <f>IF(OR(ISBLANK(F6),ISBLANK(F5),ISBLANK(F4)),"",IF(F6&lt;10,10,IF(F7&lt;10,10,IF(F8&lt;10,10,IF(F9&lt;10,10,IF(F10&lt;10,"",""))))))</f>
        <v/>
      </c>
      <c r="D20" s="1421" t="str">
        <f>IF(OR(ISBLANK(F6),ISBLANK(F5),ISBLANK(F4)),"",IF(F6&lt;10,"1-3 MIN",IF(F7&lt;10,"1-3 MIN",IF(F8&lt;10,"1-3 MIN",IF(F9&lt;10,"1-3 MIN",IF(F10&lt;10,"",""))))))</f>
        <v/>
      </c>
      <c r="E20" s="1424"/>
      <c r="F20" s="1017"/>
    </row>
    <row r="21">
      <c r="A21" s="1423" t="str">
        <f>IF(OR(ISBLANK(F6),ISBLANK(F5),ISBLANK(F4)),"",IF(F6&lt;10,7,IF(F7&lt;10,8,IF(F8&lt;10,9,IF(F9&lt;10,"","")))))</f>
        <v/>
      </c>
      <c r="B21" s="1421" t="str">
        <f>IF(OR(ISBLANK(F6),ISBLANK(F5),ISBLANK(F4)),"",IF(F6&lt;10,MROUND(B20-(B20*20%),5),IF(F7&lt;10,MROUND(B20-(B20*20%),5),IF(F8&lt;10,MROUND(B20-(B20*20%),5),IF(F9&lt;10,"","")))))</f>
        <v/>
      </c>
      <c r="C21" s="1422" t="str">
        <f>IF(OR(ISBLANK(F6),ISBLANK(F5),ISBLANK(F4)),"",IF(F6&lt;10,10,IF(F7&lt;10,10,IF(F8&lt;10,10,IF(F9&lt;10,"","")))))</f>
        <v/>
      </c>
      <c r="D21" s="1425" t="str">
        <f>IF(OR(ISBLANK(F6),ISBLANK(F5),ISBLANK(F4)),"",IF(F6&lt;10,"1-3 MIN",IF(F7&lt;10,"1-3 MIN",IF(F8&lt;10,"1-3 MIN",IF(F9&lt;10,"","")))))</f>
        <v/>
      </c>
      <c r="E21" s="1424"/>
      <c r="F21" s="1017"/>
    </row>
    <row r="22">
      <c r="A22" s="1420" t="str">
        <f>IF(OR(ISBLANK(F6),ISBLANK(F5),ISBLANK(F4)),"",IF(F6&lt;10,8,IF(F7&lt;10,9,IF(F8&lt;10,"",""))))</f>
        <v/>
      </c>
      <c r="B22" s="1421" t="str">
        <f>IF(OR(ISBLANK(F6),ISBLANK(F5),ISBLANK(F4)),"",IF(F6&lt;10,MROUND(B21-(B21*20%),5),IF(F7&lt;10,MROUND(B21-(B21*20%),5),IF(F8&lt;10,"",""))))</f>
        <v/>
      </c>
      <c r="C22" s="1422" t="str">
        <f>IF(OR(ISBLANK(F6),ISBLANK(F5),ISBLANK(F4)),"",IF(F6&lt;10,10,IF(F7&lt;10,10,IF(F8&lt;10,"",""))))</f>
        <v/>
      </c>
      <c r="D22" s="1425" t="str">
        <f>IF(OR(ISBLANK(F6),ISBLANK(F5),ISBLANK(F4)),"",IF(F6&lt;10,"1-3 MIN",IF(F7&lt;10,"1-3 MIN",IF(F8&lt;10,"",""))))</f>
        <v/>
      </c>
      <c r="E22" s="1424"/>
      <c r="F22" s="1017"/>
    </row>
    <row r="23">
      <c r="A23" s="1423" t="str">
        <f>IF(OR(ISBLANK(F6),ISBLANK(F5),ISBLANK(F4)),"",IF(F6&lt;10,9,IF(F7&lt;10,10,"")))</f>
        <v/>
      </c>
      <c r="B23" s="1421" t="str">
        <f>IF(OR(ISBLANK(F6),ISBLANK(F5),ISBLANK(F4)),"",IF(F6&lt;10,MROUND(B22-(B22*20%),5),IF(F7&lt;10,MROUND(B22-(B22*20%),5),"")))</f>
        <v/>
      </c>
      <c r="C23" s="1422" t="str">
        <f>IF(OR(ISBLANK(F6),ISBLANK(F5),ISBLANK(F4)),"",IF(F6&lt;10,10,IF(F7&lt;10,10,"")))</f>
        <v/>
      </c>
      <c r="D23" s="1425" t="str">
        <f>IF(OR(ISBLANK(F6),ISBLANK(F5),ISBLANK(F4)),"",IF(F6&lt;10,"1-3 MIN",IF(F7&lt;10,"1-3 MIN","")))</f>
        <v/>
      </c>
      <c r="E23" s="1426"/>
      <c r="F23" s="1017"/>
    </row>
    <row r="24">
      <c r="A24" s="1177" t="s">
        <v>124</v>
      </c>
      <c r="B24" s="1246">
        <f>IF(F15&gt;=10,B15,IF(F11&gt;=10,B11,IF(F10&gt;=10,B10,if(F9&gt;=10,B9,IF(F8&gt;=10,B8,IF(F7&gt;=10,B7,IF(F6&gt;=10,B6,IF(F5&gt;=10,B5,""))))))))</f>
        <v>360</v>
      </c>
      <c r="C24" s="11"/>
      <c r="D24" s="11"/>
      <c r="E24" s="11"/>
      <c r="F24" s="46"/>
    </row>
    <row r="32">
      <c r="A32" s="1427" t="s">
        <v>252</v>
      </c>
      <c r="B32" s="13"/>
      <c r="C32" s="13"/>
      <c r="D32" s="13"/>
      <c r="E32" s="13"/>
      <c r="F32" s="57"/>
    </row>
    <row r="33">
      <c r="A33" s="226" t="s">
        <v>119</v>
      </c>
      <c r="B33" s="227">
        <v>300.0</v>
      </c>
      <c r="C33" s="20"/>
      <c r="D33" s="20"/>
      <c r="E33" s="20"/>
      <c r="F33" s="95"/>
    </row>
    <row r="34">
      <c r="A34" s="231" t="s">
        <v>50</v>
      </c>
      <c r="B34" s="232" t="s">
        <v>51</v>
      </c>
      <c r="C34" s="232" t="s">
        <v>52</v>
      </c>
      <c r="D34" s="232" t="s">
        <v>53</v>
      </c>
      <c r="E34" s="233" t="s">
        <v>54</v>
      </c>
      <c r="F34" s="61" t="s">
        <v>55</v>
      </c>
    </row>
    <row r="35">
      <c r="A35" s="236">
        <v>1.0</v>
      </c>
      <c r="B35" s="237">
        <f>mround(B33*0.35,5)</f>
        <v>105</v>
      </c>
      <c r="C35" s="238">
        <v>10.0</v>
      </c>
      <c r="D35" s="238" t="s">
        <v>120</v>
      </c>
      <c r="E35" s="66" t="str">
        <f>IF(B35='WEEK 11'!I5,'WEEK 11'!M5,"")</f>
        <v/>
      </c>
      <c r="F35" s="67">
        <v>10.0</v>
      </c>
    </row>
    <row r="36">
      <c r="A36" s="236">
        <v>2.0</v>
      </c>
      <c r="B36" s="237">
        <f>mround(B33*0.65,5)</f>
        <v>195</v>
      </c>
      <c r="C36" s="238">
        <v>10.0</v>
      </c>
      <c r="D36" s="238" t="s">
        <v>121</v>
      </c>
      <c r="E36" s="66" t="str">
        <f>IF(B36='WEEK 11'!I6,'WEEK 11'!M6,"")</f>
        <v/>
      </c>
      <c r="F36" s="67">
        <v>5.0</v>
      </c>
    </row>
    <row r="37">
      <c r="A37" s="242">
        <v>3.0</v>
      </c>
      <c r="B37" s="237">
        <f>mround(B33*0.9,5)</f>
        <v>270</v>
      </c>
      <c r="C37" s="238">
        <v>10.0</v>
      </c>
      <c r="D37" s="238" t="s">
        <v>121</v>
      </c>
      <c r="E37" s="66" t="str">
        <f>IF(B37='WEEK 11'!I7,'WEEK 11'!M7,"")</f>
        <v/>
      </c>
      <c r="F37" s="67">
        <v>10.0</v>
      </c>
    </row>
    <row r="38">
      <c r="A38" s="249">
        <v>4.0</v>
      </c>
      <c r="B38" s="175">
        <f>if(F37&lt;10,B37-10,B33)</f>
        <v>300</v>
      </c>
      <c r="C38" s="238">
        <v>10.0</v>
      </c>
      <c r="D38" s="238" t="s">
        <v>122</v>
      </c>
      <c r="E38" s="66" t="str">
        <f>IF(B38='WEEK 11'!I8,'WEEK 11'!M8,"")</f>
        <v/>
      </c>
      <c r="F38" s="67">
        <v>10.0</v>
      </c>
    </row>
    <row r="39">
      <c r="A39" s="249">
        <v>5.0</v>
      </c>
      <c r="B39" s="175">
        <f t="shared" ref="B39:B44" si="2">IF((AND(B38&lt;=B37,F38&gt;=10)),B38,IF(F38&lt;10,B38-10,if( F38&lt;10,B38-5,B38+5)))</f>
        <v>305</v>
      </c>
      <c r="C39" s="238">
        <v>10.0</v>
      </c>
      <c r="D39" s="238" t="s">
        <v>122</v>
      </c>
      <c r="E39" s="1108" t="str">
        <f>IF(B39='WEEK 11'!I9,'WEEK 11'!M9,"")</f>
        <v/>
      </c>
      <c r="F39" s="1037">
        <v>10.0</v>
      </c>
    </row>
    <row r="40">
      <c r="A40" s="249">
        <f>if(F38&lt;10,6,6)</f>
        <v>6</v>
      </c>
      <c r="B40" s="175">
        <f t="shared" si="2"/>
        <v>310</v>
      </c>
      <c r="C40" s="238">
        <v>10.0</v>
      </c>
      <c r="D40" s="238" t="s">
        <v>122</v>
      </c>
      <c r="E40" s="1108" t="str">
        <f>IF(B40='WEEK 11'!I10,'WEEK 11'!M10,"")</f>
        <v/>
      </c>
      <c r="F40" s="67">
        <v>10.0</v>
      </c>
    </row>
    <row r="41">
      <c r="A41" s="1038" t="str">
        <f>IF(F40&lt;10,7,"7")</f>
        <v>7</v>
      </c>
      <c r="B41" s="175">
        <f t="shared" si="2"/>
        <v>315</v>
      </c>
      <c r="C41" s="238">
        <v>10.0</v>
      </c>
      <c r="D41" s="238" t="s">
        <v>122</v>
      </c>
      <c r="E41" s="1108" t="str">
        <f>IF(B41='WEEK 11'!I11,'WEEK 11'!M11,"")</f>
        <v/>
      </c>
      <c r="F41" s="67"/>
    </row>
    <row r="42">
      <c r="A42" s="249">
        <f>IF(F41&lt;10,8,"8")</f>
        <v>8</v>
      </c>
      <c r="B42" s="175">
        <f t="shared" si="2"/>
        <v>305</v>
      </c>
      <c r="C42" s="238">
        <v>10.0</v>
      </c>
      <c r="D42" s="238" t="s">
        <v>122</v>
      </c>
      <c r="E42" s="1108" t="str">
        <f>IF(B42='WEEK 11'!I12,'WEEK 11'!M12,"")</f>
        <v/>
      </c>
      <c r="F42" s="67"/>
    </row>
    <row r="43">
      <c r="A43" s="1038">
        <f>IF(F42&lt;10,9,"9")</f>
        <v>9</v>
      </c>
      <c r="B43" s="175">
        <f t="shared" si="2"/>
        <v>295</v>
      </c>
      <c r="C43" s="238">
        <v>10.0</v>
      </c>
      <c r="D43" s="238" t="s">
        <v>122</v>
      </c>
      <c r="E43" s="1108" t="str">
        <f>IF(B43='WEEK 11'!I13,'WEEK 11'!M13,"")</f>
        <v/>
      </c>
      <c r="F43" s="67"/>
    </row>
    <row r="44">
      <c r="A44" s="1038" t="str">
        <f>IF(F43&lt;10,"10","10")</f>
        <v>10</v>
      </c>
      <c r="B44" s="175">
        <f t="shared" si="2"/>
        <v>285</v>
      </c>
      <c r="C44" s="238">
        <v>10.0</v>
      </c>
      <c r="D44" s="238" t="s">
        <v>122</v>
      </c>
      <c r="E44" s="1108" t="str">
        <f>IF(B44='WEEK 11'!I14,'WEEK 11'!M14,"")</f>
        <v/>
      </c>
      <c r="F44" s="67"/>
    </row>
    <row r="45">
      <c r="A45" s="228" t="s">
        <v>124</v>
      </c>
      <c r="B45" s="1428">
        <f>IF(OR(ISBLANK(F35),ISBLANK(F36),ISBLANK(F37),ISBLANK(F38),ISBLANK(F39)),B33,IF((AND(F44&gt;=10,B44&gt;B43)),B44,IF((AND(F43&gt;=10,B43&gt;B42)),B43,IF((AND(F42&gt;=10,B42&gt;B41)),B42,IF((AND(F41&gt;=10,B41&gt;B40)),B41,IF((AND(F40&gt;=10,B40&gt;B39)),B40,IF((AND(F39&gt;=10,B39&gt;B38)),B39,)))))))</f>
        <v>310</v>
      </c>
      <c r="F45" s="28"/>
    </row>
    <row r="49">
      <c r="B49" s="1429" t="s">
        <v>253</v>
      </c>
    </row>
    <row r="50">
      <c r="A50" s="861" t="s">
        <v>252</v>
      </c>
      <c r="B50" s="53"/>
      <c r="C50" s="53"/>
      <c r="D50" s="53"/>
      <c r="E50" s="53"/>
      <c r="F50" s="54"/>
    </row>
    <row r="51">
      <c r="A51" s="226" t="s">
        <v>119</v>
      </c>
      <c r="B51" s="227">
        <v>300.0</v>
      </c>
      <c r="C51" s="20"/>
      <c r="D51" s="20"/>
      <c r="E51" s="20"/>
      <c r="F51" s="95"/>
    </row>
    <row r="52">
      <c r="A52" s="231" t="s">
        <v>50</v>
      </c>
      <c r="B52" s="232" t="s">
        <v>51</v>
      </c>
      <c r="C52" s="232" t="s">
        <v>52</v>
      </c>
      <c r="D52" s="232" t="s">
        <v>53</v>
      </c>
      <c r="E52" s="233" t="s">
        <v>54</v>
      </c>
      <c r="F52" s="61" t="s">
        <v>55</v>
      </c>
    </row>
    <row r="53">
      <c r="A53" s="236">
        <v>1.0</v>
      </c>
      <c r="B53" s="237">
        <f>mround(B51*0.35,5)</f>
        <v>105</v>
      </c>
      <c r="C53" s="238">
        <v>10.0</v>
      </c>
      <c r="D53" s="238" t="s">
        <v>120</v>
      </c>
      <c r="E53" s="66" t="str">
        <f>IF(B53='WEEK 11'!I23,'WEEK 11'!M23,"")</f>
        <v/>
      </c>
      <c r="F53" s="67"/>
    </row>
    <row r="54">
      <c r="A54" s="236">
        <v>2.0</v>
      </c>
      <c r="B54" s="237">
        <f>mround(B51*0.65,5)</f>
        <v>195</v>
      </c>
      <c r="C54" s="238">
        <v>10.0</v>
      </c>
      <c r="D54" s="238" t="s">
        <v>121</v>
      </c>
      <c r="E54" s="66" t="str">
        <f>IF(B54='WEEK 11'!I24,'WEEK 11'!M24,"")</f>
        <v/>
      </c>
      <c r="F54" s="67"/>
    </row>
    <row r="55">
      <c r="A55" s="242">
        <v>3.0</v>
      </c>
      <c r="B55" s="237">
        <f>mround(B51*0.9,5)</f>
        <v>270</v>
      </c>
      <c r="C55" s="238">
        <v>10.0</v>
      </c>
      <c r="D55" s="238" t="s">
        <v>121</v>
      </c>
      <c r="E55" s="66" t="str">
        <f>IF(B55='WEEK 11'!I25,'WEEK 11'!M25,"")</f>
        <v/>
      </c>
      <c r="F55" s="67"/>
    </row>
    <row r="56">
      <c r="A56" s="249">
        <v>4.0</v>
      </c>
      <c r="B56" s="175">
        <f>if(F55&lt;10,B55-10,B51)</f>
        <v>260</v>
      </c>
      <c r="C56" s="238">
        <v>10.0</v>
      </c>
      <c r="D56" s="238" t="s">
        <v>122</v>
      </c>
      <c r="E56" s="66" t="str">
        <f>IF(B56='WEEK 11'!I26,'WEEK 11'!M26,"")</f>
        <v/>
      </c>
      <c r="F56" s="67"/>
    </row>
    <row r="57">
      <c r="A57" s="249">
        <v>5.0</v>
      </c>
      <c r="B57" s="175">
        <f t="shared" ref="B57:B61" si="3">IF((AND(B56&lt;=B55,F56&gt;=10)),B56,IF(F56&lt;10,B56-10,if( F56&lt;10,B56-5,B56+5)))</f>
        <v>250</v>
      </c>
      <c r="C57" s="238">
        <v>10.0</v>
      </c>
      <c r="D57" s="238" t="s">
        <v>122</v>
      </c>
      <c r="E57" s="1108" t="str">
        <f>IF(B57='WEEK 11'!I27,'WEEK 11'!M27,"")</f>
        <v/>
      </c>
      <c r="F57" s="1037"/>
    </row>
    <row r="58">
      <c r="A58" s="249">
        <f>if(F56&lt;10,6,6)</f>
        <v>6</v>
      </c>
      <c r="B58" s="175">
        <f t="shared" si="3"/>
        <v>240</v>
      </c>
      <c r="C58" s="238">
        <v>10.0</v>
      </c>
      <c r="D58" s="238" t="s">
        <v>122</v>
      </c>
      <c r="E58" s="1108" t="str">
        <f>IF(B58='WEEK 11'!I28,'WEEK 11'!M28,"")</f>
        <v/>
      </c>
      <c r="F58" s="67"/>
    </row>
    <row r="59">
      <c r="A59" s="1038">
        <f>IF(F58&lt;10,7,"7")</f>
        <v>7</v>
      </c>
      <c r="B59" s="175">
        <f t="shared" si="3"/>
        <v>230</v>
      </c>
      <c r="C59" s="238">
        <v>10.0</v>
      </c>
      <c r="D59" s="238" t="s">
        <v>122</v>
      </c>
      <c r="E59" s="1108" t="str">
        <f>IF(B59='WEEK 11'!I29,'WEEK 11'!M29,"")</f>
        <v/>
      </c>
      <c r="F59" s="67"/>
    </row>
    <row r="60">
      <c r="A60" s="249">
        <f>IF(F59&lt;10,8,"8")</f>
        <v>8</v>
      </c>
      <c r="B60" s="175">
        <f t="shared" si="3"/>
        <v>220</v>
      </c>
      <c r="C60" s="238">
        <v>10.0</v>
      </c>
      <c r="D60" s="238" t="s">
        <v>122</v>
      </c>
      <c r="E60" s="1108" t="str">
        <f>IF(B60='WEEK 11'!I30,'WEEK 11'!M30,"")</f>
        <v/>
      </c>
      <c r="F60" s="67"/>
    </row>
    <row r="61">
      <c r="A61" s="1038">
        <f>IF(F60&lt;10,9,"9")</f>
        <v>9</v>
      </c>
      <c r="B61" s="175">
        <f t="shared" si="3"/>
        <v>210</v>
      </c>
      <c r="C61" s="238">
        <v>10.0</v>
      </c>
      <c r="D61" s="238" t="s">
        <v>122</v>
      </c>
      <c r="E61" s="1108" t="str">
        <f>IF(B61='WEEK 11'!I31,'WEEK 11'!M31,"")</f>
        <v/>
      </c>
      <c r="F61" s="67"/>
    </row>
    <row r="62">
      <c r="A62" s="272" t="s">
        <v>124</v>
      </c>
      <c r="B62" s="1039">
        <f>IF(OR(ISBLANK(F53),ISBLANK(F54),ISBLANK(F55),ISBLANK(F56),ISBLANK(F57)),B51,IF((AND(F61&gt;=10,B61&gt;B60)),B61,IF((AND(F60&gt;=10,B60&gt;B59)),B60,IF((AND(F59&gt;=10,B59&gt;B58)),B59,IF((AND(F58&gt;=10,B58&gt;B57)),B58,IF((AND(F57&gt;=10,B57&gt;B56)),B57,))))))</f>
        <v>300</v>
      </c>
      <c r="C62" s="11"/>
      <c r="D62" s="11"/>
      <c r="E62" s="11"/>
      <c r="F62" s="46"/>
    </row>
  </sheetData>
  <mergeCells count="12">
    <mergeCell ref="B45:F45"/>
    <mergeCell ref="B49:D49"/>
    <mergeCell ref="A50:F50"/>
    <mergeCell ref="B51:F51"/>
    <mergeCell ref="B62:F62"/>
    <mergeCell ref="A1:F1"/>
    <mergeCell ref="H1:M1"/>
    <mergeCell ref="B2:F2"/>
    <mergeCell ref="A17:F17"/>
    <mergeCell ref="B24:F24"/>
    <mergeCell ref="A32:F32"/>
    <mergeCell ref="B33:F33"/>
  </mergeCells>
  <dataValidations>
    <dataValidation type="decimal" operator="greaterThanOrEqual" allowBlank="1" showDropDown="1" sqref="F34:F38 F40 F52:F56 F58">
      <formula1>0.0</formula1>
    </dataValidation>
  </dataValidation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293" t="s">
        <v>254</v>
      </c>
      <c r="B9" s="36"/>
      <c r="C9" s="36"/>
      <c r="D9" s="36"/>
      <c r="E9" s="36"/>
      <c r="F9" s="37"/>
      <c r="H9" s="24" t="s">
        <v>35</v>
      </c>
      <c r="I9" s="25"/>
      <c r="J9" s="25"/>
      <c r="K9" s="25"/>
      <c r="L9" s="25"/>
      <c r="M9" s="26"/>
    </row>
    <row r="10">
      <c r="A10" s="719" t="str">
        <f>HYPERLINK("https://goo.gl/forms/3ibooB993Hi7SS2d2","PRESS TO RECORD BODY WEIGHT")</f>
        <v>PRESS TO RECORD BODY WEIGHT</v>
      </c>
      <c r="B10" s="25"/>
      <c r="C10" s="25"/>
      <c r="D10" s="25"/>
      <c r="E10" s="25"/>
      <c r="F10" s="26"/>
      <c r="H10" s="147" t="s">
        <v>255</v>
      </c>
      <c r="M10" s="28"/>
    </row>
    <row r="11">
      <c r="A11" s="336"/>
      <c r="B11" s="11"/>
      <c r="C11" s="11"/>
      <c r="D11" s="11"/>
      <c r="E11" s="11"/>
      <c r="F11" s="46"/>
      <c r="H11" s="29" t="s">
        <v>256</v>
      </c>
      <c r="I11" s="30"/>
      <c r="J11" s="30"/>
      <c r="K11" s="30"/>
      <c r="L11" s="30"/>
      <c r="M11" s="31"/>
    </row>
    <row r="12">
      <c r="A12" s="720" t="s">
        <v>69</v>
      </c>
      <c r="B12" s="36"/>
      <c r="C12" s="36"/>
      <c r="D12" s="36"/>
      <c r="E12" s="36"/>
      <c r="F12" s="37"/>
    </row>
    <row r="13">
      <c r="A13" s="721" t="s">
        <v>149</v>
      </c>
      <c r="B13" s="36"/>
      <c r="C13" s="36"/>
      <c r="D13" s="36"/>
      <c r="E13" s="36"/>
      <c r="F13" s="37"/>
    </row>
    <row r="14">
      <c r="A14" s="653"/>
    </row>
    <row r="15">
      <c r="A15" s="50" t="s">
        <v>47</v>
      </c>
      <c r="B15" s="36"/>
      <c r="C15" s="36"/>
      <c r="D15" s="36"/>
      <c r="E15" s="36"/>
      <c r="F15" s="37"/>
      <c r="G15" s="722"/>
      <c r="H15" s="429" t="s">
        <v>118</v>
      </c>
      <c r="I15" s="36"/>
      <c r="J15" s="36"/>
      <c r="K15" s="36"/>
      <c r="L15" s="36"/>
      <c r="M15" s="37"/>
    </row>
    <row r="16">
      <c r="A16" s="657"/>
      <c r="H16" s="657"/>
    </row>
    <row r="18">
      <c r="A18" s="51" t="s">
        <v>48</v>
      </c>
      <c r="B18" s="36"/>
      <c r="C18" s="36"/>
      <c r="D18" s="36"/>
      <c r="E18" s="36"/>
      <c r="F18" s="37"/>
      <c r="H18" s="51" t="s">
        <v>48</v>
      </c>
      <c r="I18" s="36"/>
      <c r="J18" s="36"/>
      <c r="K18" s="36"/>
      <c r="L18" s="36"/>
      <c r="M18" s="37"/>
    </row>
    <row r="19">
      <c r="A19" s="93" t="str">
        <f>HYPERLINK("https://youtu.be/iLgUDezDMbU","1. BENCH PRESS")</f>
        <v>1. BENCH PRESS</v>
      </c>
      <c r="B19" s="53"/>
      <c r="C19" s="53"/>
      <c r="D19" s="53"/>
      <c r="E19" s="53"/>
      <c r="F19" s="54"/>
      <c r="H19" s="93" t="str">
        <f>HYPERLINK("https://youtu.be/75e_H9Vq_Lw","1. MACHINE PRESS")</f>
        <v>1. MACHINE PRESS</v>
      </c>
      <c r="I19" s="53"/>
      <c r="J19" s="53"/>
      <c r="K19" s="53"/>
      <c r="L19" s="53"/>
      <c r="M19" s="54"/>
    </row>
    <row r="20">
      <c r="A20" s="226" t="s">
        <v>119</v>
      </c>
      <c r="B20" s="691" t="str">
        <f>'WEEK 14'!B33</f>
        <v/>
      </c>
      <c r="C20" s="13"/>
      <c r="D20" s="13"/>
      <c r="E20" s="13"/>
      <c r="F20" s="57"/>
      <c r="H20" s="226" t="s">
        <v>119</v>
      </c>
      <c r="I20" s="691" t="str">
        <f>if('WEEK 12'!I34="",'WEEK 10'!I20)</f>
        <v/>
      </c>
      <c r="J20" s="13"/>
      <c r="K20" s="13"/>
      <c r="L20" s="13"/>
      <c r="M20" s="57"/>
    </row>
    <row r="21">
      <c r="A21" s="96" t="s">
        <v>50</v>
      </c>
      <c r="B21" s="97" t="s">
        <v>51</v>
      </c>
      <c r="C21" s="97" t="s">
        <v>52</v>
      </c>
      <c r="D21" s="97" t="s">
        <v>53</v>
      </c>
      <c r="E21" s="341" t="s">
        <v>54</v>
      </c>
      <c r="F21" s="235" t="s">
        <v>55</v>
      </c>
      <c r="H21" s="96" t="s">
        <v>50</v>
      </c>
      <c r="I21" s="97" t="s">
        <v>51</v>
      </c>
      <c r="J21" s="97" t="s">
        <v>52</v>
      </c>
      <c r="K21" s="97" t="s">
        <v>53</v>
      </c>
      <c r="L21" s="341" t="s">
        <v>54</v>
      </c>
      <c r="M21" s="235" t="s">
        <v>55</v>
      </c>
    </row>
    <row r="22">
      <c r="A22" s="725">
        <v>1.0</v>
      </c>
      <c r="B22" s="726">
        <f>IF( 'WEEK 16'!B20&lt;125,45, mround('WEEK 16'!B20*0.9*0.35,5))</f>
        <v>0</v>
      </c>
      <c r="C22" s="344">
        <v>6.0</v>
      </c>
      <c r="D22" s="343" t="s">
        <v>150</v>
      </c>
      <c r="E22" s="66" t="str">
        <f>IF('WEEK 16'!B22='WEEK 13'!B22,'WEEK 13'!F22,"")</f>
        <v/>
      </c>
      <c r="F22" s="85"/>
      <c r="H22" s="725">
        <v>1.0</v>
      </c>
      <c r="I22" s="344">
        <f>mround('WEEK 16'!I20*0.9*0.35,5)</f>
        <v>0</v>
      </c>
      <c r="J22" s="344">
        <v>6.0</v>
      </c>
      <c r="K22" s="343" t="s">
        <v>150</v>
      </c>
      <c r="L22" s="66" t="str">
        <f>IF('WEEK 16'!I22='WEEK 13'!I22,'WEEK 13'!M22,"")</f>
        <v/>
      </c>
      <c r="M22" s="85"/>
    </row>
    <row r="23">
      <c r="A23" s="725">
        <v>2.0</v>
      </c>
      <c r="B23" s="729">
        <f>IF( 'WEEK 16'!B20&lt;70,MROUND('WEEK 16'!B20*0.78,5),MROUND('WEEK 16'!B20*0.9*0.72,5))</f>
        <v>0</v>
      </c>
      <c r="C23" s="344">
        <v>1.0</v>
      </c>
      <c r="D23" s="343" t="s">
        <v>151</v>
      </c>
      <c r="E23" s="66" t="str">
        <f>IF('WEEK 16'!B23='WEEK 13'!B23,'WEEK 13'!F23,"")</f>
        <v/>
      </c>
      <c r="F23" s="85"/>
      <c r="H23" s="725">
        <v>2.0</v>
      </c>
      <c r="I23" s="344">
        <f>mround('WEEK 16'!I20*0.9*0.72,5)</f>
        <v>0</v>
      </c>
      <c r="J23" s="344">
        <v>1.0</v>
      </c>
      <c r="K23" s="343" t="s">
        <v>151</v>
      </c>
      <c r="L23" s="66" t="str">
        <f>IF('WEEK 16'!I23='WEEK 13'!I23,'WEEK 13'!M23,"")</f>
        <v/>
      </c>
      <c r="M23" s="85"/>
    </row>
    <row r="24">
      <c r="A24" s="725">
        <v>3.0</v>
      </c>
      <c r="B24" s="344">
        <f>mround('WEEK 16'!B20*0.9*0.9,5)</f>
        <v>0</v>
      </c>
      <c r="C24" s="344">
        <v>1.0</v>
      </c>
      <c r="D24" s="343" t="s">
        <v>57</v>
      </c>
      <c r="E24" s="66" t="str">
        <f>IF('WEEK 16'!B24='WEEK 13'!B24,'WEEK 13'!F24,"")</f>
        <v/>
      </c>
      <c r="F24" s="85"/>
      <c r="H24" s="725">
        <v>3.0</v>
      </c>
      <c r="I24" s="344">
        <f>mround('WEEK 16'!I20*0.9*0.9,5)</f>
        <v>0</v>
      </c>
      <c r="J24" s="344">
        <v>1.0</v>
      </c>
      <c r="K24" s="343" t="s">
        <v>57</v>
      </c>
      <c r="L24" s="66" t="str">
        <f>IF('WEEK 16'!I24='WEEK 13'!I24,'WEEK 13'!M24,"")</f>
        <v/>
      </c>
      <c r="M24" s="85"/>
    </row>
    <row r="25">
      <c r="A25" s="730" t="s">
        <v>152</v>
      </c>
      <c r="B25" s="13"/>
      <c r="C25" s="13"/>
      <c r="D25" s="13"/>
      <c r="E25" s="13"/>
      <c r="F25" s="57"/>
      <c r="G25" s="731" t="s">
        <v>123</v>
      </c>
      <c r="H25" s="730" t="s">
        <v>152</v>
      </c>
      <c r="I25" s="13"/>
      <c r="J25" s="13"/>
      <c r="K25" s="13"/>
      <c r="L25" s="13"/>
      <c r="M25" s="57"/>
    </row>
    <row r="26">
      <c r="A26" s="96" t="s">
        <v>50</v>
      </c>
      <c r="B26" s="97" t="s">
        <v>51</v>
      </c>
      <c r="C26" s="97" t="s">
        <v>52</v>
      </c>
      <c r="D26" s="97" t="s">
        <v>53</v>
      </c>
      <c r="E26" s="341" t="s">
        <v>54</v>
      </c>
      <c r="F26" s="235" t="s">
        <v>55</v>
      </c>
      <c r="H26" s="96" t="s">
        <v>50</v>
      </c>
      <c r="I26" s="97" t="s">
        <v>51</v>
      </c>
      <c r="J26" s="97" t="s">
        <v>52</v>
      </c>
      <c r="K26" s="97" t="s">
        <v>53</v>
      </c>
      <c r="L26" s="341" t="s">
        <v>54</v>
      </c>
      <c r="M26" s="235" t="s">
        <v>55</v>
      </c>
    </row>
    <row r="27">
      <c r="A27" s="342">
        <v>1.0</v>
      </c>
      <c r="B27" s="348">
        <f>mround('WEEK 16'!B20*1*0.9,5)</f>
        <v>0</v>
      </c>
      <c r="C27" s="437" t="s">
        <v>65</v>
      </c>
      <c r="D27" s="343" t="s">
        <v>122</v>
      </c>
      <c r="E27" s="66" t="str">
        <f>IF('WEEK 16'!B27='WEEK 13'!B27,'WEEK 13'!F27,"")</f>
        <v/>
      </c>
      <c r="F27" s="85"/>
      <c r="G27" s="423"/>
      <c r="H27" s="725">
        <v>1.0</v>
      </c>
      <c r="I27" s="348">
        <f>mround('WEEK 16'!I20*1*0.9,5)</f>
        <v>0</v>
      </c>
      <c r="J27" s="437" t="s">
        <v>65</v>
      </c>
      <c r="K27" s="343" t="s">
        <v>122</v>
      </c>
      <c r="L27" s="66" t="str">
        <f>IF('WEEK 16'!I27='WEEK 13'!I27,'WEEK 13'!M27,"")</f>
        <v/>
      </c>
      <c r="M27" s="85"/>
    </row>
    <row r="28">
      <c r="A28" s="725">
        <v>2.0</v>
      </c>
      <c r="B28" s="348">
        <f>IF('WEEK 16'!F27&lt;3,MROUND('WEEK 16'!B27*0.75,5),IF('WEEK 16'!F27&lt;6,MROUND('WEEK 16'!B27*0.85,5),mround('WEEK 16'!B27*0.9,5)))</f>
        <v>0</v>
      </c>
      <c r="C28" s="437" t="s">
        <v>65</v>
      </c>
      <c r="D28" s="343" t="s">
        <v>122</v>
      </c>
      <c r="E28" s="66" t="str">
        <f>IF('WEEK 16'!B28='WEEK 13'!B28,'WEEK 13'!F28,"")</f>
        <v/>
      </c>
      <c r="F28" s="85"/>
      <c r="G28" s="722"/>
      <c r="H28" s="725">
        <v>2.0</v>
      </c>
      <c r="I28" s="348">
        <f>IF('WEEK 16'!M27&lt;3,MROUND('WEEK 16'!I27*0.75,5),IF('WEEK 16'!M27&lt;6,MROUND('WEEK 16'!I27*0.85,5),mround('WEEK 16'!I27*0.9,5)))</f>
        <v>0</v>
      </c>
      <c r="J28" s="437" t="s">
        <v>65</v>
      </c>
      <c r="K28" s="343" t="s">
        <v>122</v>
      </c>
      <c r="L28" s="66" t="str">
        <f>IF('WEEK 16'!I28='WEEK 13'!I28,'WEEK 13'!M28,"")</f>
        <v/>
      </c>
      <c r="M28" s="85"/>
    </row>
    <row r="29">
      <c r="A29" s="485">
        <v>3.0</v>
      </c>
      <c r="B29" s="732">
        <f>IF('WEEK 16'!F28&lt;3,MROUND('WEEK 16'!B28*0.75,5),IF('WEEK 16'!F28&lt;6,MROUND('WEEK 16'!B28*0.85,5),mround('WEEK 16'!B28*0.9,5)))</f>
        <v>0</v>
      </c>
      <c r="C29" s="733" t="s">
        <v>65</v>
      </c>
      <c r="D29" s="486" t="s">
        <v>122</v>
      </c>
      <c r="E29" s="66" t="str">
        <f>IF('WEEK 16'!B29='WEEK 13'!B29,'WEEK 13'!F29,"")</f>
        <v/>
      </c>
      <c r="F29" s="85"/>
      <c r="G29" s="722"/>
      <c r="H29" s="735">
        <v>3.0</v>
      </c>
      <c r="I29" s="736">
        <f>IF('WEEK 16'!M28&lt;3,MROUND('WEEK 16'!I28*0.75,5),IF('WEEK 16'!M28&lt;6,MROUND('WEEK 16'!I28*0.85,5),mround('WEEK 16'!I28*0.9,5)))</f>
        <v>0</v>
      </c>
      <c r="J29" s="737" t="s">
        <v>65</v>
      </c>
      <c r="K29" s="738" t="s">
        <v>122</v>
      </c>
      <c r="L29" s="66" t="str">
        <f>IF('WEEK 16'!I29='WEEK 13'!I29,'WEEK 13'!M29,"")</f>
        <v/>
      </c>
      <c r="M29" s="330"/>
    </row>
    <row r="30">
      <c r="A30" s="740"/>
      <c r="B30" s="740"/>
      <c r="C30" s="740"/>
      <c r="D30" s="740"/>
      <c r="E30" s="741"/>
      <c r="F30" s="419"/>
      <c r="G30" s="722"/>
      <c r="H30" s="742"/>
      <c r="I30" s="742"/>
      <c r="J30" s="742"/>
      <c r="K30" s="742"/>
      <c r="L30" s="742"/>
      <c r="M30" s="742"/>
    </row>
    <row r="31">
      <c r="A31" s="740"/>
      <c r="B31" s="740"/>
      <c r="C31" s="740"/>
      <c r="D31" s="740"/>
      <c r="E31" s="741"/>
      <c r="F31" s="419"/>
      <c r="G31" s="419"/>
      <c r="H31" s="657"/>
      <c r="I31" s="657"/>
      <c r="J31" s="657"/>
      <c r="K31" s="657"/>
      <c r="L31" s="657"/>
      <c r="M31" s="657"/>
    </row>
    <row r="32">
      <c r="A32" s="440" t="str">
        <f>HYPERLINK("https://www.youtube.com/watch?v=mGv8D2DGyNQ","2. DB CHEST FLY")</f>
        <v>2. DB CHEST FLY</v>
      </c>
      <c r="B32" s="53"/>
      <c r="C32" s="53"/>
      <c r="D32" s="53"/>
      <c r="E32" s="53"/>
      <c r="F32" s="54"/>
      <c r="G32" s="419"/>
      <c r="H32" s="504" t="str">
        <f>HYPERLINK("https://www.youtube.com/watch?v=THb0dhfIu1k","2. MACHINE CHEST FLY")</f>
        <v>2. MACHINE CHEST FLY</v>
      </c>
      <c r="I32" s="53"/>
      <c r="J32" s="53"/>
      <c r="K32" s="53"/>
      <c r="L32" s="53"/>
      <c r="M32" s="54"/>
    </row>
    <row r="33">
      <c r="A33" s="226" t="s">
        <v>228</v>
      </c>
      <c r="B33" s="691" t="str">
        <f>if('WEEK 15'!B34="",'WEEK 15'!B21,'WEEK 15'!B34)</f>
        <v/>
      </c>
      <c r="C33" s="13"/>
      <c r="D33" s="13"/>
      <c r="E33" s="13"/>
      <c r="F33" s="57"/>
      <c r="G33" s="419"/>
      <c r="H33" s="226" t="s">
        <v>228</v>
      </c>
      <c r="I33" s="548" t="str">
        <f>'WEEK 16'!B33</f>
        <v/>
      </c>
      <c r="J33" s="13"/>
      <c r="K33" s="13"/>
      <c r="L33" s="13"/>
      <c r="M33" s="57"/>
    </row>
    <row r="34">
      <c r="A34" s="743" t="s">
        <v>50</v>
      </c>
      <c r="B34" s="744" t="s">
        <v>51</v>
      </c>
      <c r="C34" s="744" t="s">
        <v>52</v>
      </c>
      <c r="D34" s="744" t="s">
        <v>53</v>
      </c>
      <c r="E34" s="745" t="s">
        <v>54</v>
      </c>
      <c r="F34" s="746" t="s">
        <v>55</v>
      </c>
      <c r="G34" s="724"/>
      <c r="H34" s="96" t="s">
        <v>50</v>
      </c>
      <c r="I34" s="97" t="s">
        <v>51</v>
      </c>
      <c r="J34" s="97" t="s">
        <v>52</v>
      </c>
      <c r="K34" s="97" t="s">
        <v>53</v>
      </c>
      <c r="L34" s="341" t="s">
        <v>54</v>
      </c>
      <c r="M34" s="235" t="s">
        <v>55</v>
      </c>
    </row>
    <row r="35">
      <c r="A35" s="725">
        <v>1.0</v>
      </c>
      <c r="B35" s="254">
        <f>mround('WEEK 16'!B33*0.29,2.5)</f>
        <v>0</v>
      </c>
      <c r="C35" s="344">
        <v>15.0</v>
      </c>
      <c r="D35" s="343" t="s">
        <v>57</v>
      </c>
      <c r="E35" s="66" t="str">
        <f>IF('WEEK 16'!B35='WEEK 15'!B40,'WEEK 15'!F40,"")</f>
        <v/>
      </c>
      <c r="F35" s="85"/>
      <c r="G35" s="728"/>
      <c r="H35" s="240">
        <v>1.0</v>
      </c>
      <c r="I35" s="254">
        <f>mround('WEEK 16'!I33*2*0.75,10)</f>
        <v>0</v>
      </c>
      <c r="J35" s="241">
        <v>15.0</v>
      </c>
      <c r="K35" s="83" t="s">
        <v>57</v>
      </c>
      <c r="L35" s="66" t="str">
        <f>IF('WEEK 16'!I35='WEEK 13'!I35,'WEEK 13'!M35,"")</f>
        <v/>
      </c>
      <c r="M35" s="85"/>
    </row>
    <row r="36">
      <c r="A36" s="747">
        <v>2.0</v>
      </c>
      <c r="B36" s="254">
        <f>mround('WEEK 16'!B33*0.29,2.5)</f>
        <v>0</v>
      </c>
      <c r="C36" s="813">
        <v>15.0</v>
      </c>
      <c r="D36" s="486" t="s">
        <v>57</v>
      </c>
      <c r="E36" s="66" t="str">
        <f>IF('WEEK 16'!B36='WEEK 15'!B41,'WEEK 15'!F41,"")</f>
        <v>#REF!</v>
      </c>
      <c r="F36" s="85"/>
      <c r="G36" s="728"/>
      <c r="H36" s="661">
        <v>2.0</v>
      </c>
      <c r="I36" s="662">
        <f>mround('WEEK 16'!I33*2*0.75,10)</f>
        <v>0</v>
      </c>
      <c r="J36" s="662">
        <v>15.0</v>
      </c>
      <c r="K36" s="88" t="s">
        <v>57</v>
      </c>
      <c r="L36" s="66" t="str">
        <f>IF('WEEK 16'!I36='WEEK 13'!I36,'WEEK 13'!M36,"")</f>
        <v/>
      </c>
      <c r="M36" s="85"/>
    </row>
    <row r="39">
      <c r="A39" s="73" t="str">
        <f>HYPERLINK("https://www.youtube.com/watch?v=PnaDzYh2axA","3. LAT PULL DOWN")</f>
        <v>3. LAT PULL DOWN</v>
      </c>
      <c r="B39" s="53"/>
      <c r="C39" s="53"/>
      <c r="D39" s="53"/>
      <c r="E39" s="53"/>
      <c r="F39" s="54"/>
    </row>
    <row r="40">
      <c r="A40" s="282" t="s">
        <v>119</v>
      </c>
      <c r="B40" s="852" t="str">
        <f>'WEEK 15'!B60</f>
        <v/>
      </c>
      <c r="C40" s="16"/>
      <c r="D40" s="16"/>
      <c r="E40" s="16"/>
      <c r="F40" s="230"/>
    </row>
    <row r="41">
      <c r="A41" s="58" t="s">
        <v>50</v>
      </c>
      <c r="B41" s="365" t="s">
        <v>51</v>
      </c>
      <c r="C41" s="365" t="s">
        <v>52</v>
      </c>
      <c r="D41" s="365" t="s">
        <v>53</v>
      </c>
      <c r="E41" s="853" t="s">
        <v>54</v>
      </c>
      <c r="F41" s="854" t="s">
        <v>55</v>
      </c>
    </row>
    <row r="42">
      <c r="A42" s="242">
        <v>1.0</v>
      </c>
      <c r="B42" s="237">
        <f>mround('WEEK 16'!B40*0.5,5)</f>
        <v>0</v>
      </c>
      <c r="C42" s="104" t="s">
        <v>165</v>
      </c>
      <c r="D42" s="65" t="s">
        <v>166</v>
      </c>
      <c r="E42" s="66" t="str">
        <f>IF('WEEK 4 '!B45='WEEK 13'!B42,'WEEK 4 '!F45,"")</f>
        <v/>
      </c>
      <c r="F42" s="67"/>
    </row>
    <row r="43">
      <c r="A43" s="242">
        <v>2.0</v>
      </c>
      <c r="B43" s="237">
        <f>mround('WEEK 16'!B40*0.5,5)</f>
        <v>0</v>
      </c>
      <c r="C43" s="104" t="s">
        <v>165</v>
      </c>
      <c r="D43" s="65" t="s">
        <v>166</v>
      </c>
      <c r="E43" s="66" t="str">
        <f>IF('WEEK 4 '!B46='WEEK 13'!B43,'WEEK 4 '!F46,"")</f>
        <v/>
      </c>
      <c r="F43" s="67"/>
    </row>
    <row r="44">
      <c r="A44" s="289">
        <v>3.0</v>
      </c>
      <c r="B44" s="87">
        <f>mround('WEEK 16'!B40*0.5,5)</f>
        <v>0</v>
      </c>
      <c r="C44" s="105" t="s">
        <v>165</v>
      </c>
      <c r="D44" s="71" t="s">
        <v>166</v>
      </c>
      <c r="E44" s="66" t="str">
        <f>IF('WEEK 4 '!B47='WEEK 13'!B44,'WEEK 4 '!F47,"")</f>
        <v/>
      </c>
      <c r="F44" s="67"/>
    </row>
    <row r="45">
      <c r="A45" s="302"/>
      <c r="B45" s="302"/>
      <c r="C45" s="302"/>
      <c r="D45" s="302"/>
      <c r="E45" s="303"/>
      <c r="F45" s="103"/>
    </row>
    <row r="46">
      <c r="A46" s="302"/>
      <c r="B46" s="302"/>
      <c r="C46" s="302"/>
      <c r="D46" s="302"/>
      <c r="E46" s="303"/>
      <c r="F46" s="103"/>
    </row>
    <row r="47">
      <c r="A47" s="73" t="str">
        <f>HYPERLINK("https://www.youtube.com/watch?v=9YH1YvZbiY0","4. MACHINE LOW ROW")</f>
        <v>4. MACHINE LOW ROW</v>
      </c>
      <c r="B47" s="53"/>
      <c r="C47" s="53"/>
      <c r="D47" s="53"/>
      <c r="E47" s="53"/>
      <c r="F47" s="54"/>
    </row>
    <row r="48">
      <c r="A48" s="458" t="s">
        <v>119</v>
      </c>
      <c r="B48" s="56">
        <f>'WEEK 15'!B68</f>
        <v>265</v>
      </c>
      <c r="C48" s="13"/>
      <c r="D48" s="13"/>
      <c r="E48" s="13"/>
      <c r="F48" s="57"/>
    </row>
    <row r="49">
      <c r="A49" s="58" t="s">
        <v>50</v>
      </c>
      <c r="B49" s="59" t="s">
        <v>51</v>
      </c>
      <c r="C49" s="59" t="s">
        <v>52</v>
      </c>
      <c r="D49" s="59" t="s">
        <v>53</v>
      </c>
      <c r="E49" s="584" t="s">
        <v>54</v>
      </c>
      <c r="F49" s="61" t="s">
        <v>55</v>
      </c>
    </row>
    <row r="50">
      <c r="A50" s="62">
        <v>1.0</v>
      </c>
      <c r="B50" s="855">
        <f>mround('WEEK 16'!B48*0.5,5)</f>
        <v>135</v>
      </c>
      <c r="C50" s="104" t="s">
        <v>165</v>
      </c>
      <c r="D50" s="65" t="s">
        <v>166</v>
      </c>
      <c r="E50" s="66" t="str">
        <f>IF('WEEK 4 '!B53='WEEK 13'!B50,'WEEK 4 '!F53,"")</f>
        <v/>
      </c>
      <c r="F50" s="67"/>
    </row>
    <row r="51">
      <c r="A51" s="68">
        <v>2.0</v>
      </c>
      <c r="B51" s="856">
        <f>mround('WEEK 16'!B48*0.5,5)</f>
        <v>135</v>
      </c>
      <c r="C51" s="105" t="s">
        <v>165</v>
      </c>
      <c r="D51" s="71" t="s">
        <v>166</v>
      </c>
      <c r="E51" s="66" t="str">
        <f>IF('WEEK 4 '!B54='WEEK 13'!B51,'WEEK 4 '!F54,"")</f>
        <v/>
      </c>
      <c r="F51" s="67"/>
    </row>
    <row r="52">
      <c r="A52" s="103"/>
      <c r="B52" s="103"/>
      <c r="C52" s="103"/>
      <c r="D52" s="103"/>
      <c r="E52" s="222"/>
      <c r="F52" s="103"/>
    </row>
    <row r="53">
      <c r="A53" s="103"/>
      <c r="B53" s="103"/>
      <c r="C53" s="103"/>
      <c r="D53" s="103"/>
      <c r="E53" s="222"/>
      <c r="F53" s="103"/>
    </row>
    <row r="54">
      <c r="A54" s="73" t="str">
        <f>HYPERLINK("https://www.youtube.com/watch?v=hMUUvL3FlkE","5. MACHINE HIGH ROW")</f>
        <v>5. MACHINE HIGH ROW</v>
      </c>
      <c r="B54" s="53"/>
      <c r="C54" s="53"/>
      <c r="D54" s="53"/>
      <c r="E54" s="53"/>
      <c r="F54" s="54"/>
    </row>
    <row r="55">
      <c r="A55" s="458" t="s">
        <v>119</v>
      </c>
      <c r="B55" s="56" t="str">
        <f>'WEEK 15'!B57</f>
        <v/>
      </c>
      <c r="C55" s="13"/>
      <c r="D55" s="13"/>
      <c r="E55" s="13"/>
      <c r="F55" s="57"/>
    </row>
    <row r="56">
      <c r="A56" s="58" t="s">
        <v>50</v>
      </c>
      <c r="B56" s="59" t="s">
        <v>51</v>
      </c>
      <c r="C56" s="59" t="s">
        <v>52</v>
      </c>
      <c r="D56" s="59" t="s">
        <v>53</v>
      </c>
      <c r="E56" s="584" t="s">
        <v>54</v>
      </c>
      <c r="F56" s="61" t="s">
        <v>55</v>
      </c>
    </row>
    <row r="57">
      <c r="A57" s="62">
        <v>1.0</v>
      </c>
      <c r="B57" s="855">
        <f>mround('WEEK 16'!B55*0.5,5)</f>
        <v>0</v>
      </c>
      <c r="C57" s="104" t="s">
        <v>165</v>
      </c>
      <c r="D57" s="65" t="s">
        <v>166</v>
      </c>
      <c r="E57" s="66" t="str">
        <f>IF('WEEK 4 '!B60='WEEK 13'!B57,'WEEK 4 '!F60,"")</f>
        <v/>
      </c>
      <c r="F57" s="67"/>
    </row>
    <row r="58">
      <c r="A58" s="68">
        <v>2.0</v>
      </c>
      <c r="B58" s="856">
        <f>mround('WEEK 16'!B55*0.5,5)</f>
        <v>0</v>
      </c>
      <c r="C58" s="105" t="s">
        <v>165</v>
      </c>
      <c r="D58" s="71" t="s">
        <v>166</v>
      </c>
      <c r="E58" s="66" t="str">
        <f>IF('WEEK 4 '!B61='WEEK 13'!B58,'WEEK 4 '!F61,"")</f>
        <v/>
      </c>
      <c r="F58" s="67"/>
    </row>
    <row r="59">
      <c r="A59" s="598"/>
      <c r="B59" s="598"/>
      <c r="C59" s="598"/>
      <c r="D59" s="598"/>
      <c r="E59" s="857"/>
      <c r="F59" s="598"/>
    </row>
    <row r="60">
      <c r="A60" s="310" t="str">
        <f>HYPERLINK("https://docs.google.com/a/fitnessresults.com/forms/d/e/1FAIpQLSd7MoczESe8Yjv6BKpmwAZGn9Aiymrs9-UdgfYIUpbr9t5NXg/viewform?usp=pp_url&amp;entry.93370101","CLICK TO COMPLETE WORKOUT")</f>
        <v>CLICK TO COMPLETE WORKOUT</v>
      </c>
      <c r="B60" s="36"/>
      <c r="C60" s="36"/>
      <c r="D60" s="36"/>
      <c r="E60" s="36"/>
      <c r="F60" s="37"/>
    </row>
    <row r="61">
      <c r="A61" s="858"/>
      <c r="B61" s="858"/>
      <c r="C61" s="858"/>
      <c r="D61" s="858"/>
      <c r="E61" s="859"/>
      <c r="F61" s="598"/>
    </row>
    <row r="62">
      <c r="A62" s="602" t="s">
        <v>128</v>
      </c>
      <c r="B62" s="36"/>
      <c r="C62" s="36"/>
      <c r="D62" s="36"/>
      <c r="E62" s="36"/>
      <c r="F62" s="37"/>
    </row>
    <row r="65">
      <c r="A65" s="1355" t="str">
        <f>HYPERLINK("https://www.youtube.com/watch?v=5UOeRbRoFOI","1. MACHINE SQUAT")</f>
        <v>1. MACHINE SQUAT</v>
      </c>
      <c r="B65" s="53"/>
      <c r="C65" s="53"/>
      <c r="D65" s="53"/>
      <c r="E65" s="53"/>
      <c r="F65" s="54"/>
    </row>
    <row r="66">
      <c r="A66" s="1262" t="s">
        <v>192</v>
      </c>
      <c r="B66" s="1035">
        <f>'WEEK 12'!B76</f>
        <v>100</v>
      </c>
      <c r="C66" s="13"/>
      <c r="D66" s="13"/>
      <c r="E66" s="13"/>
      <c r="F66" s="57"/>
    </row>
    <row r="67">
      <c r="A67" s="231" t="s">
        <v>50</v>
      </c>
      <c r="B67" s="232" t="s">
        <v>51</v>
      </c>
      <c r="C67" s="232" t="s">
        <v>52</v>
      </c>
      <c r="D67" s="232" t="s">
        <v>53</v>
      </c>
      <c r="E67" s="233" t="s">
        <v>54</v>
      </c>
      <c r="F67" s="61" t="s">
        <v>55</v>
      </c>
    </row>
    <row r="68">
      <c r="A68" s="236">
        <v>1.0</v>
      </c>
      <c r="B68" s="237">
        <f>mround('WEEK 16'!B66*0.35,5)</f>
        <v>35</v>
      </c>
      <c r="C68" s="238">
        <v>10.0</v>
      </c>
      <c r="D68" s="238" t="s">
        <v>120</v>
      </c>
      <c r="E68" s="66" t="str">
        <f>IF('WEEK 16'!B68='WEEK 12'!B68,'WEEK 12'!F68,"")</f>
        <v/>
      </c>
      <c r="F68" s="67"/>
    </row>
    <row r="69">
      <c r="A69" s="236">
        <v>2.0</v>
      </c>
      <c r="B69" s="237">
        <f>mround('WEEK 16'!B66*0.65,5)</f>
        <v>65</v>
      </c>
      <c r="C69" s="238">
        <v>10.0</v>
      </c>
      <c r="D69" s="238" t="s">
        <v>121</v>
      </c>
      <c r="E69" s="66" t="str">
        <f>IF('WEEK 16'!B69='WEEK 12'!B69,'WEEK 12'!F69,"")</f>
        <v/>
      </c>
      <c r="F69" s="67"/>
    </row>
    <row r="70">
      <c r="A70" s="242">
        <v>3.0</v>
      </c>
      <c r="B70" s="237">
        <f>mround('WEEK 16'!B66*0.9,5)</f>
        <v>90</v>
      </c>
      <c r="C70" s="238">
        <v>10.0</v>
      </c>
      <c r="D70" s="238" t="s">
        <v>121</v>
      </c>
      <c r="E70" s="66" t="str">
        <f>IF('WEEK 16'!B70='WEEK 12'!B70,'WEEK 12'!F70,"")</f>
        <v/>
      </c>
      <c r="F70" s="67"/>
    </row>
    <row r="71">
      <c r="A71" s="249">
        <v>4.0</v>
      </c>
      <c r="B71" s="175">
        <f>if('WEEK 16'!F70&lt;10,MROUND('WEEK 16'!B70-('WEEK 16'!B70*20%),5),'WEEK 16'!B66)</f>
        <v>70</v>
      </c>
      <c r="C71" s="238">
        <v>10.0</v>
      </c>
      <c r="D71" s="238" t="s">
        <v>122</v>
      </c>
      <c r="E71" s="66" t="str">
        <f>IF('WEEK 16'!B71='WEEK 12'!B71,'WEEK 12'!F71,"")</f>
        <v/>
      </c>
      <c r="F71" s="67"/>
    </row>
    <row r="72">
      <c r="A72" s="249">
        <v>5.0</v>
      </c>
      <c r="B72" s="175">
        <f>IF((AND('WEEK 16'!B71&lt;='WEEK 16'!B70,'WEEK 16'!F71&gt;=10)),'WEEK 16'!B71,IF('WEEK 16'!F71&lt;10,MROUND('WEEK 16'!B71-('WEEK 16'!B71*20%),5),if( 'WEEK 16'!F71&lt;10,MROUND('WEEK 16'!B71-('WEEK 16'!B71*10%),5),MROUND('WEEK 16'!B71+('WEEK 16'!B71*10%),5))))</f>
        <v>55</v>
      </c>
      <c r="C72" s="238">
        <v>10.0</v>
      </c>
      <c r="D72" s="238" t="s">
        <v>122</v>
      </c>
      <c r="E72" s="66" t="str">
        <f>IF('WEEK 16'!B72='WEEK 12'!B72,'WEEK 12'!F72,"")</f>
        <v/>
      </c>
      <c r="F72" s="1037"/>
    </row>
    <row r="73">
      <c r="A73" s="249">
        <f>if('WEEK 16'!F71&lt;10,6,6)</f>
        <v>6</v>
      </c>
      <c r="B73" s="175">
        <f>IF((AND('WEEK 16'!B72&lt;='WEEK 16'!B71,'WEEK 16'!F72&gt;=10)),'WEEK 16'!B72,IF('WEEK 16'!F72&lt;10,MROUND('WEEK 16'!B72-('WEEK 16'!B72*20%),5),if( 'WEEK 16'!F72&lt;10,MROUND('WEEK 16'!B72-('WEEK 16'!B72*10%),5),MROUND('WEEK 16'!B72+('WEEK 16'!B72*10%),5))))</f>
        <v>45</v>
      </c>
      <c r="C73" s="238">
        <v>10.0</v>
      </c>
      <c r="D73" s="238" t="s">
        <v>122</v>
      </c>
      <c r="E73" s="66" t="str">
        <f>IF('WEEK 16'!B73='WEEK 12'!B73,'WEEK 12'!F73,"")</f>
        <v/>
      </c>
      <c r="F73" s="67"/>
    </row>
    <row r="74">
      <c r="A74" s="1038">
        <f>IF('WEEK 16'!F73&lt;10,7,"7")</f>
        <v>7</v>
      </c>
      <c r="B74" s="175">
        <f>IF((AND('WEEK 16'!B73&lt;='WEEK 16'!B72,'WEEK 16'!F73&gt;=10)),'WEEK 16'!B73,IF('WEEK 16'!F73&lt;10,MROUND('WEEK 16'!B73-('WEEK 16'!B73*20%),5),if( 'WEEK 16'!F73&lt;10,MROUND('WEEK 16'!B73-('WEEK 16'!B73*10%),5),MROUND('WEEK 16'!B73+('WEEK 16'!B73*10%),5))))</f>
        <v>35</v>
      </c>
      <c r="C74" s="238">
        <v>10.0</v>
      </c>
      <c r="D74" s="238" t="s">
        <v>122</v>
      </c>
      <c r="E74" s="66" t="str">
        <f>IF('WEEK 16'!B74='WEEK 12'!B74,'WEEK 12'!F74,"")</f>
        <v/>
      </c>
      <c r="F74" s="67"/>
    </row>
    <row r="75">
      <c r="A75" s="249">
        <f>IF('WEEK 16'!F74&lt;10,8,"8")</f>
        <v>8</v>
      </c>
      <c r="B75" s="175">
        <f>IF((AND('WEEK 16'!B74&lt;='WEEK 16'!B73,'WEEK 16'!F74&gt;=10)),'WEEK 16'!B74,IF('WEEK 16'!F74&lt;10,MROUND('WEEK 16'!B74-('WEEK 16'!B74*20%),5),if( 'WEEK 16'!F74&lt;10,MROUND('WEEK 16'!B74-('WEEK 16'!B74*10%),5),MROUND('WEEK 16'!B74+('WEEK 16'!B74*10%),5))))</f>
        <v>30</v>
      </c>
      <c r="C75" s="238">
        <v>10.0</v>
      </c>
      <c r="D75" s="238" t="s">
        <v>122</v>
      </c>
      <c r="E75" s="66" t="str">
        <f>IF('WEEK 16'!B75='WEEK 12'!B75,'WEEK 12'!F75,"")</f>
        <v/>
      </c>
      <c r="F75" s="67"/>
    </row>
    <row r="76">
      <c r="A76" s="1038">
        <f>IF('WEEK 16'!F75&lt;10,9,"9")</f>
        <v>9</v>
      </c>
      <c r="B76" s="175">
        <f>IF((AND('WEEK 16'!B75&lt;='WEEK 16'!B74,'WEEK 16'!F75&gt;=10)),'WEEK 16'!B75,IF('WEEK 16'!F75&lt;10,MROUND('WEEK 16'!B75-('WEEK 16'!B75*20%),5),if( 'WEEK 16'!F75&lt;10,MROUND('WEEK 16'!B75-('WEEK 16'!B75*10%),5),MROUND('WEEK 16'!B75+('WEEK 16'!B75*10%),5))))</f>
        <v>25</v>
      </c>
      <c r="C76" s="238">
        <v>10.0</v>
      </c>
      <c r="D76" s="238" t="s">
        <v>122</v>
      </c>
      <c r="E76" s="1108" t="str">
        <f>IF('WEEK 16'!B76='WEEK 11'!I46,'WEEK 11'!M46,"")</f>
        <v/>
      </c>
      <c r="F76" s="67"/>
    </row>
    <row r="77">
      <c r="A77" s="1038" t="str">
        <f>IF('WEEK 16'!F76&lt;10,"10","10")</f>
        <v>10</v>
      </c>
      <c r="B77" s="175">
        <f>IF((AND('WEEK 16'!B76&lt;='WEEK 16'!B75,'WEEK 16'!F76&gt;=10)),'WEEK 16'!B76,IF('WEEK 16'!F76&lt;10,MROUND('WEEK 16'!B76-('WEEK 16'!B76*20%),5),if( 'WEEK 16'!F76&lt;10,MROUND('WEEK 16'!B76-('WEEK 16'!B76*10%),5),MROUND('WEEK 16'!B76+('WEEK 16'!B76*10%),5))))</f>
        <v>20</v>
      </c>
      <c r="C77" s="238">
        <v>10.0</v>
      </c>
      <c r="D77" s="238" t="s">
        <v>122</v>
      </c>
      <c r="E77" s="1108" t="str">
        <f>IF('WEEK 16'!B77='WEEK 11'!I47,'WEEK 11'!M47,"")</f>
        <v/>
      </c>
      <c r="F77" s="67"/>
    </row>
    <row r="78">
      <c r="A78" s="272" t="s">
        <v>192</v>
      </c>
      <c r="B78" s="1109">
        <f>IF(OR(ISBLANK('WEEK 16'!F68),ISBLANK('WEEK 16'!F69)),'WEEK 16'!B66,IF((AND('WEEK 16'!F77&gt;=10,'WEEK 16'!B77&gt;'WEEK 16'!B76)),'WEEK 16'!B77,IF((AND('WEEK 16'!F76&gt;=10,'WEEK 16'!B76&gt;'WEEK 16'!B75)),'WEEK 16'!B76,IF((AND('WEEK 16'!F75&gt;=10,'WEEK 16'!B75&gt;'WEEK 16'!B74)),'WEEK 16'!B75,IF((AND('WEEK 16'!F74&gt;=10,'WEEK 16'!B74&gt;'WEEK 16'!B73)),'WEEK 16'!B74,IF((AND('WEEK 16'!F73&gt;=10,'WEEK 16'!B73&gt;'WEEK 16'!B72)),'WEEK 16'!B73,IF((AND('WEEK 16'!F72&gt;=10,'WEEK 16'!B72&gt;'WEEK 16'!B71)),'WEEK 16'!B72,IF((AND('WEEK 16'!F71&gt;=10,'WEEK 16'!B71&gt;'WEEK 16'!B70)),'WEEK 16'!B71,IF((AND('WEEK 16'!F70&gt;=10,'WEEK 16'!B70&gt;'WEEK 16'!B69)),'WEEK 16'!B70,IF((AND('WEEK 16'!F69&gt;=10,'WEEK 16'!B69&gt;'WEEK 16'!B68)),'WEEK 16'!B69))))))))))</f>
        <v>100</v>
      </c>
      <c r="C78" s="11"/>
      <c r="D78" s="11"/>
      <c r="E78" s="11"/>
      <c r="F78" s="46"/>
    </row>
    <row r="81">
      <c r="A81" s="1285" t="str">
        <f>HYPERLINK("https://www.youtube.com/watch?v=NZ9KiFtbiMs","2. LEG EXTENSION")</f>
        <v>2. LEG EXTENSION</v>
      </c>
      <c r="B81" s="53"/>
      <c r="C81" s="53"/>
      <c r="D81" s="53"/>
      <c r="E81" s="53"/>
      <c r="F81" s="54"/>
    </row>
    <row r="82">
      <c r="A82" s="1045" t="s">
        <v>119</v>
      </c>
      <c r="B82" s="1367">
        <f>IF('WEEK 14'!B99='WEEK 14'!B101,'WEEK 14'!B99+5,IF('WEEK 14'!F99&lt;=9,MROUND('WEEK 14'!B97*0.95,5),'WEEK 14'!B99))</f>
        <v>50</v>
      </c>
      <c r="C82" s="20"/>
      <c r="D82" s="20"/>
      <c r="E82" s="20"/>
      <c r="F82" s="95"/>
    </row>
    <row r="83">
      <c r="A83" s="567" t="s">
        <v>50</v>
      </c>
      <c r="B83" s="568" t="s">
        <v>51</v>
      </c>
      <c r="C83" s="568" t="s">
        <v>52</v>
      </c>
      <c r="D83" s="568" t="s">
        <v>53</v>
      </c>
      <c r="E83" s="1047" t="s">
        <v>54</v>
      </c>
      <c r="F83" s="1048" t="s">
        <v>55</v>
      </c>
    </row>
    <row r="84">
      <c r="A84" s="1049">
        <v>1.0</v>
      </c>
      <c r="B84" s="1050">
        <f>'WEEK 16'!B82</f>
        <v>50</v>
      </c>
      <c r="C84" s="1051" t="s">
        <v>61</v>
      </c>
      <c r="D84" s="1430" t="s">
        <v>121</v>
      </c>
      <c r="E84" s="1130" t="str">
        <f>IF('WEEK 14'!B99='WEEK 16'!B84,'WEEK 14'!F99,"")</f>
        <v/>
      </c>
      <c r="F84" s="1017"/>
    </row>
    <row r="85">
      <c r="A85" s="1049">
        <v>2.0</v>
      </c>
      <c r="B85" s="1050">
        <f>if('WEEK 16'!F84&lt;12,mround('WEEK 16'!B84*0.8,5),IF('WEEK 16'!F84&lt;=14,MROUND('WEEK 16'!B84*0.95,5),'WEEK 16'!B84))</f>
        <v>40</v>
      </c>
      <c r="C85" s="1051" t="s">
        <v>61</v>
      </c>
      <c r="D85" s="1430" t="s">
        <v>121</v>
      </c>
      <c r="E85" s="1130" t="str">
        <f>IF('WEEK 14'!B100='WEEK 16'!B85,'WEEK 14'!F100,"")</f>
        <v/>
      </c>
      <c r="F85" s="1017"/>
    </row>
    <row r="86">
      <c r="A86" s="1053">
        <v>3.0</v>
      </c>
      <c r="B86" s="1054">
        <f>if('WEEK 16'!F85&lt;12,mround('WEEK 16'!B85*0.8,5),IF('WEEK 16'!F85&lt;=14,MROUND('WEEK 16'!B85*0.95,5),'WEEK 16'!B85))</f>
        <v>30</v>
      </c>
      <c r="C86" s="1055" t="s">
        <v>61</v>
      </c>
      <c r="D86" s="1430" t="s">
        <v>121</v>
      </c>
      <c r="E86" s="1130" t="str">
        <f>IF('WEEK 14'!B101='WEEK 16'!B86,'WEEK 14'!F101,"")</f>
        <v/>
      </c>
      <c r="F86" s="1017"/>
    </row>
    <row r="89">
      <c r="A89" s="323" t="str">
        <f>HYPERLINK("https://www.youtube.com/watch?v=XepOfsnGFJg","3. MACHINE LEG CURL")</f>
        <v>3. MACHINE LEG CURL</v>
      </c>
      <c r="B89" s="53"/>
      <c r="C89" s="53"/>
      <c r="D89" s="53"/>
      <c r="E89" s="53"/>
      <c r="F89" s="54"/>
      <c r="G89" s="141"/>
      <c r="H89" s="323" t="str">
        <f>HYPERLINK("https://youtu.be/kmN9cJ79PDE","3. PRONE LEG CURL")</f>
        <v>3. PRONE LEG CURL</v>
      </c>
      <c r="I89" s="53"/>
      <c r="J89" s="53"/>
      <c r="K89" s="53"/>
      <c r="L89" s="53"/>
      <c r="M89" s="54"/>
    </row>
    <row r="90">
      <c r="A90" s="1045" t="s">
        <v>119</v>
      </c>
      <c r="B90" s="1367">
        <f>IF('WEEK 14'!B107='WEEK 14'!B109,'WEEK 14'!B107+5,IF('WEEK 14'!F107&lt;=9,MROUND('WEEK 14'!B105*0.95,5),'WEEK 14'!B107))</f>
        <v>55</v>
      </c>
      <c r="C90" s="20"/>
      <c r="D90" s="20"/>
      <c r="E90" s="20"/>
      <c r="F90" s="95"/>
      <c r="H90" s="1045" t="s">
        <v>119</v>
      </c>
      <c r="I90" s="1046">
        <f>'WEEK 16'!B90</f>
        <v>55</v>
      </c>
      <c r="J90" s="13"/>
      <c r="K90" s="13"/>
      <c r="L90" s="13"/>
      <c r="M90" s="57"/>
    </row>
    <row r="91">
      <c r="A91" s="567" t="s">
        <v>50</v>
      </c>
      <c r="B91" s="568" t="s">
        <v>51</v>
      </c>
      <c r="C91" s="568" t="s">
        <v>52</v>
      </c>
      <c r="D91" s="568" t="s">
        <v>53</v>
      </c>
      <c r="E91" s="1047" t="s">
        <v>54</v>
      </c>
      <c r="F91" s="1048" t="s">
        <v>55</v>
      </c>
      <c r="H91" s="567" t="s">
        <v>50</v>
      </c>
      <c r="I91" s="568" t="s">
        <v>51</v>
      </c>
      <c r="J91" s="568" t="s">
        <v>52</v>
      </c>
      <c r="K91" s="568" t="s">
        <v>53</v>
      </c>
      <c r="L91" s="1047" t="s">
        <v>54</v>
      </c>
      <c r="M91" s="1048" t="s">
        <v>55</v>
      </c>
    </row>
    <row r="92">
      <c r="A92" s="1049">
        <v>1.0</v>
      </c>
      <c r="B92" s="1050">
        <f>'WEEK 16'!B90</f>
        <v>55</v>
      </c>
      <c r="C92" s="1051" t="s">
        <v>61</v>
      </c>
      <c r="D92" s="1430" t="s">
        <v>121</v>
      </c>
      <c r="E92" s="1130" t="str">
        <f>IF('WEEK 14'!B107='WEEK 16'!B92,'WEEK 14'!F107,"")</f>
        <v/>
      </c>
      <c r="F92" s="1017"/>
      <c r="G92" s="434" t="s">
        <v>123</v>
      </c>
      <c r="H92" s="1049">
        <v>1.0</v>
      </c>
      <c r="I92" s="1050">
        <f>'WEEK 16'!I90</f>
        <v>55</v>
      </c>
      <c r="J92" s="1051" t="s">
        <v>61</v>
      </c>
      <c r="K92" s="1430" t="s">
        <v>121</v>
      </c>
      <c r="L92" s="1130" t="str">
        <f>IF('WEEK 14'!I107='WEEK 16'!I92,'WEEK 14'!M107,"")</f>
        <v/>
      </c>
      <c r="M92" s="1017"/>
    </row>
    <row r="93">
      <c r="A93" s="1049">
        <v>2.0</v>
      </c>
      <c r="B93" s="1050">
        <f>if('WEEK 16'!F92&lt;12,mround('WEEK 16'!B92*0.8,5),IF('WEEK 16'!F92&lt;=14,MROUND('WEEK 16'!B92*0.95,5),'WEEK 16'!B92))</f>
        <v>45</v>
      </c>
      <c r="C93" s="1051" t="s">
        <v>61</v>
      </c>
      <c r="D93" s="1430" t="s">
        <v>121</v>
      </c>
      <c r="E93" s="1130" t="str">
        <f>IF('WEEK 14'!B108='WEEK 16'!B93,'WEEK 14'!F108,"")</f>
        <v/>
      </c>
      <c r="F93" s="1017"/>
      <c r="H93" s="1049">
        <v>2.0</v>
      </c>
      <c r="I93" s="1050">
        <f>if('WEEK 16'!M92&lt;12,mround('WEEK 16'!I92*0.8,5),IF('WEEK 16'!M92&lt;=14,MROUND('WEEK 16'!I92*0.95,5),'WEEK 16'!I92))</f>
        <v>45</v>
      </c>
      <c r="J93" s="1051" t="s">
        <v>61</v>
      </c>
      <c r="K93" s="1430" t="s">
        <v>121</v>
      </c>
      <c r="L93" s="1130" t="str">
        <f>IF('WEEK 14'!I108='WEEK 16'!I93,'WEEK 14'!M108,"")</f>
        <v/>
      </c>
      <c r="M93" s="1017"/>
    </row>
    <row r="94">
      <c r="A94" s="1053">
        <v>3.0</v>
      </c>
      <c r="B94" s="1054">
        <f>if('WEEK 16'!F93&lt;12,mround('WEEK 16'!B93*0.8,5),IF('WEEK 16'!F93&lt;=14,MROUND('WEEK 16'!B93*0.95,5),'WEEK 16'!B93))</f>
        <v>35</v>
      </c>
      <c r="C94" s="1055" t="s">
        <v>61</v>
      </c>
      <c r="D94" s="1430" t="s">
        <v>121</v>
      </c>
      <c r="E94" s="1130" t="str">
        <f>IF('WEEK 14'!B109='WEEK 16'!B94,'WEEK 14'!F109,"")</f>
        <v/>
      </c>
      <c r="F94" s="1017"/>
      <c r="G94" s="682"/>
      <c r="H94" s="1053">
        <v>3.0</v>
      </c>
      <c r="I94" s="1054">
        <f>if('WEEK 16'!M93&lt;12,mround('WEEK 16'!I93*0.8,5),IF('WEEK 16'!M93&lt;=14,MROUND('WEEK 16'!I93*0.95,5),'WEEK 16'!I93))</f>
        <v>35</v>
      </c>
      <c r="J94" s="1055" t="s">
        <v>61</v>
      </c>
      <c r="K94" s="1430" t="s">
        <v>121</v>
      </c>
      <c r="L94" s="1130" t="str">
        <f>IF('WEEK 14'!I109='WEEK 16'!I94,'WEEK 14'!M109,"")</f>
        <v/>
      </c>
      <c r="M94" s="1017"/>
    </row>
    <row r="95">
      <c r="A95" s="849"/>
      <c r="B95" s="849"/>
      <c r="C95" s="849"/>
      <c r="D95" s="849"/>
      <c r="E95" s="849"/>
      <c r="F95" s="849"/>
      <c r="H95" s="849"/>
      <c r="I95" s="850"/>
      <c r="J95" s="850"/>
      <c r="K95" s="850"/>
      <c r="L95" s="850"/>
      <c r="M95" s="850"/>
    </row>
    <row r="97">
      <c r="A97" s="1120" t="s">
        <v>62</v>
      </c>
      <c r="B97" s="36"/>
      <c r="C97" s="36"/>
      <c r="D97" s="36"/>
      <c r="E97" s="36"/>
      <c r="F97" s="37"/>
    </row>
    <row r="100">
      <c r="A100" s="44" t="s">
        <v>131</v>
      </c>
      <c r="B100" s="36"/>
      <c r="C100" s="36"/>
      <c r="D100" s="36"/>
      <c r="E100" s="36"/>
      <c r="F100" s="37"/>
      <c r="H100" s="44" t="s">
        <v>131</v>
      </c>
      <c r="I100" s="36"/>
      <c r="J100" s="36"/>
      <c r="K100" s="36"/>
      <c r="L100" s="36"/>
      <c r="M100" s="37"/>
    </row>
    <row r="101">
      <c r="A101" s="112" t="str">
        <f>HYPERLINK("https://www.youtube.com/watch?v=rmxOkkd2hUk","1. SHOULDER PRESS")</f>
        <v>1. SHOULDER PRESS</v>
      </c>
      <c r="B101" s="13"/>
      <c r="C101" s="13"/>
      <c r="D101" s="13"/>
      <c r="E101" s="13"/>
      <c r="F101" s="57"/>
      <c r="H101" s="1139" t="str">
        <f>HYPERLINK("https://www.youtube.com/watch?v=-cSBPE-y38M","1. MACHINE SHOULDER PRESS")</f>
        <v>1. MACHINE SHOULDER PRESS</v>
      </c>
      <c r="I101" s="13"/>
      <c r="J101" s="13"/>
      <c r="K101" s="13"/>
      <c r="L101" s="13"/>
      <c r="M101" s="57"/>
    </row>
    <row r="102">
      <c r="A102" s="226" t="s">
        <v>119</v>
      </c>
      <c r="B102" s="227" t="str">
        <f>'WEEK 15'!B122</f>
        <v/>
      </c>
      <c r="C102" s="20"/>
      <c r="D102" s="20"/>
      <c r="E102" s="20"/>
      <c r="F102" s="95"/>
      <c r="H102" s="226" t="s">
        <v>119</v>
      </c>
      <c r="I102" s="227">
        <f>'WEEK 15'!I122</f>
        <v>105</v>
      </c>
      <c r="J102" s="20"/>
      <c r="K102" s="20"/>
      <c r="L102" s="20"/>
      <c r="M102" s="95"/>
    </row>
    <row r="103">
      <c r="A103" s="231" t="s">
        <v>50</v>
      </c>
      <c r="B103" s="232" t="s">
        <v>51</v>
      </c>
      <c r="C103" s="232" t="s">
        <v>52</v>
      </c>
      <c r="D103" s="232" t="s">
        <v>53</v>
      </c>
      <c r="E103" s="233" t="s">
        <v>54</v>
      </c>
      <c r="F103" s="61" t="s">
        <v>55</v>
      </c>
      <c r="H103" s="231" t="s">
        <v>50</v>
      </c>
      <c r="I103" s="232" t="s">
        <v>51</v>
      </c>
      <c r="J103" s="232" t="s">
        <v>52</v>
      </c>
      <c r="K103" s="232" t="s">
        <v>53</v>
      </c>
      <c r="L103" s="233" t="s">
        <v>54</v>
      </c>
      <c r="M103" s="61" t="s">
        <v>55</v>
      </c>
    </row>
    <row r="104">
      <c r="A104" s="1140">
        <v>1.0</v>
      </c>
      <c r="B104" s="237">
        <f>mround('WEEK 16'!B102*0.35,5)</f>
        <v>0</v>
      </c>
      <c r="C104" s="237">
        <v>6.0</v>
      </c>
      <c r="D104" s="238" t="s">
        <v>120</v>
      </c>
      <c r="E104" s="84">
        <f>IF('WEEK 13'!B114='WEEK 16'!B104,'WEEK 13'!F114,"")</f>
        <v>6</v>
      </c>
      <c r="F104" s="67"/>
      <c r="H104" s="1140">
        <v>1.0</v>
      </c>
      <c r="I104" s="237">
        <f>mround('WEEK 16'!I102*0.35,5)</f>
        <v>35</v>
      </c>
      <c r="J104" s="237">
        <v>6.0</v>
      </c>
      <c r="K104" s="238" t="s">
        <v>120</v>
      </c>
      <c r="L104" s="84">
        <f>IF('WEEK 13'!I114='WEEK 16'!I104,'WEEK 13'!M114,"")</f>
        <v>6</v>
      </c>
      <c r="M104" s="67"/>
    </row>
    <row r="105">
      <c r="A105" s="236">
        <v>2.0</v>
      </c>
      <c r="B105" s="237">
        <f>mround('WEEK 16'!B102*0.65,5)</f>
        <v>0</v>
      </c>
      <c r="C105" s="237">
        <v>1.0</v>
      </c>
      <c r="D105" s="238" t="s">
        <v>121</v>
      </c>
      <c r="E105" s="84">
        <f>IF('WEEK 13'!B115='WEEK 16'!B105,'WEEK 13'!F115,"")</f>
        <v>1</v>
      </c>
      <c r="F105" s="67"/>
      <c r="H105" s="236">
        <v>2.0</v>
      </c>
      <c r="I105" s="237">
        <f>mround('WEEK 16'!I102*0.65,5)</f>
        <v>70</v>
      </c>
      <c r="J105" s="237">
        <v>1.0</v>
      </c>
      <c r="K105" s="238" t="s">
        <v>121</v>
      </c>
      <c r="L105" s="84" t="str">
        <f>IF('WEEK 13'!I115='WEEK 16'!I105,'WEEK 13'!M115,"")</f>
        <v/>
      </c>
      <c r="M105" s="67"/>
    </row>
    <row r="106">
      <c r="A106" s="242">
        <v>3.0</v>
      </c>
      <c r="B106" s="237">
        <f>mround('WEEK 7'!B106*0.9,5)</f>
        <v>65</v>
      </c>
      <c r="C106" s="82">
        <v>1.0</v>
      </c>
      <c r="D106" s="238" t="s">
        <v>121</v>
      </c>
      <c r="E106" s="84" t="str">
        <f>IF('WEEK 13'!B116='WEEK 16'!B106,'WEEK 13'!F116,"")</f>
        <v/>
      </c>
      <c r="F106" s="67"/>
      <c r="H106" s="242">
        <v>3.0</v>
      </c>
      <c r="I106" s="237">
        <f>mround('WEEK 16'!I102*0.9,5)</f>
        <v>95</v>
      </c>
      <c r="J106" s="82">
        <v>1.0</v>
      </c>
      <c r="K106" s="238" t="s">
        <v>121</v>
      </c>
      <c r="L106" s="84" t="str">
        <f>IF('WEEK 13'!I116='WEEK 16'!I106,'WEEK 13'!M116,"")</f>
        <v/>
      </c>
      <c r="M106" s="67"/>
    </row>
    <row r="107">
      <c r="A107" s="243">
        <v>4.0</v>
      </c>
      <c r="B107" s="237" t="str">
        <f>'WEEK 16'!B102</f>
        <v/>
      </c>
      <c r="C107" s="257">
        <v>1.0</v>
      </c>
      <c r="D107" s="238" t="s">
        <v>122</v>
      </c>
      <c r="E107" s="84">
        <f>IF('WEEK 13'!B117='WEEK 16'!B107,'WEEK 13'!F117,"")</f>
        <v>1</v>
      </c>
      <c r="F107" s="67"/>
      <c r="H107" s="243">
        <v>4.0</v>
      </c>
      <c r="I107" s="237">
        <f>'WEEK 16'!I102</f>
        <v>105</v>
      </c>
      <c r="J107" s="257">
        <v>1.0</v>
      </c>
      <c r="K107" s="238" t="s">
        <v>122</v>
      </c>
      <c r="L107" s="84" t="str">
        <f>IF('WEEK 13'!I117='WEEK 16'!I107,'WEEK 13'!M117,"")</f>
        <v/>
      </c>
      <c r="M107" s="67"/>
    </row>
    <row r="108">
      <c r="A108" s="246" t="str">
        <f>IF('WEEK 16'!F107&lt;1,"PROCEED TO DOWN SETS","NEW 4 REP MAX ATTEMPT")</f>
        <v>PROCEED TO DOWN SETS</v>
      </c>
      <c r="B108" s="20"/>
      <c r="C108" s="20"/>
      <c r="D108" s="20"/>
      <c r="E108" s="20"/>
      <c r="F108" s="95"/>
      <c r="H108" s="246" t="str">
        <f>IF('WEEK 16'!M107&lt;1,"PROCEED TO DOWN SETS","NEW 4 REP MAX ATTEMPT")</f>
        <v>PROCEED TO DOWN SETS</v>
      </c>
      <c r="I108" s="20"/>
      <c r="J108" s="20"/>
      <c r="K108" s="20"/>
      <c r="L108" s="20"/>
      <c r="M108" s="95"/>
    </row>
    <row r="109">
      <c r="A109" s="249" t="str">
        <f>IF(OR(ISBLANK('WEEK 16'!F107),ISBLANK('WEEK 16'!F106),ISBLANK('WEEK 16'!F105)), "",if('WEEK 16'!F107&lt;1,"",5))</f>
        <v/>
      </c>
      <c r="B109" s="175" t="str">
        <f>IF('WEEK 16'!F107&lt;1,"",'WEEK 16'!B107+5)</f>
        <v/>
      </c>
      <c r="C109" s="238" t="str">
        <f>if('WEEK 16'!F107&lt;1,"",4)</f>
        <v/>
      </c>
      <c r="D109" s="238" t="str">
        <f>if('WEEK 16'!F107&lt;1,"","1-5 MIN")</f>
        <v/>
      </c>
      <c r="E109" s="84" t="str">
        <f>IF('WEEK 13'!B119='WEEK 16'!B109,'WEEK 13'!F119,"")</f>
        <v/>
      </c>
      <c r="F109" s="67"/>
      <c r="H109" s="249" t="str">
        <f>IF(OR(ISBLANK('WEEK 16'!M107),ISBLANK('WEEK 16'!M106),ISBLANK('WEEK 16'!M105)), "",if('WEEK 16'!M107&lt;1,"",5))</f>
        <v/>
      </c>
      <c r="I109" s="175" t="str">
        <f>IF('WEEK 16'!M107&lt;1,"",'WEEK 16'!I107+5)</f>
        <v/>
      </c>
      <c r="J109" s="238" t="str">
        <f>if('WEEK 16'!M107&lt;1,"",4)</f>
        <v/>
      </c>
      <c r="K109" s="238" t="str">
        <f>if('WEEK 16'!M107&lt;1,"","1-5 MIN")</f>
        <v/>
      </c>
      <c r="L109" s="84" t="str">
        <f>IF('WEEK 13'!I119='WEEK 16'!I109,'WEEK 13'!M119,"")</f>
        <v/>
      </c>
      <c r="M109" s="67"/>
    </row>
    <row r="110">
      <c r="A110" s="259" t="str">
        <f>IF(OR(ISBLANK('WEEK 16'!F106),ISBLANK('WEEK 16'!F107),ISBLANK('WEEK 16'!F109)), "",IF('WEEK 16'!F109&lt;4,"","6"))</f>
        <v/>
      </c>
      <c r="B110" s="237" t="str">
        <f>IF(OR(ISBLANK('WEEK 16'!F106),ISBLANK('WEEK 16'!F107),ISBLANK('WEEK 16'!F109)), "",IF('WEEK 16'!F109&lt;4,"",'WEEK 16'!B109+5))</f>
        <v/>
      </c>
      <c r="C110" s="257" t="str">
        <f>IF(OR(ISBLANK('WEEK 16'!F106),ISBLANK('WEEK 16'!F107),ISBLANK('WEEK 16'!F109)), "",IF('WEEK 16'!F109&lt;4,"","4"))</f>
        <v/>
      </c>
      <c r="D110" s="257" t="str">
        <f>IF(OR(ISBLANK('WEEK 16'!F106),ISBLANK('WEEK 16'!F107),ISBLANK('WEEK 16'!F109)), "",IF('WEEK 16'!F109&lt;4,"","1-5 MIN"))</f>
        <v/>
      </c>
      <c r="E110" s="84">
        <f>IF('WEEK 13'!B120='WEEK 16'!B110,'WEEK 13'!F120,"")</f>
        <v>0</v>
      </c>
      <c r="F110" s="67"/>
      <c r="H110" s="259" t="str">
        <f>IF(OR(ISBLANK('WEEK 16'!M106),ISBLANK('WEEK 16'!M107),ISBLANK('WEEK 16'!M109)), "",IF('WEEK 16'!M109&lt;4,"","6"))</f>
        <v/>
      </c>
      <c r="I110" s="237" t="str">
        <f>IF(OR(ISBLANK('WEEK 16'!M106),ISBLANK('WEEK 16'!M107),ISBLANK('WEEK 16'!M109)), "",IF('WEEK 16'!M109&lt;4,"",'WEEK 16'!I109+5))</f>
        <v/>
      </c>
      <c r="J110" s="257" t="str">
        <f>IF(OR(ISBLANK('WEEK 16'!M106),ISBLANK('WEEK 16'!M107),ISBLANK('WEEK 16'!M109)), "",IF('WEEK 16'!M109&lt;4,"","4"))</f>
        <v/>
      </c>
      <c r="K110" s="257" t="str">
        <f>IF(OR(ISBLANK('WEEK 16'!M106),ISBLANK('WEEK 16'!M107),ISBLANK('WEEK 16'!M109)), "",IF('WEEK 16'!M109&lt;4,"","1-5 MIN"))</f>
        <v/>
      </c>
      <c r="L110" s="84" t="str">
        <f>IF('WEEK 13'!I120='WEEK 16'!I110,'WEEK 13'!M120,"")</f>
        <v/>
      </c>
      <c r="M110" s="67"/>
    </row>
    <row r="111">
      <c r="A111" s="246" t="s">
        <v>133</v>
      </c>
      <c r="B111" s="20"/>
      <c r="C111" s="20"/>
      <c r="D111" s="20"/>
      <c r="E111" s="20"/>
      <c r="F111" s="95"/>
      <c r="H111" s="246" t="s">
        <v>133</v>
      </c>
      <c r="I111" s="20"/>
      <c r="J111" s="20"/>
      <c r="K111" s="20"/>
      <c r="L111" s="20"/>
      <c r="M111" s="95"/>
    </row>
    <row r="112">
      <c r="A112" s="264" t="str">
        <f>IF(OR(ISBLANK('WEEK 16'!F107),ISBLANK('WEEK 16'!F106),ISBLANK('WEEK 16'!F105)),"",IF((AND(A109="",A110="")),5,IF((AND(A109&gt;1,A110="")),6,7)))</f>
        <v/>
      </c>
      <c r="B112" s="265">
        <f>MROUND('WEEK 16'!B114*0.9,5)</f>
        <v>0</v>
      </c>
      <c r="C112" s="266" t="s">
        <v>65</v>
      </c>
      <c r="D112" s="267" t="s">
        <v>127</v>
      </c>
      <c r="E112" s="84">
        <f>IF('WEEK 13'!B122='WEEK 16'!B112,'WEEK 13'!F122,"")</f>
        <v>2</v>
      </c>
      <c r="F112" s="67"/>
      <c r="H112" s="264" t="str">
        <f>IF(OR(ISBLANK('WEEK 16'!M107),ISBLANK('WEEK 16'!M106),ISBLANK('WEEK 16'!M105)),"",IF((AND(H109="",H110="")),5,IF((AND(H109&gt;1,H110="")),6,7)))</f>
        <v/>
      </c>
      <c r="I112" s="265">
        <f>MROUND('WEEK 16'!I114*0.9,5)</f>
        <v>0</v>
      </c>
      <c r="J112" s="266" t="s">
        <v>65</v>
      </c>
      <c r="K112" s="267" t="s">
        <v>127</v>
      </c>
      <c r="L112" s="84" t="str">
        <f>IF('WEEK 13'!I122='WEEK 16'!I112,'WEEK 13'!M122,"")</f>
        <v/>
      </c>
      <c r="M112" s="67"/>
    </row>
    <row r="113">
      <c r="A113" s="243" t="str">
        <f>IF(OR(ISBLANK('WEEK 16'!F107),ISBLANK('WEEK 16'!F106),ISBLANK('WEEK 16'!F105)),"",IF((AND(A109="",A110="")),6,IF((AND(A109&gt;1,A110="")),7,8)))</f>
        <v/>
      </c>
      <c r="B113" s="237">
        <f>mround('WEEK 16'!B114*0.78,5)</f>
        <v>0</v>
      </c>
      <c r="C113" s="245" t="s">
        <v>65</v>
      </c>
      <c r="D113" s="65" t="s">
        <v>127</v>
      </c>
      <c r="E113" s="84">
        <f>IF('WEEK 13'!B123='WEEK 16'!B113,'WEEK 13'!F123,"")</f>
        <v>15</v>
      </c>
      <c r="F113" s="271"/>
      <c r="H113" s="243" t="str">
        <f>IF(OR(ISBLANK('WEEK 16'!M107),ISBLANK('WEEK 16'!M106),ISBLANK('WEEK 16'!M105)),"",IF((AND(H109="",H110="")),6,IF((AND(H109&gt;1,H110="")),7,8)))</f>
        <v/>
      </c>
      <c r="I113" s="237">
        <f>mround('WEEK 16'!I114*0.78,5)</f>
        <v>0</v>
      </c>
      <c r="J113" s="245" t="s">
        <v>65</v>
      </c>
      <c r="K113" s="65" t="s">
        <v>127</v>
      </c>
      <c r="L113" s="84" t="str">
        <f>IF('WEEK 13'!I123='WEEK 16'!I113,'WEEK 13'!M123,"")</f>
        <v/>
      </c>
      <c r="M113" s="271"/>
    </row>
    <row r="114">
      <c r="A114" s="272" t="s">
        <v>124</v>
      </c>
      <c r="B114" s="273" t="str">
        <f>IF(OR(ISBLANK('WEEK 16'!F107),ISBLANK('WEEK 16'!F106),ISBLANK('WEEK 16'!F105)),"",IF('WEEK 16'!F110&gt;=1,'WEEK 16'!B110,IF('WEEK 16'!F109&gt;=4,'WEEK 16'!B109,IF('WEEK 16'!F107&lt;1,'WEEK 16'!B107-5,'WEEK 16'!B107))))</f>
        <v/>
      </c>
      <c r="C114" s="11"/>
      <c r="D114" s="11"/>
      <c r="E114" s="11"/>
      <c r="F114" s="46"/>
      <c r="H114" s="272" t="s">
        <v>124</v>
      </c>
      <c r="I114" s="273" t="str">
        <f>IF(OR(ISBLANK('WEEK 16'!M107),ISBLANK('WEEK 16'!M106),ISBLANK('WEEK 16'!M105)),"",IF('WEEK 16'!M110&gt;=1,'WEEK 16'!I110,IF('WEEK 16'!M109&gt;=4,'WEEK 16'!I109,IF('WEEK 16'!M107&lt;1,'WEEK 16'!I107-5,'WEEK 16'!I107))))</f>
        <v/>
      </c>
      <c r="J114" s="11"/>
      <c r="K114" s="11"/>
      <c r="L114" s="11"/>
      <c r="M114" s="46"/>
    </row>
    <row r="117">
      <c r="A117" s="1431" t="str">
        <f>HYPERLINK("https://www.youtube.com/watch?v=XDLQt1j3qUU","2. Dumbbell REAR DELT FLY ")</f>
        <v>2. Dumbbell REAR DELT FLY </v>
      </c>
      <c r="B117" s="53"/>
      <c r="C117" s="53"/>
      <c r="D117" s="53"/>
      <c r="E117" s="53"/>
      <c r="F117" s="54"/>
    </row>
    <row r="118">
      <c r="A118" s="1268" t="s">
        <v>134</v>
      </c>
      <c r="B118" s="1035" t="str">
        <f>'WEEK 16'!B114</f>
        <v/>
      </c>
      <c r="C118" s="13"/>
      <c r="D118" s="13"/>
      <c r="E118" s="13"/>
      <c r="F118" s="57"/>
    </row>
    <row r="119">
      <c r="A119" s="567" t="s">
        <v>50</v>
      </c>
      <c r="B119" s="568" t="s">
        <v>51</v>
      </c>
      <c r="C119" s="568" t="s">
        <v>52</v>
      </c>
      <c r="D119" s="568" t="s">
        <v>53</v>
      </c>
      <c r="E119" s="1432" t="s">
        <v>54</v>
      </c>
      <c r="F119" s="1048" t="s">
        <v>55</v>
      </c>
    </row>
    <row r="120">
      <c r="A120" s="1049">
        <v>1.0</v>
      </c>
      <c r="B120" s="1311">
        <f>MROUND('WEEK 16'!B118*0.2*0.9,2.5)</f>
        <v>0</v>
      </c>
      <c r="C120" s="1050" t="s">
        <v>249</v>
      </c>
      <c r="D120" s="1433" t="s">
        <v>127</v>
      </c>
      <c r="E120" s="1434" t="str">
        <f>IF('WEEK 16'!B120='WEEK 15'!B134,'WEEK 15'!F134,"")</f>
        <v/>
      </c>
      <c r="F120" s="1435"/>
    </row>
    <row r="121">
      <c r="A121" s="1049">
        <v>2.0</v>
      </c>
      <c r="B121" s="1311">
        <f>if('WEEK 16'!F120&lt;10,mround('WEEK 16'!B120*0.8,2.5),IF('WEEK 16'!F120&lt;15,MROUND('WEEK 16'!B120*0.95,2.5),'WEEK 16'!B120))</f>
        <v>0</v>
      </c>
      <c r="C121" s="1050" t="s">
        <v>249</v>
      </c>
      <c r="D121" s="1433" t="s">
        <v>127</v>
      </c>
      <c r="E121" s="1434" t="str">
        <f>IF('WEEK 16'!B121='WEEK 15'!B135,'WEEK 15'!F135,"")</f>
        <v/>
      </c>
      <c r="F121" s="1435"/>
    </row>
    <row r="122">
      <c r="A122" s="1053">
        <v>3.0</v>
      </c>
      <c r="B122" s="1436">
        <f>if('WEEK 16'!F121&lt;10,mround('WEEK 16'!B121*0.8,2.5),IF('WEEK 16'!F121&lt;15,MROUND('WEEK 16'!B121*0.95,2.5),'WEEK 16'!B121))</f>
        <v>0</v>
      </c>
      <c r="C122" s="1050" t="s">
        <v>249</v>
      </c>
      <c r="D122" s="1433" t="s">
        <v>127</v>
      </c>
      <c r="E122" s="1434" t="str">
        <f>IF('WEEK 16'!B122='WEEK 15'!B136,'WEEK 15'!F136,"")</f>
        <v/>
      </c>
      <c r="F122" s="1435"/>
    </row>
    <row r="123">
      <c r="A123" s="623"/>
      <c r="B123" s="623"/>
      <c r="C123" s="623"/>
      <c r="D123" s="623"/>
      <c r="E123" s="623"/>
      <c r="F123" s="623"/>
    </row>
    <row r="124">
      <c r="A124" s="995"/>
      <c r="B124" s="995"/>
      <c r="C124" s="995"/>
      <c r="D124" s="995"/>
      <c r="E124" s="995"/>
      <c r="F124" s="995"/>
    </row>
    <row r="125">
      <c r="A125" s="1437" t="str">
        <f>HYPERLINK("https://youtu.be/QUNZvtb6mnY","3. DUMBBELL SIDE LATERAL RAISE")</f>
        <v>3. DUMBBELL SIDE LATERAL RAISE</v>
      </c>
      <c r="B125" s="13"/>
      <c r="C125" s="13"/>
      <c r="D125" s="13"/>
      <c r="E125" s="13"/>
      <c r="F125" s="57"/>
    </row>
    <row r="126">
      <c r="A126" s="1045" t="s">
        <v>134</v>
      </c>
      <c r="B126" s="1035" t="str">
        <f>'WEEK 16'!B114</f>
        <v/>
      </c>
      <c r="C126" s="13"/>
      <c r="D126" s="13"/>
      <c r="E126" s="13"/>
      <c r="F126" s="57"/>
    </row>
    <row r="127">
      <c r="A127" s="1438" t="s">
        <v>50</v>
      </c>
      <c r="B127" s="1439" t="s">
        <v>51</v>
      </c>
      <c r="C127" s="1439" t="s">
        <v>52</v>
      </c>
      <c r="D127" s="1439" t="s">
        <v>53</v>
      </c>
      <c r="E127" s="1047" t="s">
        <v>54</v>
      </c>
      <c r="F127" s="1048" t="s">
        <v>55</v>
      </c>
    </row>
    <row r="128">
      <c r="A128" s="1440">
        <v>1.0</v>
      </c>
      <c r="B128" s="1050">
        <f> mround('WEEK 16'!B126*0.2*0.9,5)</f>
        <v>0</v>
      </c>
      <c r="C128" s="1052" t="s">
        <v>61</v>
      </c>
      <c r="D128" s="1433" t="s">
        <v>127</v>
      </c>
      <c r="E128" s="1434" t="str">
        <f>IF('WEEK 16'!B128='WEEK 15'!B142,'WEEK 15'!F142,"")</f>
        <v/>
      </c>
      <c r="F128" s="1435"/>
    </row>
    <row r="129">
      <c r="A129" s="1440">
        <v>2.0</v>
      </c>
      <c r="B129" s="1050">
        <f>if('WEEK 16'!F128&lt;15,mround('WEEK 16'!B126*0.15,2.5),'WEEK 16'!B128)</f>
        <v>0</v>
      </c>
      <c r="C129" s="1052" t="s">
        <v>61</v>
      </c>
      <c r="D129" s="1433" t="s">
        <v>127</v>
      </c>
      <c r="E129" s="1434" t="str">
        <f>IF('WEEK 16'!B129='WEEK 15'!B143,'WEEK 15'!F143,"")</f>
        <v/>
      </c>
      <c r="F129" s="1435"/>
    </row>
    <row r="130">
      <c r="A130" s="1441">
        <v>3.0</v>
      </c>
      <c r="B130" s="1054">
        <f>if('WEEK 16'!F129&lt;15,mround('WEEK 16'!B126*0.1,2.5),'WEEK 16'!B129)</f>
        <v>0</v>
      </c>
      <c r="C130" s="1056" t="s">
        <v>61</v>
      </c>
      <c r="D130" s="1433" t="s">
        <v>127</v>
      </c>
      <c r="E130" s="1434" t="str">
        <f>IF('WEEK 16'!B130='WEEK 15'!B144,'WEEK 15'!F144,"")</f>
        <v/>
      </c>
      <c r="F130" s="1435"/>
    </row>
    <row r="131">
      <c r="A131" s="623"/>
      <c r="B131" s="623"/>
      <c r="C131" s="623"/>
      <c r="D131" s="623"/>
      <c r="E131" s="623"/>
      <c r="F131" s="623"/>
    </row>
    <row r="132">
      <c r="A132" s="995"/>
      <c r="B132" s="995"/>
      <c r="C132" s="995"/>
      <c r="D132" s="995"/>
      <c r="E132" s="995"/>
      <c r="F132" s="995"/>
    </row>
    <row r="133">
      <c r="A133" s="1442" t="str">
        <f>HYPERLINK("https://www.youtube.com/watch?v=Zt0LwrUdpNs","4.  TRICEP OVERHEAD ROPE EXTENSION")</f>
        <v>4.  TRICEP OVERHEAD ROPE EXTENSION</v>
      </c>
      <c r="B133" s="13"/>
      <c r="C133" s="13"/>
      <c r="D133" s="13"/>
      <c r="E133" s="13"/>
      <c r="F133" s="57"/>
    </row>
    <row r="134">
      <c r="A134" s="961" t="s">
        <v>119</v>
      </c>
      <c r="B134" s="1443">
        <f>IF('WEEK 15'!B150='WEEK 15'!B152,'WEEK 15'!B150+5,IF('WEEK 15'!B150&lt;=15,MROUND('WEEK 15'!F148*0.9,5),'WEEK 15'!B150))</f>
        <v>15</v>
      </c>
      <c r="C134" s="13"/>
      <c r="D134" s="13"/>
      <c r="E134" s="13"/>
      <c r="F134" s="57"/>
    </row>
    <row r="135">
      <c r="A135" s="1444" t="s">
        <v>50</v>
      </c>
      <c r="B135" s="1445" t="s">
        <v>51</v>
      </c>
      <c r="C135" s="1445" t="s">
        <v>52</v>
      </c>
      <c r="D135" s="1446" t="s">
        <v>53</v>
      </c>
      <c r="E135" s="1447" t="s">
        <v>54</v>
      </c>
      <c r="F135" s="1448" t="s">
        <v>55</v>
      </c>
    </row>
    <row r="136">
      <c r="A136" s="387">
        <v>1.0</v>
      </c>
      <c r="B136" s="388">
        <f>'WEEK 16'!B134</f>
        <v>15</v>
      </c>
      <c r="C136" s="1449" t="s">
        <v>61</v>
      </c>
      <c r="D136" s="1433" t="s">
        <v>127</v>
      </c>
      <c r="E136" s="1450" t="str">
        <f>IF('WEEK 16'!B136='WEEK 15'!B150,'WEEK 15'!F150,"")</f>
        <v/>
      </c>
      <c r="F136" s="1451"/>
    </row>
    <row r="137">
      <c r="A137" s="387">
        <v>2.0</v>
      </c>
      <c r="B137" s="388">
        <f>if('WEEK 16'!F136&lt;6,mround('WEEK 16'!B136*0.8,5),IF('WEEK 16'!F136&lt;=14,MROUND('WEEK 16'!B136*0.95,5),'WEEK 16'!B136))</f>
        <v>10</v>
      </c>
      <c r="C137" s="1449" t="s">
        <v>61</v>
      </c>
      <c r="D137" s="1433" t="s">
        <v>127</v>
      </c>
      <c r="E137" s="1450" t="str">
        <f>IF('WEEK 16'!B137='WEEK 15'!B151,'WEEK 15'!F151,"")</f>
        <v/>
      </c>
      <c r="F137" s="1451"/>
    </row>
    <row r="138">
      <c r="A138" s="394">
        <v>3.0</v>
      </c>
      <c r="B138" s="395">
        <f>if('WEEK 16'!F137&lt;6,mround('WEEK 16'!B137*0.8,5),IF('WEEK 16'!F137&lt;=14,MROUND('WEEK 16'!B137*0.95,5),'WEEK 16'!B137))</f>
        <v>10</v>
      </c>
      <c r="C138" s="1449" t="s">
        <v>61</v>
      </c>
      <c r="D138" s="1433" t="s">
        <v>127</v>
      </c>
      <c r="E138" s="1450" t="str">
        <f>IF('WEEK 16'!B138='WEEK 15'!B152,'WEEK 15'!F152,"")</f>
        <v/>
      </c>
      <c r="F138" s="1451"/>
    </row>
    <row r="141">
      <c r="A141" s="75" t="str">
        <f>HYPERLINK("https://www.youtube.com/watch?v=Bi6Do6QIlpQ","5. BICEP EZ BAR CURL")</f>
        <v>5. BICEP EZ BAR CURL</v>
      </c>
      <c r="B141" s="53"/>
      <c r="C141" s="53"/>
      <c r="D141" s="53"/>
      <c r="E141" s="53"/>
      <c r="F141" s="54"/>
    </row>
    <row r="142">
      <c r="A142" s="961" t="s">
        <v>119</v>
      </c>
      <c r="B142" s="1046">
        <f>IF('WEEK 13'!B154='WEEK 13'!B156,'WEEK 13'!B154+5,IF('WEEK 13'!F154&lt;=9,MROUND('WEEK 13'!B152*0.95,5),'WEEK 13'!B154))</f>
        <v>95</v>
      </c>
      <c r="C142" s="13"/>
      <c r="D142" s="13"/>
      <c r="E142" s="13"/>
      <c r="F142" s="57"/>
    </row>
    <row r="143">
      <c r="A143" s="962" t="s">
        <v>50</v>
      </c>
      <c r="B143" s="963" t="s">
        <v>51</v>
      </c>
      <c r="C143" s="963" t="s">
        <v>52</v>
      </c>
      <c r="D143" s="963" t="s">
        <v>53</v>
      </c>
      <c r="E143" s="1073" t="s">
        <v>54</v>
      </c>
      <c r="F143" s="1006" t="s">
        <v>55</v>
      </c>
    </row>
    <row r="144">
      <c r="A144" s="967">
        <v>1.0</v>
      </c>
      <c r="B144" s="968">
        <f> mround('WEEK 13'!B146,5)</f>
        <v>10</v>
      </c>
      <c r="C144" s="937" t="s">
        <v>234</v>
      </c>
      <c r="D144" s="1296" t="s">
        <v>127</v>
      </c>
      <c r="E144" s="1235" t="str">
        <f>if('WEEK 15'!B158='WEEK 16'!B144,'WEEK 15'!F158,"")</f>
        <v/>
      </c>
      <c r="F144" s="984">
        <v>10.0</v>
      </c>
    </row>
    <row r="145">
      <c r="A145" s="967">
        <v>2.0</v>
      </c>
      <c r="B145" s="968">
        <f>if('WEEK 16'!F144&lt;6,mround('WEEK 16'!B144*0.75,5),if('WEEK 16'!F144&lt;12,mround('WEEK 16'!B144*0.85,5),'WEEK 16'!B144))</f>
        <v>10</v>
      </c>
      <c r="C145" s="937" t="s">
        <v>234</v>
      </c>
      <c r="D145" s="1296" t="s">
        <v>127</v>
      </c>
      <c r="E145" s="1235" t="str">
        <f>if('WEEK 15'!B159='WEEK 16'!B145,'WEEK 15'!F159,"")</f>
        <v/>
      </c>
      <c r="F145" s="1131">
        <v>15.0</v>
      </c>
    </row>
    <row r="146">
      <c r="A146" s="971">
        <v>3.0</v>
      </c>
      <c r="B146" s="968">
        <f>if('WEEK 16'!F145&lt;6,mround('WEEK 16'!B145*0.75,5),if('WEEK 16'!F145&lt;12,mround('WEEK 16'!B145*0.85,5),'WEEK 16'!B145))</f>
        <v>10</v>
      </c>
      <c r="C146" s="937" t="s">
        <v>234</v>
      </c>
      <c r="D146" s="1296" t="s">
        <v>127</v>
      </c>
      <c r="E146" s="1235" t="str">
        <f>if('WEEK 15'!B160='WEEK 16'!B146,'WEEK 15'!F160,"")</f>
        <v/>
      </c>
      <c r="F146" s="984">
        <v>5.0</v>
      </c>
    </row>
    <row r="149">
      <c r="A149" s="1149" t="s">
        <v>135</v>
      </c>
      <c r="B149" s="36"/>
      <c r="C149" s="36"/>
      <c r="D149" s="36"/>
      <c r="E149" s="36"/>
      <c r="F149" s="37"/>
    </row>
    <row r="150">
      <c r="A150" s="623"/>
      <c r="B150" s="623"/>
      <c r="C150" s="623"/>
      <c r="D150" s="623"/>
      <c r="E150" s="1274"/>
      <c r="F150" s="623"/>
    </row>
    <row r="151">
      <c r="A151" s="1275" t="str">
        <f>HYPERLINK("https://www.amazon.com/30-Minute-Body-Investment-Champion/dp/0692791892/ref=sr_1_1?ie=UTF8&amp;qid=1490447969&amp;sr=8-1&amp;keywords=30+minute+body","WANT TO LEARN MORE?")</f>
        <v>WANT TO LEARN MORE?</v>
      </c>
      <c r="B151" s="25"/>
      <c r="C151" s="25"/>
      <c r="D151" s="25"/>
      <c r="E151" s="25"/>
      <c r="F151" s="26"/>
    </row>
    <row r="152">
      <c r="A152" s="529"/>
      <c r="F152" s="28"/>
    </row>
    <row r="153">
      <c r="A153" s="1276"/>
      <c r="B153" s="999"/>
      <c r="C153" s="1150" t="s">
        <v>67</v>
      </c>
      <c r="F153" s="28"/>
    </row>
    <row r="154">
      <c r="A154" s="1276"/>
      <c r="B154" s="999"/>
      <c r="F154" s="28"/>
    </row>
    <row r="155">
      <c r="A155" s="1276"/>
      <c r="B155" s="999"/>
      <c r="F155" s="28"/>
    </row>
    <row r="156">
      <c r="A156" s="1276"/>
      <c r="B156" s="999"/>
      <c r="F156" s="28"/>
    </row>
    <row r="157">
      <c r="A157" s="1276"/>
      <c r="B157" s="999"/>
      <c r="F157" s="28"/>
    </row>
    <row r="158">
      <c r="A158" s="1276"/>
      <c r="B158" s="999"/>
      <c r="F158" s="28"/>
    </row>
    <row r="159">
      <c r="A159" s="1277"/>
      <c r="B159" s="999"/>
      <c r="F159" s="28"/>
    </row>
    <row r="160">
      <c r="A160" s="1276"/>
      <c r="B160" s="999"/>
      <c r="F160" s="28"/>
    </row>
    <row r="161">
      <c r="A161" s="1276"/>
      <c r="B161" s="999"/>
      <c r="F161" s="28"/>
    </row>
    <row r="162">
      <c r="A162" s="1278"/>
      <c r="B162" s="999"/>
      <c r="F162" s="28"/>
    </row>
    <row r="163">
      <c r="A163" s="1276"/>
      <c r="B163" s="999"/>
      <c r="F163" s="28"/>
    </row>
    <row r="164">
      <c r="A164" s="1276"/>
      <c r="B164" s="999"/>
      <c r="F164" s="28"/>
    </row>
    <row r="165">
      <c r="A165" s="1276"/>
      <c r="B165" s="999"/>
      <c r="F165" s="28"/>
    </row>
    <row r="166">
      <c r="A166" s="1276"/>
      <c r="B166" s="999"/>
      <c r="F166" s="28"/>
    </row>
    <row r="167">
      <c r="A167" s="1279"/>
      <c r="B167" s="1280"/>
      <c r="C167" s="11"/>
      <c r="D167" s="11"/>
      <c r="E167" s="11"/>
      <c r="F167" s="46"/>
    </row>
  </sheetData>
  <mergeCells count="69">
    <mergeCell ref="H101:M101"/>
    <mergeCell ref="I102:M102"/>
    <mergeCell ref="G92:G93"/>
    <mergeCell ref="G94:G95"/>
    <mergeCell ref="A97:F97"/>
    <mergeCell ref="A100:F100"/>
    <mergeCell ref="H100:M100"/>
    <mergeCell ref="A101:F101"/>
    <mergeCell ref="B102:F102"/>
    <mergeCell ref="A149:F149"/>
    <mergeCell ref="A151:F152"/>
    <mergeCell ref="C153:F167"/>
    <mergeCell ref="B118:F118"/>
    <mergeCell ref="A125:F125"/>
    <mergeCell ref="B126:F126"/>
    <mergeCell ref="A133:F133"/>
    <mergeCell ref="B134:F134"/>
    <mergeCell ref="A141:F141"/>
    <mergeCell ref="B142:F142"/>
    <mergeCell ref="H15:M15"/>
    <mergeCell ref="H16:M17"/>
    <mergeCell ref="H18:M18"/>
    <mergeCell ref="H19:M19"/>
    <mergeCell ref="I20:M20"/>
    <mergeCell ref="H25:M25"/>
    <mergeCell ref="H32:M32"/>
    <mergeCell ref="I33:M33"/>
    <mergeCell ref="A9:F9"/>
    <mergeCell ref="H9:M9"/>
    <mergeCell ref="A10:F11"/>
    <mergeCell ref="H10:M10"/>
    <mergeCell ref="A12:F12"/>
    <mergeCell ref="A13:F13"/>
    <mergeCell ref="A14:F14"/>
    <mergeCell ref="A15:F15"/>
    <mergeCell ref="G15:G24"/>
    <mergeCell ref="A16:F17"/>
    <mergeCell ref="A18:F18"/>
    <mergeCell ref="A19:F19"/>
    <mergeCell ref="B20:F20"/>
    <mergeCell ref="G25:G26"/>
    <mergeCell ref="A25:F25"/>
    <mergeCell ref="A32:F32"/>
    <mergeCell ref="B33:F33"/>
    <mergeCell ref="A39:F39"/>
    <mergeCell ref="B40:F40"/>
    <mergeCell ref="A47:F47"/>
    <mergeCell ref="B48:F48"/>
    <mergeCell ref="A54:F54"/>
    <mergeCell ref="B55:F55"/>
    <mergeCell ref="A60:F60"/>
    <mergeCell ref="A62:F62"/>
    <mergeCell ref="A65:F65"/>
    <mergeCell ref="B66:F66"/>
    <mergeCell ref="B78:F78"/>
    <mergeCell ref="A81:F81"/>
    <mergeCell ref="B82:F82"/>
    <mergeCell ref="A89:F89"/>
    <mergeCell ref="G89:G91"/>
    <mergeCell ref="H89:M89"/>
    <mergeCell ref="B90:F90"/>
    <mergeCell ref="I90:M90"/>
    <mergeCell ref="A108:F108"/>
    <mergeCell ref="H108:M108"/>
    <mergeCell ref="A111:F111"/>
    <mergeCell ref="H111:M111"/>
    <mergeCell ref="B114:F114"/>
    <mergeCell ref="I114:M114"/>
    <mergeCell ref="A117:F117"/>
  </mergeCells>
  <dataValidations>
    <dataValidation type="decimal" operator="greaterThanOrEqual" allowBlank="1" showDropDown="1" sqref="F67:F71 F73">
      <formula1>0.0</formula1>
    </dataValidation>
  </dataValidations>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51" t="str">
        <f>'MSW16'!A1</f>
        <v/>
      </c>
    </row>
    <row r="8">
      <c r="A8" s="11"/>
      <c r="B8" s="11"/>
      <c r="C8" s="11"/>
      <c r="D8" s="11"/>
      <c r="E8" s="11"/>
      <c r="F8" s="11"/>
      <c r="G8" s="11"/>
      <c r="H8" s="11"/>
      <c r="I8" s="11"/>
      <c r="J8" s="11"/>
      <c r="K8" s="11"/>
      <c r="L8" s="11"/>
      <c r="M8" s="11"/>
    </row>
    <row r="9">
      <c r="A9" s="1293" t="str">
        <f>'MSW16'!A9</f>
        <v>Week 16</v>
      </c>
      <c r="B9" s="36"/>
      <c r="C9" s="36"/>
      <c r="D9" s="36"/>
      <c r="E9" s="36"/>
      <c r="F9" s="37"/>
      <c r="G9" s="419" t="str">
        <f>'MSW16'!G9</f>
        <v/>
      </c>
      <c r="H9" s="24" t="s">
        <v>35</v>
      </c>
      <c r="I9" s="25"/>
      <c r="J9" s="25"/>
      <c r="K9" s="25"/>
      <c r="L9" s="25"/>
      <c r="M9" s="26"/>
    </row>
    <row r="10">
      <c r="A10" s="719" t="str">
        <f>'MSW16'!A10</f>
        <v>PRESS TO RECORD BODY WEIGHT</v>
      </c>
      <c r="B10" s="25"/>
      <c r="C10" s="25"/>
      <c r="D10" s="25"/>
      <c r="E10" s="25"/>
      <c r="F10" s="26"/>
      <c r="H10" s="27" t="s">
        <v>257</v>
      </c>
      <c r="M10" s="28"/>
    </row>
    <row r="11">
      <c r="A11" s="336"/>
      <c r="B11" s="11"/>
      <c r="C11" s="11"/>
      <c r="D11" s="11"/>
      <c r="E11" s="11"/>
      <c r="F11" s="46"/>
      <c r="H11" s="29" t="s">
        <v>258</v>
      </c>
      <c r="I11" s="30"/>
      <c r="J11" s="30"/>
      <c r="K11" s="30"/>
      <c r="L11" s="30"/>
      <c r="M11" s="31"/>
    </row>
    <row r="12">
      <c r="A12" s="720" t="str">
        <f>'MSW16'!A12</f>
        <v>This Weeks Goals</v>
      </c>
      <c r="B12" s="36"/>
      <c r="C12" s="36"/>
      <c r="D12" s="36"/>
      <c r="E12" s="36"/>
      <c r="F12" s="37"/>
      <c r="G12" s="419"/>
    </row>
    <row r="13">
      <c r="A13" s="1452" t="str">
        <f>'MSW16'!A13</f>
        <v>This is what we call percentage week. For the most part we are going to work your body just under it's maximum potential and go for more repititions. There are however a few areas that are excluded from this principle but the general theme of the week is working under your max. </v>
      </c>
      <c r="B13" s="36"/>
      <c r="C13" s="36"/>
      <c r="D13" s="36"/>
      <c r="E13" s="36"/>
      <c r="F13" s="37"/>
    </row>
    <row r="14">
      <c r="A14" s="653" t="str">
        <f>'MSW16'!A14</f>
        <v/>
      </c>
    </row>
    <row r="15">
      <c r="A15" s="50" t="str">
        <f>'MSW16'!A15</f>
        <v>DAY 1 </v>
      </c>
      <c r="B15" s="36"/>
      <c r="C15" s="36"/>
      <c r="D15" s="36"/>
      <c r="E15" s="36"/>
      <c r="F15" s="37"/>
      <c r="G15" s="141" t="str">
        <f>'MSW16'!G15</f>
        <v/>
      </c>
      <c r="H15" s="429" t="str">
        <f>'MSW16'!H15</f>
        <v>ALTERNATE WORKOUTS</v>
      </c>
      <c r="I15" s="36"/>
      <c r="J15" s="36"/>
      <c r="K15" s="36"/>
      <c r="L15" s="36"/>
      <c r="M15" s="37"/>
    </row>
    <row r="16">
      <c r="A16" s="657" t="str">
        <f>'MSW16'!A16</f>
        <v/>
      </c>
      <c r="H16" s="657" t="str">
        <f>'MSW16'!H16</f>
        <v/>
      </c>
    </row>
    <row r="18">
      <c r="A18" s="51" t="str">
        <f>'MSW16'!A18</f>
        <v>CHEST &amp; BACK </v>
      </c>
      <c r="B18" s="36"/>
      <c r="C18" s="36"/>
      <c r="D18" s="36"/>
      <c r="E18" s="36"/>
      <c r="F18" s="37"/>
      <c r="H18" s="51" t="str">
        <f>'MSW16'!H18</f>
        <v>CHEST &amp; BACK </v>
      </c>
      <c r="I18" s="36"/>
      <c r="J18" s="36"/>
      <c r="K18" s="36"/>
      <c r="L18" s="36"/>
      <c r="M18" s="37"/>
    </row>
    <row r="19">
      <c r="A19" s="93" t="str">
        <f>'MSW16'!A19</f>
        <v>1. BENCH PRESS</v>
      </c>
      <c r="B19" s="53"/>
      <c r="C19" s="53"/>
      <c r="D19" s="53"/>
      <c r="E19" s="53"/>
      <c r="F19" s="54"/>
      <c r="H19" s="93" t="str">
        <f>'MSW16'!H19</f>
        <v>1. MACHINE PRESS</v>
      </c>
      <c r="I19" s="53"/>
      <c r="J19" s="53"/>
      <c r="K19" s="53"/>
      <c r="L19" s="53"/>
      <c r="M19" s="54"/>
    </row>
    <row r="20">
      <c r="A20" s="226" t="str">
        <f>'MSW16'!A20</f>
        <v>CURRENT MAX</v>
      </c>
      <c r="B20" s="691" t="str">
        <f>'MSW16'!B20</f>
        <v/>
      </c>
      <c r="C20" s="13"/>
      <c r="D20" s="13"/>
      <c r="E20" s="13"/>
      <c r="F20" s="57"/>
      <c r="H20" s="226" t="str">
        <f>'MSW16'!H20</f>
        <v>CURRENT MAX</v>
      </c>
      <c r="I20" s="691" t="str">
        <f>'MSW16'!I20</f>
        <v/>
      </c>
      <c r="J20" s="13"/>
      <c r="K20" s="13"/>
      <c r="L20" s="13"/>
      <c r="M20" s="57"/>
    </row>
    <row r="21">
      <c r="A21" s="96" t="str">
        <f>'MSW16'!A21</f>
        <v>SET</v>
      </c>
      <c r="B21" s="97" t="str">
        <f>'MSW16'!B21</f>
        <v>WEIGHT</v>
      </c>
      <c r="C21" s="97" t="str">
        <f>'MSW16'!C21</f>
        <v>REPS</v>
      </c>
      <c r="D21" s="97" t="str">
        <f>'MSW16'!D21</f>
        <v>REST</v>
      </c>
      <c r="E21" s="341" t="str">
        <f>'MSW16'!E21</f>
        <v>PREVIOUS</v>
      </c>
      <c r="F21" s="235" t="str">
        <f>'MSW16'!F21</f>
        <v>REP LOG</v>
      </c>
      <c r="H21" s="96" t="str">
        <f>'MSW16'!H21</f>
        <v>SET</v>
      </c>
      <c r="I21" s="97" t="str">
        <f>'MSW16'!I21</f>
        <v>WEIGHT</v>
      </c>
      <c r="J21" s="97" t="str">
        <f>'MSW16'!J21</f>
        <v>REPS</v>
      </c>
      <c r="K21" s="97" t="str">
        <f>'MSW16'!K21</f>
        <v>REST</v>
      </c>
      <c r="L21" s="341" t="str">
        <f>'MSW16'!L21</f>
        <v>PREVIOUS</v>
      </c>
      <c r="M21" s="235" t="str">
        <f>'MSW16'!M21</f>
        <v>REP LOG</v>
      </c>
    </row>
    <row r="22">
      <c r="A22" s="725">
        <f>'MSW16'!A22</f>
        <v>1</v>
      </c>
      <c r="B22" s="344">
        <f>'MSW16'!B22</f>
        <v>0</v>
      </c>
      <c r="C22" s="344">
        <f>'MSW16'!C22</f>
        <v>6</v>
      </c>
      <c r="D22" s="343" t="str">
        <f>'MSW16'!D22</f>
        <v>30 sec</v>
      </c>
      <c r="E22" s="66" t="str">
        <f>'MSW16'!E22</f>
        <v/>
      </c>
      <c r="F22" s="85" t="str">
        <f>'MSW16'!F22</f>
        <v/>
      </c>
      <c r="H22" s="725">
        <f>'MSW16'!H22</f>
        <v>1</v>
      </c>
      <c r="I22" s="344">
        <f>'MSW16'!I22</f>
        <v>0</v>
      </c>
      <c r="J22" s="344">
        <f>'MSW16'!J22</f>
        <v>6</v>
      </c>
      <c r="K22" s="343" t="str">
        <f>'MSW16'!K22</f>
        <v>30 sec</v>
      </c>
      <c r="L22" s="66" t="str">
        <f>'MSW16'!L22</f>
        <v/>
      </c>
      <c r="M22" s="85" t="str">
        <f>'MSW16'!M22</f>
        <v/>
      </c>
    </row>
    <row r="23">
      <c r="A23" s="725">
        <f>'MSW16'!A23</f>
        <v>2</v>
      </c>
      <c r="B23" s="344">
        <f>'MSW16'!B23</f>
        <v>0</v>
      </c>
      <c r="C23" s="344">
        <f>'MSW16'!C23</f>
        <v>1</v>
      </c>
      <c r="D23" s="343" t="str">
        <f>'MSW16'!D23</f>
        <v>45 sec</v>
      </c>
      <c r="E23" s="66" t="str">
        <f>'MSW16'!E23</f>
        <v/>
      </c>
      <c r="F23" s="85" t="str">
        <f>'MSW16'!F23</f>
        <v/>
      </c>
      <c r="H23" s="725">
        <f>'MSW16'!H23</f>
        <v>2</v>
      </c>
      <c r="I23" s="344">
        <f>'MSW16'!I23</f>
        <v>0</v>
      </c>
      <c r="J23" s="344">
        <f>'MSW16'!J23</f>
        <v>1</v>
      </c>
      <c r="K23" s="343" t="str">
        <f>'MSW16'!K23</f>
        <v>45 sec</v>
      </c>
      <c r="L23" s="66" t="str">
        <f>'MSW16'!L23</f>
        <v/>
      </c>
      <c r="M23" s="85" t="str">
        <f>'MSW16'!M23</f>
        <v/>
      </c>
    </row>
    <row r="24">
      <c r="A24" s="725">
        <f>'MSW16'!A24</f>
        <v>3</v>
      </c>
      <c r="B24" s="344">
        <f>'MSW16'!B24</f>
        <v>0</v>
      </c>
      <c r="C24" s="344">
        <f>'MSW16'!C24</f>
        <v>1</v>
      </c>
      <c r="D24" s="343" t="str">
        <f>'MSW16'!D24</f>
        <v>1 MIN</v>
      </c>
      <c r="E24" s="66" t="str">
        <f>'MSW16'!E24</f>
        <v/>
      </c>
      <c r="F24" s="85" t="str">
        <f>'MSW16'!F24</f>
        <v/>
      </c>
      <c r="H24" s="725">
        <f>'MSW16'!H24</f>
        <v>3</v>
      </c>
      <c r="I24" s="344">
        <f>'MSW16'!I24</f>
        <v>0</v>
      </c>
      <c r="J24" s="344">
        <f>'MSW16'!J24</f>
        <v>1</v>
      </c>
      <c r="K24" s="343" t="str">
        <f>'MSW16'!K24</f>
        <v>1 MIN</v>
      </c>
      <c r="L24" s="66" t="str">
        <f>'MSW16'!L24</f>
        <v/>
      </c>
      <c r="M24" s="85" t="str">
        <f>'MSW16'!M24</f>
        <v/>
      </c>
    </row>
    <row r="25">
      <c r="A25" s="730" t="str">
        <f>'MSW16'!A25</f>
        <v>Working Set</v>
      </c>
      <c r="B25" s="13"/>
      <c r="C25" s="13"/>
      <c r="D25" s="13"/>
      <c r="E25" s="13"/>
      <c r="F25" s="57"/>
      <c r="G25" s="731" t="str">
        <f>'MSW16'!G25</f>
        <v>ALTERNATE</v>
      </c>
      <c r="H25" s="730" t="str">
        <f>'MSW16'!H25</f>
        <v>Working Set</v>
      </c>
      <c r="I25" s="13"/>
      <c r="J25" s="13"/>
      <c r="K25" s="13"/>
      <c r="L25" s="13"/>
      <c r="M25" s="57"/>
    </row>
    <row r="26">
      <c r="A26" s="96" t="str">
        <f>'MSW16'!A26</f>
        <v>SET</v>
      </c>
      <c r="B26" s="97" t="str">
        <f>'MSW16'!B26</f>
        <v>WEIGHT</v>
      </c>
      <c r="C26" s="97" t="str">
        <f>'MSW16'!C26</f>
        <v>REPS</v>
      </c>
      <c r="D26" s="97" t="str">
        <f>'MSW16'!D26</f>
        <v>REST</v>
      </c>
      <c r="E26" s="341" t="str">
        <f>'MSW16'!E26</f>
        <v>PREVIOUS</v>
      </c>
      <c r="F26" s="235" t="str">
        <f>'MSW16'!F26</f>
        <v>REP LOG</v>
      </c>
      <c r="H26" s="96" t="str">
        <f>'MSW16'!H26</f>
        <v>SET</v>
      </c>
      <c r="I26" s="97" t="str">
        <f>'MSW16'!I26</f>
        <v>WEIGHT</v>
      </c>
      <c r="J26" s="97" t="str">
        <f>'MSW16'!J26</f>
        <v>REPS</v>
      </c>
      <c r="K26" s="97" t="str">
        <f>'MSW16'!K26</f>
        <v>REST</v>
      </c>
      <c r="L26" s="341" t="str">
        <f>'MSW16'!L26</f>
        <v>PREVIOUS</v>
      </c>
      <c r="M26" s="235" t="str">
        <f>'MSW16'!M26</f>
        <v>REP LOG</v>
      </c>
    </row>
    <row r="27">
      <c r="A27" s="342">
        <f>'MSW16'!A27</f>
        <v>1</v>
      </c>
      <c r="B27" s="348">
        <f>'MSW16'!B27</f>
        <v>0</v>
      </c>
      <c r="C27" s="437" t="str">
        <f>'MSW16'!C27</f>
        <v>REP OUT</v>
      </c>
      <c r="D27" s="343" t="str">
        <f>'MSW16'!D27</f>
        <v>1-5 MIN</v>
      </c>
      <c r="E27" s="66" t="str">
        <f>'MSW16'!E27</f>
        <v/>
      </c>
      <c r="F27" s="85" t="str">
        <f>'MSW16'!F27</f>
        <v/>
      </c>
      <c r="G27" s="682" t="str">
        <f>'MSW16'!G27</f>
        <v/>
      </c>
      <c r="H27" s="725">
        <f>'MSW16'!H27</f>
        <v>1</v>
      </c>
      <c r="I27" s="348">
        <f>'MSW16'!I27</f>
        <v>0</v>
      </c>
      <c r="J27" s="437" t="str">
        <f>'MSW16'!J27</f>
        <v>REP OUT</v>
      </c>
      <c r="K27" s="343" t="str">
        <f>'MSW16'!K27</f>
        <v>1-5 MIN</v>
      </c>
      <c r="L27" s="66" t="str">
        <f>'MSW16'!L27</f>
        <v/>
      </c>
      <c r="M27" s="85" t="str">
        <f>'MSW16'!M27</f>
        <v/>
      </c>
    </row>
    <row r="28">
      <c r="A28" s="725">
        <f>'MSW16'!A28</f>
        <v>2</v>
      </c>
      <c r="B28" s="348">
        <f>'MSW16'!B28</f>
        <v>0</v>
      </c>
      <c r="C28" s="437" t="str">
        <f>'MSW16'!C28</f>
        <v>REP OUT</v>
      </c>
      <c r="D28" s="343" t="str">
        <f>'MSW16'!D28</f>
        <v>1-5 MIN</v>
      </c>
      <c r="E28" s="66" t="str">
        <f>'MSW16'!E28</f>
        <v/>
      </c>
      <c r="F28" s="85" t="str">
        <f>'MSW16'!F28</f>
        <v/>
      </c>
      <c r="H28" s="725">
        <f>'MSW16'!H28</f>
        <v>2</v>
      </c>
      <c r="I28" s="348">
        <f>'MSW16'!I28</f>
        <v>0</v>
      </c>
      <c r="J28" s="437" t="str">
        <f>'MSW16'!J28</f>
        <v>REP OUT</v>
      </c>
      <c r="K28" s="343" t="str">
        <f>'MSW16'!K28</f>
        <v>1-5 MIN</v>
      </c>
      <c r="L28" s="66" t="str">
        <f>'MSW16'!L28</f>
        <v/>
      </c>
      <c r="M28" s="85" t="str">
        <f>'MSW16'!M28</f>
        <v/>
      </c>
    </row>
    <row r="29">
      <c r="A29" s="485">
        <f>'MSW16'!A29</f>
        <v>3</v>
      </c>
      <c r="B29" s="732">
        <f>'MSW16'!B29</f>
        <v>0</v>
      </c>
      <c r="C29" s="733" t="str">
        <f>'MSW16'!C29</f>
        <v>REP OUT</v>
      </c>
      <c r="D29" s="486" t="str">
        <f>'MSW16'!D29</f>
        <v>1-5 MIN</v>
      </c>
      <c r="E29" s="72" t="str">
        <f>'MSW16'!E29</f>
        <v/>
      </c>
      <c r="F29" s="85" t="str">
        <f>'MSW16'!F29</f>
        <v/>
      </c>
      <c r="H29" s="735">
        <f>'MSW16'!H29</f>
        <v>3</v>
      </c>
      <c r="I29" s="736">
        <f>'MSW16'!I29</f>
        <v>0</v>
      </c>
      <c r="J29" s="737" t="str">
        <f>'MSW16'!J29</f>
        <v>REP OUT</v>
      </c>
      <c r="K29" s="738" t="str">
        <f>'MSW16'!K29</f>
        <v>1-5 MIN</v>
      </c>
      <c r="L29" s="66" t="str">
        <f>'MSW16'!L29</f>
        <v/>
      </c>
      <c r="M29" s="330" t="str">
        <f>'MSW16'!M29</f>
        <v/>
      </c>
    </row>
    <row r="30">
      <c r="A30" s="740" t="str">
        <f>'MSW16'!A30</f>
        <v/>
      </c>
      <c r="G30" s="141" t="str">
        <f>'MSW16'!G30</f>
        <v/>
      </c>
      <c r="H30" s="742" t="str">
        <f>'MSW16'!H30</f>
        <v/>
      </c>
      <c r="I30" s="25"/>
      <c r="J30" s="25"/>
      <c r="K30" s="25"/>
      <c r="L30" s="25"/>
      <c r="M30" s="25"/>
    </row>
    <row r="32">
      <c r="A32" s="440" t="str">
        <f>'MSW16'!A32</f>
        <v>2. DB CHEST FLY</v>
      </c>
      <c r="B32" s="53"/>
      <c r="C32" s="53"/>
      <c r="D32" s="53"/>
      <c r="E32" s="53"/>
      <c r="F32" s="54"/>
      <c r="H32" s="504" t="str">
        <f>'MSW16'!H32</f>
        <v>2. MACHINE CHEST FLY</v>
      </c>
      <c r="I32" s="53"/>
      <c r="J32" s="53"/>
      <c r="K32" s="53"/>
      <c r="L32" s="53"/>
      <c r="M32" s="54"/>
    </row>
    <row r="33">
      <c r="A33" s="226" t="str">
        <f>'MSW16'!A33</f>
        <v>DB INCL PRSS MAX</v>
      </c>
      <c r="B33" s="691" t="str">
        <f>'MSW16'!B33</f>
        <v/>
      </c>
      <c r="C33" s="13"/>
      <c r="D33" s="13"/>
      <c r="E33" s="13"/>
      <c r="F33" s="57"/>
      <c r="H33" s="226" t="str">
        <f>'MSW16'!H33</f>
        <v>DB INCL PRSS MAX</v>
      </c>
      <c r="I33" s="548" t="str">
        <f>'MSW16'!I33</f>
        <v/>
      </c>
      <c r="J33" s="13"/>
      <c r="K33" s="13"/>
      <c r="L33" s="13"/>
      <c r="M33" s="57"/>
    </row>
    <row r="34">
      <c r="A34" s="743" t="str">
        <f>'MSW16'!A34</f>
        <v>SET</v>
      </c>
      <c r="B34" s="744" t="str">
        <f>'MSW16'!B34</f>
        <v>WEIGHT</v>
      </c>
      <c r="C34" s="744" t="str">
        <f>'MSW16'!C34</f>
        <v>REPS</v>
      </c>
      <c r="D34" s="744" t="str">
        <f>'MSW16'!D34</f>
        <v>REST</v>
      </c>
      <c r="E34" s="745" t="str">
        <f>'MSW16'!E34</f>
        <v>PREVIOUS</v>
      </c>
      <c r="F34" s="746" t="str">
        <f>'MSW16'!F34</f>
        <v>REP LOG</v>
      </c>
      <c r="H34" s="96" t="str">
        <f>'MSW16'!H34</f>
        <v>SET</v>
      </c>
      <c r="I34" s="97" t="str">
        <f>'MSW16'!I34</f>
        <v>WEIGHT</v>
      </c>
      <c r="J34" s="97" t="str">
        <f>'MSW16'!J34</f>
        <v>REPS</v>
      </c>
      <c r="K34" s="97" t="str">
        <f>'MSW16'!K34</f>
        <v>REST</v>
      </c>
      <c r="L34" s="341" t="str">
        <f>'MSW16'!L34</f>
        <v>PREVIOUS</v>
      </c>
      <c r="M34" s="235" t="str">
        <f>'MSW16'!M34</f>
        <v>REP LOG</v>
      </c>
    </row>
    <row r="35">
      <c r="A35" s="725">
        <f>'MSW16'!A35</f>
        <v>1</v>
      </c>
      <c r="B35" s="254">
        <f>'MSW16'!B36</f>
        <v>0</v>
      </c>
      <c r="C35" s="344">
        <f>'MSW16'!C35</f>
        <v>15</v>
      </c>
      <c r="D35" s="343" t="str">
        <f>'MSW16'!D35</f>
        <v>1 MIN</v>
      </c>
      <c r="E35" s="66" t="str">
        <f>'MSW16'!E35</f>
        <v/>
      </c>
      <c r="F35" s="85" t="str">
        <f>'MSW16'!F35</f>
        <v/>
      </c>
      <c r="H35" s="240">
        <f>'MSW16'!H35</f>
        <v>1</v>
      </c>
      <c r="I35" s="254">
        <f>'MSW16'!I35</f>
        <v>0</v>
      </c>
      <c r="J35" s="241">
        <f>'MSW16'!J35</f>
        <v>15</v>
      </c>
      <c r="K35" s="83" t="str">
        <f>'MSW16'!K35</f>
        <v>1 MIN</v>
      </c>
      <c r="L35" s="66" t="str">
        <f>'MSW16'!L35</f>
        <v/>
      </c>
      <c r="M35" s="85" t="str">
        <f>'MSW16'!M35</f>
        <v/>
      </c>
    </row>
    <row r="36">
      <c r="A36" s="747">
        <f>'MSW16'!A36</f>
        <v>2</v>
      </c>
      <c r="B36" s="662" t="str">
        <f>#REF!</f>
        <v>#REF!</v>
      </c>
      <c r="C36" s="813">
        <f>'MSW16'!C36</f>
        <v>15</v>
      </c>
      <c r="D36" s="486" t="str">
        <f>'MSW16'!D36</f>
        <v>1 MIN</v>
      </c>
      <c r="E36" s="72" t="str">
        <f>'MSW16'!E36</f>
        <v>#REF!</v>
      </c>
      <c r="F36" s="85" t="str">
        <f>'MSW16'!F36</f>
        <v/>
      </c>
      <c r="H36" s="661">
        <f>'MSW16'!H36</f>
        <v>2</v>
      </c>
      <c r="I36" s="662">
        <f>'MSW16'!I36</f>
        <v>0</v>
      </c>
      <c r="J36" s="662">
        <f>'MSW16'!J36</f>
        <v>15</v>
      </c>
      <c r="K36" s="88" t="str">
        <f>'MSW16'!K36</f>
        <v>1 MIN</v>
      </c>
      <c r="L36" s="72" t="str">
        <f>'MSW16'!L36</f>
        <v/>
      </c>
      <c r="M36" s="85" t="str">
        <f>'MSW16'!M36</f>
        <v/>
      </c>
    </row>
    <row r="37">
      <c r="A37" s="1151" t="str">
        <f>'MSW16'!A37</f>
        <v/>
      </c>
      <c r="G37" s="1151" t="str">
        <f>'MSW16'!G37</f>
        <v/>
      </c>
    </row>
    <row r="39">
      <c r="A39" s="73" t="str">
        <f>'MSW16'!A39</f>
        <v>3. LAT PULL DOWN</v>
      </c>
      <c r="B39" s="53"/>
      <c r="C39" s="53"/>
      <c r="D39" s="53"/>
      <c r="E39" s="53"/>
      <c r="F39" s="54"/>
    </row>
    <row r="40">
      <c r="A40" s="282" t="str">
        <f>'MSW16'!A40</f>
        <v>CURRENT MAX</v>
      </c>
      <c r="B40" s="852" t="str">
        <f>'MSW16'!B40</f>
        <v/>
      </c>
      <c r="C40" s="16"/>
      <c r="D40" s="16"/>
      <c r="E40" s="16"/>
      <c r="F40" s="230"/>
    </row>
    <row r="41">
      <c r="A41" s="58" t="str">
        <f>'MSW16'!A41</f>
        <v>SET</v>
      </c>
      <c r="B41" s="365" t="str">
        <f>'MSW16'!B41</f>
        <v>WEIGHT</v>
      </c>
      <c r="C41" s="365" t="str">
        <f>'MSW16'!C41</f>
        <v>REPS</v>
      </c>
      <c r="D41" s="365" t="str">
        <f>'MSW16'!D41</f>
        <v>REST</v>
      </c>
      <c r="E41" s="853" t="str">
        <f>'MSW16'!E41</f>
        <v>PREVIOUS</v>
      </c>
      <c r="F41" s="854" t="str">
        <f>'MSW16'!F41</f>
        <v>REP LOG</v>
      </c>
    </row>
    <row r="42">
      <c r="A42" s="242">
        <f>'MSW16'!A42</f>
        <v>1</v>
      </c>
      <c r="B42" s="237">
        <f>'MSW16'!B42</f>
        <v>0</v>
      </c>
      <c r="C42" s="104" t="str">
        <f>'MSW16'!C42</f>
        <v>Rep Out</v>
      </c>
      <c r="D42" s="65" t="str">
        <f>'MSW16'!D42</f>
        <v>1 Min</v>
      </c>
      <c r="E42" s="66" t="str">
        <f>'MSW16'!E42</f>
        <v/>
      </c>
      <c r="F42" s="67" t="str">
        <f>'MSW16'!F42</f>
        <v/>
      </c>
    </row>
    <row r="43">
      <c r="A43" s="242">
        <f>'MSW16'!A43</f>
        <v>2</v>
      </c>
      <c r="B43" s="237">
        <f>'MSW16'!B43</f>
        <v>0</v>
      </c>
      <c r="C43" s="104" t="str">
        <f>'MSW16'!C43</f>
        <v>Rep Out</v>
      </c>
      <c r="D43" s="65" t="str">
        <f>'MSW16'!D43</f>
        <v>1 Min</v>
      </c>
      <c r="E43" s="66" t="str">
        <f>'MSW16'!E43</f>
        <v/>
      </c>
      <c r="F43" s="67" t="str">
        <f>'MSW16'!F43</f>
        <v/>
      </c>
    </row>
    <row r="44">
      <c r="A44" s="289">
        <f>'MSW16'!A44</f>
        <v>3</v>
      </c>
      <c r="B44" s="87">
        <f>'MSW16'!B44</f>
        <v>0</v>
      </c>
      <c r="C44" s="105" t="str">
        <f>'MSW16'!C44</f>
        <v>Rep Out</v>
      </c>
      <c r="D44" s="71" t="str">
        <f>'MSW16'!D44</f>
        <v>1 Min</v>
      </c>
      <c r="E44" s="72" t="str">
        <f>'MSW16'!E44</f>
        <v/>
      </c>
      <c r="F44" s="67" t="str">
        <f>'MSW16'!F44</f>
        <v/>
      </c>
    </row>
    <row r="45">
      <c r="A45" s="302" t="str">
        <f>'MSW16'!A45</f>
        <v/>
      </c>
    </row>
    <row r="47">
      <c r="A47" s="73" t="str">
        <f>'MSW16'!A47</f>
        <v>4. MACHINE LOW ROW</v>
      </c>
      <c r="B47" s="53"/>
      <c r="C47" s="53"/>
      <c r="D47" s="53"/>
      <c r="E47" s="53"/>
      <c r="F47" s="54"/>
    </row>
    <row r="48">
      <c r="A48" s="458" t="str">
        <f>'MSW16'!A48</f>
        <v>CURRENT MAX</v>
      </c>
      <c r="B48" s="56">
        <f>'MSW16'!B48</f>
        <v>265</v>
      </c>
      <c r="C48" s="13"/>
      <c r="D48" s="13"/>
      <c r="E48" s="13"/>
      <c r="F48" s="57"/>
    </row>
    <row r="49">
      <c r="A49" s="58" t="str">
        <f>'MSW16'!A49</f>
        <v>SET</v>
      </c>
      <c r="B49" s="59" t="str">
        <f>'MSW16'!B49</f>
        <v>WEIGHT</v>
      </c>
      <c r="C49" s="59" t="str">
        <f>'MSW16'!C49</f>
        <v>REPS</v>
      </c>
      <c r="D49" s="59" t="str">
        <f>'MSW16'!D49</f>
        <v>REST</v>
      </c>
      <c r="E49" s="584" t="str">
        <f>'MSW16'!E49</f>
        <v>PREVIOUS</v>
      </c>
      <c r="F49" s="61" t="str">
        <f>'MSW16'!F49</f>
        <v>REP LOG</v>
      </c>
    </row>
    <row r="50">
      <c r="A50" s="62">
        <f>'MSW16'!A50</f>
        <v>1</v>
      </c>
      <c r="B50" s="855">
        <f>'MSW16'!B50</f>
        <v>135</v>
      </c>
      <c r="C50" s="104" t="str">
        <f>'MSW16'!C50</f>
        <v>Rep Out</v>
      </c>
      <c r="D50" s="65" t="str">
        <f>'MSW16'!D50</f>
        <v>1 Min</v>
      </c>
      <c r="E50" s="66" t="str">
        <f>'MSW16'!E50</f>
        <v/>
      </c>
      <c r="F50" s="67" t="str">
        <f>'MSW16'!F50</f>
        <v/>
      </c>
    </row>
    <row r="51">
      <c r="A51" s="68">
        <f>'MSW16'!A51</f>
        <v>2</v>
      </c>
      <c r="B51" s="856">
        <f>'MSW16'!B51</f>
        <v>135</v>
      </c>
      <c r="C51" s="105" t="str">
        <f>'MSW16'!C51</f>
        <v>Rep Out</v>
      </c>
      <c r="D51" s="71" t="str">
        <f>'MSW16'!D51</f>
        <v>1 Min</v>
      </c>
      <c r="E51" s="72" t="str">
        <f>'MSW16'!E51</f>
        <v/>
      </c>
      <c r="F51" s="67" t="str">
        <f>'MSW16'!F51</f>
        <v/>
      </c>
    </row>
    <row r="52">
      <c r="A52" s="103" t="str">
        <f>'MSW16'!A52</f>
        <v/>
      </c>
    </row>
    <row r="54">
      <c r="A54" s="73" t="str">
        <f>'MSW16'!A54</f>
        <v>5. MACHINE HIGH ROW</v>
      </c>
      <c r="B54" s="53"/>
      <c r="C54" s="53"/>
      <c r="D54" s="53"/>
      <c r="E54" s="53"/>
      <c r="F54" s="54"/>
    </row>
    <row r="55">
      <c r="A55" s="458" t="str">
        <f>'MSW16'!A55</f>
        <v>CURRENT MAX</v>
      </c>
      <c r="B55" s="56" t="str">
        <f>'MSW16'!B55</f>
        <v/>
      </c>
      <c r="C55" s="13"/>
      <c r="D55" s="13"/>
      <c r="E55" s="13"/>
      <c r="F55" s="57"/>
    </row>
    <row r="56">
      <c r="A56" s="58" t="str">
        <f>'MSW16'!A56</f>
        <v>SET</v>
      </c>
      <c r="B56" s="59" t="str">
        <f>'MSW16'!B56</f>
        <v>WEIGHT</v>
      </c>
      <c r="C56" s="59" t="str">
        <f>'MSW16'!C56</f>
        <v>REPS</v>
      </c>
      <c r="D56" s="59" t="str">
        <f>'MSW16'!D56</f>
        <v>REST</v>
      </c>
      <c r="E56" s="584" t="str">
        <f>'MSW16'!E56</f>
        <v>PREVIOUS</v>
      </c>
      <c r="F56" s="61" t="str">
        <f>'MSW16'!F56</f>
        <v>REP LOG</v>
      </c>
    </row>
    <row r="57">
      <c r="A57" s="62">
        <f>'MSW16'!A57</f>
        <v>1</v>
      </c>
      <c r="B57" s="855">
        <f>'MSW16'!B57</f>
        <v>0</v>
      </c>
      <c r="C57" s="104" t="str">
        <f>'MSW16'!C57</f>
        <v>Rep Out</v>
      </c>
      <c r="D57" s="65" t="str">
        <f>'MSW16'!D57</f>
        <v>1 Min</v>
      </c>
      <c r="E57" s="66" t="str">
        <f>'MSW16'!E57</f>
        <v/>
      </c>
      <c r="F57" s="67" t="str">
        <f>'MSW16'!F57</f>
        <v/>
      </c>
    </row>
    <row r="58">
      <c r="A58" s="68">
        <f>'MSW16'!A58</f>
        <v>2</v>
      </c>
      <c r="B58" s="856">
        <f>'MSW16'!B58</f>
        <v>0</v>
      </c>
      <c r="C58" s="105" t="str">
        <f>'MSW16'!C58</f>
        <v>Rep Out</v>
      </c>
      <c r="D58" s="71" t="str">
        <f>'MSW16'!D58</f>
        <v>1 Min</v>
      </c>
      <c r="E58" s="72" t="str">
        <f>'MSW16'!E58</f>
        <v/>
      </c>
      <c r="F58" s="67" t="str">
        <f>'MSW16'!F58</f>
        <v/>
      </c>
    </row>
    <row r="59">
      <c r="A59" s="535" t="str">
        <f>'MSW16'!A59</f>
        <v/>
      </c>
    </row>
    <row r="60">
      <c r="A60" s="310" t="str">
        <f>'MSW16'!A60</f>
        <v>CLICK TO COMPLETE WORKOUT</v>
      </c>
      <c r="B60" s="36"/>
      <c r="C60" s="36"/>
      <c r="D60" s="36"/>
      <c r="E60" s="36"/>
      <c r="F60" s="37"/>
    </row>
    <row r="61">
      <c r="A61" s="858" t="str">
        <f>'MSW16'!A61</f>
        <v/>
      </c>
    </row>
    <row r="62">
      <c r="A62" s="602" t="str">
        <f>'MSW16'!A62</f>
        <v>DAY 2 </v>
      </c>
      <c r="B62" s="36"/>
      <c r="C62" s="36"/>
      <c r="D62" s="36"/>
      <c r="E62" s="36"/>
      <c r="F62" s="37"/>
    </row>
    <row r="63">
      <c r="A63" s="1151" t="str">
        <f>'MSW16'!A63</f>
        <v/>
      </c>
    </row>
    <row r="65">
      <c r="A65" s="1355" t="str">
        <f>'MSW16'!A65</f>
        <v>1. MACHINE SQUAT</v>
      </c>
      <c r="B65" s="53"/>
      <c r="C65" s="53"/>
      <c r="D65" s="53"/>
      <c r="E65" s="53"/>
      <c r="F65" s="54"/>
    </row>
    <row r="66">
      <c r="A66" s="961" t="str">
        <f>'MSW16'!A66</f>
        <v>10 REP MAX</v>
      </c>
      <c r="B66" s="1035">
        <f>'MSW16'!B66</f>
        <v>100</v>
      </c>
      <c r="C66" s="13"/>
      <c r="D66" s="13"/>
      <c r="E66" s="13"/>
      <c r="F66" s="57"/>
    </row>
    <row r="67">
      <c r="A67" s="231" t="str">
        <f>'MSW16'!A67</f>
        <v>SET</v>
      </c>
      <c r="B67" s="232" t="str">
        <f>'MSW16'!B67</f>
        <v>WEIGHT</v>
      </c>
      <c r="C67" s="232" t="str">
        <f>'MSW16'!C67</f>
        <v>REPS</v>
      </c>
      <c r="D67" s="232" t="str">
        <f>'MSW16'!D67</f>
        <v>REST</v>
      </c>
      <c r="E67" s="233" t="str">
        <f>'MSW16'!E67</f>
        <v>PREVIOUS</v>
      </c>
      <c r="F67" s="61" t="str">
        <f>'MSW16'!F67</f>
        <v>REP LOG</v>
      </c>
    </row>
    <row r="68">
      <c r="A68" s="236">
        <f>'MSW16'!A68</f>
        <v>1</v>
      </c>
      <c r="B68" s="237">
        <f>'MSW16'!B68</f>
        <v>35</v>
      </c>
      <c r="C68" s="238">
        <f>'MSW16'!C68</f>
        <v>10</v>
      </c>
      <c r="D68" s="238" t="str">
        <f>'MSW16'!D68</f>
        <v>30s</v>
      </c>
      <c r="E68" s="66" t="str">
        <f>'MSW16'!E68</f>
        <v/>
      </c>
      <c r="F68" s="67"/>
    </row>
    <row r="69">
      <c r="A69" s="236">
        <f>'MSW16'!A69</f>
        <v>2</v>
      </c>
      <c r="B69" s="237">
        <f>'MSW16'!B69</f>
        <v>65</v>
      </c>
      <c r="C69" s="238">
        <f>'MSW16'!C69</f>
        <v>10</v>
      </c>
      <c r="D69" s="238" t="str">
        <f>'MSW16'!D69</f>
        <v>1-2 MIN</v>
      </c>
      <c r="E69" s="66" t="str">
        <f>'MSW16'!E69</f>
        <v/>
      </c>
      <c r="F69" s="67"/>
    </row>
    <row r="70">
      <c r="A70" s="242">
        <f>'MSW16'!A70</f>
        <v>3</v>
      </c>
      <c r="B70" s="237">
        <f>'MSW16'!B70</f>
        <v>90</v>
      </c>
      <c r="C70" s="238">
        <f>'MSW16'!C70</f>
        <v>10</v>
      </c>
      <c r="D70" s="238" t="str">
        <f>'MSW16'!D70</f>
        <v>1-2 MIN</v>
      </c>
      <c r="E70" s="66" t="str">
        <f>'MSW16'!E70</f>
        <v/>
      </c>
      <c r="F70" s="67"/>
    </row>
    <row r="71">
      <c r="A71" s="249">
        <f>'MSW16'!A71</f>
        <v>4</v>
      </c>
      <c r="B71" s="175">
        <f>'MSW16'!B71</f>
        <v>70</v>
      </c>
      <c r="C71" s="238">
        <f>'MSW16'!C71</f>
        <v>10</v>
      </c>
      <c r="D71" s="238" t="str">
        <f>'MSW16'!D71</f>
        <v>1-5 MIN</v>
      </c>
      <c r="E71" s="66" t="str">
        <f>'MSW16'!E71</f>
        <v/>
      </c>
      <c r="F71" s="67"/>
    </row>
    <row r="72">
      <c r="A72" s="249">
        <f>'MSW16'!A72</f>
        <v>5</v>
      </c>
      <c r="B72" s="175">
        <f>'MSW16'!B72</f>
        <v>55</v>
      </c>
      <c r="C72" s="238">
        <f>'MSW16'!C72</f>
        <v>10</v>
      </c>
      <c r="D72" s="238" t="str">
        <f>'MSW16'!D72</f>
        <v>1-5 MIN</v>
      </c>
      <c r="E72" s="1108" t="str">
        <f>'MSW16'!E72</f>
        <v/>
      </c>
      <c r="F72" s="1037"/>
    </row>
    <row r="73">
      <c r="A73" s="249">
        <f>'MSW16'!A73</f>
        <v>6</v>
      </c>
      <c r="B73" s="175">
        <f>'MSW16'!B73</f>
        <v>45</v>
      </c>
      <c r="C73" s="238">
        <f>'MSW16'!C73</f>
        <v>10</v>
      </c>
      <c r="D73" s="238" t="str">
        <f>'MSW16'!D73</f>
        <v>1-5 MIN</v>
      </c>
      <c r="E73" s="1108" t="str">
        <f>'MSW16'!E73</f>
        <v/>
      </c>
      <c r="F73" s="67"/>
    </row>
    <row r="74">
      <c r="A74" s="1038">
        <f>'MSW16'!A74</f>
        <v>7</v>
      </c>
      <c r="B74" s="175">
        <f>'MSW16'!B74</f>
        <v>35</v>
      </c>
      <c r="C74" s="238">
        <f>'MSW16'!C74</f>
        <v>10</v>
      </c>
      <c r="D74" s="238" t="str">
        <f>'MSW16'!D74</f>
        <v>1-5 MIN</v>
      </c>
      <c r="E74" s="1108" t="str">
        <f>'MSW16'!E74</f>
        <v/>
      </c>
      <c r="F74" s="67"/>
    </row>
    <row r="75">
      <c r="A75" s="249">
        <f>'MSW16'!A75</f>
        <v>8</v>
      </c>
      <c r="B75" s="175">
        <f>'MSW16'!B75</f>
        <v>30</v>
      </c>
      <c r="C75" s="238">
        <f>'MSW16'!C75</f>
        <v>10</v>
      </c>
      <c r="D75" s="238" t="str">
        <f>'MSW16'!D75</f>
        <v>1-5 MIN</v>
      </c>
      <c r="E75" s="1108" t="str">
        <f>'MSW16'!E75</f>
        <v/>
      </c>
      <c r="F75" s="67"/>
    </row>
    <row r="76">
      <c r="A76" s="1038">
        <f>'MSW16'!A76</f>
        <v>9</v>
      </c>
      <c r="B76" s="175">
        <f>'MSW16'!B76</f>
        <v>25</v>
      </c>
      <c r="C76" s="238">
        <f>'MSW16'!C76</f>
        <v>10</v>
      </c>
      <c r="D76" s="238" t="str">
        <f>'MSW16'!D76</f>
        <v>1-5 MIN</v>
      </c>
      <c r="E76" s="1108" t="str">
        <f>'MSW16'!E76</f>
        <v/>
      </c>
      <c r="F76" s="67"/>
    </row>
    <row r="77">
      <c r="A77" s="1038" t="str">
        <f>'MSW16'!A77</f>
        <v>10</v>
      </c>
      <c r="B77" s="175">
        <f>'MSW16'!B77</f>
        <v>20</v>
      </c>
      <c r="C77" s="238">
        <f>'MSW16'!C77</f>
        <v>10</v>
      </c>
      <c r="D77" s="238" t="str">
        <f>'MSW16'!D77</f>
        <v>1-5 MIN</v>
      </c>
      <c r="E77" s="1108" t="str">
        <f>'MSW16'!E77</f>
        <v/>
      </c>
      <c r="F77" s="67"/>
    </row>
    <row r="78">
      <c r="A78" s="272" t="str">
        <f>'MSW16'!A78</f>
        <v>10 REP MAX</v>
      </c>
      <c r="B78" s="1109">
        <f>'MSW16'!B78</f>
        <v>100</v>
      </c>
      <c r="C78" s="11"/>
      <c r="D78" s="11"/>
      <c r="E78" s="11"/>
      <c r="F78" s="46"/>
    </row>
    <row r="79">
      <c r="A79" s="1151" t="str">
        <f>'MSW16'!A79</f>
        <v/>
      </c>
    </row>
    <row r="81">
      <c r="A81" s="1285" t="str">
        <f>'MSW16'!A81</f>
        <v>2. LEG EXTENSION</v>
      </c>
      <c r="B81" s="53"/>
      <c r="C81" s="53"/>
      <c r="D81" s="53"/>
      <c r="E81" s="53"/>
      <c r="F81" s="54"/>
    </row>
    <row r="82">
      <c r="A82" s="1045" t="str">
        <f>'MSW16'!A82</f>
        <v>CURRENT MAX</v>
      </c>
      <c r="B82" s="1367">
        <f>'MSW16'!B82</f>
        <v>50</v>
      </c>
      <c r="C82" s="20"/>
      <c r="D82" s="20"/>
      <c r="E82" s="20"/>
      <c r="F82" s="95"/>
    </row>
    <row r="83">
      <c r="A83" s="567" t="str">
        <f>'MSW16'!A83</f>
        <v>SET</v>
      </c>
      <c r="B83" s="568" t="str">
        <f>'MSW16'!B83</f>
        <v>WEIGHT</v>
      </c>
      <c r="C83" s="568" t="str">
        <f>'MSW16'!C83</f>
        <v>REPS</v>
      </c>
      <c r="D83" s="568" t="str">
        <f>'MSW16'!D83</f>
        <v>REST</v>
      </c>
      <c r="E83" s="1047" t="str">
        <f>'MSW16'!E83</f>
        <v>PREVIOUS</v>
      </c>
      <c r="F83" s="1048" t="str">
        <f>'MSW16'!F83</f>
        <v>REP LOG</v>
      </c>
    </row>
    <row r="84">
      <c r="A84" s="1049">
        <f>'MSW16'!A84</f>
        <v>1</v>
      </c>
      <c r="B84" s="1050">
        <f>'MSW16'!B84</f>
        <v>50</v>
      </c>
      <c r="C84" s="1051" t="str">
        <f>'MSW16'!C84</f>
        <v>10 - 15</v>
      </c>
      <c r="D84" s="1430" t="str">
        <f>'MSW16'!D84</f>
        <v>1-2 MIN</v>
      </c>
      <c r="E84" s="1130" t="str">
        <f>'MSW16'!E84</f>
        <v/>
      </c>
      <c r="F84" s="1113" t="str">
        <f>'MSW16'!F84</f>
        <v/>
      </c>
    </row>
    <row r="85">
      <c r="A85" s="1049">
        <f>'MSW16'!A85</f>
        <v>2</v>
      </c>
      <c r="B85" s="1050">
        <f>'MSW16'!B85</f>
        <v>40</v>
      </c>
      <c r="C85" s="1051" t="str">
        <f>'MSW16'!C85</f>
        <v>10 - 15</v>
      </c>
      <c r="D85" s="1430" t="str">
        <f>'MSW16'!D85</f>
        <v>1-2 MIN</v>
      </c>
      <c r="E85" s="1130" t="str">
        <f>'MSW16'!E85</f>
        <v/>
      </c>
      <c r="F85" s="1113" t="str">
        <f>'MSW16'!F85</f>
        <v/>
      </c>
    </row>
    <row r="86">
      <c r="A86" s="1053">
        <f>'MSW16'!A86</f>
        <v>3</v>
      </c>
      <c r="B86" s="1054">
        <f>'MSW16'!B86</f>
        <v>30</v>
      </c>
      <c r="C86" s="1055" t="str">
        <f>'MSW16'!C86</f>
        <v>10 - 15</v>
      </c>
      <c r="D86" s="1453" t="str">
        <f>'MSW16'!D86</f>
        <v>1-2 MIN</v>
      </c>
      <c r="E86" s="1348" t="str">
        <f>'MSW16'!E86</f>
        <v/>
      </c>
      <c r="F86" s="1113" t="str">
        <f>'MSW16'!F86</f>
        <v/>
      </c>
    </row>
    <row r="87">
      <c r="A87" s="1151" t="str">
        <f>'MSW16'!A87</f>
        <v/>
      </c>
    </row>
    <row r="89">
      <c r="A89" s="323" t="str">
        <f>'MSW16'!A89</f>
        <v>3. MACHINE LEG CURL</v>
      </c>
      <c r="B89" s="53"/>
      <c r="C89" s="53"/>
      <c r="D89" s="53"/>
      <c r="E89" s="53"/>
      <c r="F89" s="54"/>
      <c r="G89" s="141" t="str">
        <f>'MSW16'!G89</f>
        <v/>
      </c>
      <c r="H89" s="323" t="str">
        <f>'MSW16'!H89</f>
        <v>3. PRONE LEG CURL</v>
      </c>
      <c r="I89" s="53"/>
      <c r="J89" s="53"/>
      <c r="K89" s="53"/>
      <c r="L89" s="53"/>
      <c r="M89" s="54"/>
    </row>
    <row r="90">
      <c r="A90" s="1045" t="str">
        <f>'MSW16'!A90</f>
        <v>CURRENT MAX</v>
      </c>
      <c r="B90" s="1367">
        <f>'MSW16'!B90</f>
        <v>55</v>
      </c>
      <c r="C90" s="20"/>
      <c r="D90" s="20"/>
      <c r="E90" s="20"/>
      <c r="F90" s="95"/>
      <c r="H90" s="1045" t="str">
        <f>'MSW16'!H90</f>
        <v>CURRENT MAX</v>
      </c>
      <c r="I90" s="1046">
        <f>'MSW16'!I90</f>
        <v>55</v>
      </c>
      <c r="J90" s="13"/>
      <c r="K90" s="13"/>
      <c r="L90" s="13"/>
      <c r="M90" s="57"/>
    </row>
    <row r="91">
      <c r="A91" s="567" t="str">
        <f>'MSW16'!A91</f>
        <v>SET</v>
      </c>
      <c r="B91" s="568" t="str">
        <f>'MSW16'!B91</f>
        <v>WEIGHT</v>
      </c>
      <c r="C91" s="568" t="str">
        <f>'MSW16'!C91</f>
        <v>REPS</v>
      </c>
      <c r="D91" s="568" t="str">
        <f>'MSW16'!D91</f>
        <v>REST</v>
      </c>
      <c r="E91" s="1047" t="str">
        <f>'MSW16'!E91</f>
        <v>PREVIOUS</v>
      </c>
      <c r="F91" s="1048" t="str">
        <f>'MSW16'!F91</f>
        <v>REP LOG</v>
      </c>
      <c r="H91" s="567" t="str">
        <f>'MSW16'!H91</f>
        <v>SET</v>
      </c>
      <c r="I91" s="568" t="str">
        <f>'MSW16'!I91</f>
        <v>WEIGHT</v>
      </c>
      <c r="J91" s="568" t="str">
        <f>'MSW16'!J91</f>
        <v>REPS</v>
      </c>
      <c r="K91" s="568" t="str">
        <f>'MSW16'!K91</f>
        <v>REST</v>
      </c>
      <c r="L91" s="1047" t="str">
        <f>'MSW16'!L91</f>
        <v>PREVIOUS</v>
      </c>
      <c r="M91" s="1048" t="str">
        <f>'MSW16'!M91</f>
        <v>REP LOG</v>
      </c>
    </row>
    <row r="92">
      <c r="A92" s="1049">
        <f>'MSW16'!A92</f>
        <v>1</v>
      </c>
      <c r="B92" s="1050">
        <f>'MSW16'!B92</f>
        <v>55</v>
      </c>
      <c r="C92" s="1051" t="str">
        <f>'MSW16'!C92</f>
        <v>10 - 15</v>
      </c>
      <c r="D92" s="1430" t="str">
        <f>'MSW16'!D92</f>
        <v>1-2 MIN</v>
      </c>
      <c r="E92" s="1130" t="str">
        <f>'MSW16'!E92</f>
        <v/>
      </c>
      <c r="F92" s="1113" t="str">
        <f>'MSW16'!F92</f>
        <v/>
      </c>
      <c r="G92" s="434" t="str">
        <f>'MSW16'!G92</f>
        <v>ALTERNATE</v>
      </c>
      <c r="H92" s="1049">
        <f>'MSW16'!H92</f>
        <v>1</v>
      </c>
      <c r="I92" s="1050">
        <f>'MSW16'!I92</f>
        <v>55</v>
      </c>
      <c r="J92" s="1051" t="str">
        <f>'MSW16'!J92</f>
        <v>10 - 15</v>
      </c>
      <c r="K92" s="1430" t="str">
        <f>'MSW16'!K92</f>
        <v>1-2 MIN</v>
      </c>
      <c r="L92" s="1130" t="str">
        <f>'MSW16'!L92</f>
        <v/>
      </c>
      <c r="M92" s="1113" t="str">
        <f>'MSW16'!M92</f>
        <v/>
      </c>
    </row>
    <row r="93">
      <c r="A93" s="1049">
        <f>'MSW16'!A93</f>
        <v>2</v>
      </c>
      <c r="B93" s="1050">
        <f>'MSW16'!B93</f>
        <v>45</v>
      </c>
      <c r="C93" s="1051" t="str">
        <f>'MSW16'!C93</f>
        <v>10 - 15</v>
      </c>
      <c r="D93" s="1430" t="str">
        <f>'MSW16'!D93</f>
        <v>1-2 MIN</v>
      </c>
      <c r="E93" s="1130" t="str">
        <f>'MSW16'!E93</f>
        <v/>
      </c>
      <c r="F93" s="1113" t="str">
        <f>'MSW16'!F93</f>
        <v/>
      </c>
      <c r="H93" s="1049">
        <f>'MSW16'!H93</f>
        <v>2</v>
      </c>
      <c r="I93" s="1050">
        <f>'MSW16'!I93</f>
        <v>45</v>
      </c>
      <c r="J93" s="1051" t="str">
        <f>'MSW16'!J93</f>
        <v>10 - 15</v>
      </c>
      <c r="K93" s="1430" t="str">
        <f>'MSW16'!K93</f>
        <v>1-2 MIN</v>
      </c>
      <c r="L93" s="1130" t="str">
        <f>'MSW16'!L93</f>
        <v/>
      </c>
      <c r="M93" s="1113" t="str">
        <f>'MSW16'!M93</f>
        <v/>
      </c>
    </row>
    <row r="94">
      <c r="A94" s="1053">
        <f>'MSW16'!A94</f>
        <v>3</v>
      </c>
      <c r="B94" s="1054">
        <f>'MSW16'!B94</f>
        <v>35</v>
      </c>
      <c r="C94" s="1055" t="str">
        <f>'MSW16'!C94</f>
        <v>10 - 15</v>
      </c>
      <c r="D94" s="1453" t="str">
        <f>'MSW16'!D94</f>
        <v>1-2 MIN</v>
      </c>
      <c r="E94" s="1348" t="str">
        <f>'MSW16'!E94</f>
        <v/>
      </c>
      <c r="F94" s="1113" t="str">
        <f>'MSW16'!F94</f>
        <v/>
      </c>
      <c r="G94" s="682" t="str">
        <f>'MSW16'!G94</f>
        <v/>
      </c>
      <c r="H94" s="1053">
        <f>'MSW16'!H94</f>
        <v>3</v>
      </c>
      <c r="I94" s="1054">
        <f>'MSW16'!I94</f>
        <v>35</v>
      </c>
      <c r="J94" s="1055" t="str">
        <f>'MSW16'!J94</f>
        <v>10 - 15</v>
      </c>
      <c r="K94" s="1453" t="str">
        <f>'MSW16'!K94</f>
        <v>1-2 MIN</v>
      </c>
      <c r="L94" s="1348" t="str">
        <f>'MSW16'!L94</f>
        <v/>
      </c>
      <c r="M94" s="1113" t="str">
        <f>'MSW16'!M94</f>
        <v/>
      </c>
    </row>
    <row r="95">
      <c r="A95" s="849" t="str">
        <f>'MSW16'!A95</f>
        <v/>
      </c>
      <c r="H95" s="849" t="str">
        <f>'MSW16'!H95</f>
        <v/>
      </c>
    </row>
    <row r="97">
      <c r="A97" s="1120" t="str">
        <f>'MSW16'!A97</f>
        <v>DAY 3</v>
      </c>
      <c r="B97" s="36"/>
      <c r="C97" s="36"/>
      <c r="D97" s="36"/>
      <c r="E97" s="36"/>
      <c r="F97" s="37"/>
    </row>
    <row r="98">
      <c r="A98" s="1151" t="str">
        <f>'MSW16'!A98</f>
        <v/>
      </c>
    </row>
    <row r="100">
      <c r="A100" s="44" t="str">
        <f>'MSW16'!A100</f>
        <v>SHOULDERS &amp; ARMS</v>
      </c>
      <c r="B100" s="36"/>
      <c r="C100" s="36"/>
      <c r="D100" s="36"/>
      <c r="E100" s="36"/>
      <c r="F100" s="37"/>
      <c r="H100" s="44" t="str">
        <f>'MSW16'!H100</f>
        <v>SHOULDERS &amp; ARMS</v>
      </c>
      <c r="I100" s="36"/>
      <c r="J100" s="36"/>
      <c r="K100" s="36"/>
      <c r="L100" s="36"/>
      <c r="M100" s="37"/>
    </row>
    <row r="101">
      <c r="A101" s="112" t="str">
        <f>'MSW16'!A101</f>
        <v>1. SHOULDER PRESS</v>
      </c>
      <c r="B101" s="13"/>
      <c r="C101" s="13"/>
      <c r="D101" s="13"/>
      <c r="E101" s="13"/>
      <c r="F101" s="57"/>
      <c r="H101" s="1139" t="str">
        <f>'MSW16'!H101</f>
        <v>1. MACHINE SHOULDER PRESS</v>
      </c>
      <c r="I101" s="13"/>
      <c r="J101" s="13"/>
      <c r="K101" s="13"/>
      <c r="L101" s="13"/>
      <c r="M101" s="57"/>
    </row>
    <row r="102">
      <c r="A102" s="226" t="str">
        <f>'MSW16'!A102</f>
        <v>CURRENT MAX</v>
      </c>
      <c r="B102" s="227" t="str">
        <f>'MSW16'!B102</f>
        <v/>
      </c>
      <c r="C102" s="20"/>
      <c r="D102" s="20"/>
      <c r="E102" s="20"/>
      <c r="F102" s="95"/>
      <c r="H102" s="226" t="str">
        <f>'MSW16'!H102</f>
        <v>CURRENT MAX</v>
      </c>
      <c r="I102" s="227">
        <f>'MSW16'!I102</f>
        <v>105</v>
      </c>
      <c r="J102" s="20"/>
      <c r="K102" s="20"/>
      <c r="L102" s="20"/>
      <c r="M102" s="95"/>
    </row>
    <row r="103">
      <c r="A103" s="231" t="str">
        <f>'MSW16'!A103</f>
        <v>SET</v>
      </c>
      <c r="B103" s="232" t="str">
        <f>'MSW16'!B103</f>
        <v>WEIGHT</v>
      </c>
      <c r="C103" s="232" t="str">
        <f>'MSW16'!C103</f>
        <v>REPS</v>
      </c>
      <c r="D103" s="232" t="str">
        <f>'MSW16'!D103</f>
        <v>REST</v>
      </c>
      <c r="E103" s="233" t="str">
        <f>'MSW16'!E103</f>
        <v>PREVIOUS</v>
      </c>
      <c r="F103" s="61" t="str">
        <f>'MSW16'!F103</f>
        <v>REP LOG</v>
      </c>
      <c r="H103" s="231" t="str">
        <f>'MSW16'!H103</f>
        <v>SET</v>
      </c>
      <c r="I103" s="232" t="str">
        <f>'MSW16'!I103</f>
        <v>WEIGHT</v>
      </c>
      <c r="J103" s="232" t="str">
        <f>'MSW16'!J103</f>
        <v>REPS</v>
      </c>
      <c r="K103" s="232" t="str">
        <f>'MSW16'!K103</f>
        <v>REST</v>
      </c>
      <c r="L103" s="233" t="str">
        <f>'MSW16'!L103</f>
        <v>PREVIOUS</v>
      </c>
      <c r="M103" s="61" t="str">
        <f>'MSW16'!M103</f>
        <v>REP LOG</v>
      </c>
    </row>
    <row r="104">
      <c r="A104" s="1140">
        <f>'MSW16'!A104</f>
        <v>1</v>
      </c>
      <c r="B104" s="237">
        <f>'MSW16'!B104</f>
        <v>0</v>
      </c>
      <c r="C104" s="237">
        <f>'MSW16'!C104</f>
        <v>6</v>
      </c>
      <c r="D104" s="238" t="str">
        <f>'MSW16'!D104</f>
        <v>30s</v>
      </c>
      <c r="E104" s="84">
        <f>'MSW16'!E104</f>
        <v>6</v>
      </c>
      <c r="F104" s="67"/>
      <c r="H104" s="1140">
        <f>'MSW16'!H104</f>
        <v>1</v>
      </c>
      <c r="I104" s="237">
        <f>'MSW16'!I104</f>
        <v>35</v>
      </c>
      <c r="J104" s="237">
        <f>'MSW16'!J104</f>
        <v>6</v>
      </c>
      <c r="K104" s="238" t="str">
        <f>'MSW16'!K104</f>
        <v>30s</v>
      </c>
      <c r="L104" s="84">
        <f>'MSW16'!L104</f>
        <v>6</v>
      </c>
      <c r="M104" s="67"/>
    </row>
    <row r="105">
      <c r="A105" s="236">
        <f>'MSW16'!A105</f>
        <v>2</v>
      </c>
      <c r="B105" s="237">
        <f>'MSW16'!B105</f>
        <v>0</v>
      </c>
      <c r="C105" s="237">
        <f>'MSW16'!C105</f>
        <v>1</v>
      </c>
      <c r="D105" s="238" t="str">
        <f>'MSW16'!D105</f>
        <v>1-2 MIN</v>
      </c>
      <c r="E105" s="84">
        <f>'MSW16'!E105</f>
        <v>1</v>
      </c>
      <c r="F105" s="67"/>
      <c r="H105" s="236">
        <f>'MSW16'!H105</f>
        <v>2</v>
      </c>
      <c r="I105" s="237">
        <f>'MSW16'!I105</f>
        <v>70</v>
      </c>
      <c r="J105" s="237">
        <f>'MSW16'!J105</f>
        <v>1</v>
      </c>
      <c r="K105" s="238" t="str">
        <f>'MSW16'!K105</f>
        <v>1-2 MIN</v>
      </c>
      <c r="L105" s="84" t="str">
        <f>'MSW16'!L105</f>
        <v/>
      </c>
      <c r="M105" s="67"/>
    </row>
    <row r="106">
      <c r="A106" s="242">
        <f>'MSW16'!A106</f>
        <v>3</v>
      </c>
      <c r="B106" s="237">
        <f>'MSW16'!B106</f>
        <v>65</v>
      </c>
      <c r="C106" s="82">
        <f>'MSW16'!C106</f>
        <v>1</v>
      </c>
      <c r="D106" s="238" t="str">
        <f>'MSW16'!D106</f>
        <v>1-2 MIN</v>
      </c>
      <c r="E106" s="84" t="str">
        <f>'MSW16'!E106</f>
        <v/>
      </c>
      <c r="F106" s="67"/>
      <c r="H106" s="242">
        <f>'MSW16'!H106</f>
        <v>3</v>
      </c>
      <c r="I106" s="237">
        <f>'MSW16'!I106</f>
        <v>95</v>
      </c>
      <c r="J106" s="82">
        <f>'MSW16'!J106</f>
        <v>1</v>
      </c>
      <c r="K106" s="238" t="str">
        <f>'MSW16'!K106</f>
        <v>1-2 MIN</v>
      </c>
      <c r="L106" s="84" t="str">
        <f>'MSW16'!L106</f>
        <v/>
      </c>
      <c r="M106" s="67"/>
    </row>
    <row r="107">
      <c r="A107" s="243">
        <f>'MSW16'!A107</f>
        <v>4</v>
      </c>
      <c r="B107" s="237" t="str">
        <f>'MSW16'!B107</f>
        <v/>
      </c>
      <c r="C107" s="257">
        <f>'MSW16'!C107</f>
        <v>1</v>
      </c>
      <c r="D107" s="238" t="str">
        <f>'MSW16'!D107</f>
        <v>1-5 MIN</v>
      </c>
      <c r="E107" s="84">
        <f>'MSW16'!E107</f>
        <v>1</v>
      </c>
      <c r="F107" s="67"/>
      <c r="H107" s="243">
        <f>'MSW16'!H107</f>
        <v>4</v>
      </c>
      <c r="I107" s="237">
        <f>'MSW16'!I107</f>
        <v>105</v>
      </c>
      <c r="J107" s="257">
        <f>'MSW16'!J107</f>
        <v>1</v>
      </c>
      <c r="K107" s="238" t="str">
        <f>'MSW16'!K107</f>
        <v>1-5 MIN</v>
      </c>
      <c r="L107" s="84" t="str">
        <f>'MSW16'!L107</f>
        <v/>
      </c>
      <c r="M107" s="67"/>
    </row>
    <row r="108">
      <c r="A108" s="246" t="str">
        <f>'MSW16'!A108</f>
        <v>PROCEED TO DOWN SETS</v>
      </c>
      <c r="B108" s="20"/>
      <c r="C108" s="20"/>
      <c r="D108" s="20"/>
      <c r="E108" s="20"/>
      <c r="F108" s="95"/>
      <c r="H108" s="246" t="str">
        <f>'MSW16'!H108</f>
        <v>PROCEED TO DOWN SETS</v>
      </c>
      <c r="I108" s="20"/>
      <c r="J108" s="20"/>
      <c r="K108" s="20"/>
      <c r="L108" s="20"/>
      <c r="M108" s="95"/>
    </row>
    <row r="109">
      <c r="A109" s="249" t="str">
        <f>'MSW16'!A109</f>
        <v/>
      </c>
      <c r="B109" s="175" t="str">
        <f>'MSW16'!B109</f>
        <v/>
      </c>
      <c r="C109" s="238" t="str">
        <f>'MSW16'!C109</f>
        <v/>
      </c>
      <c r="D109" s="238" t="str">
        <f>'MSW16'!D109</f>
        <v/>
      </c>
      <c r="E109" s="84" t="str">
        <f>'MSW16'!E109</f>
        <v/>
      </c>
      <c r="F109" s="67"/>
      <c r="H109" s="249" t="str">
        <f>'MSW16'!H109</f>
        <v/>
      </c>
      <c r="I109" s="175" t="str">
        <f>'MSW16'!I109</f>
        <v/>
      </c>
      <c r="J109" s="238" t="str">
        <f>'MSW16'!J109</f>
        <v/>
      </c>
      <c r="K109" s="238" t="str">
        <f>'MSW16'!K109</f>
        <v/>
      </c>
      <c r="L109" s="84" t="str">
        <f>'MSW16'!L109</f>
        <v/>
      </c>
      <c r="M109" s="67" t="str">
        <f>'MSW16'!M109</f>
        <v/>
      </c>
    </row>
    <row r="110">
      <c r="A110" s="259" t="str">
        <f>'MSW16'!A110</f>
        <v/>
      </c>
      <c r="B110" s="237" t="str">
        <f>'MSW16'!B110</f>
        <v/>
      </c>
      <c r="C110" s="257" t="str">
        <f>'MSW16'!C110</f>
        <v/>
      </c>
      <c r="D110" s="257" t="str">
        <f>'MSW16'!D110</f>
        <v/>
      </c>
      <c r="E110" s="84">
        <f>'MSW16'!E110</f>
        <v>0</v>
      </c>
      <c r="F110" s="67" t="str">
        <f>'MSW16'!F110</f>
        <v/>
      </c>
      <c r="H110" s="259" t="str">
        <f>'MSW16'!H110</f>
        <v/>
      </c>
      <c r="I110" s="237" t="str">
        <f>'MSW16'!I110</f>
        <v/>
      </c>
      <c r="J110" s="257" t="str">
        <f>'MSW16'!J110</f>
        <v/>
      </c>
      <c r="K110" s="257" t="str">
        <f>'MSW16'!K110</f>
        <v/>
      </c>
      <c r="L110" s="84" t="str">
        <f>'MSW16'!L110</f>
        <v/>
      </c>
      <c r="M110" s="67" t="str">
        <f>'MSW16'!M110</f>
        <v/>
      </c>
    </row>
    <row r="111">
      <c r="A111" s="246" t="str">
        <f>'MSW16'!A111</f>
        <v>DOWN SETS</v>
      </c>
      <c r="B111" s="20"/>
      <c r="C111" s="20"/>
      <c r="D111" s="20"/>
      <c r="E111" s="20"/>
      <c r="F111" s="95"/>
      <c r="H111" s="246" t="str">
        <f>'MSW16'!H111</f>
        <v>DOWN SETS</v>
      </c>
      <c r="I111" s="20"/>
      <c r="J111" s="20"/>
      <c r="K111" s="20"/>
      <c r="L111" s="20"/>
      <c r="M111" s="95"/>
    </row>
    <row r="112">
      <c r="A112" s="264" t="str">
        <f>'MSW16'!A112</f>
        <v/>
      </c>
      <c r="B112" s="265">
        <f>'MSW16'!B112</f>
        <v>0</v>
      </c>
      <c r="C112" s="266" t="str">
        <f>'MSW16'!C112</f>
        <v>REP OUT</v>
      </c>
      <c r="D112" s="267" t="str">
        <f>'MSW16'!D112</f>
        <v>1-3 MIN</v>
      </c>
      <c r="E112" s="84">
        <f>'MSW16'!E112</f>
        <v>2</v>
      </c>
      <c r="F112" s="67" t="str">
        <f>'MSW16'!F112</f>
        <v/>
      </c>
      <c r="H112" s="264" t="str">
        <f>'MSW16'!H112</f>
        <v/>
      </c>
      <c r="I112" s="265">
        <f>'MSW16'!I112</f>
        <v>0</v>
      </c>
      <c r="J112" s="266" t="str">
        <f>'MSW16'!J112</f>
        <v>REP OUT</v>
      </c>
      <c r="K112" s="267" t="str">
        <f>'MSW16'!K112</f>
        <v>1-3 MIN</v>
      </c>
      <c r="L112" s="84" t="str">
        <f>'MSW16'!L112</f>
        <v/>
      </c>
      <c r="M112" s="67" t="str">
        <f>'MSW16'!M112</f>
        <v/>
      </c>
    </row>
    <row r="113">
      <c r="A113" s="243" t="str">
        <f>'MSW16'!A113</f>
        <v/>
      </c>
      <c r="B113" s="237">
        <f>'MSW16'!B113</f>
        <v>0</v>
      </c>
      <c r="C113" s="245" t="str">
        <f>'MSW16'!C113</f>
        <v>REP OUT</v>
      </c>
      <c r="D113" s="65" t="str">
        <f>'MSW16'!D113</f>
        <v>1-3 MIN</v>
      </c>
      <c r="E113" s="84">
        <f>'MSW16'!E113</f>
        <v>15</v>
      </c>
      <c r="F113" s="271" t="str">
        <f>'MSW16'!F113</f>
        <v/>
      </c>
      <c r="H113" s="243" t="str">
        <f>'MSW16'!H113</f>
        <v/>
      </c>
      <c r="I113" s="237">
        <f>'MSW16'!I113</f>
        <v>0</v>
      </c>
      <c r="J113" s="245" t="str">
        <f>'MSW16'!J113</f>
        <v>REP OUT</v>
      </c>
      <c r="K113" s="65" t="str">
        <f>'MSW16'!K113</f>
        <v>1-3 MIN</v>
      </c>
      <c r="L113" s="84" t="str">
        <f>'MSW16'!L113</f>
        <v/>
      </c>
      <c r="M113" s="271" t="str">
        <f>'MSW16'!M113</f>
        <v/>
      </c>
    </row>
    <row r="114">
      <c r="A114" s="272" t="str">
        <f>'MSW16'!A114</f>
        <v>FINAL MAX</v>
      </c>
      <c r="B114" s="273" t="str">
        <f>'MSW16'!B114</f>
        <v/>
      </c>
      <c r="C114" s="11"/>
      <c r="D114" s="11"/>
      <c r="E114" s="11"/>
      <c r="F114" s="46"/>
      <c r="H114" s="272" t="str">
        <f>'MSW16'!H114</f>
        <v>FINAL MAX</v>
      </c>
      <c r="I114" s="273" t="str">
        <f>'MSW16'!I114</f>
        <v/>
      </c>
      <c r="J114" s="11"/>
      <c r="K114" s="11"/>
      <c r="L114" s="11"/>
      <c r="M114" s="46"/>
    </row>
    <row r="115">
      <c r="A115" s="1151" t="str">
        <f>'MSW16'!A115</f>
        <v/>
      </c>
      <c r="G115" s="1151" t="str">
        <f>'MSW16'!G115</f>
        <v/>
      </c>
    </row>
    <row r="117">
      <c r="A117" s="1431" t="str">
        <f>'MSW16'!A117</f>
        <v>2. Dumbbell REAR DELT FLY </v>
      </c>
      <c r="B117" s="53"/>
      <c r="C117" s="53"/>
      <c r="D117" s="53"/>
      <c r="E117" s="53"/>
      <c r="F117" s="54"/>
    </row>
    <row r="118">
      <c r="A118" s="1268" t="str">
        <f>'MSW16'!A118</f>
        <v>SHLDR PRSS MAX</v>
      </c>
      <c r="B118" s="1035" t="str">
        <f>'MSW16'!B118</f>
        <v/>
      </c>
      <c r="C118" s="13"/>
      <c r="D118" s="13"/>
      <c r="E118" s="13"/>
      <c r="F118" s="57"/>
    </row>
    <row r="119">
      <c r="A119" s="567" t="str">
        <f>'MSW16'!A119</f>
        <v>SET</v>
      </c>
      <c r="B119" s="568" t="str">
        <f>'MSW16'!B119</f>
        <v>WEIGHT</v>
      </c>
      <c r="C119" s="568" t="str">
        <f>'MSW16'!C119</f>
        <v>REPS</v>
      </c>
      <c r="D119" s="568" t="str">
        <f>'MSW16'!D119</f>
        <v>REST</v>
      </c>
      <c r="E119" s="1432" t="str">
        <f>'MSW16'!E119</f>
        <v>PREVIOUS</v>
      </c>
      <c r="F119" s="1048" t="str">
        <f>'MSW16'!F119</f>
        <v>REP LOG</v>
      </c>
    </row>
    <row r="120">
      <c r="A120" s="1049">
        <f>'MSW16'!A120</f>
        <v>1</v>
      </c>
      <c r="B120" s="1311">
        <f>'MSW16'!B120</f>
        <v>0</v>
      </c>
      <c r="C120" s="1050" t="str">
        <f>'MSW16'!C120</f>
        <v>10 -15</v>
      </c>
      <c r="D120" s="1433" t="str">
        <f>'MSW16'!D120</f>
        <v>1-3 MIN</v>
      </c>
      <c r="E120" s="1454" t="str">
        <f>'MSW16'!E120</f>
        <v/>
      </c>
      <c r="F120" s="1455"/>
    </row>
    <row r="121">
      <c r="A121" s="1049">
        <f>'MSW16'!A121</f>
        <v>2</v>
      </c>
      <c r="B121" s="1311">
        <f>'MSW16'!B121</f>
        <v>0</v>
      </c>
      <c r="C121" s="1050" t="str">
        <f>'MSW16'!C121</f>
        <v>10 -15</v>
      </c>
      <c r="D121" s="1433" t="str">
        <f>'MSW16'!D121</f>
        <v>1-3 MIN</v>
      </c>
      <c r="E121" s="1454" t="str">
        <f>'MSW16'!E121</f>
        <v/>
      </c>
      <c r="F121" s="1455"/>
    </row>
    <row r="122">
      <c r="A122" s="1053">
        <f>'MSW16'!A122</f>
        <v>3</v>
      </c>
      <c r="B122" s="1436">
        <f>'MSW16'!B122</f>
        <v>0</v>
      </c>
      <c r="C122" s="1054" t="str">
        <f>'MSW16'!C122</f>
        <v>10 -15</v>
      </c>
      <c r="D122" s="1456" t="str">
        <f>'MSW16'!D122</f>
        <v>1-3 MIN</v>
      </c>
      <c r="E122" s="1457" t="str">
        <f>'MSW16'!E122</f>
        <v/>
      </c>
      <c r="F122" s="1458" t="str">
        <f>'MSW16'!F122</f>
        <v/>
      </c>
    </row>
    <row r="123">
      <c r="A123" s="1153" t="str">
        <f>'MSW16'!A123</f>
        <v/>
      </c>
    </row>
    <row r="125">
      <c r="A125" s="1437" t="str">
        <f>'MSW16'!A125</f>
        <v>3. DUMBBELL SIDE LATERAL RAISE</v>
      </c>
      <c r="B125" s="13"/>
      <c r="C125" s="13"/>
      <c r="D125" s="13"/>
      <c r="E125" s="13"/>
      <c r="F125" s="57"/>
    </row>
    <row r="126">
      <c r="A126" s="1045" t="str">
        <f>'MSW16'!A126</f>
        <v>SHLDR PRSS MAX</v>
      </c>
      <c r="B126" s="1035" t="str">
        <f>'MSW16'!B126</f>
        <v/>
      </c>
      <c r="C126" s="13"/>
      <c r="D126" s="13"/>
      <c r="E126" s="13"/>
      <c r="F126" s="57"/>
    </row>
    <row r="127">
      <c r="A127" s="1438" t="str">
        <f>'MSW16'!A127</f>
        <v>SET</v>
      </c>
      <c r="B127" s="1439" t="str">
        <f>'MSW16'!B127</f>
        <v>WEIGHT</v>
      </c>
      <c r="C127" s="1439" t="str">
        <f>'MSW16'!C127</f>
        <v>REPS</v>
      </c>
      <c r="D127" s="1439" t="str">
        <f>'MSW16'!D127</f>
        <v>REST</v>
      </c>
      <c r="E127" s="1047" t="str">
        <f>'MSW16'!E127</f>
        <v>PREVIOUS</v>
      </c>
      <c r="F127" s="1048" t="str">
        <f>'MSW16'!F127</f>
        <v>REP LOG</v>
      </c>
    </row>
    <row r="128">
      <c r="A128" s="1440">
        <f>'MSW16'!A128</f>
        <v>1</v>
      </c>
      <c r="B128" s="1050">
        <f>'MSW16'!B128</f>
        <v>0</v>
      </c>
      <c r="C128" s="1052" t="str">
        <f>'MSW16'!C128</f>
        <v>10 - 15</v>
      </c>
      <c r="D128" s="1433" t="str">
        <f>'MSW16'!D128</f>
        <v>1-3 MIN</v>
      </c>
      <c r="E128" s="1454" t="str">
        <f>'MSW16'!E128</f>
        <v/>
      </c>
      <c r="F128" s="1455"/>
    </row>
    <row r="129">
      <c r="A129" s="1440">
        <f>'MSW16'!A129</f>
        <v>2</v>
      </c>
      <c r="B129" s="1050">
        <f>'MSW16'!B129</f>
        <v>0</v>
      </c>
      <c r="C129" s="1052" t="str">
        <f>'MSW16'!C129</f>
        <v>10 - 15</v>
      </c>
      <c r="D129" s="1433" t="str">
        <f>'MSW16'!D129</f>
        <v>1-3 MIN</v>
      </c>
      <c r="E129" s="1454" t="str">
        <f>'MSW16'!E129</f>
        <v/>
      </c>
      <c r="F129" s="1455"/>
    </row>
    <row r="130">
      <c r="A130" s="1441">
        <f>'MSW16'!A130</f>
        <v>3</v>
      </c>
      <c r="B130" s="1054">
        <f>'MSW16'!B130</f>
        <v>0</v>
      </c>
      <c r="C130" s="1056" t="str">
        <f>'MSW16'!C130</f>
        <v>10 - 15</v>
      </c>
      <c r="D130" s="1456" t="str">
        <f>'MSW16'!D130</f>
        <v>1-3 MIN</v>
      </c>
      <c r="E130" s="1457" t="str">
        <f>'MSW16'!E130</f>
        <v/>
      </c>
      <c r="F130" s="1455"/>
    </row>
    <row r="131">
      <c r="A131" s="1153" t="str">
        <f>'MSW16'!A131</f>
        <v/>
      </c>
    </row>
    <row r="133">
      <c r="A133" s="1442" t="str">
        <f>'MSW16'!A133</f>
        <v>4.  TRICEP OVERHEAD ROPE EXTENSION</v>
      </c>
      <c r="B133" s="13"/>
      <c r="C133" s="13"/>
      <c r="D133" s="13"/>
      <c r="E133" s="13"/>
      <c r="F133" s="57"/>
    </row>
    <row r="134">
      <c r="A134" s="961" t="str">
        <f>'MSW16'!A134</f>
        <v>CURRENT MAX</v>
      </c>
      <c r="B134" s="1443">
        <f>'MSW16'!B134</f>
        <v>15</v>
      </c>
      <c r="C134" s="13"/>
      <c r="D134" s="13"/>
      <c r="E134" s="13"/>
      <c r="F134" s="57"/>
    </row>
    <row r="135">
      <c r="A135" s="1444" t="str">
        <f>'MSW16'!A135</f>
        <v>SET</v>
      </c>
      <c r="B135" s="1445" t="str">
        <f>'MSW16'!B135</f>
        <v>WEIGHT</v>
      </c>
      <c r="C135" s="1445" t="str">
        <f>'MSW16'!C135</f>
        <v>REPS</v>
      </c>
      <c r="D135" s="1446" t="str">
        <f>'MSW16'!D135</f>
        <v>REST</v>
      </c>
      <c r="E135" s="1447" t="str">
        <f>'MSW16'!E135</f>
        <v>PREVIOUS</v>
      </c>
      <c r="F135" s="1448" t="str">
        <f>'MSW16'!F135</f>
        <v>REP LOG</v>
      </c>
    </row>
    <row r="136">
      <c r="A136" s="387">
        <f>'MSW16'!A136</f>
        <v>1</v>
      </c>
      <c r="B136" s="388">
        <f>'MSW16'!B136</f>
        <v>15</v>
      </c>
      <c r="C136" s="1449" t="str">
        <f>'MSW16'!C136</f>
        <v>10 - 15</v>
      </c>
      <c r="D136" s="1433" t="str">
        <f>'MSW16'!D136</f>
        <v>1-3 MIN</v>
      </c>
      <c r="E136" s="1459" t="str">
        <f>'MSW16'!E136</f>
        <v/>
      </c>
      <c r="F136" s="1460"/>
    </row>
    <row r="137">
      <c r="A137" s="387">
        <f>'MSW16'!A137</f>
        <v>2</v>
      </c>
      <c r="B137" s="388">
        <f>'MSW16'!B137</f>
        <v>10</v>
      </c>
      <c r="C137" s="1449" t="str">
        <f>'MSW16'!C137</f>
        <v>10 - 15</v>
      </c>
      <c r="D137" s="1433" t="str">
        <f>'MSW16'!D137</f>
        <v>1-3 MIN</v>
      </c>
      <c r="E137" s="1459" t="str">
        <f>'MSW16'!E137</f>
        <v/>
      </c>
      <c r="F137" s="1460"/>
    </row>
    <row r="138">
      <c r="A138" s="394">
        <f>'MSW16'!A138</f>
        <v>3</v>
      </c>
      <c r="B138" s="395">
        <f>'MSW16'!B138</f>
        <v>10</v>
      </c>
      <c r="C138" s="1461" t="str">
        <f>'MSW16'!C138</f>
        <v>10 - 15</v>
      </c>
      <c r="D138" s="1456" t="str">
        <f>'MSW16'!D138</f>
        <v>1-3 MIN</v>
      </c>
      <c r="E138" s="1462" t="str">
        <f>'MSW16'!E138</f>
        <v/>
      </c>
      <c r="F138" s="1460"/>
    </row>
    <row r="139">
      <c r="A139" s="1151" t="str">
        <f>'MSW16'!A139</f>
        <v/>
      </c>
    </row>
    <row r="141">
      <c r="A141" s="75" t="str">
        <f>'MSW16'!A141</f>
        <v>5. BICEP EZ BAR CURL</v>
      </c>
      <c r="B141" s="53"/>
      <c r="C141" s="53"/>
      <c r="D141" s="53"/>
      <c r="E141" s="53"/>
      <c r="F141" s="54"/>
    </row>
    <row r="142">
      <c r="A142" s="961" t="str">
        <f>'MSW16'!A142</f>
        <v>CURRENT MAX</v>
      </c>
      <c r="B142" s="1046">
        <f>'MSW16'!B142</f>
        <v>95</v>
      </c>
      <c r="C142" s="13"/>
      <c r="D142" s="13"/>
      <c r="E142" s="13"/>
      <c r="F142" s="57"/>
    </row>
    <row r="143">
      <c r="A143" s="962" t="str">
        <f>'MSW16'!A143</f>
        <v>SET</v>
      </c>
      <c r="B143" s="963" t="str">
        <f>'MSW16'!B143</f>
        <v>WEIGHT</v>
      </c>
      <c r="C143" s="963" t="str">
        <f>'MSW16'!C143</f>
        <v>REPS</v>
      </c>
      <c r="D143" s="963" t="str">
        <f>'MSW16'!D143</f>
        <v>REST</v>
      </c>
      <c r="E143" s="1073" t="str">
        <f>'MSW16'!E143</f>
        <v>PREVIOUS</v>
      </c>
      <c r="F143" s="1006" t="str">
        <f>'MSW16'!F143</f>
        <v>REP LOG</v>
      </c>
    </row>
    <row r="144">
      <c r="A144" s="967">
        <f>'MSW16'!A144</f>
        <v>1</v>
      </c>
      <c r="B144" s="968">
        <f>'MSW16'!B144</f>
        <v>10</v>
      </c>
      <c r="C144" s="937" t="str">
        <f>'MSW16'!C144</f>
        <v>6 - 12</v>
      </c>
      <c r="D144" s="1296" t="str">
        <f>'MSW16'!D144</f>
        <v>1-3 MIN</v>
      </c>
      <c r="E144" s="1235" t="str">
        <f>'MSW16'!E144</f>
        <v/>
      </c>
      <c r="F144" s="984"/>
    </row>
    <row r="145">
      <c r="A145" s="967">
        <f>'MSW16'!A145</f>
        <v>2</v>
      </c>
      <c r="B145" s="968">
        <f>'MSW16'!B145</f>
        <v>10</v>
      </c>
      <c r="C145" s="937" t="str">
        <f>'MSW16'!C145</f>
        <v>6 - 12</v>
      </c>
      <c r="D145" s="1296" t="str">
        <f>'MSW16'!D145</f>
        <v>1-3 MIN</v>
      </c>
      <c r="E145" s="1235" t="str">
        <f>'MSW16'!E145</f>
        <v/>
      </c>
      <c r="F145" s="1131"/>
    </row>
    <row r="146">
      <c r="A146" s="971">
        <f>'MSW16'!A146</f>
        <v>3</v>
      </c>
      <c r="B146" s="972">
        <f>'MSW16'!B146</f>
        <v>10</v>
      </c>
      <c r="C146" s="942" t="str">
        <f>'MSW16'!C146</f>
        <v>6 - 12</v>
      </c>
      <c r="D146" s="1304" t="str">
        <f>'MSW16'!D146</f>
        <v>1-3 MIN</v>
      </c>
      <c r="E146" s="1271" t="str">
        <f>'MSW16'!E146</f>
        <v/>
      </c>
      <c r="F146" s="984"/>
    </row>
    <row r="147">
      <c r="A147" s="1151" t="str">
        <f>'MSW16'!A147</f>
        <v/>
      </c>
    </row>
    <row r="149">
      <c r="A149" s="1149" t="str">
        <f>'MSW16'!A149</f>
        <v>WORKOUT COMPLETE!</v>
      </c>
      <c r="B149" s="36"/>
      <c r="C149" s="36"/>
      <c r="D149" s="36"/>
      <c r="E149" s="36"/>
      <c r="F149" s="37"/>
    </row>
    <row r="150">
      <c r="A150" s="1153" t="str">
        <f>'MSW16'!A150</f>
        <v/>
      </c>
    </row>
    <row r="151">
      <c r="A151" s="1275" t="str">
        <f>'MSW16'!A151</f>
        <v>WANT TO LEARN MORE?</v>
      </c>
      <c r="B151" s="25"/>
      <c r="C151" s="25"/>
      <c r="D151" s="25"/>
      <c r="E151" s="25"/>
      <c r="F151" s="26"/>
    </row>
    <row r="152">
      <c r="A152" s="529"/>
      <c r="F152" s="28"/>
    </row>
    <row r="153">
      <c r="A153" s="1374" t="str">
        <f>'MSW16'!A153</f>
        <v/>
      </c>
      <c r="B153" s="1173" t="str">
        <f>'MSW16'!B153</f>
        <v/>
      </c>
      <c r="C153" s="1375" t="str">
        <f>'MSW16'!C153</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53" s="28"/>
    </row>
    <row r="154">
      <c r="A154" s="1374" t="str">
        <f>'MSW16'!A154</f>
        <v/>
      </c>
      <c r="B154" s="1173" t="str">
        <f>'MSW16'!B154</f>
        <v/>
      </c>
      <c r="F154" s="28"/>
    </row>
    <row r="155">
      <c r="A155" s="1374" t="str">
        <f>'MSW16'!A155</f>
        <v/>
      </c>
      <c r="B155" s="1173" t="str">
        <f>'MSW16'!B155</f>
        <v/>
      </c>
      <c r="F155" s="28"/>
    </row>
    <row r="156">
      <c r="A156" s="1374" t="str">
        <f>'MSW16'!A156</f>
        <v/>
      </c>
      <c r="B156" s="1173" t="str">
        <f>'MSW16'!B156</f>
        <v/>
      </c>
      <c r="F156" s="28"/>
    </row>
    <row r="157">
      <c r="A157" s="1374" t="str">
        <f>'MSW16'!A157</f>
        <v/>
      </c>
      <c r="B157" s="1173" t="str">
        <f>'MSW16'!B157</f>
        <v/>
      </c>
      <c r="F157" s="28"/>
    </row>
    <row r="158">
      <c r="A158" s="1374" t="str">
        <f>'MSW16'!A158</f>
        <v/>
      </c>
      <c r="B158" s="1173" t="str">
        <f>'MSW16'!B158</f>
        <v/>
      </c>
      <c r="F158" s="28"/>
    </row>
    <row r="159">
      <c r="A159" s="1376" t="str">
        <f>'MSW16'!A159</f>
        <v/>
      </c>
      <c r="B159" s="1173" t="str">
        <f>'MSW16'!B159</f>
        <v/>
      </c>
      <c r="F159" s="28"/>
    </row>
    <row r="160">
      <c r="A160" s="1374" t="str">
        <f>'MSW16'!A160</f>
        <v/>
      </c>
      <c r="B160" s="1173" t="str">
        <f>'MSW16'!B160</f>
        <v/>
      </c>
      <c r="F160" s="28"/>
    </row>
    <row r="161">
      <c r="A161" s="1374" t="str">
        <f>'MSW16'!A161</f>
        <v/>
      </c>
      <c r="B161" s="1173" t="str">
        <f>'MSW16'!B161</f>
        <v/>
      </c>
      <c r="F161" s="28"/>
    </row>
    <row r="162">
      <c r="A162" s="1377" t="str">
        <f>'MSW16'!A162</f>
        <v/>
      </c>
      <c r="B162" s="1173" t="str">
        <f>'MSW16'!B162</f>
        <v/>
      </c>
      <c r="F162" s="28"/>
    </row>
    <row r="163">
      <c r="A163" s="1374" t="str">
        <f>'MSW16'!A163</f>
        <v/>
      </c>
      <c r="B163" s="1173" t="str">
        <f>'MSW16'!B163</f>
        <v/>
      </c>
      <c r="F163" s="28"/>
    </row>
    <row r="164">
      <c r="A164" s="1374" t="str">
        <f>'MSW16'!A164</f>
        <v/>
      </c>
      <c r="B164" s="1173" t="str">
        <f>'MSW16'!B164</f>
        <v/>
      </c>
      <c r="F164" s="28"/>
    </row>
    <row r="165">
      <c r="A165" s="1374" t="str">
        <f>'MSW16'!A165</f>
        <v/>
      </c>
      <c r="B165" s="1173" t="str">
        <f>'MSW16'!B165</f>
        <v/>
      </c>
      <c r="F165" s="28"/>
    </row>
    <row r="166">
      <c r="A166" s="1374" t="str">
        <f>'MSW16'!A166</f>
        <v/>
      </c>
      <c r="B166" s="1173" t="str">
        <f>'MSW16'!B166</f>
        <v/>
      </c>
      <c r="F166" s="28"/>
    </row>
    <row r="167">
      <c r="A167" s="1378" t="str">
        <f>'MSW16'!A167</f>
        <v/>
      </c>
      <c r="B167" s="1379" t="str">
        <f>'MSW16'!B167</f>
        <v/>
      </c>
      <c r="C167" s="11"/>
      <c r="D167" s="11"/>
      <c r="E167" s="11"/>
      <c r="F167" s="46"/>
    </row>
    <row r="168">
      <c r="A168" s="1151" t="str">
        <f>'MSW16'!A168</f>
        <v/>
      </c>
      <c r="B168" s="1151" t="str">
        <f>'MSW16'!B168</f>
        <v/>
      </c>
      <c r="C168" s="1151" t="str">
        <f>'MSW16'!C168</f>
        <v/>
      </c>
      <c r="D168" s="1151" t="str">
        <f>'MSW16'!D168</f>
        <v/>
      </c>
      <c r="E168" s="1151" t="str">
        <f>'MSW16'!E168</f>
        <v/>
      </c>
      <c r="F168" s="1151" t="str">
        <f>'MSW16'!F168</f>
        <v/>
      </c>
    </row>
  </sheetData>
  <mergeCells count="95">
    <mergeCell ref="A52:F53"/>
    <mergeCell ref="A54:F54"/>
    <mergeCell ref="B55:F55"/>
    <mergeCell ref="A59:F59"/>
    <mergeCell ref="A60:F60"/>
    <mergeCell ref="A61:F61"/>
    <mergeCell ref="A62:F62"/>
    <mergeCell ref="B82:F82"/>
    <mergeCell ref="A95:F96"/>
    <mergeCell ref="A97:F97"/>
    <mergeCell ref="A98:F99"/>
    <mergeCell ref="A100:F100"/>
    <mergeCell ref="A101:F101"/>
    <mergeCell ref="B102:F102"/>
    <mergeCell ref="A108:F108"/>
    <mergeCell ref="A111:F111"/>
    <mergeCell ref="B114:F114"/>
    <mergeCell ref="A115:F116"/>
    <mergeCell ref="A63:F64"/>
    <mergeCell ref="A65:F65"/>
    <mergeCell ref="B66:F66"/>
    <mergeCell ref="B78:F78"/>
    <mergeCell ref="A79:F80"/>
    <mergeCell ref="A81:F81"/>
    <mergeCell ref="G94:G114"/>
    <mergeCell ref="A123:F124"/>
    <mergeCell ref="A125:F125"/>
    <mergeCell ref="A87:F88"/>
    <mergeCell ref="A89:F89"/>
    <mergeCell ref="G89:G91"/>
    <mergeCell ref="B90:F90"/>
    <mergeCell ref="G92:G93"/>
    <mergeCell ref="A117:F117"/>
    <mergeCell ref="B118:F118"/>
    <mergeCell ref="A147:F148"/>
    <mergeCell ref="A149:F149"/>
    <mergeCell ref="B126:F126"/>
    <mergeCell ref="A131:F132"/>
    <mergeCell ref="A133:F133"/>
    <mergeCell ref="B134:F134"/>
    <mergeCell ref="A139:F140"/>
    <mergeCell ref="A141:F141"/>
    <mergeCell ref="B142:F142"/>
    <mergeCell ref="A1:M8"/>
    <mergeCell ref="A9:F9"/>
    <mergeCell ref="G9:G11"/>
    <mergeCell ref="H9:M9"/>
    <mergeCell ref="A10:F11"/>
    <mergeCell ref="H10:M10"/>
    <mergeCell ref="A14:F14"/>
    <mergeCell ref="A12:F12"/>
    <mergeCell ref="A13:F13"/>
    <mergeCell ref="A15:F15"/>
    <mergeCell ref="G15:G24"/>
    <mergeCell ref="A16:F17"/>
    <mergeCell ref="A18:F18"/>
    <mergeCell ref="A19:F19"/>
    <mergeCell ref="G12:M14"/>
    <mergeCell ref="H15:M15"/>
    <mergeCell ref="H16:M17"/>
    <mergeCell ref="H18:M18"/>
    <mergeCell ref="H19:M19"/>
    <mergeCell ref="I20:M20"/>
    <mergeCell ref="H25:M25"/>
    <mergeCell ref="B20:F20"/>
    <mergeCell ref="A25:F25"/>
    <mergeCell ref="G25:G26"/>
    <mergeCell ref="G27:G29"/>
    <mergeCell ref="A30:F31"/>
    <mergeCell ref="G30:G36"/>
    <mergeCell ref="A32:F32"/>
    <mergeCell ref="B33:F33"/>
    <mergeCell ref="A37:F38"/>
    <mergeCell ref="A39:F39"/>
    <mergeCell ref="B40:F40"/>
    <mergeCell ref="A45:F46"/>
    <mergeCell ref="A47:F47"/>
    <mergeCell ref="B48:F48"/>
    <mergeCell ref="H30:M31"/>
    <mergeCell ref="H32:M32"/>
    <mergeCell ref="I33:M33"/>
    <mergeCell ref="G37:M88"/>
    <mergeCell ref="H89:M89"/>
    <mergeCell ref="I90:M90"/>
    <mergeCell ref="H95:M99"/>
    <mergeCell ref="A150:F150"/>
    <mergeCell ref="A151:F152"/>
    <mergeCell ref="C153:F167"/>
    <mergeCell ref="H100:M100"/>
    <mergeCell ref="H101:M101"/>
    <mergeCell ref="I102:M102"/>
    <mergeCell ref="H108:M108"/>
    <mergeCell ref="H111:M111"/>
    <mergeCell ref="I114:M114"/>
    <mergeCell ref="G115:M168"/>
  </mergeCells>
  <dataValidations>
    <dataValidation type="decimal" allowBlank="1" showDropDown="1" showInputMessage="1" showErrorMessage="1" prompt="Enter a number between 0 and 30" sqref="F21:F24 M21:M24 F26:F29 M26:M29 F34:F36 M34:M36 F41:F44 F49:F51 F56:F58 F67:F77 F83:F86 F91:F94 M91:M94 F103:F107 M103:M107 F109:F110 M109:M110 F112:F113 M112:M113 F119:F122 F127:F130 F135:F138 F143:F146 F168">
      <formula1>0.0</formula1>
      <formula2>30.0</formula2>
    </dataValidation>
    <dataValidation type="decimal" operator="greaterThan" allowBlank="1" showDropDown="1" showErrorMessage="1" sqref="M11">
      <formula1>0.0</formula1>
    </dataValidation>
  </dataValidation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305" t="s">
        <v>259</v>
      </c>
      <c r="B9" s="36"/>
      <c r="C9" s="36"/>
      <c r="D9" s="36"/>
      <c r="E9" s="36"/>
      <c r="F9" s="37"/>
      <c r="G9" s="987"/>
      <c r="H9" s="24" t="s">
        <v>35</v>
      </c>
      <c r="I9" s="25"/>
      <c r="J9" s="25"/>
      <c r="K9" s="25"/>
      <c r="L9" s="25"/>
      <c r="M9" s="26"/>
    </row>
    <row r="10">
      <c r="A10" s="991" t="str">
        <f>HYPERLINK("https://goo.gl/forms/3ibooB993Hi7SS2d2","PRESS TO RECORD BODY WEIGHT")</f>
        <v>PRESS TO RECORD BODY WEIGHT</v>
      </c>
      <c r="F10" s="28"/>
      <c r="G10" s="987"/>
      <c r="H10" s="147" t="s">
        <v>260</v>
      </c>
      <c r="M10" s="28"/>
    </row>
    <row r="11">
      <c r="A11" s="336"/>
      <c r="B11" s="11"/>
      <c r="C11" s="11"/>
      <c r="D11" s="11"/>
      <c r="E11" s="11"/>
      <c r="F11" s="46"/>
      <c r="G11" s="987"/>
      <c r="H11" s="29" t="s">
        <v>261</v>
      </c>
      <c r="I11" s="30"/>
      <c r="J11" s="30"/>
      <c r="K11" s="30"/>
      <c r="L11" s="30"/>
      <c r="M11" s="31"/>
    </row>
    <row r="12">
      <c r="A12" s="992" t="s">
        <v>69</v>
      </c>
      <c r="B12" s="11"/>
      <c r="C12" s="11"/>
      <c r="D12" s="11"/>
      <c r="E12" s="11"/>
      <c r="F12" s="46"/>
      <c r="G12" s="987"/>
      <c r="H12" s="987"/>
      <c r="I12" s="987"/>
      <c r="J12" s="987"/>
      <c r="K12" s="987"/>
      <c r="L12" s="987"/>
      <c r="M12" s="987"/>
    </row>
    <row r="13">
      <c r="A13" s="1128" t="s">
        <v>190</v>
      </c>
      <c r="B13" s="11"/>
      <c r="C13" s="11"/>
      <c r="D13" s="11"/>
      <c r="E13" s="11"/>
      <c r="F13" s="46"/>
      <c r="G13" s="987"/>
      <c r="H13" s="987"/>
      <c r="I13" s="987"/>
      <c r="J13" s="987"/>
      <c r="K13" s="987"/>
      <c r="L13" s="987"/>
      <c r="M13" s="987"/>
    </row>
    <row r="14">
      <c r="A14" s="994"/>
      <c r="B14" s="994"/>
      <c r="C14" s="994"/>
      <c r="D14" s="994"/>
      <c r="E14" s="994"/>
      <c r="F14" s="995"/>
      <c r="G14" s="987"/>
      <c r="H14" s="989"/>
      <c r="I14" s="989"/>
      <c r="J14" s="989"/>
      <c r="K14" s="989"/>
      <c r="L14" s="989"/>
      <c r="M14" s="989"/>
    </row>
    <row r="15">
      <c r="A15" s="996" t="s">
        <v>47</v>
      </c>
      <c r="B15" s="11"/>
      <c r="C15" s="11"/>
      <c r="D15" s="11"/>
      <c r="E15" s="11"/>
      <c r="F15" s="46"/>
      <c r="G15" s="997"/>
      <c r="H15" s="998" t="s">
        <v>118</v>
      </c>
      <c r="I15" s="11"/>
      <c r="J15" s="11"/>
      <c r="K15" s="11"/>
      <c r="L15" s="11"/>
      <c r="M15" s="46"/>
    </row>
    <row r="16">
      <c r="A16" s="987"/>
      <c r="B16" s="987"/>
      <c r="C16" s="987"/>
      <c r="D16" s="987"/>
      <c r="E16" s="987"/>
      <c r="F16" s="987"/>
      <c r="G16" s="623"/>
      <c r="H16" s="987"/>
      <c r="I16" s="987"/>
      <c r="J16" s="987"/>
      <c r="K16" s="987"/>
      <c r="L16" s="987"/>
      <c r="M16" s="987"/>
    </row>
    <row r="19">
      <c r="A19" s="51" t="s">
        <v>48</v>
      </c>
      <c r="B19" s="36"/>
      <c r="C19" s="36"/>
      <c r="D19" s="36"/>
      <c r="E19" s="36"/>
      <c r="F19" s="37"/>
      <c r="H19" s="51" t="s">
        <v>48</v>
      </c>
      <c r="I19" s="36"/>
      <c r="J19" s="36"/>
      <c r="K19" s="36"/>
      <c r="L19" s="36"/>
      <c r="M19" s="37"/>
      <c r="N19" s="141"/>
      <c r="O19" s="51" t="s">
        <v>48</v>
      </c>
      <c r="P19" s="36"/>
      <c r="Q19" s="36"/>
      <c r="R19" s="36"/>
      <c r="S19" s="36"/>
      <c r="T19" s="37"/>
    </row>
    <row r="20">
      <c r="A20" s="225" t="str">
        <f>HYPERLINK("https://www.youtube.com/watch?v=iLgUDezDMbU","1. BENCH PRESS")</f>
        <v>1. BENCH PRESS</v>
      </c>
      <c r="B20" s="13"/>
      <c r="C20" s="13"/>
      <c r="D20" s="13"/>
      <c r="E20" s="13"/>
      <c r="F20" s="57"/>
      <c r="H20" s="52" t="str">
        <f>HYPERLINK("https://youtu.be/ujVN-A0Z-ic","1. DUMBBELL INCLINE PRESS")</f>
        <v>1. DUMBBELL INCLINE PRESS</v>
      </c>
      <c r="I20" s="53"/>
      <c r="J20" s="53"/>
      <c r="K20" s="53"/>
      <c r="L20" s="53"/>
      <c r="M20" s="54"/>
      <c r="O20" s="52" t="str">
        <f>HYPERLINK("https://youtu.be/75e_H9Vq_Lw","1. MACHINE PRESS")</f>
        <v>1. MACHINE PRESS</v>
      </c>
      <c r="P20" s="53"/>
      <c r="Q20" s="53"/>
      <c r="R20" s="53"/>
      <c r="S20" s="53"/>
      <c r="T20" s="54"/>
    </row>
    <row r="21">
      <c r="A21" s="226" t="s">
        <v>119</v>
      </c>
      <c r="B21" s="227" t="str">
        <f>'WEEK 13'!B20</f>
        <v/>
      </c>
      <c r="C21" s="20"/>
      <c r="D21" s="20"/>
      <c r="E21" s="20"/>
      <c r="F21" s="95"/>
      <c r="H21" s="228" t="s">
        <v>119</v>
      </c>
      <c r="I21" s="229" t="str">
        <f>IF('WEEK 15'!B34="",'WEEK 15'!B21,'WEEK 15'!B34)</f>
        <v/>
      </c>
      <c r="J21" s="16"/>
      <c r="K21" s="16"/>
      <c r="L21" s="16"/>
      <c r="M21" s="230"/>
      <c r="O21" s="228" t="s">
        <v>119</v>
      </c>
      <c r="P21" s="229" t="str">
        <f>'WEEK 16'!I20</f>
        <v/>
      </c>
      <c r="Q21" s="16"/>
      <c r="R21" s="16"/>
      <c r="S21" s="16"/>
      <c r="T21" s="230"/>
    </row>
    <row r="22">
      <c r="A22" s="231" t="s">
        <v>50</v>
      </c>
      <c r="B22" s="232" t="s">
        <v>51</v>
      </c>
      <c r="C22" s="232" t="s">
        <v>52</v>
      </c>
      <c r="D22" s="232" t="s">
        <v>53</v>
      </c>
      <c r="E22" s="233" t="s">
        <v>54</v>
      </c>
      <c r="F22" s="61" t="s">
        <v>55</v>
      </c>
      <c r="H22" s="96" t="s">
        <v>50</v>
      </c>
      <c r="I22" s="97" t="s">
        <v>51</v>
      </c>
      <c r="J22" s="97" t="s">
        <v>52</v>
      </c>
      <c r="K22" s="97" t="s">
        <v>53</v>
      </c>
      <c r="L22" s="98" t="s">
        <v>54</v>
      </c>
      <c r="M22" s="235" t="s">
        <v>55</v>
      </c>
      <c r="O22" s="96" t="s">
        <v>50</v>
      </c>
      <c r="P22" s="97" t="s">
        <v>51</v>
      </c>
      <c r="Q22" s="97" t="s">
        <v>52</v>
      </c>
      <c r="R22" s="97" t="s">
        <v>53</v>
      </c>
      <c r="S22" s="98" t="s">
        <v>54</v>
      </c>
      <c r="T22" s="235" t="s">
        <v>55</v>
      </c>
    </row>
    <row r="23">
      <c r="A23" s="236">
        <v>1.0</v>
      </c>
      <c r="B23" s="237">
        <f>mround('WEEK 17'!B21*0.35,5)</f>
        <v>0</v>
      </c>
      <c r="C23" s="237">
        <v>6.0</v>
      </c>
      <c r="D23" s="238" t="s">
        <v>120</v>
      </c>
      <c r="E23" s="66" t="str">
        <f>IF('WEEK 17'!B23='WEEK 11'!B23,'WEEK 11'!F23,"")</f>
        <v/>
      </c>
      <c r="F23" s="67">
        <v>6.0</v>
      </c>
      <c r="H23" s="244">
        <v>1.0</v>
      </c>
      <c r="I23" s="241">
        <f>mround('WEEK 17'!I21*0.35,5)</f>
        <v>0</v>
      </c>
      <c r="J23" s="63">
        <v>6.0</v>
      </c>
      <c r="K23" s="83" t="s">
        <v>127</v>
      </c>
      <c r="L23" s="66" t="str">
        <f>IF('WEEK 17'!I23='WEEK 11'!I23,'WEEK 11'!M23,"")</f>
        <v/>
      </c>
      <c r="M23" s="85"/>
      <c r="O23" s="244">
        <v>1.0</v>
      </c>
      <c r="P23" s="241">
        <f>mround('WEEK 17'!P21*0.35,5)</f>
        <v>0</v>
      </c>
      <c r="Q23" s="63">
        <v>6.0</v>
      </c>
      <c r="R23" s="83" t="s">
        <v>127</v>
      </c>
      <c r="S23" s="66" t="str">
        <f>IF('WEEK 17'!P23='WEEK 11'!P23,'WEEK 11'!T23,"")</f>
        <v/>
      </c>
      <c r="T23" s="85">
        <v>6.0</v>
      </c>
    </row>
    <row r="24">
      <c r="A24" s="236">
        <v>2.0</v>
      </c>
      <c r="B24" s="237">
        <f>mround('WEEK 17'!B21*0.8,5)</f>
        <v>0</v>
      </c>
      <c r="C24" s="237">
        <v>1.0</v>
      </c>
      <c r="D24" s="238" t="s">
        <v>121</v>
      </c>
      <c r="E24" s="66" t="str">
        <f>IF('WEEK 17'!B24='WEEK 11'!B24,'WEEK 11'!F24,"")</f>
        <v/>
      </c>
      <c r="F24" s="67">
        <v>1.0</v>
      </c>
      <c r="G24" s="1129" t="s">
        <v>191</v>
      </c>
      <c r="H24" s="240">
        <v>2.0</v>
      </c>
      <c r="I24" s="241">
        <f>mround('WEEK 17'!I21*0.65,5)</f>
        <v>0</v>
      </c>
      <c r="J24" s="241">
        <v>1.0</v>
      </c>
      <c r="K24" s="83" t="s">
        <v>127</v>
      </c>
      <c r="L24" s="66" t="str">
        <f>IF('WEEK 17'!I24='WEEK 11'!I24,'WEEK 11'!M24,"")</f>
        <v/>
      </c>
      <c r="M24" s="85"/>
      <c r="O24" s="240">
        <v>2.0</v>
      </c>
      <c r="P24" s="241">
        <f>mround('WEEK 17'!P21*0.65,5)</f>
        <v>0</v>
      </c>
      <c r="Q24" s="241">
        <v>1.0</v>
      </c>
      <c r="R24" s="83" t="s">
        <v>127</v>
      </c>
      <c r="S24" s="66" t="str">
        <f>IF('WEEK 17'!P24='WEEK 11'!P24,'WEEK 11'!T24,"")</f>
        <v/>
      </c>
      <c r="T24" s="85">
        <v>1.0</v>
      </c>
    </row>
    <row r="25">
      <c r="A25" s="242">
        <v>3.0</v>
      </c>
      <c r="B25" s="237">
        <f>mround('WEEK 17'!B21*0.9,5)</f>
        <v>0</v>
      </c>
      <c r="C25" s="82">
        <v>1.0</v>
      </c>
      <c r="D25" s="238" t="s">
        <v>121</v>
      </c>
      <c r="E25" s="66" t="str">
        <f>IF('WEEK 17'!B25='WEEK 11'!B25,'WEEK 11'!F25,"")</f>
        <v/>
      </c>
      <c r="F25" s="67">
        <v>1.0</v>
      </c>
      <c r="H25" s="240">
        <v>3.0</v>
      </c>
      <c r="I25" s="241">
        <f>mround('WEEK 17'!I21*0.85,5)</f>
        <v>0</v>
      </c>
      <c r="J25" s="63">
        <v>1.0</v>
      </c>
      <c r="K25" s="83" t="s">
        <v>127</v>
      </c>
      <c r="L25" s="66" t="str">
        <f>IF('WEEK 17'!I25='WEEK 11'!I25,'WEEK 11'!M25,"")</f>
        <v/>
      </c>
      <c r="M25" s="85"/>
      <c r="O25" s="240">
        <v>3.0</v>
      </c>
      <c r="P25" s="241">
        <f>mround('WEEK 17'!P21*0.85,5)</f>
        <v>0</v>
      </c>
      <c r="Q25" s="241">
        <v>1.0</v>
      </c>
      <c r="R25" s="83" t="s">
        <v>127</v>
      </c>
      <c r="S25" s="66" t="str">
        <f>IF('WEEK 17'!P25='WEEK 11'!P25,'WEEK 11'!T25,"")</f>
        <v/>
      </c>
      <c r="T25" s="85">
        <v>1.0</v>
      </c>
    </row>
    <row r="26">
      <c r="A26" s="243">
        <v>4.0</v>
      </c>
      <c r="B26" s="237" t="str">
        <f>'WEEK 17'!B21</f>
        <v/>
      </c>
      <c r="C26" s="175">
        <v>1.0</v>
      </c>
      <c r="D26" s="238" t="s">
        <v>122</v>
      </c>
      <c r="E26" s="66" t="str">
        <f>IF('WEEK 17'!B26='WEEK 11'!B26,'WEEK 11'!F26,"")</f>
        <v/>
      </c>
      <c r="F26" s="67">
        <v>1.0</v>
      </c>
      <c r="H26" s="240">
        <v>4.0</v>
      </c>
      <c r="I26" s="241">
        <f>mround('WEEK 17'!I21*1,5)</f>
        <v>0</v>
      </c>
      <c r="J26" s="245" t="s">
        <v>65</v>
      </c>
      <c r="K26" s="83" t="s">
        <v>127</v>
      </c>
      <c r="L26" s="66" t="str">
        <f>IF('WEEK 17'!I26='WEEK 11'!I26,'WEEK 11'!M26,"")</f>
        <v/>
      </c>
      <c r="M26" s="85"/>
      <c r="O26" s="240">
        <v>4.0</v>
      </c>
      <c r="P26" s="241">
        <f>mround('WEEK 17'!P21*1,5)</f>
        <v>0</v>
      </c>
      <c r="Q26" s="245" t="s">
        <v>65</v>
      </c>
      <c r="R26" s="83" t="s">
        <v>127</v>
      </c>
      <c r="S26" s="66" t="str">
        <f>IF('WEEK 17'!P26='WEEK 11'!P26,'WEEK 11'!T26,"")</f>
        <v/>
      </c>
      <c r="T26" s="85">
        <v>8.0</v>
      </c>
    </row>
    <row r="27">
      <c r="A27" s="246" t="str">
        <f>IF('WEEK 17'!F26&lt;1,"PROCEED TO DOWN SETS","NEW 1 REP MAX ATTEMPT")</f>
        <v>PROCEED TO DOWN SETS</v>
      </c>
      <c r="B27" s="20"/>
      <c r="C27" s="20"/>
      <c r="D27" s="20"/>
      <c r="E27" s="20"/>
      <c r="F27" s="95"/>
      <c r="H27" s="248" t="str">
        <f>IF(OR(ISBLANK('WEEK 17'!M26),ISBLANK('WEEK 17'!M25),ISBLANK('WEEK 17'!M24)),"PROCEED TO DOWNSETS",if('WEEK 17'!M26&gt;=6,"NEW 4 REP MAX ATTEMPT","PROCEED TO DOWN SETS"))</f>
        <v>PROCEED TO DOWNSETS</v>
      </c>
      <c r="M27" s="28"/>
      <c r="N27" s="247" t="s">
        <v>123</v>
      </c>
      <c r="O27" s="248" t="str">
        <f>IF(OR(ISBLANK('WEEK 17'!T26),ISBLANK('WEEK 17'!T25),ISBLANK('WEEK 17'!T24)),"PROCEED TO DOWNSETS",if('WEEK 17'!T26&gt;=6,"NEW 4 REP MAX ATTEMPT","PROCEED TO DOWN SETS"))</f>
        <v>PROCEED TO DOWNSETS</v>
      </c>
      <c r="T27" s="28"/>
    </row>
    <row r="28">
      <c r="A28" s="249" t="str">
        <f>if('WEEK 17'!F26&lt;1,"",5)</f>
        <v/>
      </c>
      <c r="B28" s="175" t="str">
        <f>IF('WEEK 17'!F26&lt;1,"",'WEEK 17'!B26+5)</f>
        <v/>
      </c>
      <c r="C28" s="238" t="str">
        <f>if('WEEK 17'!F26&lt;1,"",1)</f>
        <v/>
      </c>
      <c r="D28" s="238" t="str">
        <f>if('WEEK 17'!F26&lt;1,"","1-5 MIN")</f>
        <v/>
      </c>
      <c r="E28" s="66" t="str">
        <f>IF('WEEK 17'!B28='WEEK 11'!B28,'WEEK 11'!F28,"")</f>
        <v/>
      </c>
      <c r="F28" s="67"/>
      <c r="H28" s="251" t="str">
        <f>IF(OR(ISBLANK('WEEK 17'!M26),ISBLANK('WEEK 17'!M25),ISBLANK('WEEK 17'!M24)),"",IF('WEEK 17'!M26&gt;=6,5,""))</f>
        <v/>
      </c>
      <c r="I28" s="252" t="str">
        <f>IF(OR(ISBLANK('WEEK 17'!M26),ISBLANK('WEEK 17'!M25),ISBLANK('WEEK 17'!M24)),"",IF('WEEK 17'!M26&gt;=6,'WEEK 17'!I21+5,""))</f>
        <v/>
      </c>
      <c r="J28" s="253" t="str">
        <f>IF(OR(ISBLANK('WEEK 17'!M26),ISBLANK('WEEK 17'!M25),ISBLANK('WEEK 17'!M24)),"",IF('WEEK 17'!M26&gt;=6,"REP OUT",""))</f>
        <v/>
      </c>
      <c r="K28" s="254" t="str">
        <f>IF(OR(ISBLANK('WEEK 17'!M26),ISBLANK('WEEK 17'!M25),ISBLANK('WEEK 17'!M24)),"",IF('WEEK 17'!M26&gt;5,"1-3 MIN",""))</f>
        <v/>
      </c>
      <c r="L28" s="66" t="str">
        <f>IF('WEEK 17'!I28='WEEK 11'!I28,'WEEK 11'!M28,"")</f>
        <v/>
      </c>
      <c r="M28" s="67"/>
      <c r="O28" s="251" t="str">
        <f>IF(OR(ISBLANK('WEEK 17'!T26),ISBLANK('WEEK 17'!T25),ISBLANK('WEEK 17'!T24)),"",IF('WEEK 17'!T26&gt;=6,5,""))</f>
        <v/>
      </c>
      <c r="P28" s="252" t="str">
        <f>IF(OR(ISBLANK('WEEK 17'!T26),ISBLANK('WEEK 17'!T25),ISBLANK('WEEK 17'!T24)),"",IF('WEEK 17'!T26&gt;=6,'WEEK 17'!P21+5,""))</f>
        <v/>
      </c>
      <c r="Q28" s="253" t="str">
        <f>IF(OR(ISBLANK('WEEK 17'!T26),ISBLANK('WEEK 17'!T25),ISBLANK('WEEK 17'!T24)),"",IF('WEEK 17'!T26&gt;=6,"REP OUT",""))</f>
        <v/>
      </c>
      <c r="R28" s="254" t="str">
        <f>IF(OR(ISBLANK('WEEK 17'!T26),ISBLANK('WEEK 17'!T25),ISBLANK('WEEK 17'!T24)),"",IF('WEEK 17'!T26&gt;5,"1-3 MIN",""))</f>
        <v/>
      </c>
      <c r="S28" s="66" t="str">
        <f>IF('WEEK 17'!P28='WEEK 11'!P28,'WEEK 11'!T28,"")</f>
        <v/>
      </c>
      <c r="T28" s="665">
        <v>4.0</v>
      </c>
    </row>
    <row r="29">
      <c r="A29" s="256" t="str">
        <f>IF('WEEK 17'!F28&lt;1,"","6")</f>
        <v/>
      </c>
      <c r="B29" s="237" t="str">
        <f>IF('WEEK 17'!F28&lt;1,"",'WEEK 17'!B28+5)</f>
        <v/>
      </c>
      <c r="C29" s="257" t="str">
        <f>IF('WEEK 17'!F28&lt;1,"","1")</f>
        <v/>
      </c>
      <c r="D29" s="257" t="str">
        <f>IF('WEEK 17'!F28&lt;1,"","1-5 MIN")</f>
        <v/>
      </c>
      <c r="E29" s="66" t="str">
        <f>IF('WEEK 17'!B29='WEEK 11'!B29,'WEEK 11'!F29,"")</f>
        <v/>
      </c>
      <c r="F29" s="67"/>
      <c r="H29" s="260" t="str">
        <f>IF(OR(ISBLANK('WEEK 17'!M26),ISBLANK('WEEK 17'!M25),ISBLANK('WEEK 17'!M24)),"FILL OUT REP LOG FIRST","DOWN SETS")</f>
        <v>FILL OUT REP LOG FIRST</v>
      </c>
      <c r="I29" s="16"/>
      <c r="J29" s="16"/>
      <c r="K29" s="16"/>
      <c r="L29" s="16"/>
      <c r="M29" s="230"/>
      <c r="N29" s="141"/>
      <c r="O29" s="260" t="str">
        <f>IF(OR(ISBLANK('WEEK 17'!T26),ISBLANK('WEEK 17'!T25),ISBLANK('WEEK 17'!T24)),"FILL OUT REP LOG FIRST","DOWN SETS")</f>
        <v>FILL OUT REP LOG FIRST</v>
      </c>
      <c r="P29" s="16"/>
      <c r="Q29" s="16"/>
      <c r="R29" s="16"/>
      <c r="S29" s="16"/>
      <c r="T29" s="230"/>
    </row>
    <row r="30">
      <c r="A30" s="246" t="str">
        <f>IF(OR(ISBLANK('WEEK 17'!F26),ISBLANK('WEEK 17'!F25),ISBLANK('WEEK 17'!F24)),"FILL OUT REP LOG FOR DOWN SETS","DOWN SETS")</f>
        <v>FILL OUT REP LOG FOR DOWN SETS</v>
      </c>
      <c r="B30" s="20"/>
      <c r="C30" s="20"/>
      <c r="D30" s="20"/>
      <c r="E30" s="20"/>
      <c r="F30" s="95"/>
      <c r="H30" s="91" t="str">
        <f>IF('WEEK 17'!M28&gt;=4,"",IF(OR(ISBLANK('WEEK 17'!M26),ISBLANK('WEEK 17'!M25),ISBLANK('WEEK 17'!M24)),"",IF('WEEK 17'!M26&gt;5,6,5)))</f>
        <v/>
      </c>
      <c r="I30" s="261" t="str">
        <f>IF('WEEK 17'!M28&gt;=4,"",IF(OR(ISBLANK('WEEK 17'!M26),ISBLANK('WEEK 17'!M25),ISBLANK('WEEK 17'!M24)),"",IF('WEEK 17'!M26&lt;6,mround('WEEK 17'!I21*0.8,5),IF('WEEK 17'!M26&lt;10,mround('WEEK 17'!I21*0.93,5),mround('WEEK 17'!I21*0.7,5)))))</f>
        <v/>
      </c>
      <c r="J30" s="262" t="str">
        <f>IF('WEEK 17'!M28&gt;=4,"",IF(OR(ISBLANK('WEEK 17'!M26),ISBLANK('WEEK 17'!M25),ISBLANK('WEEK 17'!M24)),"","REP OUT"))</f>
        <v/>
      </c>
      <c r="K30" s="65" t="str">
        <f>IF('WEEK 17'!M28&gt;=4,"",IF(OR(ISBLANK('WEEK 17'!M26),ISBLANK('WEEK 17'!M25),ISBLANK('WEEK 17'!M24)),"","1-3 MIN"))</f>
        <v/>
      </c>
      <c r="L30" s="66" t="str">
        <f>IF('WEEK 17'!I30='WEEK 11'!I30,'WEEK 11'!M30,"")</f>
        <v/>
      </c>
      <c r="M30" s="263"/>
      <c r="O30" s="91" t="str">
        <f>IF('WEEK 17'!T28&gt;=4,"",IF(OR(ISBLANK('WEEK 17'!T26),ISBLANK('WEEK 17'!T25),ISBLANK('WEEK 17'!T24)),"",IF('WEEK 17'!T26&gt;5,6,5)))</f>
        <v/>
      </c>
      <c r="P30" s="261" t="str">
        <f>IF('WEEK 17'!T28&gt;=4,"",IF(OR(ISBLANK('WEEK 17'!T26),ISBLANK('WEEK 17'!T25),ISBLANK('WEEK 17'!T24)),"",IF('WEEK 17'!T26&lt;6,mround('WEEK 17'!P21*0.8,5),IF('WEEK 17'!T26&lt;10,mround('WEEK 17'!P21*0.93,5),mround('WEEK 17'!P21*0.7,5)))))</f>
        <v/>
      </c>
      <c r="Q30" s="262" t="str">
        <f>IF('WEEK 17'!T28&gt;=4,"",IF(OR(ISBLANK('WEEK 17'!T26),ISBLANK('WEEK 17'!T25),ISBLANK('WEEK 17'!T24)),"","REP OUT"))</f>
        <v/>
      </c>
      <c r="R30" s="65" t="str">
        <f>IF('WEEK 17'!T28&gt;=4,"",IF(OR(ISBLANK('WEEK 17'!T26),ISBLANK('WEEK 17'!T25),ISBLANK('WEEK 17'!T24)),"","1-3 MIN"))</f>
        <v/>
      </c>
      <c r="S30" s="66" t="str">
        <f>IF('WEEK 17'!P30='WEEK 11'!P30,'WEEK 11'!T30,"")</f>
        <v/>
      </c>
      <c r="T30" s="263"/>
    </row>
    <row r="31">
      <c r="A31" s="264" t="str">
        <f>IF(OR(ISBLANK('WEEK 17'!F26),ISBLANK('WEEK 17'!F25),ISBLANK('WEEK 17'!F24)),"",IF((AND('WEEK 17'!A28="",'WEEK 17'!A29="")),5,IF((AND('WEEK 17'!A28&gt;1,'WEEK 17'!A29="")),6,7)))</f>
        <v/>
      </c>
      <c r="B31" s="265" t="str">
        <f>IF(OR(ISBLANK('WEEK 17'!F26),ISBLANK('WEEK 17'!F25),ISBLANK('WEEK 17'!F24)),"",MROUND('WEEK 17'!B33*0.9,5))</f>
        <v/>
      </c>
      <c r="C31" s="266" t="str">
        <f>IF(OR(ISBLANK('WEEK 17'!F26),ISBLANK('WEEK 17'!F25),ISBLANK('WEEK 17'!F24)),"","REP OUT")</f>
        <v/>
      </c>
      <c r="D31" s="267" t="str">
        <f>IF(OR(ISBLANK('WEEK 17'!F26),ISBLANK('WEEK 17'!F25),ISBLANK('WEEK 17'!F24)),"","1-3 MIN")</f>
        <v/>
      </c>
      <c r="E31" s="66" t="str">
        <f>IF('WEEK 17'!B31='WEEK 11'!B31,'WEEK 11'!F31,"")</f>
        <v/>
      </c>
      <c r="F31" s="67"/>
      <c r="H31" s="269" t="str">
        <f>IF('WEEK 17'!M28&gt;=4,"",IF(OR(ISBLANK('WEEK 17'!M26),ISBLANK('WEEK 17'!M25),ISBLANK('WEEK 17'!M24)),"",IF('WEEK 17'!M26&gt;5,7,6)))</f>
        <v/>
      </c>
      <c r="I31" s="254" t="str">
        <f>IF('WEEK 17'!M28&gt;=4,"",IF(OR(ISBLANK('WEEK 17'!M26),ISBLANK('WEEK 17'!M25),ISBLANK('WEEK 17'!M24)),"",IF('WEEK 17'!M26&lt;6,mround('WEEK 17'!I21*0.65,5),IF('WEEK 17'!M26&lt;10,mround('WEEK 17'!I21*0.7,5),mround('WEEK 17'!I21*0.65,5)))))</f>
        <v/>
      </c>
      <c r="J31" s="253" t="str">
        <f>IF('WEEK 17'!M28&gt;=4,"",IF(OR(ISBLANK('WEEK 17'!M26),ISBLANK('WEEK 17'!M25),ISBLANK('WEEK 17'!M24)),"","REP OUT"))</f>
        <v/>
      </c>
      <c r="K31" s="65" t="str">
        <f>IF('WEEK 17'!M28&gt;=4,"",IF(OR(ISBLANK('WEEK 17'!M26),ISBLANK('WEEK 17'!M25),ISBLANK('WEEK 17'!M24)),"","1-3 MIN"))</f>
        <v/>
      </c>
      <c r="L31" s="66" t="str">
        <f>IF('WEEK 17'!I31='WEEK 11'!I31,'WEEK 11'!M31,"")</f>
        <v/>
      </c>
      <c r="M31" s="270"/>
      <c r="O31" s="269" t="str">
        <f>IF('WEEK 17'!T28&gt;=4,"",IF(OR(ISBLANK('WEEK 17'!T26),ISBLANK('WEEK 17'!T25),ISBLANK('WEEK 17'!T24)),"",IF('WEEK 17'!T26&gt;5,7,6)))</f>
        <v/>
      </c>
      <c r="P31" s="254" t="str">
        <f>IF('WEEK 17'!T28&gt;=4,"",IF(OR(ISBLANK('WEEK 17'!T26),ISBLANK('WEEK 17'!T25),ISBLANK('WEEK 17'!T24)),"",IF('WEEK 17'!T26&lt;6,mround('WEEK 17'!P21*0.65,5),IF('WEEK 17'!T26&lt;10,mround('WEEK 17'!P21*0.7,5),mround('WEEK 17'!P21*0.65,5)))))</f>
        <v/>
      </c>
      <c r="Q31" s="253" t="str">
        <f>IF('WEEK 17'!T28&gt;=4,"",IF(OR(ISBLANK('WEEK 17'!T26),ISBLANK('WEEK 17'!T25),ISBLANK('WEEK 17'!T24)),"","REP OUT"))</f>
        <v/>
      </c>
      <c r="R31" s="65" t="str">
        <f>IF('WEEK 17'!T28&gt;=4,"",IF(OR(ISBLANK('WEEK 17'!T26),ISBLANK('WEEK 17'!T25),ISBLANK('WEEK 17'!T24)),"","1 MIN"))</f>
        <v/>
      </c>
      <c r="S31" s="66" t="str">
        <f>IF('WEEK 17'!P31='WEEK 11'!P31,'WEEK 11'!T31,"")</f>
        <v/>
      </c>
      <c r="T31" s="270"/>
    </row>
    <row r="32">
      <c r="A32" s="243" t="str">
        <f>IF(OR(ISBLANK('WEEK 17'!F26),ISBLANK('WEEK 17'!F25),ISBLANK('WEEK 17'!F24)),"",IF((AND('WEEK 17'!A28="",'WEEK 17'!A29="")),6,IF((AND('WEEK 17'!A28&gt;1,'WEEK 17'!A29="")),7,8)))</f>
        <v/>
      </c>
      <c r="B32" s="237" t="str">
        <f>IF(OR(ISBLANK('WEEK 17'!F26),ISBLANK('WEEK 17'!F25),ISBLANK('WEEK 17'!F24)),"",mround('WEEK 17'!B33*0.78,5))</f>
        <v/>
      </c>
      <c r="C32" s="245" t="str">
        <f>IF(OR(ISBLANK('WEEK 17'!F26),ISBLANK('WEEK 17'!F25),ISBLANK('WEEK 17'!F24)),"","REP OUT")</f>
        <v/>
      </c>
      <c r="D32" s="65" t="str">
        <f>IF(OR(ISBLANK('WEEK 17'!F26),ISBLANK('WEEK 17'!F25),ISBLANK('WEEK 17'!F24)),"","1-3 MIN")</f>
        <v/>
      </c>
      <c r="E32" s="66" t="str">
        <f>IF('WEEK 17'!B32='WEEK 11'!B32,'WEEK 11'!F32,"")</f>
        <v/>
      </c>
      <c r="F32" s="271"/>
      <c r="H32" s="269" t="str">
        <f>IF('WEEK 17'!M28&lt;4,"",IF(OR(ISBLANK('WEEK 17'!M26),ISBLANK('WEEK 17'!M25),ISBLANK('WEEK 17'!M24)),"",IF('WEEK 17'!M28&gt;3,6,5)))</f>
        <v/>
      </c>
      <c r="I32" s="254" t="str">
        <f>IF('WEEK 17'!M28&lt;4,"",IF(OR(ISBLANK('WEEK 17'!M26),ISBLANK('WEEK 17'!M25),ISBLANK('WEEK 17'!M24)),"",IF('WEEK 17'!M28&lt;6,mround('WEEK 17'!I34*0.7,5),IF('WEEK 17'!M28&lt;10,mround('WEEK 17'!I34*0.8,5),mround(I34*0.93,5)))))</f>
        <v/>
      </c>
      <c r="J32" s="253" t="str">
        <f>IF('WEEK 17'!M28&lt;4,"",IF(OR(ISBLANK('WEEK 17'!M26),ISBLANK('WEEK 17'!M25),ISBLANK('WEEK 17'!M24)),"","REP OUT"))</f>
        <v/>
      </c>
      <c r="K32" s="65" t="str">
        <f>IF('WEEK 17'!M28&lt;4,"",IF(OR(ISBLANK('WEEK 17'!M26),ISBLANK('WEEK 17'!M25),ISBLANK('WEEK 17'!M24)),"","1-3 MIN"))</f>
        <v/>
      </c>
      <c r="L32" s="66" t="str">
        <f>IF('WEEK 17'!I32='WEEK 11'!I32,'WEEK 11'!M32,"")</f>
        <v/>
      </c>
      <c r="M32" s="270"/>
      <c r="N32" s="141"/>
      <c r="O32" s="269" t="str">
        <f>IF('WEEK 17'!T28&lt;4,"",IF(OR(ISBLANK('WEEK 17'!T26),ISBLANK('WEEK 17'!T25),ISBLANK('WEEK 17'!T24)),"",IF('WEEK 17'!T28&gt;3,6,5)))</f>
        <v/>
      </c>
      <c r="P32" s="254" t="str">
        <f>IF('WEEK 17'!T28&lt;4,"",IF(OR(ISBLANK('WEEK 17'!T26),ISBLANK('WEEK 17'!T25),ISBLANK('WEEK 17'!T24)),"",IF('WEEK 17'!T28&lt;6,mround('WEEK 17'!P34*0.7,5),IF('WEEK 17'!T28&lt;10,mround('WEEK 17'!P34*0.8,5),mround(P34*0.93,5)))))</f>
        <v/>
      </c>
      <c r="Q32" s="253" t="str">
        <f>IF('WEEK 17'!T28&lt;4,"",IF(OR(ISBLANK('WEEK 17'!T26),ISBLANK('WEEK 17'!T25),ISBLANK('WEEK 17'!T24)),"","REP OUT"))</f>
        <v/>
      </c>
      <c r="R32" s="65" t="str">
        <f>IF('WEEK 17'!T28&lt;4,"",IF(OR(ISBLANK('WEEK 17'!T26),ISBLANK('WEEK 17'!T25),ISBLANK('WEEK 17'!T24)),"","1-3 MIN"))</f>
        <v/>
      </c>
      <c r="S32" s="66" t="str">
        <f>IF('WEEK 17'!P32='WEEK 11'!P32,'WEEK 11'!T32,"")</f>
        <v/>
      </c>
      <c r="T32" s="263"/>
    </row>
    <row r="33">
      <c r="A33" s="272" t="s">
        <v>124</v>
      </c>
      <c r="B33" s="273" t="str">
        <f>IF(OR(ISBLANK('WEEK 17'!F26),ISBLANK('WEEK 17'!F25),ISBLANK('WEEK 17'!F24)),"",IF('WEEK 17'!F29&gt;=1,'WEEK 17'!B29,IF('WEEK 17'!F28&gt;=1,'WEEK 17'!B28,IF('WEEK 17'!F26&lt;1,'WEEK 17'!B26-5,'WEEK 17'!B26))))</f>
        <v/>
      </c>
      <c r="C33" s="11"/>
      <c r="D33" s="11"/>
      <c r="E33" s="11"/>
      <c r="F33" s="46"/>
      <c r="H33" s="269" t="str">
        <f>IF('WEEK 17'!M28&lt;4,"",IF(OR(ISBLANK('WEEK 17'!M26),ISBLANK('WEEK 17'!M25),ISBLANK('WEEK 17'!M24)),"",IF('WEEK 17'!M28&gt;3,7,"")))</f>
        <v/>
      </c>
      <c r="I33" s="254" t="str">
        <f>IF('WEEK 17'!M28&lt;4,"",IF(OR(ISBLANK('WEEK 17'!M26),ISBLANK('WEEK 17'!M25),ISBLANK('WEEK 17'!M24)),"",IF('WEEK 17'!M28&lt;6,mround('WEEK 17'!I34*0.65,5),IF('WEEK 17'!M28&lt;10,mround('WEEK 17'!I34*0.7,5),mround(I34*0.75,5)))))</f>
        <v/>
      </c>
      <c r="J33" s="253" t="str">
        <f>IF('WEEK 17'!M28&lt;4,"",IF(OR(ISBLANK('WEEK 17'!M26),ISBLANK('WEEK 17'!M25),ISBLANK('WEEK 17'!M24)),"","REP OUT"))</f>
        <v/>
      </c>
      <c r="K33" s="65" t="str">
        <f>IF('WEEK 17'!M28&lt;4,"",IF(OR(ISBLANK('WEEK 17'!M26),ISBLANK('WEEK 17'!M25),ISBLANK('WEEK 17'!M24)),"","1-3 MIN"))</f>
        <v/>
      </c>
      <c r="L33" s="66" t="str">
        <f>IF('WEEK 17'!I33='WEEK 11'!I33,'WEEK 11'!M33,"")</f>
        <v/>
      </c>
      <c r="M33" s="270"/>
      <c r="N33" s="141"/>
      <c r="O33" s="269" t="str">
        <f>IF('WEEK 17'!T28&lt;4,"",IF(OR(ISBLANK('WEEK 17'!T26),ISBLANK('WEEK 17'!T25),ISBLANK('WEEK 17'!T24)),"",IF('WEEK 17'!T28&gt;3,7,"")))</f>
        <v/>
      </c>
      <c r="P33" s="254" t="str">
        <f>IF('WEEK 17'!T28&lt;4,"",IF(OR(ISBLANK('WEEK 17'!T26),ISBLANK('WEEK 17'!T25),ISBLANK('WEEK 17'!T24)),"",IF('WEEK 17'!T28&lt;6,mround('WEEK 17'!P34*0.65,5),IF('WEEK 17'!T28&lt;10,mround('WEEK 17'!P34*0.7,5),mround(P34*0.75,5)))))</f>
        <v/>
      </c>
      <c r="Q33" s="253" t="str">
        <f>IF('WEEK 17'!T28&lt;4,"",IF(OR(ISBLANK('WEEK 17'!T26),ISBLANK('WEEK 17'!T25),ISBLANK('WEEK 17'!T24)),"","REP OUT"))</f>
        <v/>
      </c>
      <c r="R33" s="65" t="str">
        <f>IF('WEEK 17'!T28&lt;4,"",IF(OR(ISBLANK('WEEK 17'!T26),ISBLANK('WEEK 17'!T25),ISBLANK('WEEK 17'!T24)),"","1-3 MIN"))</f>
        <v/>
      </c>
      <c r="S33" s="66" t="str">
        <f>IF('WEEK 17'!P33='WEEK 11'!P33,'WEEK 11'!T33,"")</f>
        <v/>
      </c>
      <c r="T33" s="263"/>
    </row>
    <row r="34">
      <c r="H34" s="280" t="s">
        <v>124</v>
      </c>
      <c r="I34" s="273" t="str">
        <f>IF(OR(ISBLANK('WEEK 17'!M24),ISBLANK('WEEK 17'!M25),ISBLANK('WEEK 17'!M26)),"",IF('WEEK 17'!M28&gt;=4,'WEEK 17'!I28,IF('WEEK 17'!M26&lt;=3,'WEEK 17'!I26-5,'WEEK 17'!I26)))</f>
        <v/>
      </c>
      <c r="J34" s="11"/>
      <c r="K34" s="11"/>
      <c r="L34" s="11"/>
      <c r="M34" s="46"/>
      <c r="N34" s="141"/>
      <c r="O34" s="280" t="s">
        <v>124</v>
      </c>
      <c r="P34" s="273" t="str">
        <f>IF(OR(ISBLANK('WEEK 17'!T24),ISBLANK('WEEK 17'!T25),ISBLANK('WEEK 17'!T26)),"",IF('WEEK 17'!T28&gt;=4,'WEEK 17'!P28,IF('WEEK 17'!T26&lt;=3,'WEEK 17'!P26-5,'WEEK 17'!P26)))</f>
        <v/>
      </c>
      <c r="Q34" s="11"/>
      <c r="R34" s="11"/>
      <c r="S34" s="11"/>
      <c r="T34" s="46"/>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228</v>
      </c>
      <c r="B38" s="548" t="str">
        <f>IF('WEEK 17'!I34="",'WEEK 15'!B34,'WEEK 17'!I34)</f>
        <v/>
      </c>
      <c r="C38" s="13"/>
      <c r="D38" s="13"/>
      <c r="E38" s="13"/>
      <c r="F38" s="57"/>
      <c r="H38" s="226" t="s">
        <v>228</v>
      </c>
      <c r="I38" s="548" t="str">
        <f>'WEEK 17'!B38</f>
        <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14'!B38*0.29,2.5)</f>
        <v>0</v>
      </c>
      <c r="C40" s="241">
        <v>15.0</v>
      </c>
      <c r="D40" s="83" t="s">
        <v>127</v>
      </c>
      <c r="E40" s="84" t="str">
        <f>IF('WEEK 16'!B35='WEEK 17'!B40,'WEEK 16'!F35,"")</f>
        <v/>
      </c>
      <c r="F40" s="85"/>
      <c r="H40" s="240">
        <v>1.0</v>
      </c>
      <c r="I40" s="254">
        <f>mround('WEEK 17'!I38*2*0.75,10)</f>
        <v>0</v>
      </c>
      <c r="J40" s="241">
        <v>15.0</v>
      </c>
      <c r="K40" s="83" t="s">
        <v>127</v>
      </c>
      <c r="L40" s="84" t="str">
        <f>IF('WEEK 16'!I35='WEEK 17'!I40,'WEEK 16'!M35,"")</f>
        <v/>
      </c>
      <c r="M40" s="85"/>
    </row>
    <row r="41">
      <c r="A41" s="661">
        <v>2.0</v>
      </c>
      <c r="B41" s="662">
        <f>mround('WEEK 17'!B38*0.29,2.5)</f>
        <v>0</v>
      </c>
      <c r="C41" s="662">
        <v>15.0</v>
      </c>
      <c r="D41" s="88" t="s">
        <v>127</v>
      </c>
      <c r="E41" s="84" t="str">
        <f>IF('WEEK 16'!B36='WEEK 17'!B41,'WEEK 16'!F36,"")</f>
        <v>#REF!</v>
      </c>
      <c r="F41" s="85"/>
      <c r="H41" s="661">
        <v>2.0</v>
      </c>
      <c r="I41" s="662">
        <f>mround('WEEK 17'!I38*2*0.75,10)</f>
        <v>0</v>
      </c>
      <c r="J41" s="662">
        <v>15.0</v>
      </c>
      <c r="K41" s="88" t="s">
        <v>127</v>
      </c>
      <c r="L41" s="84" t="str">
        <f>IF('WEEK 16'!I36='WEEK 17'!I41,'WEEK 16'!M36,"")</f>
        <v/>
      </c>
      <c r="M41" s="85"/>
    </row>
    <row r="44">
      <c r="A44" s="73" t="str">
        <f>HYPERLINK("https://www.youtube.com/watch?v=PnaDzYh2axA","3. LAT PULL DOWN")</f>
        <v>3. LAT PULL DOWN</v>
      </c>
      <c r="B44" s="53"/>
      <c r="C44" s="53"/>
      <c r="D44" s="53"/>
      <c r="E44" s="53"/>
      <c r="F44" s="54"/>
    </row>
    <row r="45">
      <c r="A45" s="226" t="s">
        <v>119</v>
      </c>
      <c r="B45" s="227" t="str">
        <f>'WEEK 16'!B40</f>
        <v/>
      </c>
      <c r="C45" s="20"/>
      <c r="D45" s="20"/>
      <c r="E45" s="20"/>
      <c r="F45" s="95"/>
    </row>
    <row r="46">
      <c r="A46" s="231" t="s">
        <v>50</v>
      </c>
      <c r="B46" s="232" t="s">
        <v>51</v>
      </c>
      <c r="C46" s="232" t="s">
        <v>52</v>
      </c>
      <c r="D46" s="232" t="s">
        <v>53</v>
      </c>
      <c r="E46" s="233" t="s">
        <v>54</v>
      </c>
      <c r="F46" s="61" t="s">
        <v>55</v>
      </c>
    </row>
    <row r="47">
      <c r="A47" s="236">
        <v>1.0</v>
      </c>
      <c r="B47" s="237">
        <f>mround('WEEK 17'!B45*0.35,5)</f>
        <v>0</v>
      </c>
      <c r="C47" s="238">
        <v>6.0</v>
      </c>
      <c r="D47" s="238" t="s">
        <v>120</v>
      </c>
      <c r="E47" s="84" t="str">
        <f>IF('WEEK 13'!B42='WEEK 17'!B47,'WEEK 13'!F42,"")</f>
        <v/>
      </c>
      <c r="F47" s="67"/>
    </row>
    <row r="48">
      <c r="A48" s="236">
        <v>2.0</v>
      </c>
      <c r="B48" s="237">
        <f>mround('WEEK 17'!B45*0.65,5)</f>
        <v>0</v>
      </c>
      <c r="C48" s="238">
        <v>3.0</v>
      </c>
      <c r="D48" s="238" t="s">
        <v>121</v>
      </c>
      <c r="E48" s="84" t="str">
        <f>IF('WEEK 13'!B43='WEEK 17'!B48,'WEEK 13'!F43,"")</f>
        <v/>
      </c>
      <c r="F48" s="67"/>
    </row>
    <row r="49">
      <c r="A49" s="242">
        <v>3.0</v>
      </c>
      <c r="B49" s="237">
        <f>mround('WEEK 17'!B45*0.9,5)</f>
        <v>0</v>
      </c>
      <c r="C49" s="63">
        <v>2.0</v>
      </c>
      <c r="D49" s="238" t="s">
        <v>121</v>
      </c>
      <c r="E49" s="84" t="str">
        <f>IF('WEEK 13'!B44='WEEK 17'!B49,'WEEK 13'!F44,"")</f>
        <v/>
      </c>
      <c r="F49" s="67"/>
    </row>
    <row r="50">
      <c r="A50" s="243">
        <v>4.0</v>
      </c>
      <c r="B50" s="237" t="str">
        <f>'WEEK 17'!B45</f>
        <v/>
      </c>
      <c r="C50" s="257">
        <v>3.0</v>
      </c>
      <c r="D50" s="238" t="s">
        <v>122</v>
      </c>
      <c r="E50" s="84" t="str">
        <f>IF('WEEK 13'!B45='WEEK 17'!B50,'WEEK 13'!F45,"")</f>
        <v/>
      </c>
      <c r="F50" s="67"/>
    </row>
    <row r="51">
      <c r="A51" s="246" t="str">
        <f>IF('WEEK 17'!F50&lt;3,"PROCEED TO DOWN SETS","NEW 4 REP MAX ATTEMPT")</f>
        <v>PROCEED TO DOWN SETS</v>
      </c>
      <c r="B51" s="20"/>
      <c r="C51" s="20"/>
      <c r="D51" s="20"/>
      <c r="E51" s="20"/>
      <c r="F51" s="95"/>
    </row>
    <row r="52">
      <c r="A52" s="249" t="str">
        <f>if('WEEK 17'!F50&lt;=2,"",5)</f>
        <v/>
      </c>
      <c r="B52" s="175" t="str">
        <f>IF('WEEK 17'!F50&lt;=2,"",B50+5)</f>
        <v/>
      </c>
      <c r="C52" s="238" t="str">
        <f>if('WEEK 17'!F50&lt;=2,"",4)</f>
        <v/>
      </c>
      <c r="D52" s="238" t="str">
        <f>if('WEEK 17'!F50&lt;=2,"","1-5 MIN")</f>
        <v/>
      </c>
      <c r="E52" s="84" t="str">
        <f>IF('WEEK 13'!B47='WEEK 17'!B52,'WEEK 13'!F47,"")</f>
        <v/>
      </c>
      <c r="F52" s="67"/>
    </row>
    <row r="53">
      <c r="A53" s="256" t="str">
        <f>IF('WEEK 17'!F52&lt;4,"","6")</f>
        <v/>
      </c>
      <c r="B53" s="237" t="str">
        <f>IF('WEEK 17'!F52&lt;4,"",B52+5)</f>
        <v/>
      </c>
      <c r="C53" s="257" t="str">
        <f>IF('WEEK 17'!F52&lt;4,"","4")</f>
        <v/>
      </c>
      <c r="D53" s="257" t="str">
        <f>IF('WEEK 17'!F52&lt;4,"","1-5 MIN")</f>
        <v/>
      </c>
      <c r="E53" s="84" t="str">
        <f>IF('WEEK 13'!B48='WEEK 17'!B53,'WEEK 13'!F48,"")</f>
        <v/>
      </c>
      <c r="F53" s="67"/>
    </row>
    <row r="54">
      <c r="A54" s="246" t="str">
        <f>IF(OR(ISBLANK('WEEK 17'!F50),ISBLANK('WEEK 17'!F49),ISBLANK('WEEK 17'!F48)),"FILL OUT REP LOG FOR DOWN SETS","DOWN SETS")</f>
        <v>FILL OUT REP LOG FOR DOWN SETS</v>
      </c>
      <c r="B54" s="20"/>
      <c r="C54" s="20"/>
      <c r="D54" s="20"/>
      <c r="E54" s="20"/>
      <c r="F54" s="95"/>
    </row>
    <row r="55">
      <c r="A55" s="264" t="str">
        <f>IF(OR(ISBLANK('WEEK 17'!F50),ISBLANK('WEEK 17'!F49),ISBLANK('WEEK 17'!F48)),"",IF((AND(A52="",A53="")),5,IF((AND(A52&gt;1,A53="")),6,7)))</f>
        <v/>
      </c>
      <c r="B55" s="265">
        <f>MROUND('WEEK 17'!B57*0.8,5)</f>
        <v>0</v>
      </c>
      <c r="C55" s="266" t="s">
        <v>65</v>
      </c>
      <c r="D55" s="267" t="s">
        <v>127</v>
      </c>
      <c r="E55" s="84" t="str">
        <f>IF('WEEK 13'!B50='WEEK 17'!B55,'WEEK 13'!F50,"")</f>
        <v/>
      </c>
      <c r="F55" s="67"/>
    </row>
    <row r="56">
      <c r="A56" s="243" t="str">
        <f>IF(OR(ISBLANK('WEEK 17'!F50),ISBLANK('WEEK 17'!F49),ISBLANK('WEEK 17'!F48)),"",IF((AND(A52="",A53="")),6,IF((AND(A52&gt;1,A53="")),7,8)))</f>
        <v/>
      </c>
      <c r="B56" s="237">
        <f>mround('WEEK 17'!B57*0.7,5)</f>
        <v>0</v>
      </c>
      <c r="C56" s="245" t="s">
        <v>65</v>
      </c>
      <c r="D56" s="65" t="s">
        <v>127</v>
      </c>
      <c r="E56" s="84" t="str">
        <f>IF('WEEK 13'!B51='WEEK 17'!B56,'WEEK 13'!F51,"")</f>
        <v/>
      </c>
      <c r="F56" s="271"/>
    </row>
    <row r="57">
      <c r="A57" s="272" t="s">
        <v>124</v>
      </c>
      <c r="B57" s="273" t="str">
        <f>IF(OR(ISBLANK('WEEK 17'!F50),ISBLANK('WEEK 17'!F49),ISBLANK('WEEK 17'!F48)),"",IF('WEEK 17'!F53&gt;=4,'WEEK 17'!B53,IF('WEEK 17'!F52&gt;=1,'WEEK 17'!B52,IF('WEEK 17'!F50&lt;3,'WEEK 17'!B50-5,'WEEK 17'!B50))))</f>
        <v/>
      </c>
      <c r="C57" s="11"/>
      <c r="D57" s="11"/>
      <c r="E57" s="11"/>
      <c r="F57" s="46"/>
    </row>
    <row r="58">
      <c r="A58" s="302"/>
      <c r="B58" s="302"/>
      <c r="C58" s="302"/>
      <c r="D58" s="302"/>
      <c r="E58" s="303"/>
      <c r="F58" s="103"/>
    </row>
    <row r="59">
      <c r="A59" s="302"/>
      <c r="B59" s="302"/>
      <c r="C59" s="302"/>
      <c r="D59" s="302"/>
      <c r="E59" s="303"/>
      <c r="F59" s="103"/>
    </row>
    <row r="60">
      <c r="A60" s="73" t="str">
        <f>HYPERLINK("https://www.youtube.com/watch?v=9YH1YvZbiY0","4. MACHINE LOW ROW")</f>
        <v>4. MACHINE LOW ROW</v>
      </c>
      <c r="B60" s="53"/>
      <c r="C60" s="53"/>
      <c r="D60" s="53"/>
      <c r="E60" s="53"/>
      <c r="F60" s="54"/>
    </row>
    <row r="61">
      <c r="A61" s="282" t="s">
        <v>119</v>
      </c>
      <c r="B61" s="56">
        <f>'WEEK 16'!B48</f>
        <v>265</v>
      </c>
      <c r="C61" s="13"/>
      <c r="D61" s="13"/>
      <c r="E61" s="13"/>
      <c r="F61" s="57"/>
    </row>
    <row r="62">
      <c r="A62" s="58" t="s">
        <v>50</v>
      </c>
      <c r="B62" s="59" t="s">
        <v>51</v>
      </c>
      <c r="C62" s="59" t="s">
        <v>52</v>
      </c>
      <c r="D62" s="59" t="s">
        <v>53</v>
      </c>
      <c r="E62" s="60" t="s">
        <v>54</v>
      </c>
      <c r="F62" s="61" t="s">
        <v>55</v>
      </c>
    </row>
    <row r="63">
      <c r="A63" s="62">
        <v>1.0</v>
      </c>
      <c r="B63" s="63">
        <f> mround('WEEK 17'!B61*0.85,5)</f>
        <v>225</v>
      </c>
      <c r="C63" s="104" t="s">
        <v>65</v>
      </c>
      <c r="D63" s="65" t="s">
        <v>57</v>
      </c>
      <c r="E63" s="84" t="str">
        <f>IF('WEEK 13'!B58='WEEK 17'!B63,'WEEK 13'!F58,"")</f>
        <v/>
      </c>
      <c r="F63" s="67"/>
    </row>
    <row r="64">
      <c r="A64" s="62">
        <v>2.0</v>
      </c>
      <c r="B64" s="63">
        <f>IF('WEEK 17'!F63&lt;6,MROUND('WEEK 17'!B63*0.87,5),IF('WEEK 17'!F63&lt;=11,MROUND('WEEK 17'!B63*0.95,5),'WEEK 17'!B63))</f>
        <v>195</v>
      </c>
      <c r="C64" s="104" t="s">
        <v>65</v>
      </c>
      <c r="D64" s="65" t="s">
        <v>57</v>
      </c>
      <c r="E64" s="84" t="str">
        <f>IF('WEEK 13'!B59='WEEK 17'!B64,'WEEK 13'!F59,"")</f>
        <v/>
      </c>
      <c r="F64" s="67"/>
    </row>
    <row r="65">
      <c r="A65" s="68">
        <v>3.0</v>
      </c>
      <c r="B65" s="69">
        <f>IF('WEEK 17'!F64&lt;6,MROUND('WEEK 17'!B64*0.87,5),IF('WEEK 17'!F64&lt;=11,MROUND('WEEK 17'!B64*0.95,5),'WEEK 17'!B64))</f>
        <v>170</v>
      </c>
      <c r="C65" s="105" t="s">
        <v>65</v>
      </c>
      <c r="D65" s="71" t="s">
        <v>57</v>
      </c>
      <c r="E65" s="84" t="str">
        <f>IF('WEEK 13'!B60='WEEK 17'!B65,'WEEK 13'!F60,"")</f>
        <v/>
      </c>
      <c r="F65" s="67"/>
    </row>
    <row r="66">
      <c r="A66" s="103"/>
      <c r="B66" s="103"/>
      <c r="C66" s="103"/>
      <c r="D66" s="103"/>
      <c r="E66" s="222"/>
      <c r="F66" s="103"/>
    </row>
    <row r="67">
      <c r="A67" s="103"/>
      <c r="B67" s="103"/>
      <c r="C67" s="103"/>
      <c r="D67" s="103"/>
      <c r="E67" s="222"/>
      <c r="F67" s="103"/>
    </row>
    <row r="68">
      <c r="A68" s="73" t="str">
        <f>HYPERLINK("https://youtu.be/5-SUS-OVULY","5. MACHINE HIGH ROW")</f>
        <v>5. MACHINE HIGH ROW</v>
      </c>
      <c r="B68" s="53"/>
      <c r="C68" s="53"/>
      <c r="D68" s="53"/>
      <c r="E68" s="53"/>
      <c r="F68" s="54"/>
    </row>
    <row r="69">
      <c r="A69" s="282" t="s">
        <v>119</v>
      </c>
      <c r="B69" s="56" t="str">
        <f>'WEEK 16'!B55</f>
        <v/>
      </c>
      <c r="C69" s="13"/>
      <c r="D69" s="13"/>
      <c r="E69" s="13"/>
      <c r="F69" s="57"/>
    </row>
    <row r="70">
      <c r="A70" s="58" t="s">
        <v>50</v>
      </c>
      <c r="B70" s="59" t="s">
        <v>51</v>
      </c>
      <c r="C70" s="59" t="s">
        <v>52</v>
      </c>
      <c r="D70" s="59" t="s">
        <v>53</v>
      </c>
      <c r="E70" s="60" t="s">
        <v>54</v>
      </c>
      <c r="F70" s="61" t="s">
        <v>55</v>
      </c>
    </row>
    <row r="71">
      <c r="A71" s="62">
        <v>1.0</v>
      </c>
      <c r="B71" s="63">
        <f> mround('WEEK 17'!B69*0.8,5)</f>
        <v>0</v>
      </c>
      <c r="C71" s="104" t="s">
        <v>65</v>
      </c>
      <c r="D71" s="65" t="s">
        <v>57</v>
      </c>
      <c r="E71" s="84" t="str">
        <f>IF('WEEK 13'!B66='WEEK 17'!B71,'WEEK 13'!F66,"")</f>
        <v/>
      </c>
      <c r="F71" s="67"/>
    </row>
    <row r="72">
      <c r="A72" s="62">
        <v>2.0</v>
      </c>
      <c r="B72" s="63">
        <f>IF('WEEK 17'!F71&lt;6,MROUND('WEEK 17'!B69*0.7,5),IF('WEEK 17'!F71&lt;=11,MROUND('WEEK 17'!B69*0.75,5),'WEEK 17'!B71))</f>
        <v>0</v>
      </c>
      <c r="C72" s="104" t="s">
        <v>65</v>
      </c>
      <c r="D72" s="65" t="s">
        <v>57</v>
      </c>
      <c r="E72" s="84" t="str">
        <f>IF('WEEK 13'!B67='WEEK 17'!B72,'WEEK 13'!F67,"")</f>
        <v/>
      </c>
      <c r="F72" s="67"/>
    </row>
    <row r="73">
      <c r="A73" s="68">
        <v>3.0</v>
      </c>
      <c r="B73" s="87">
        <f>IF('WEEK 17'!F72&lt;6,MROUND('WEEK 17'!B72*0.8,5),IF('WEEK 17'!F72&lt;=11,MROUND('WEEK 17'!B69*0.85,5),'WEEK 17'!B72))</f>
        <v>0</v>
      </c>
      <c r="C73" s="105" t="s">
        <v>65</v>
      </c>
      <c r="D73" s="309" t="s">
        <v>57</v>
      </c>
      <c r="E73" s="84" t="str">
        <f>IF('WEEK 13'!B68='WEEK 17'!B73,'WEEK 13'!F68,"")</f>
        <v/>
      </c>
      <c r="F73" s="67"/>
    </row>
    <row r="74">
      <c r="A74" s="103"/>
      <c r="B74" s="103"/>
      <c r="C74" s="103"/>
      <c r="D74" s="103"/>
      <c r="E74" s="222"/>
      <c r="F74" s="103"/>
    </row>
    <row r="75">
      <c r="A75" s="310" t="str">
        <f>HYPERLINK("https://docs.google.com/a/fitnessresults.com/forms/d/e/1FAIpQLSd7MoczESe8Yjv6BKpmwAZGn9Aiymrs9-UdgfYIUpbr9t5NXg/viewform?usp=pp_url&amp;entry.93370101","CLICK TO COMPLETE WORKOUT")</f>
        <v>CLICK TO COMPLETE WORKOUT</v>
      </c>
      <c r="B75" s="36"/>
      <c r="C75" s="36"/>
      <c r="D75" s="36"/>
      <c r="E75" s="36"/>
      <c r="F75" s="37"/>
    </row>
    <row r="77">
      <c r="A77" s="224" t="s">
        <v>128</v>
      </c>
      <c r="B77" s="36"/>
      <c r="C77" s="36"/>
      <c r="D77" s="36"/>
      <c r="E77" s="36"/>
      <c r="F77" s="37"/>
    </row>
    <row r="80">
      <c r="A80" s="1355" t="str">
        <f>HYPERLINK("https://www.youtube.com/watch?v=5UOeRbRoFOI","1. MACHINE SQUAT")</f>
        <v>1. MACHINE SQUAT</v>
      </c>
      <c r="B80" s="53"/>
      <c r="C80" s="53"/>
      <c r="D80" s="53"/>
      <c r="E80" s="53"/>
      <c r="F80" s="54"/>
    </row>
    <row r="81">
      <c r="A81" s="1262" t="s">
        <v>232</v>
      </c>
      <c r="B81" s="1463">
        <f>'WEEK 13'!B88</f>
        <v>105</v>
      </c>
      <c r="F81" s="28"/>
    </row>
    <row r="82">
      <c r="A82" s="231" t="s">
        <v>50</v>
      </c>
      <c r="B82" s="232" t="s">
        <v>51</v>
      </c>
      <c r="C82" s="232" t="s">
        <v>52</v>
      </c>
      <c r="D82" s="232" t="s">
        <v>53</v>
      </c>
      <c r="E82" s="233" t="s">
        <v>54</v>
      </c>
      <c r="F82" s="61" t="s">
        <v>55</v>
      </c>
    </row>
    <row r="83">
      <c r="A83" s="236">
        <v>1.0</v>
      </c>
      <c r="B83" s="237">
        <f>mround('WEEK 17'!B81*0.35,5)</f>
        <v>35</v>
      </c>
      <c r="C83" s="238">
        <v>10.0</v>
      </c>
      <c r="D83" s="238" t="s">
        <v>120</v>
      </c>
      <c r="E83" s="66" t="str">
        <f>IF('WEEK 13'!B79='WEEK 17'!I53,'WEEK 13'!M79,"")</f>
        <v/>
      </c>
      <c r="F83" s="67"/>
    </row>
    <row r="84">
      <c r="A84" s="236">
        <v>2.0</v>
      </c>
      <c r="B84" s="237">
        <f>mround('WEEK 17'!B81*0.65,5)</f>
        <v>70</v>
      </c>
      <c r="C84" s="238">
        <v>10.0</v>
      </c>
      <c r="D84" s="238" t="s">
        <v>121</v>
      </c>
      <c r="E84" s="66" t="str">
        <f>IF('WEEK 13'!B80='WEEK 17'!I54,'WEEK 13'!M80,"")</f>
        <v/>
      </c>
      <c r="F84" s="67"/>
    </row>
    <row r="85">
      <c r="A85" s="242">
        <v>3.0</v>
      </c>
      <c r="B85" s="237">
        <f>mround('WEEK 17'!B81*0.9,5)</f>
        <v>95</v>
      </c>
      <c r="C85" s="238">
        <v>10.0</v>
      </c>
      <c r="D85" s="238" t="s">
        <v>121</v>
      </c>
      <c r="E85" s="66" t="str">
        <f>IF('WEEK 13'!B81='WEEK 17'!I55,'WEEK 13'!M81,"")</f>
        <v/>
      </c>
      <c r="F85" s="67"/>
    </row>
    <row r="86">
      <c r="A86" s="249">
        <v>4.0</v>
      </c>
      <c r="B86" s="175">
        <f>if('WEEK 17'!F85&lt;5,MROUND('WEEK 17'!B85-('WEEK 17'!B85*20%),5),'WEEK 17'!B81)</f>
        <v>75</v>
      </c>
      <c r="C86" s="238">
        <v>10.0</v>
      </c>
      <c r="D86" s="238" t="s">
        <v>122</v>
      </c>
      <c r="E86" s="66" t="str">
        <f>IF('WEEK 13'!B82='WEEK 17'!I56,'WEEK 13'!M82,"")</f>
        <v/>
      </c>
      <c r="F86" s="67"/>
    </row>
    <row r="87">
      <c r="A87" s="249">
        <v>5.0</v>
      </c>
      <c r="B87" s="175">
        <f>IF((AND('WEEK 17'!B86&lt;='WEEK 17'!B85,'WEEK 17'!F86&gt;=5)),'WEEK 17'!B86,IF('WEEK 17'!F86&lt;5,MROUND('WEEK 17'!B86-('WEEK 17'!B86*20%),5),if( 'WEEK 17'!F86&lt;5,MROUND('WEEK 17'!B86-('WEEK 17'!B86*10%),5),MROUND('WEEK 17'!B86+('WEEK 17'!B86*10%),5))))</f>
        <v>60</v>
      </c>
      <c r="C87" s="238">
        <v>10.0</v>
      </c>
      <c r="D87" s="238" t="s">
        <v>122</v>
      </c>
      <c r="E87" s="66" t="str">
        <f>IF('WEEK 13'!B83='WEEK 17'!I57,'WEEK 13'!M83,"")</f>
        <v/>
      </c>
      <c r="F87" s="1037"/>
    </row>
    <row r="88">
      <c r="A88" s="249">
        <f>if('WEEK 17'!F86&lt;5,6,6)</f>
        <v>6</v>
      </c>
      <c r="B88" s="175">
        <f>IF((AND('WEEK 17'!B87&lt;='WEEK 17'!B86,'WEEK 17'!F87&gt;=5)),'WEEK 17'!B87,IF('WEEK 17'!F87&lt;5,MROUND('WEEK 17'!B87-('WEEK 17'!B87*20%),5),if( 'WEEK 17'!F87&lt;5,MROUND('WEEK 17'!B87-('WEEK 17'!B87*10%),5),MROUND('WEEK 17'!B87+('WEEK 17'!B87*10%),5))))</f>
        <v>50</v>
      </c>
      <c r="C88" s="238">
        <v>10.0</v>
      </c>
      <c r="D88" s="238" t="s">
        <v>122</v>
      </c>
      <c r="E88" s="66" t="str">
        <f>IF('WEEK 13'!B84='WEEK 17'!I58,'WEEK 13'!M84,"")</f>
        <v/>
      </c>
      <c r="F88" s="67"/>
    </row>
    <row r="89">
      <c r="A89" s="1038">
        <f>IF('WEEK 17'!F88&lt;5,7,"7")</f>
        <v>7</v>
      </c>
      <c r="B89" s="175">
        <f>IF((AND('WEEK 17'!B88&lt;='WEEK 17'!B87,'WEEK 17'!F88&gt;=5)),'WEEK 17'!B88,IF('WEEK 17'!F88&lt;5,MROUND('WEEK 17'!B88-('WEEK 17'!B88*20%),5),if( 'WEEK 17'!F88&lt;5,MROUND('WEEK 17'!B88-('WEEK 17'!B88*10%),5),MROUND('WEEK 17'!B88+('WEEK 17'!B88*10%),5))))</f>
        <v>40</v>
      </c>
      <c r="C89" s="238">
        <v>10.0</v>
      </c>
      <c r="D89" s="238" t="s">
        <v>122</v>
      </c>
      <c r="E89" s="66" t="str">
        <f>IF('WEEK 13'!B85='WEEK 17'!I59,'WEEK 13'!M85,"")</f>
        <v/>
      </c>
      <c r="F89" s="67"/>
    </row>
    <row r="90">
      <c r="A90" s="249">
        <f>IF('WEEK 17'!F89&lt;5,8,"8")</f>
        <v>8</v>
      </c>
      <c r="B90" s="175">
        <f>IF((AND('WEEK 17'!B89&lt;='WEEK 17'!B88,'WEEK 17'!F89&gt;=5)),'WEEK 17'!B89,IF('WEEK 17'!F89&lt;5,MROUND('WEEK 17'!B89-('WEEK 17'!B89*20%),5),if( 'WEEK 17'!F89&lt;5,MROUND('WEEK 17'!B89-('WEEK 17'!B89*10%),5),MROUND('WEEK 17'!B89+('WEEK 17'!B89*10%),5))))</f>
        <v>30</v>
      </c>
      <c r="C90" s="238">
        <v>10.0</v>
      </c>
      <c r="D90" s="238" t="s">
        <v>122</v>
      </c>
      <c r="E90" s="66" t="str">
        <f>IF('WEEK 13'!B86='WEEK 17'!I60,'WEEK 13'!M86,"")</f>
        <v/>
      </c>
      <c r="F90" s="67"/>
    </row>
    <row r="91">
      <c r="A91" s="1038">
        <f>IF('WEEK 17'!F90&lt;5,9,"9")</f>
        <v>9</v>
      </c>
      <c r="B91" s="175">
        <f>IF((AND('WEEK 17'!B90&lt;='WEEK 17'!B89,'WEEK 17'!F90&gt;=5)),'WEEK 17'!B90,IF('WEEK 17'!F90&lt;5,MROUND('WEEK 17'!B90-('WEEK 17'!B90*20%),5),if( 'WEEK 17'!F90&lt;5,MROUND('WEEK 17'!B90-('WEEK 17'!B90*10%),5),MROUND('WEEK 17'!B90+('WEEK 17'!B90*10%),5))))</f>
        <v>25</v>
      </c>
      <c r="C91" s="238">
        <v>10.0</v>
      </c>
      <c r="D91" s="238" t="s">
        <v>122</v>
      </c>
      <c r="E91" s="66" t="str">
        <f>IF('WEEK 13'!B87='WEEK 17'!I61,'WEEK 13'!M87,"")</f>
        <v/>
      </c>
      <c r="F91" s="67"/>
    </row>
    <row r="92">
      <c r="A92" s="1038" t="str">
        <f>IF('WEEK 17'!F91&lt;5,"10","10")</f>
        <v>10</v>
      </c>
      <c r="B92" s="175">
        <f>IF((AND('WEEK 17'!B91&lt;='WEEK 17'!B90,'WEEK 17'!F91&gt;=5)),'WEEK 17'!B91,IF('WEEK 17'!F91&lt;5,MROUND('WEEK 17'!B91-('WEEK 17'!B91*20%),5),if( 'WEEK 17'!F91&lt;5,MROUND('WEEK 17'!B91-('WEEK 17'!B91*10%),5),MROUND('WEEK 17'!B91+('WEEK 17'!B91*10%),5))))</f>
        <v>20</v>
      </c>
      <c r="C92" s="238">
        <v>10.0</v>
      </c>
      <c r="D92" s="238" t="s">
        <v>122</v>
      </c>
      <c r="E92" s="66" t="str">
        <f>IF('WEEK 13'!B88='WEEK 17'!I62,'WEEK 13'!M88,"")</f>
        <v/>
      </c>
      <c r="F92" s="67"/>
    </row>
    <row r="93">
      <c r="A93" s="272" t="s">
        <v>262</v>
      </c>
      <c r="B93" s="1039">
        <f>IF(OR(ISBLANK('WEEK 17'!F83),ISBLANK('WEEK 17'!F84)),'WEEK 17'!B81,IF((AND('WEEK 17'!F92&gt;=5,'WEEK 17'!B92&gt;'WEEK 17'!B91)),'WEEK 17'!B92,IF((AND('WEEK 17'!F91&gt;=5,'WEEK 17'!B91&gt;'WEEK 17'!B90)),'WEEK 17'!B91,IF((AND('WEEK 17'!F90&gt;=5,'WEEK 17'!B90&gt;'WEEK 17'!B89)),'WEEK 17'!B90,IF((AND('WEEK 17'!F89&gt;=5,'WEEK 17'!B89&gt;'WEEK 17'!B88)),'WEEK 17'!B89,IF((AND('WEEK 17'!F88&gt;=5,'WEEK 17'!B88&gt;'WEEK 17'!B87)),'WEEK 17'!B88,IF((AND('WEEK 17'!F87&gt;=5,'WEEK 17'!B87&gt;'WEEK 17'!B86)),'WEEK 17'!B87,IF((AND('WEEK 17'!F86&gt;=5,'WEEK 17'!B86&gt;'WEEK 17'!B85)),'WEEK 17'!B86,IF((AND('WEEK 17'!F85&gt;=5,'WEEK 17'!B85&gt;'WEEK 17'!B84)),'WEEK 17'!B85,IF((AND('WEEK 17'!F84&gt;=5,'WEEK 17'!B84&gt;'WEEK 17'!B83)),'WEEK 17'!B84))))))))))</f>
        <v>105</v>
      </c>
      <c r="C93" s="11"/>
      <c r="D93" s="11"/>
      <c r="E93" s="11"/>
      <c r="F93" s="46"/>
    </row>
    <row r="96">
      <c r="A96" s="1285" t="str">
        <f>HYPERLINK("https://www.youtube.com/watch?v=NZ9KiFtbiMs","2. LEG EXTENSION")</f>
        <v>2. LEG EXTENSION</v>
      </c>
      <c r="B96" s="53"/>
      <c r="C96" s="53"/>
      <c r="D96" s="53"/>
      <c r="E96" s="53"/>
      <c r="F96" s="54"/>
    </row>
    <row r="97">
      <c r="A97" s="1045" t="s">
        <v>119</v>
      </c>
      <c r="B97" s="1367">
        <f>IF('WEEK 16'!B84='WEEK 16'!B86,'WEEK 14'!B92+5,IF('WEEK 16'!F84&lt;=9,MROUND('WEEK 16'!B82*0.95,5),'WEEK 16'!B84))</f>
        <v>50</v>
      </c>
      <c r="C97" s="20"/>
      <c r="D97" s="20"/>
      <c r="E97" s="20"/>
      <c r="F97" s="95"/>
    </row>
    <row r="98">
      <c r="A98" s="567" t="s">
        <v>50</v>
      </c>
      <c r="B98" s="568" t="s">
        <v>51</v>
      </c>
      <c r="C98" s="568" t="s">
        <v>52</v>
      </c>
      <c r="D98" s="568" t="s">
        <v>53</v>
      </c>
      <c r="E98" s="1047" t="s">
        <v>54</v>
      </c>
      <c r="F98" s="1048" t="s">
        <v>55</v>
      </c>
    </row>
    <row r="99">
      <c r="A99" s="1049">
        <v>1.0</v>
      </c>
      <c r="B99" s="1050">
        <f>'WEEK 17'!B97</f>
        <v>50</v>
      </c>
      <c r="C99" s="1051" t="s">
        <v>61</v>
      </c>
      <c r="D99" s="1430" t="s">
        <v>121</v>
      </c>
      <c r="E99" s="1130" t="str">
        <f>IF('WEEK 16'!B84='WEEK 17'!B99,'WEEK 16'!F84,"")</f>
        <v/>
      </c>
      <c r="F99" s="1017"/>
    </row>
    <row r="100">
      <c r="A100" s="1049">
        <v>2.0</v>
      </c>
      <c r="B100" s="1050">
        <f>if('WEEK 17'!F99&lt;12,mround('WEEK 17'!B99*0.8,5),IF('WEEK 17'!F99&lt;=14,MROUND('WEEK 17'!B99*0.95,5),'WEEK 17'!B99))</f>
        <v>40</v>
      </c>
      <c r="C100" s="1051" t="s">
        <v>61</v>
      </c>
      <c r="D100" s="1430" t="s">
        <v>121</v>
      </c>
      <c r="E100" s="1130" t="str">
        <f>IF('WEEK 16'!B85='WEEK 17'!B100,'WEEK 16'!F85,"")</f>
        <v/>
      </c>
      <c r="F100" s="1017"/>
    </row>
    <row r="101">
      <c r="A101" s="1053">
        <v>3.0</v>
      </c>
      <c r="B101" s="1054">
        <f>if('WEEK 17'!F100&lt;12,mround('WEEK 17'!B100*0.8,5),IF('WEEK 17'!F100&lt;=14,MROUND('WEEK 17'!B100*0.95,5),'WEEK 17'!B100))</f>
        <v>30</v>
      </c>
      <c r="C101" s="1055" t="s">
        <v>61</v>
      </c>
      <c r="D101" s="1430" t="s">
        <v>121</v>
      </c>
      <c r="E101" s="1130" t="str">
        <f>IF('WEEK 16'!B86='WEEK 17'!B101,'WEEK 16'!F86,"")</f>
        <v/>
      </c>
      <c r="F101" s="1017"/>
    </row>
    <row r="104">
      <c r="A104" s="323" t="str">
        <f>HYPERLINK("https://www.youtube.com/watch?v=XepOfsnGFJg","3. MACHINE LEG CURL")</f>
        <v>3. MACHINE LEG CURL</v>
      </c>
      <c r="B104" s="53"/>
      <c r="C104" s="53"/>
      <c r="D104" s="53"/>
      <c r="E104" s="53"/>
      <c r="F104" s="54"/>
      <c r="G104" s="141"/>
      <c r="H104" s="323" t="str">
        <f>HYPERLINK("https://youtu.be/kmN9cJ79PDE","3. PRONE LEG CURL")</f>
        <v>3. PRONE LEG CURL</v>
      </c>
      <c r="I104" s="53"/>
      <c r="J104" s="53"/>
      <c r="K104" s="53"/>
      <c r="L104" s="53"/>
      <c r="M104" s="54"/>
    </row>
    <row r="105">
      <c r="A105" s="1045" t="s">
        <v>119</v>
      </c>
      <c r="B105" s="1367">
        <f>IF('WEEK 16'!B92='WEEK 16'!B94,'WEEK 14'!B96+5,IF('WEEK 16'!F92&lt;=9,MROUND('WEEK 16'!B90*0.95,5),'WEEK 16'!B92))</f>
        <v>50</v>
      </c>
      <c r="C105" s="20"/>
      <c r="D105" s="20"/>
      <c r="E105" s="20"/>
      <c r="F105" s="95"/>
      <c r="H105" s="1045" t="s">
        <v>119</v>
      </c>
      <c r="I105" s="1046">
        <f>'WEEK 17'!B105</f>
        <v>50</v>
      </c>
      <c r="J105" s="13"/>
      <c r="K105" s="13"/>
      <c r="L105" s="13"/>
      <c r="M105" s="57"/>
    </row>
    <row r="106">
      <c r="A106" s="567" t="s">
        <v>50</v>
      </c>
      <c r="B106" s="568" t="s">
        <v>51</v>
      </c>
      <c r="C106" s="568" t="s">
        <v>52</v>
      </c>
      <c r="D106" s="568" t="s">
        <v>53</v>
      </c>
      <c r="E106" s="1047" t="s">
        <v>54</v>
      </c>
      <c r="F106" s="1048" t="s">
        <v>55</v>
      </c>
      <c r="H106" s="567" t="s">
        <v>50</v>
      </c>
      <c r="I106" s="568" t="s">
        <v>51</v>
      </c>
      <c r="J106" s="568" t="s">
        <v>52</v>
      </c>
      <c r="K106" s="568" t="s">
        <v>53</v>
      </c>
      <c r="L106" s="1047" t="s">
        <v>54</v>
      </c>
      <c r="M106" s="1048" t="s">
        <v>55</v>
      </c>
    </row>
    <row r="107">
      <c r="A107" s="1049">
        <v>1.0</v>
      </c>
      <c r="B107" s="1050">
        <f>'WEEK 16'!B105</f>
        <v>0</v>
      </c>
      <c r="C107" s="1051" t="s">
        <v>61</v>
      </c>
      <c r="D107" s="1430" t="s">
        <v>121</v>
      </c>
      <c r="E107" s="1130" t="str">
        <f>IF('WEEK 16'!B92='WEEK 17'!B107,'WEEK 16'!F92,"")</f>
        <v/>
      </c>
      <c r="F107" s="1017"/>
      <c r="G107" s="434" t="s">
        <v>123</v>
      </c>
      <c r="H107" s="1049">
        <v>1.0</v>
      </c>
      <c r="I107" s="1050">
        <f>'WEEK 17'!I105</f>
        <v>50</v>
      </c>
      <c r="J107" s="1051" t="s">
        <v>61</v>
      </c>
      <c r="K107" s="1430" t="s">
        <v>121</v>
      </c>
      <c r="L107" s="1130" t="str">
        <f>IF('WEEK 16'!I92='WEEK 17'!I107,'WEEK 16'!M92,"")</f>
        <v/>
      </c>
      <c r="M107" s="1017"/>
    </row>
    <row r="108">
      <c r="A108" s="1049">
        <v>2.0</v>
      </c>
      <c r="B108" s="1050">
        <f>if('WEEK 17'!F107&lt;12,mround('WEEK 17'!B107*0.8,5),IF('WEEK 17'!F107&lt;=14,MROUND('WEEK 17'!B107*0.95,5),'WEEK 17'!B107))</f>
        <v>0</v>
      </c>
      <c r="C108" s="1051" t="s">
        <v>61</v>
      </c>
      <c r="D108" s="1430" t="s">
        <v>121</v>
      </c>
      <c r="E108" s="1130" t="str">
        <f>IF('WEEK 16'!B93='WEEK 17'!B108,'WEEK 16'!F93,"")</f>
        <v/>
      </c>
      <c r="F108" s="1017"/>
      <c r="H108" s="1049">
        <v>2.0</v>
      </c>
      <c r="I108" s="1050">
        <f>if('WEEK 17'!M107&lt;12,mround('WEEK 17'!I107*0.8,5),IF('WEEK 17'!M107&lt;=14,MROUND('WEEK 17'!I107*0.95,5),'WEEK 17'!I107))</f>
        <v>40</v>
      </c>
      <c r="J108" s="1051" t="s">
        <v>61</v>
      </c>
      <c r="K108" s="1430" t="s">
        <v>121</v>
      </c>
      <c r="L108" s="1130" t="str">
        <f>IF('WEEK 16'!I93='WEEK 17'!I108,'WEEK 16'!M93,"")</f>
        <v/>
      </c>
      <c r="M108" s="1017"/>
    </row>
    <row r="109">
      <c r="A109" s="1053">
        <v>3.0</v>
      </c>
      <c r="B109" s="1054">
        <f>if('WEEK 17'!F108&lt;12,mround('WEEK 17'!B108*0.8,5),IF('WEEK 17'!F108&lt;=14,MROUND('WEEK 17'!B108*0.95,5),'WEEK 17'!B108))</f>
        <v>0</v>
      </c>
      <c r="C109" s="1055" t="s">
        <v>61</v>
      </c>
      <c r="D109" s="1430" t="s">
        <v>121</v>
      </c>
      <c r="E109" s="1130" t="str">
        <f>IF('WEEK 16'!B94='WEEK 17'!B109,'WEEK 16'!F94,"")</f>
        <v/>
      </c>
      <c r="F109" s="1017"/>
      <c r="G109" s="682"/>
      <c r="H109" s="1053">
        <v>3.0</v>
      </c>
      <c r="I109" s="1054">
        <f>if('WEEK 17'!M108&lt;12,mround('WEEK 17'!I108*0.8,5),IF('WEEK 17'!M108&lt;=14,MROUND('WEEK 17'!I108*0.95,5),'WEEK 17'!I108))</f>
        <v>30</v>
      </c>
      <c r="J109" s="1055" t="s">
        <v>61</v>
      </c>
      <c r="K109" s="1430" t="s">
        <v>121</v>
      </c>
      <c r="L109" s="1130" t="str">
        <f>IF('WEEK 16'!I94='WEEK 17'!I109,'WEEK 16'!M94,"")</f>
        <v/>
      </c>
      <c r="M109" s="1017"/>
    </row>
    <row r="110">
      <c r="A110" s="849"/>
      <c r="B110" s="849"/>
      <c r="C110" s="849"/>
      <c r="D110" s="849"/>
      <c r="E110" s="849"/>
      <c r="F110" s="849"/>
      <c r="H110" s="849"/>
      <c r="I110" s="850"/>
      <c r="J110" s="850"/>
      <c r="K110" s="850"/>
      <c r="L110" s="850"/>
      <c r="M110" s="850"/>
    </row>
    <row r="112">
      <c r="A112" s="1120" t="s">
        <v>62</v>
      </c>
      <c r="B112" s="36"/>
      <c r="C112" s="36"/>
      <c r="D112" s="36"/>
      <c r="E112" s="36"/>
      <c r="F112" s="37"/>
    </row>
    <row r="115">
      <c r="A115" s="51" t="s">
        <v>131</v>
      </c>
      <c r="B115" s="36"/>
      <c r="C115" s="36"/>
      <c r="D115" s="36"/>
      <c r="E115" s="36"/>
      <c r="F115" s="37"/>
      <c r="G115" s="419"/>
      <c r="H115" s="51" t="s">
        <v>131</v>
      </c>
      <c r="I115" s="36"/>
      <c r="J115" s="36"/>
      <c r="K115" s="36"/>
      <c r="L115" s="36"/>
      <c r="M115" s="37"/>
    </row>
    <row r="116">
      <c r="A116" s="504" t="str">
        <f>HYPERLINK("https://youtu.be/rmxOkkd2hUk","1. SHOULDER PRESS")</f>
        <v>1. SHOULDER PRESS</v>
      </c>
      <c r="B116" s="53"/>
      <c r="C116" s="53"/>
      <c r="D116" s="53"/>
      <c r="E116" s="53"/>
      <c r="F116" s="54"/>
      <c r="G116" s="419"/>
      <c r="H116" s="778" t="str">
        <f>HYPERLINK("https://www.youtube.com/watch?v=-cSBPE-y38M","1. MACHINE SHOULDER PRESS")</f>
        <v>1. MACHINE SHOULDER PRESS</v>
      </c>
      <c r="I116" s="53"/>
      <c r="J116" s="53"/>
      <c r="K116" s="53"/>
      <c r="L116" s="53"/>
      <c r="M116" s="54"/>
    </row>
    <row r="117">
      <c r="A117" s="589" t="s">
        <v>119</v>
      </c>
      <c r="B117" s="227" t="str">
        <f>IF('WEEK 16'!B114="",'WEEK 16'!B102,'WEEK 16'!B114)</f>
        <v/>
      </c>
      <c r="C117" s="20"/>
      <c r="D117" s="20"/>
      <c r="E117" s="20"/>
      <c r="F117" s="95"/>
      <c r="G117" s="419"/>
      <c r="H117" s="589" t="s">
        <v>119</v>
      </c>
      <c r="I117" s="227">
        <f>IF('WEEK 16'!I114="",'WEEK 16'!I102,'WEEK 16'!I114)</f>
        <v>105</v>
      </c>
      <c r="J117" s="20"/>
      <c r="K117" s="20"/>
      <c r="L117" s="20"/>
      <c r="M117" s="95"/>
    </row>
    <row r="118">
      <c r="A118" s="364" t="s">
        <v>50</v>
      </c>
      <c r="B118" s="365" t="s">
        <v>51</v>
      </c>
      <c r="C118" s="365" t="s">
        <v>52</v>
      </c>
      <c r="D118" s="365" t="s">
        <v>53</v>
      </c>
      <c r="E118" s="609" t="s">
        <v>54</v>
      </c>
      <c r="F118" s="61" t="s">
        <v>55</v>
      </c>
      <c r="G118" s="724"/>
      <c r="H118" s="364" t="s">
        <v>50</v>
      </c>
      <c r="I118" s="365" t="s">
        <v>51</v>
      </c>
      <c r="J118" s="365" t="s">
        <v>52</v>
      </c>
      <c r="K118" s="365" t="s">
        <v>53</v>
      </c>
      <c r="L118" s="609" t="s">
        <v>54</v>
      </c>
      <c r="M118" s="61" t="s">
        <v>55</v>
      </c>
    </row>
    <row r="119">
      <c r="A119" s="236">
        <v>1.0</v>
      </c>
      <c r="B119" s="237">
        <f>mround('WEEK 17'!B117*0.5,5)</f>
        <v>0</v>
      </c>
      <c r="C119" s="237">
        <v>6.0</v>
      </c>
      <c r="D119" s="238" t="s">
        <v>120</v>
      </c>
      <c r="E119" s="66" t="str">
        <f>IF('WEEK 17'!B119='WEEK 15'!B124,'WEEK 15'!F124,"")</f>
        <v/>
      </c>
      <c r="F119" s="67"/>
      <c r="G119" s="728"/>
      <c r="H119" s="236">
        <v>1.0</v>
      </c>
      <c r="I119" s="237">
        <f>mround('WEEK 17'!I117*0.35,5)</f>
        <v>35</v>
      </c>
      <c r="J119" s="237">
        <v>6.0</v>
      </c>
      <c r="K119" s="238" t="s">
        <v>120</v>
      </c>
      <c r="L119" s="66" t="str">
        <f>IF('WEEK 17'!I119='WEEK 15'!I124,'WEEK 15'!M124,"")</f>
        <v/>
      </c>
      <c r="M119" s="67"/>
    </row>
    <row r="120">
      <c r="A120" s="236">
        <v>2.0</v>
      </c>
      <c r="B120" s="237">
        <f>mround('WEEK 17'!B117*0.5,5)</f>
        <v>0</v>
      </c>
      <c r="C120" s="237">
        <v>1.0</v>
      </c>
      <c r="D120" s="238" t="s">
        <v>57</v>
      </c>
      <c r="E120" s="66" t="str">
        <f>IF('WEEK 17'!B120='WEEK 15'!B125,'WEEK 15'!F125,"")</f>
        <v/>
      </c>
      <c r="F120" s="67"/>
      <c r="G120" s="728"/>
      <c r="H120" s="236">
        <v>2.0</v>
      </c>
      <c r="I120" s="237">
        <f>mround('WEEK 17'!I117*0.65,5)</f>
        <v>70</v>
      </c>
      <c r="J120" s="237">
        <v>1.0</v>
      </c>
      <c r="K120" s="238" t="s">
        <v>57</v>
      </c>
      <c r="L120" s="66" t="str">
        <f>IF('WEEK 17'!I120='WEEK 15'!I125,'WEEK 15'!M125,"")</f>
        <v/>
      </c>
      <c r="M120" s="67"/>
    </row>
    <row r="121">
      <c r="A121" s="779">
        <v>3.0</v>
      </c>
      <c r="B121" s="780">
        <f> mround('WEEK 17'!B117*0.5,5)</f>
        <v>0</v>
      </c>
      <c r="C121" s="781" t="s">
        <v>65</v>
      </c>
      <c r="D121" s="782" t="s">
        <v>57</v>
      </c>
      <c r="E121" s="66" t="str">
        <f>IF('WEEK 17'!B121='WEEK 15'!B126,'WEEK 15'!F126,"")</f>
        <v/>
      </c>
      <c r="F121" s="1399"/>
      <c r="G121" s="728"/>
      <c r="H121" s="779">
        <v>3.0</v>
      </c>
      <c r="I121" s="780">
        <f> mround('WEEK 17'!I117*0.9,5)</f>
        <v>95</v>
      </c>
      <c r="J121" s="781" t="s">
        <v>65</v>
      </c>
      <c r="K121" s="782" t="s">
        <v>57</v>
      </c>
      <c r="L121" s="66" t="str">
        <f>IF('WEEK 17'!I121='WEEK 15'!I126,'WEEK 15'!M126,"")</f>
        <v/>
      </c>
      <c r="M121" s="1399"/>
    </row>
    <row r="122">
      <c r="A122" s="787">
        <v>4.0</v>
      </c>
      <c r="B122" s="1464">
        <f> mround('WEEK 17'!B117*0.5,5)</f>
        <v>0</v>
      </c>
      <c r="C122" s="789" t="s">
        <v>65</v>
      </c>
      <c r="D122" s="397" t="s">
        <v>57</v>
      </c>
      <c r="E122" s="66" t="str">
        <f>IF('WEEK 17'!B122='WEEK 15'!B127,'WEEK 15'!F127,"")</f>
        <v/>
      </c>
      <c r="F122" s="1400"/>
      <c r="G122" s="728"/>
      <c r="H122" s="787">
        <v>4.0</v>
      </c>
      <c r="I122" s="395">
        <f>if('WEEK 17'!M121&lt;20,mround('WEEK 17'!I121*0.85,5),'WEEK 17'!I121)</f>
        <v>80</v>
      </c>
      <c r="J122" s="789" t="s">
        <v>65</v>
      </c>
      <c r="K122" s="397" t="s">
        <v>57</v>
      </c>
      <c r="L122" s="66" t="str">
        <f>IF('WEEK 17'!I122='WEEK 15'!I127,'WEEK 15'!M127,"")</f>
        <v/>
      </c>
      <c r="M122" s="1400"/>
    </row>
    <row r="123">
      <c r="A123" s="1465"/>
      <c r="B123" s="1465"/>
      <c r="C123" s="1465"/>
      <c r="D123" s="1465"/>
      <c r="E123" s="1465"/>
      <c r="F123" s="1465"/>
      <c r="G123" s="1465"/>
      <c r="H123" s="1465"/>
      <c r="I123" s="1465"/>
      <c r="J123" s="1465"/>
      <c r="K123" s="1465"/>
      <c r="L123" s="1465"/>
      <c r="M123" s="1465"/>
      <c r="N123" s="1465"/>
      <c r="O123" s="1465"/>
      <c r="P123" s="1465"/>
      <c r="Q123" s="1465"/>
      <c r="R123" s="1465"/>
      <c r="S123" s="1465"/>
      <c r="T123" s="1465"/>
      <c r="U123" s="1465"/>
      <c r="V123" s="1465"/>
      <c r="W123" s="1465"/>
      <c r="X123" s="1465"/>
      <c r="Y123" s="1465"/>
      <c r="Z123" s="1465"/>
    </row>
    <row r="125">
      <c r="A125" s="1217" t="str">
        <f>HYPERLINK("https://www.youtube.com/watch?v=XDLQt1j3qUU","2. DUMBBELL REAR DELT FLY ")</f>
        <v>2. DUMBBELL REAR DELT FLY </v>
      </c>
      <c r="B125" s="53"/>
      <c r="C125" s="53"/>
      <c r="D125" s="53"/>
      <c r="E125" s="53"/>
      <c r="F125" s="54"/>
    </row>
    <row r="126">
      <c r="A126" s="1268" t="s">
        <v>134</v>
      </c>
      <c r="B126" s="76">
        <f>mround('WEEK 17'!B117,2.5)</f>
        <v>0</v>
      </c>
      <c r="C126" s="13"/>
      <c r="D126" s="13"/>
      <c r="E126" s="13"/>
      <c r="F126" s="57"/>
    </row>
    <row r="127">
      <c r="A127" s="962" t="s">
        <v>50</v>
      </c>
      <c r="B127" s="963" t="s">
        <v>51</v>
      </c>
      <c r="C127" s="963" t="s">
        <v>52</v>
      </c>
      <c r="D127" s="963" t="s">
        <v>53</v>
      </c>
      <c r="E127" s="1005" t="s">
        <v>54</v>
      </c>
      <c r="F127" s="1006" t="s">
        <v>55</v>
      </c>
    </row>
    <row r="128">
      <c r="A128" s="967">
        <v>1.0</v>
      </c>
      <c r="B128" s="1028">
        <f>MROUND('WEEK 17'!B126*0.2*0.5,2.5)</f>
        <v>0</v>
      </c>
      <c r="C128" s="968">
        <v>20.0</v>
      </c>
      <c r="D128" s="969" t="s">
        <v>57</v>
      </c>
      <c r="E128" s="66" t="str">
        <f>IF('WEEK 17'!B128='WEEK 16'!B120,'WEEK 16'!F120,"")</f>
        <v/>
      </c>
      <c r="F128" s="1017"/>
    </row>
    <row r="129">
      <c r="A129" s="967">
        <v>2.0</v>
      </c>
      <c r="B129" s="1028">
        <f>if('WEEK 17'!F128&lt;10,mround('WEEK 17'!B128*0.8,2.5),IF('WEEK 17'!F128&lt;20,MROUND('WEEK 17'!B128*0.95,2.5),'WEEK 17'!B128))</f>
        <v>0</v>
      </c>
      <c r="C129" s="968">
        <v>20.0</v>
      </c>
      <c r="D129" s="969" t="s">
        <v>57</v>
      </c>
      <c r="E129" s="66" t="str">
        <f>IF('WEEK 17'!B129='WEEK 16'!B121,'WEEK 16'!F121,"")</f>
        <v/>
      </c>
      <c r="F129" s="1017"/>
    </row>
    <row r="130">
      <c r="A130" s="971">
        <v>3.0</v>
      </c>
      <c r="B130" s="1123">
        <f>if('WEEK 17'!F129&lt;10,mround('WEEK 17'!B129*0.8,2.5),IF('WEEK 17'!F129&lt;20,MROUND('WEEK 17'!B129*0.95,2.5),'WEEK 17'!B129))</f>
        <v>0</v>
      </c>
      <c r="C130" s="972">
        <v>20.0</v>
      </c>
      <c r="D130" s="973" t="s">
        <v>57</v>
      </c>
      <c r="E130" s="66" t="str">
        <f>IF('WEEK 17'!B130='WEEK 16'!B122,'WEEK 16'!F122,"")</f>
        <v/>
      </c>
      <c r="F130" s="1017"/>
    </row>
    <row r="131">
      <c r="A131" s="1068"/>
      <c r="B131" s="1068"/>
      <c r="C131" s="1068"/>
      <c r="D131" s="623"/>
      <c r="E131" s="1265"/>
      <c r="F131" s="623"/>
    </row>
    <row r="132">
      <c r="A132" s="1069"/>
      <c r="B132" s="1069"/>
      <c r="C132" s="1069"/>
      <c r="D132" s="995"/>
      <c r="E132" s="1266"/>
      <c r="F132" s="995"/>
    </row>
    <row r="133">
      <c r="A133" s="1217" t="str">
        <f>HYPERLINK("https://youtu.be/QUNZvtb6mnY","3. DUMBBELL SIDE LATERAL RAISE")</f>
        <v>3. DUMBBELL SIDE LATERAL RAISE</v>
      </c>
      <c r="B133" s="53"/>
      <c r="C133" s="53"/>
      <c r="D133" s="53"/>
      <c r="E133" s="53"/>
      <c r="F133" s="54"/>
    </row>
    <row r="134">
      <c r="A134" s="1262" t="s">
        <v>134</v>
      </c>
      <c r="B134" s="76" t="str">
        <f>'WEEK 17'!B117</f>
        <v/>
      </c>
      <c r="C134" s="13"/>
      <c r="D134" s="13"/>
      <c r="E134" s="13"/>
      <c r="F134" s="57"/>
    </row>
    <row r="135">
      <c r="A135" s="1071" t="s">
        <v>50</v>
      </c>
      <c r="B135" s="1072" t="s">
        <v>51</v>
      </c>
      <c r="C135" s="1072" t="s">
        <v>52</v>
      </c>
      <c r="D135" s="1072" t="s">
        <v>53</v>
      </c>
      <c r="E135" s="1073" t="s">
        <v>54</v>
      </c>
      <c r="F135" s="1006" t="s">
        <v>55</v>
      </c>
    </row>
    <row r="136">
      <c r="A136" s="1074">
        <v>1.0</v>
      </c>
      <c r="B136" s="968">
        <f> mround('WEEK 17'!B134*0.2*0.5,2.5)</f>
        <v>0</v>
      </c>
      <c r="C136" s="968">
        <v>20.0</v>
      </c>
      <c r="D136" s="969" t="s">
        <v>57</v>
      </c>
      <c r="E136" s="1235" t="str">
        <f>if('WEEK 17'!B136='WEEK 6'!B143,'WEEK 6'!F143,"")</f>
        <v/>
      </c>
      <c r="F136" s="1017"/>
    </row>
    <row r="137">
      <c r="A137" s="1074">
        <v>2.0</v>
      </c>
      <c r="B137" s="968">
        <f>if('WEEK 17'!F136&lt;20,mround('WEEK 17'!B134*0.15,2.5),'WEEK 17'!B136)</f>
        <v>0</v>
      </c>
      <c r="C137" s="968">
        <v>20.0</v>
      </c>
      <c r="D137" s="969" t="s">
        <v>57</v>
      </c>
      <c r="E137" s="1235" t="str">
        <f>if('WEEK 17'!B137='WEEK 6'!B144,'WEEK 6'!F144,"")</f>
        <v/>
      </c>
      <c r="F137" s="1017"/>
    </row>
    <row r="138">
      <c r="A138" s="1078">
        <v>3.0</v>
      </c>
      <c r="B138" s="972">
        <f>if('WEEK 17'!F137&lt;20,mround('WEEK 17'!B134*0.1,2.5),'WEEK 17'!B137)</f>
        <v>0</v>
      </c>
      <c r="C138" s="972">
        <v>20.0</v>
      </c>
      <c r="D138" s="973" t="s">
        <v>57</v>
      </c>
      <c r="E138" s="1271" t="str">
        <f>if('WEEK 17'!B138='WEEK 6'!B145,'WEEK 6'!F145,"")</f>
        <v/>
      </c>
      <c r="F138" s="1017"/>
    </row>
    <row r="141">
      <c r="A141" s="74" t="str">
        <f>HYPERLINK("https://www.youtube.com/watch?v=Yke__29qVfo","4. TRICEPS PUSHDOWN (STRAIGHT BAR)")</f>
        <v>4. TRICEPS PUSHDOWN (STRAIGHT BAR)</v>
      </c>
      <c r="B141" s="53"/>
      <c r="C141" s="53"/>
      <c r="D141" s="53"/>
      <c r="E141" s="53"/>
      <c r="F141" s="54"/>
    </row>
    <row r="142">
      <c r="A142" s="226" t="s">
        <v>119</v>
      </c>
      <c r="B142" s="90">
        <f>'MSW14'!B140</f>
        <v>30</v>
      </c>
      <c r="C142" s="13"/>
      <c r="D142" s="13"/>
      <c r="E142" s="13"/>
      <c r="F142" s="57"/>
    </row>
    <row r="143">
      <c r="A143" s="77" t="s">
        <v>50</v>
      </c>
      <c r="B143" s="78" t="s">
        <v>51</v>
      </c>
      <c r="C143" s="78" t="s">
        <v>52</v>
      </c>
      <c r="D143" s="78" t="s">
        <v>53</v>
      </c>
      <c r="E143" s="80" t="s">
        <v>54</v>
      </c>
      <c r="F143" s="235" t="s">
        <v>55</v>
      </c>
    </row>
    <row r="144">
      <c r="A144" s="81">
        <v>1.0</v>
      </c>
      <c r="B144" s="82">
        <f> mround('WEEK 17'!B142*0.5,5)</f>
        <v>15</v>
      </c>
      <c r="C144" s="65">
        <v>20.0</v>
      </c>
      <c r="D144" s="83" t="s">
        <v>58</v>
      </c>
      <c r="E144" s="66" t="str">
        <f>IF('WEEK 17'!B144='WEEK 16'!B136,'WEEK 16'!F136,"")</f>
        <v/>
      </c>
      <c r="F144" s="85"/>
    </row>
    <row r="145">
      <c r="A145" s="81">
        <v>2.0</v>
      </c>
      <c r="B145" s="82">
        <f>if('WEEK 17'!F144&lt;10,mround(B144*0.8,5),IF('WEEK 17'!F144&lt;=19,MROUND('WEEK 17'!B144*0.95,5),'WEEK 17'!B144))</f>
        <v>10</v>
      </c>
      <c r="C145" s="65">
        <v>20.0</v>
      </c>
      <c r="D145" s="83" t="s">
        <v>58</v>
      </c>
      <c r="E145" s="66" t="str">
        <f>IF('WEEK 17'!B145='WEEK 16'!B137,'WEEK 16'!F137,"")</f>
        <v/>
      </c>
      <c r="F145" s="85"/>
    </row>
    <row r="146">
      <c r="A146" s="86">
        <v>3.0</v>
      </c>
      <c r="B146" s="87">
        <f>if('WEEK 17'!F145&lt;10,mround('WEEK 17'!B145*0.8,5),IF('WEEK 17'!F145&lt;=19,MROUND('WEEK 17'!B145*0.95,5),'WEEK 17'!B145))</f>
        <v>10</v>
      </c>
      <c r="C146" s="71">
        <v>20.0</v>
      </c>
      <c r="D146" s="88" t="s">
        <v>58</v>
      </c>
      <c r="E146" s="66" t="str">
        <f>IF('WEEK 17'!B146='WEEK 16'!B138,'WEEK 16'!F138,"")</f>
        <v/>
      </c>
      <c r="F146" s="85"/>
    </row>
    <row r="149">
      <c r="A149" s="75" t="str">
        <f>HYPERLINK("https://www.youtube.com/watch?v=9IqvmIhFxtY","5. BICEP CABLE CURL")</f>
        <v>5. BICEP CABLE CURL</v>
      </c>
      <c r="B149" s="53"/>
      <c r="C149" s="53"/>
      <c r="D149" s="53"/>
      <c r="E149" s="53"/>
      <c r="F149" s="54"/>
      <c r="G149" s="141"/>
      <c r="H149" s="75" t="str">
        <f>HYPERLINK("https://www.youtube.com/watch?v=Bi6Do6QIlpQ","5. BICEP EZ BAR CURL")</f>
        <v>5. BICEP EZ BAR CURL</v>
      </c>
      <c r="I149" s="53"/>
      <c r="J149" s="53"/>
      <c r="K149" s="53"/>
      <c r="L149" s="53"/>
      <c r="M149" s="54"/>
    </row>
    <row r="150">
      <c r="A150" s="226" t="s">
        <v>119</v>
      </c>
      <c r="B150" s="90">
        <f>IF('WEEK 14'!B150='WEEK 14'!B152,'WEEK 14'!B150+5,IF('WEEK 14'!F150&lt;=9,MROUND('WEEK 14'!B148*0.95,5),'WEEK 14'!B150))</f>
        <v>30</v>
      </c>
      <c r="C150" s="13"/>
      <c r="D150" s="13"/>
      <c r="E150" s="13"/>
      <c r="F150" s="57"/>
      <c r="G150" s="141"/>
      <c r="H150" s="226" t="s">
        <v>119</v>
      </c>
      <c r="I150" s="90">
        <f>IF('WEEK 14'!I150='WEEK 14'!I152,'WEEK 14'!I150+5,IF('WEEK 14'!M150&lt;=9,MROUND('WEEK 14'!I148*0.95,5),'WEEK 14'!I150))</f>
        <v>10</v>
      </c>
      <c r="J150" s="13"/>
      <c r="K150" s="13"/>
      <c r="L150" s="13"/>
      <c r="M150" s="57"/>
    </row>
    <row r="151">
      <c r="A151" s="77" t="s">
        <v>50</v>
      </c>
      <c r="B151" s="78" t="s">
        <v>51</v>
      </c>
      <c r="C151" s="78" t="s">
        <v>52</v>
      </c>
      <c r="D151" s="78" t="s">
        <v>53</v>
      </c>
      <c r="E151" s="80" t="s">
        <v>54</v>
      </c>
      <c r="F151" s="235" t="s">
        <v>55</v>
      </c>
      <c r="H151" s="77" t="s">
        <v>50</v>
      </c>
      <c r="I151" s="78" t="s">
        <v>51</v>
      </c>
      <c r="J151" s="78" t="s">
        <v>52</v>
      </c>
      <c r="K151" s="78" t="s">
        <v>53</v>
      </c>
      <c r="L151" s="80" t="s">
        <v>54</v>
      </c>
      <c r="M151" s="235" t="s">
        <v>55</v>
      </c>
    </row>
    <row r="152">
      <c r="A152" s="81">
        <v>1.0</v>
      </c>
      <c r="B152" s="82">
        <f>MROUND('WEEK 17'!B150*0.5,5)</f>
        <v>15</v>
      </c>
      <c r="C152" s="65">
        <v>20.0</v>
      </c>
      <c r="D152" s="83" t="s">
        <v>58</v>
      </c>
      <c r="E152" s="66" t="str">
        <f>IF('WEEK 17'!B152='WEEK 16'!B144,'WEEK 16'!F144,"")</f>
        <v/>
      </c>
      <c r="F152" s="85"/>
      <c r="H152" s="81">
        <v>1.0</v>
      </c>
      <c r="I152" s="82">
        <f>MROUND('WEEK 17'!I150*0.5,5)</f>
        <v>5</v>
      </c>
      <c r="J152" s="65">
        <v>20.0</v>
      </c>
      <c r="K152" s="83" t="s">
        <v>58</v>
      </c>
      <c r="L152" s="66" t="str">
        <f>IF('WEEK 17'!I152='WEEK 16'!I144,'WEEK 16'!M144,"")</f>
        <v/>
      </c>
      <c r="M152" s="85"/>
    </row>
    <row r="153">
      <c r="A153" s="81">
        <v>2.0</v>
      </c>
      <c r="B153" s="82">
        <f>if('WEEK 17'!F152&lt;15,mround('WEEK 17'!B152*0.8,5),IF('WEEK 17'!F152&lt;=18,MROUND('WEEK 17'!B150*0.95,5),'WEEK 17'!B152))</f>
        <v>10</v>
      </c>
      <c r="C153" s="65">
        <v>20.0</v>
      </c>
      <c r="D153" s="83" t="s">
        <v>58</v>
      </c>
      <c r="E153" s="66" t="str">
        <f>IF('WEEK 17'!B153='WEEK 16'!B145,'WEEK 16'!F145,"")</f>
        <v/>
      </c>
      <c r="F153" s="85"/>
      <c r="H153" s="81">
        <v>2.0</v>
      </c>
      <c r="I153" s="82">
        <f>if('WEEK 17'!M152&lt;15,mround('WEEK 17'!I152*0.8,5),IF('WEEK 17'!M152&lt;=18,MROUND('WEEK 17'!I150*0.95,5),'WEEK 17'!I152))</f>
        <v>5</v>
      </c>
      <c r="J153" s="65">
        <v>20.0</v>
      </c>
      <c r="K153" s="83" t="s">
        <v>58</v>
      </c>
      <c r="L153" s="66" t="str">
        <f>IF('WEEK 17'!I153='WEEK 16'!I145,'WEEK 16'!M145,"")</f>
        <v/>
      </c>
      <c r="M153" s="85"/>
    </row>
    <row r="154">
      <c r="A154" s="629">
        <v>3.0</v>
      </c>
      <c r="B154" s="630">
        <f>if('WEEK 17'!F153&lt;15,mround('WEEK 17'!B153*0.8,5),IF('WEEK 17'!F153&lt;=18,MROUND('WEEK 17'!B151*0.95,5),'WEEK 17'!B153))</f>
        <v>10</v>
      </c>
      <c r="C154" s="631">
        <v>20.0</v>
      </c>
      <c r="D154" s="328" t="s">
        <v>58</v>
      </c>
      <c r="E154" s="66" t="str">
        <f>IF('WEEK 17'!B154='WEEK 16'!B146,'WEEK 16'!F146,"")</f>
        <v/>
      </c>
      <c r="F154" s="330"/>
      <c r="H154" s="629">
        <v>3.0</v>
      </c>
      <c r="I154" s="630">
        <f>if('WEEK 17'!M153&lt;15,mround('WEEK 17'!I153*0.8,5),IF('WEEK 17'!M153&lt;=18,MROUND('WEEK 17'!I151*0.95,5),'WEEK 17'!I153))</f>
        <v>5</v>
      </c>
      <c r="J154" s="631">
        <v>20.0</v>
      </c>
      <c r="K154" s="328" t="s">
        <v>58</v>
      </c>
      <c r="L154" s="66" t="str">
        <f>IF('WEEK 17'!I154='WEEK 16'!I146,'WEEK 16'!M146,"")</f>
        <v/>
      </c>
      <c r="M154" s="330"/>
    </row>
    <row r="157">
      <c r="A157" s="1149" t="s">
        <v>135</v>
      </c>
      <c r="B157" s="36"/>
      <c r="C157" s="36"/>
      <c r="D157" s="36"/>
      <c r="E157" s="36"/>
      <c r="F157" s="37"/>
    </row>
    <row r="158">
      <c r="A158" s="623"/>
      <c r="B158" s="623"/>
      <c r="C158" s="623"/>
      <c r="D158" s="623"/>
      <c r="E158" s="1274"/>
      <c r="F158" s="623"/>
    </row>
    <row r="159">
      <c r="A159" s="1275" t="str">
        <f>HYPERLINK("https://www.amazon.com/30-Minute-Body-Investment-Champion/dp/0692791892/ref=sr_1_1?ie=UTF8&amp;qid=1490447969&amp;sr=8-1&amp;keywords=30+minute+body","WANT TO LEARN MORE?")</f>
        <v>WANT TO LEARN MORE?</v>
      </c>
      <c r="B159" s="25"/>
      <c r="C159" s="25"/>
      <c r="D159" s="25"/>
      <c r="E159" s="25"/>
      <c r="F159" s="26"/>
    </row>
    <row r="160">
      <c r="A160" s="529"/>
      <c r="F160" s="28"/>
    </row>
    <row r="161">
      <c r="A161" s="1276"/>
      <c r="B161" s="999"/>
      <c r="C161" s="1150" t="s">
        <v>67</v>
      </c>
      <c r="F161" s="28"/>
    </row>
    <row r="162">
      <c r="A162" s="1276"/>
      <c r="B162" s="999"/>
      <c r="F162" s="28"/>
    </row>
    <row r="163">
      <c r="A163" s="1276"/>
      <c r="B163" s="999"/>
      <c r="F163" s="28"/>
    </row>
    <row r="164">
      <c r="A164" s="1276"/>
      <c r="B164" s="999"/>
      <c r="F164" s="28"/>
    </row>
    <row r="165">
      <c r="A165" s="1276"/>
      <c r="B165" s="999"/>
      <c r="F165" s="28"/>
    </row>
    <row r="166">
      <c r="A166" s="1276"/>
      <c r="B166" s="999"/>
      <c r="F166" s="28"/>
    </row>
    <row r="167">
      <c r="A167" s="1277"/>
      <c r="B167" s="999"/>
      <c r="F167" s="28"/>
    </row>
    <row r="168">
      <c r="A168" s="1276"/>
      <c r="B168" s="999"/>
      <c r="F168" s="28"/>
    </row>
    <row r="169">
      <c r="A169" s="1276"/>
      <c r="B169" s="999"/>
      <c r="F169" s="28"/>
    </row>
    <row r="170">
      <c r="A170" s="1278"/>
      <c r="B170" s="999"/>
      <c r="F170" s="28"/>
    </row>
    <row r="171">
      <c r="A171" s="1276"/>
      <c r="B171" s="999"/>
      <c r="F171" s="28"/>
    </row>
    <row r="172">
      <c r="A172" s="1276"/>
      <c r="B172" s="999"/>
      <c r="F172" s="28"/>
    </row>
    <row r="173">
      <c r="A173" s="1276"/>
      <c r="B173" s="999"/>
      <c r="F173" s="28"/>
    </row>
    <row r="174">
      <c r="A174" s="1276"/>
      <c r="B174" s="999"/>
      <c r="F174" s="28"/>
    </row>
    <row r="175">
      <c r="A175" s="1279"/>
      <c r="B175" s="1280"/>
      <c r="C175" s="11"/>
      <c r="D175" s="11"/>
      <c r="E175" s="11"/>
      <c r="F175" s="46"/>
    </row>
  </sheetData>
  <mergeCells count="80">
    <mergeCell ref="G24:G25"/>
    <mergeCell ref="A27:F27"/>
    <mergeCell ref="A30:F30"/>
    <mergeCell ref="B33:F33"/>
    <mergeCell ref="G37:G41"/>
    <mergeCell ref="B38:F38"/>
    <mergeCell ref="A44:F44"/>
    <mergeCell ref="B45:F45"/>
    <mergeCell ref="A51:F51"/>
    <mergeCell ref="A54:F54"/>
    <mergeCell ref="B57:F57"/>
    <mergeCell ref="A60:F60"/>
    <mergeCell ref="B61:F61"/>
    <mergeCell ref="A68:F68"/>
    <mergeCell ref="B69:F69"/>
    <mergeCell ref="A75:F75"/>
    <mergeCell ref="A77:F77"/>
    <mergeCell ref="A80:F80"/>
    <mergeCell ref="B81:F81"/>
    <mergeCell ref="B93:F93"/>
    <mergeCell ref="A96:F96"/>
    <mergeCell ref="B97:F97"/>
    <mergeCell ref="A104:F104"/>
    <mergeCell ref="G104:G106"/>
    <mergeCell ref="H104:M104"/>
    <mergeCell ref="B105:F105"/>
    <mergeCell ref="I105:M105"/>
    <mergeCell ref="G107:G108"/>
    <mergeCell ref="G109:G110"/>
    <mergeCell ref="A112:F112"/>
    <mergeCell ref="A115:F115"/>
    <mergeCell ref="H115:M115"/>
    <mergeCell ref="A116:F116"/>
    <mergeCell ref="H116:M116"/>
    <mergeCell ref="I117:M117"/>
    <mergeCell ref="A149:F149"/>
    <mergeCell ref="H149:M149"/>
    <mergeCell ref="B150:F150"/>
    <mergeCell ref="I150:M150"/>
    <mergeCell ref="A157:F157"/>
    <mergeCell ref="A159:F160"/>
    <mergeCell ref="C161:F175"/>
    <mergeCell ref="B117:F117"/>
    <mergeCell ref="A125:F125"/>
    <mergeCell ref="B126:F126"/>
    <mergeCell ref="A133:F133"/>
    <mergeCell ref="B134:F134"/>
    <mergeCell ref="A141:F141"/>
    <mergeCell ref="B142:F142"/>
    <mergeCell ref="A9:F9"/>
    <mergeCell ref="H9:M9"/>
    <mergeCell ref="A10:F11"/>
    <mergeCell ref="H10:M10"/>
    <mergeCell ref="A12:F12"/>
    <mergeCell ref="A13:F13"/>
    <mergeCell ref="H15:M15"/>
    <mergeCell ref="A20:F20"/>
    <mergeCell ref="B21:F21"/>
    <mergeCell ref="O20:T20"/>
    <mergeCell ref="P21:T21"/>
    <mergeCell ref="N19:N26"/>
    <mergeCell ref="N27:N28"/>
    <mergeCell ref="N29:N31"/>
    <mergeCell ref="N38:N41"/>
    <mergeCell ref="A15:F15"/>
    <mergeCell ref="A19:F19"/>
    <mergeCell ref="H19:M19"/>
    <mergeCell ref="O19:T19"/>
    <mergeCell ref="H20:M20"/>
    <mergeCell ref="I21:M21"/>
    <mergeCell ref="O27:T27"/>
    <mergeCell ref="H37:M37"/>
    <mergeCell ref="I38:M38"/>
    <mergeCell ref="H27:M27"/>
    <mergeCell ref="H29:M29"/>
    <mergeCell ref="O29:T29"/>
    <mergeCell ref="I34:M34"/>
    <mergeCell ref="P34:T34"/>
    <mergeCell ref="A35:N36"/>
    <mergeCell ref="A37:F37"/>
  </mergeCells>
  <dataValidations>
    <dataValidation type="decimal" operator="greaterThanOrEqual" allowBlank="1" showDropDown="1" showErrorMessage="1" sqref="M22:M26 F39:F41">
      <formula1>0.0</formula1>
    </dataValidation>
    <dataValidation type="decimal" operator="greaterThanOrEqual" allowBlank="1" showDropDown="1" sqref="F22:F26 F28 F31 F58:F59 F62:F67 F70:F74 F82:F86 F88">
      <formula1>0.0</formula1>
    </dataValidation>
  </dataValidations>
  <drawing r:id="rId2"/>
  <legacy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'MSW17'!A1</f>
        <v/>
      </c>
    </row>
    <row r="9">
      <c r="A9" s="1305" t="str">
        <f>'MSW17'!A9</f>
        <v>Week 17</v>
      </c>
      <c r="B9" s="36"/>
      <c r="C9" s="36"/>
      <c r="D9" s="36"/>
      <c r="E9" s="36"/>
      <c r="F9" s="37"/>
      <c r="G9" s="987" t="str">
        <f>'MSW17'!G9</f>
        <v/>
      </c>
      <c r="H9" s="24" t="s">
        <v>35</v>
      </c>
      <c r="I9" s="25"/>
      <c r="J9" s="25"/>
      <c r="K9" s="25"/>
      <c r="L9" s="25"/>
      <c r="M9" s="26"/>
      <c r="N9" t="str">
        <f>'MSW17'!N15</f>
        <v/>
      </c>
    </row>
    <row r="10">
      <c r="A10" s="991" t="str">
        <f>'MSW17'!A10</f>
        <v>PRESS TO RECORD BODY WEIGHT</v>
      </c>
      <c r="F10" s="28"/>
      <c r="H10" s="27" t="s">
        <v>263</v>
      </c>
      <c r="M10" s="28"/>
    </row>
    <row r="11">
      <c r="A11" s="336"/>
      <c r="B11" s="11"/>
      <c r="C11" s="11"/>
      <c r="D11" s="11"/>
      <c r="E11" s="11"/>
      <c r="F11" s="46"/>
      <c r="H11" s="29" t="s">
        <v>264</v>
      </c>
      <c r="I11" s="30"/>
      <c r="J11" s="30"/>
      <c r="K11" s="30"/>
      <c r="L11" s="30"/>
      <c r="M11" s="31"/>
    </row>
    <row r="12">
      <c r="A12" s="992" t="str">
        <f>'MSW17'!A12</f>
        <v>This Weeks Goals</v>
      </c>
      <c r="B12" s="11"/>
      <c r="C12" s="11"/>
      <c r="D12" s="11"/>
      <c r="E12" s="11"/>
      <c r="F12" s="46"/>
      <c r="H12" s="987"/>
    </row>
    <row r="13">
      <c r="A13" s="1128" t="str">
        <f>'MSW17'!A13</f>
        <v>This week you will be attempting new max weights as well as experiencing high reps on leg day. Stay focused and remember rest and recovery are key to your results. Good luck!</v>
      </c>
      <c r="B13" s="11"/>
      <c r="C13" s="11"/>
      <c r="D13" s="11"/>
      <c r="E13" s="11"/>
      <c r="F13" s="46"/>
    </row>
    <row r="14">
      <c r="A14" s="994" t="str">
        <f>'MSW17'!A14</f>
        <v/>
      </c>
      <c r="B14" s="11"/>
      <c r="C14" s="11"/>
      <c r="D14" s="11"/>
      <c r="E14" s="11"/>
      <c r="F14" s="11"/>
    </row>
    <row r="15">
      <c r="A15" s="996" t="str">
        <f>'MSW17'!A15</f>
        <v>DAY 1 </v>
      </c>
      <c r="B15" s="11"/>
      <c r="C15" s="11"/>
      <c r="D15" s="11"/>
      <c r="E15" s="11"/>
      <c r="F15" s="46"/>
      <c r="G15" s="997" t="str">
        <f>'MSW17'!G15</f>
        <v/>
      </c>
      <c r="H15" s="1466" t="str">
        <f>'MSW17'!H15</f>
        <v>ALTERNATE WORKOUTS</v>
      </c>
      <c r="I15" s="36"/>
      <c r="J15" s="36"/>
      <c r="K15" s="36"/>
      <c r="L15" s="36"/>
      <c r="M15" s="37"/>
    </row>
    <row r="16">
      <c r="A16" s="987" t="str">
        <f>'MSW17'!A16</f>
        <v/>
      </c>
    </row>
    <row r="19">
      <c r="A19" s="51" t="str">
        <f>'MSW17'!A19</f>
        <v>CHEST &amp; BACK </v>
      </c>
      <c r="B19" s="36"/>
      <c r="C19" s="36"/>
      <c r="D19" s="36"/>
      <c r="E19" s="36"/>
      <c r="F19" s="37"/>
      <c r="G19" t="str">
        <f>'MSW17'!G19</f>
        <v/>
      </c>
      <c r="H19" s="51" t="str">
        <f>'MSW17'!H19</f>
        <v>CHEST &amp; BACK </v>
      </c>
      <c r="I19" s="36"/>
      <c r="J19" s="36"/>
      <c r="K19" s="36"/>
      <c r="L19" s="36"/>
      <c r="M19" s="37"/>
      <c r="N19" s="141" t="str">
        <f>'MSW17'!N19</f>
        <v/>
      </c>
      <c r="O19" s="51" t="str">
        <f>'MSW17'!O19</f>
        <v>CHEST &amp; BACK </v>
      </c>
      <c r="P19" s="36"/>
      <c r="Q19" s="36"/>
      <c r="R19" s="36"/>
      <c r="S19" s="36"/>
      <c r="T19" s="37"/>
    </row>
    <row r="20">
      <c r="A20" s="225" t="str">
        <f>'MSW17'!A20</f>
        <v>1. BENCH PRESS</v>
      </c>
      <c r="B20" s="13"/>
      <c r="C20" s="13"/>
      <c r="D20" s="13"/>
      <c r="E20" s="13"/>
      <c r="F20" s="57"/>
      <c r="H20" s="52" t="str">
        <f>'MSW17'!H20</f>
        <v>1. DUMBBELL INCLINE PRESS</v>
      </c>
      <c r="I20" s="53"/>
      <c r="J20" s="53"/>
      <c r="K20" s="53"/>
      <c r="L20" s="53"/>
      <c r="M20" s="54"/>
      <c r="O20" s="52" t="str">
        <f>'MSW17'!O20</f>
        <v>1. MACHINE PRESS</v>
      </c>
      <c r="P20" s="53"/>
      <c r="Q20" s="53"/>
      <c r="R20" s="53"/>
      <c r="S20" s="53"/>
      <c r="T20" s="54"/>
    </row>
    <row r="21">
      <c r="A21" s="226" t="str">
        <f>'MSW17'!A21</f>
        <v>CURRENT MAX</v>
      </c>
      <c r="B21" s="227" t="str">
        <f>'MSW17'!B21</f>
        <v/>
      </c>
      <c r="C21" s="20"/>
      <c r="D21" s="20"/>
      <c r="E21" s="20"/>
      <c r="F21" s="95"/>
      <c r="H21" s="228" t="str">
        <f>'MSW17'!H21</f>
        <v>CURRENT MAX</v>
      </c>
      <c r="I21" s="229" t="str">
        <f>'MSW17'!I21</f>
        <v/>
      </c>
      <c r="J21" s="16"/>
      <c r="K21" s="16"/>
      <c r="L21" s="16"/>
      <c r="M21" s="230"/>
      <c r="O21" s="228" t="str">
        <f>'MSW17'!O21</f>
        <v>CURRENT MAX</v>
      </c>
      <c r="P21" s="229" t="str">
        <f>'MSW17'!P21</f>
        <v/>
      </c>
      <c r="Q21" s="16"/>
      <c r="R21" s="16"/>
      <c r="S21" s="16"/>
      <c r="T21" s="230"/>
    </row>
    <row r="22">
      <c r="A22" s="231" t="str">
        <f>'MSW17'!A22</f>
        <v>SET</v>
      </c>
      <c r="B22" s="232" t="str">
        <f>'MSW17'!B22</f>
        <v>WEIGHT</v>
      </c>
      <c r="C22" s="232" t="str">
        <f>'MSW17'!C22</f>
        <v>REPS</v>
      </c>
      <c r="D22" s="232" t="str">
        <f>'MSW17'!D22</f>
        <v>REST</v>
      </c>
      <c r="E22" s="233" t="str">
        <f>'MSW17'!E22</f>
        <v>PREVIOUS</v>
      </c>
      <c r="F22" s="61" t="str">
        <f>'MSW17'!F22</f>
        <v>REP LOG</v>
      </c>
      <c r="H22" s="96" t="str">
        <f>'MSW17'!H22</f>
        <v>SET</v>
      </c>
      <c r="I22" s="97" t="str">
        <f>'MSW17'!I22</f>
        <v>WEIGHT</v>
      </c>
      <c r="J22" s="97" t="str">
        <f>'MSW17'!J22</f>
        <v>REPS</v>
      </c>
      <c r="K22" s="97" t="str">
        <f>'MSW17'!K22</f>
        <v>REST</v>
      </c>
      <c r="L22" s="98" t="str">
        <f>'MSW17'!L22</f>
        <v>PREVIOUS</v>
      </c>
      <c r="M22" s="235" t="str">
        <f>'MSW17'!M22</f>
        <v>REP LOG</v>
      </c>
      <c r="O22" s="96" t="str">
        <f>'MSW17'!O22</f>
        <v>SET</v>
      </c>
      <c r="P22" s="97" t="str">
        <f>'MSW17'!P22</f>
        <v>WEIGHT</v>
      </c>
      <c r="Q22" s="97" t="str">
        <f>'MSW17'!Q22</f>
        <v>REPS</v>
      </c>
      <c r="R22" s="97" t="str">
        <f>'MSW17'!R22</f>
        <v>REST</v>
      </c>
      <c r="S22" s="98" t="str">
        <f>'MSW17'!S22</f>
        <v>PREVIOUS</v>
      </c>
      <c r="T22" s="235" t="str">
        <f>'MSW17'!T22</f>
        <v>REP LOG</v>
      </c>
    </row>
    <row r="23">
      <c r="A23" s="236">
        <f>'MSW17'!A23</f>
        <v>1</v>
      </c>
      <c r="B23" s="237">
        <f>'MSW17'!B23</f>
        <v>0</v>
      </c>
      <c r="C23" s="237">
        <f>'MSW17'!C23</f>
        <v>6</v>
      </c>
      <c r="D23" s="238" t="str">
        <f>'MSW17'!D23</f>
        <v>30s</v>
      </c>
      <c r="E23" s="66" t="str">
        <f>'MSW17'!E23</f>
        <v/>
      </c>
      <c r="F23" s="67"/>
      <c r="H23" s="244">
        <f>'MSW17'!H23</f>
        <v>1</v>
      </c>
      <c r="I23" s="241">
        <f>'MSW17'!I23</f>
        <v>0</v>
      </c>
      <c r="J23" s="63">
        <f>'MSW17'!J23</f>
        <v>6</v>
      </c>
      <c r="K23" s="83" t="str">
        <f>'MSW17'!K23</f>
        <v>1-3 MIN</v>
      </c>
      <c r="L23" s="66" t="str">
        <f>'MSW17'!L23</f>
        <v/>
      </c>
      <c r="M23" s="85" t="str">
        <f>'MSW17'!M23</f>
        <v/>
      </c>
      <c r="O23" s="244">
        <f>'MSW17'!O23</f>
        <v>1</v>
      </c>
      <c r="P23" s="241">
        <f>'MSW17'!P23</f>
        <v>0</v>
      </c>
      <c r="Q23" s="63">
        <f>'MSW17'!Q23</f>
        <v>6</v>
      </c>
      <c r="R23" s="83" t="str">
        <f>'MSW17'!R23</f>
        <v>1-3 MIN</v>
      </c>
      <c r="S23" s="66" t="str">
        <f>'MSW17'!S23</f>
        <v/>
      </c>
      <c r="T23" s="85"/>
    </row>
    <row r="24">
      <c r="A24" s="236">
        <f>'MSW17'!A24</f>
        <v>2</v>
      </c>
      <c r="B24" s="237">
        <f>'MSW17'!B24</f>
        <v>0</v>
      </c>
      <c r="C24" s="237">
        <f>'MSW17'!C24</f>
        <v>1</v>
      </c>
      <c r="D24" s="238" t="str">
        <f>'MSW17'!D24</f>
        <v>1-2 MIN</v>
      </c>
      <c r="E24" s="66" t="str">
        <f>'MSW17'!E24</f>
        <v/>
      </c>
      <c r="F24" s="67"/>
      <c r="G24" s="1129" t="str">
        <f>'MSW17'!G24</f>
        <v>Alternate</v>
      </c>
      <c r="H24" s="240">
        <f>'MSW17'!H24</f>
        <v>2</v>
      </c>
      <c r="I24" s="241">
        <f>'MSW17'!I24</f>
        <v>0</v>
      </c>
      <c r="J24" s="241">
        <f>'MSW17'!J24</f>
        <v>1</v>
      </c>
      <c r="K24" s="83" t="str">
        <f>'MSW17'!K24</f>
        <v>1-3 MIN</v>
      </c>
      <c r="L24" s="66" t="str">
        <f>'MSW17'!L24</f>
        <v/>
      </c>
      <c r="M24" s="85" t="str">
        <f>'MSW17'!M24</f>
        <v/>
      </c>
      <c r="O24" s="240">
        <f>'MSW17'!O24</f>
        <v>2</v>
      </c>
      <c r="P24" s="241">
        <f>'MSW17'!P24</f>
        <v>0</v>
      </c>
      <c r="Q24" s="241">
        <f>'MSW17'!Q24</f>
        <v>1</v>
      </c>
      <c r="R24" s="83" t="str">
        <f>'MSW17'!R24</f>
        <v>1-3 MIN</v>
      </c>
      <c r="S24" s="66" t="str">
        <f>'MSW17'!S24</f>
        <v/>
      </c>
      <c r="T24" s="85"/>
    </row>
    <row r="25">
      <c r="A25" s="242">
        <f>'MSW17'!A25</f>
        <v>3</v>
      </c>
      <c r="B25" s="237">
        <f>'MSW17'!B25</f>
        <v>0</v>
      </c>
      <c r="C25" s="82">
        <f>'MSW17'!C25</f>
        <v>1</v>
      </c>
      <c r="D25" s="238" t="str">
        <f>'MSW17'!D25</f>
        <v>1-2 MIN</v>
      </c>
      <c r="E25" s="66" t="str">
        <f>'MSW17'!E25</f>
        <v/>
      </c>
      <c r="F25" s="67"/>
      <c r="H25" s="240">
        <f>'MSW17'!H25</f>
        <v>3</v>
      </c>
      <c r="I25" s="241">
        <f>'MSW17'!I25</f>
        <v>0</v>
      </c>
      <c r="J25" s="63">
        <f>'MSW17'!J25</f>
        <v>1</v>
      </c>
      <c r="K25" s="83" t="str">
        <f>'MSW17'!K25</f>
        <v>1-3 MIN</v>
      </c>
      <c r="L25" s="66" t="str">
        <f>'MSW17'!L25</f>
        <v/>
      </c>
      <c r="M25" s="85" t="str">
        <f>'MSW17'!M25</f>
        <v/>
      </c>
      <c r="O25" s="240">
        <f>'MSW17'!O25</f>
        <v>3</v>
      </c>
      <c r="P25" s="241">
        <f>'MSW17'!P25</f>
        <v>0</v>
      </c>
      <c r="Q25" s="241">
        <f>'MSW17'!Q25</f>
        <v>1</v>
      </c>
      <c r="R25" s="83" t="str">
        <f>'MSW17'!R25</f>
        <v>1-3 MIN</v>
      </c>
      <c r="S25" s="66" t="str">
        <f>'MSW17'!S25</f>
        <v/>
      </c>
      <c r="T25" s="85"/>
    </row>
    <row r="26">
      <c r="A26" s="243">
        <f>'MSW17'!A26</f>
        <v>4</v>
      </c>
      <c r="B26" s="237" t="str">
        <f>'MSW17'!B26</f>
        <v/>
      </c>
      <c r="C26" s="175">
        <f>'MSW17'!C26</f>
        <v>1</v>
      </c>
      <c r="D26" s="238" t="str">
        <f>'MSW17'!D26</f>
        <v>1-5 MIN</v>
      </c>
      <c r="E26" s="66" t="str">
        <f>'MSW17'!E26</f>
        <v/>
      </c>
      <c r="F26" s="67"/>
      <c r="G26" t="str">
        <f>'MSW17'!G26</f>
        <v/>
      </c>
      <c r="H26" s="240">
        <f>'MSW17'!H26</f>
        <v>4</v>
      </c>
      <c r="I26" s="241">
        <f>'MSW17'!I26</f>
        <v>0</v>
      </c>
      <c r="J26" s="245" t="str">
        <f>'MSW17'!J26</f>
        <v>REP OUT</v>
      </c>
      <c r="K26" s="83" t="str">
        <f>'MSW17'!K26</f>
        <v>1-3 MIN</v>
      </c>
      <c r="L26" s="66" t="str">
        <f>'MSW17'!L26</f>
        <v/>
      </c>
      <c r="M26" s="85" t="str">
        <f>'MSW17'!M26</f>
        <v/>
      </c>
      <c r="O26" s="240">
        <f>'MSW17'!O26</f>
        <v>4</v>
      </c>
      <c r="P26" s="241">
        <f>'MSW17'!P26</f>
        <v>0</v>
      </c>
      <c r="Q26" s="245" t="str">
        <f>'MSW17'!Q26</f>
        <v>REP OUT</v>
      </c>
      <c r="R26" s="83" t="str">
        <f>'MSW17'!R26</f>
        <v>1-3 MIN</v>
      </c>
      <c r="S26" s="66" t="str">
        <f>'MSW17'!S26</f>
        <v/>
      </c>
      <c r="T26" s="85"/>
    </row>
    <row r="27">
      <c r="A27" s="246" t="str">
        <f>'MSW17'!A27</f>
        <v>PROCEED TO DOWN SETS</v>
      </c>
      <c r="B27" s="20"/>
      <c r="C27" s="20"/>
      <c r="D27" s="20"/>
      <c r="E27" s="20"/>
      <c r="F27" s="95"/>
      <c r="H27" s="248" t="str">
        <f>'MSW17'!H27</f>
        <v>PROCEED TO DOWNSETS</v>
      </c>
      <c r="M27" s="28"/>
      <c r="N27" s="247" t="str">
        <f>'MSW17'!N27</f>
        <v>ALTERNATE</v>
      </c>
      <c r="O27" s="248" t="str">
        <f>'MSW17'!O27</f>
        <v>PROCEED TO DOWNSETS</v>
      </c>
      <c r="T27" s="28"/>
    </row>
    <row r="28">
      <c r="A28" s="249" t="str">
        <f>'MSW17'!A28</f>
        <v/>
      </c>
      <c r="B28" s="175" t="str">
        <f>'MSW17'!B28</f>
        <v/>
      </c>
      <c r="C28" s="238" t="str">
        <f>'MSW17'!C28</f>
        <v/>
      </c>
      <c r="D28" s="238" t="str">
        <f>'MSW17'!D28</f>
        <v/>
      </c>
      <c r="E28" s="66" t="str">
        <f>'MSW17'!E28</f>
        <v/>
      </c>
      <c r="F28" s="67" t="str">
        <f>'MSW17'!F28</f>
        <v/>
      </c>
      <c r="H28" s="251" t="str">
        <f>'MSW17'!H28</f>
        <v/>
      </c>
      <c r="I28" s="252" t="str">
        <f>'MSW17'!I28</f>
        <v/>
      </c>
      <c r="J28" s="253" t="str">
        <f>'MSW17'!J28</f>
        <v/>
      </c>
      <c r="K28" s="254" t="str">
        <f>'MSW17'!K28</f>
        <v/>
      </c>
      <c r="L28" s="66" t="str">
        <f>'MSW17'!L28</f>
        <v/>
      </c>
      <c r="M28" s="67" t="str">
        <f>'MSW17'!M28</f>
        <v/>
      </c>
      <c r="O28" s="251" t="str">
        <f>'MSW17'!O28</f>
        <v/>
      </c>
      <c r="P28" s="252" t="str">
        <f>'MSW17'!P28</f>
        <v/>
      </c>
      <c r="Q28" s="253" t="str">
        <f>'MSW17'!Q28</f>
        <v/>
      </c>
      <c r="R28" s="254" t="str">
        <f>'MSW17'!R28</f>
        <v/>
      </c>
      <c r="S28" s="66" t="str">
        <f>'MSW17'!S28</f>
        <v/>
      </c>
      <c r="T28" s="665"/>
    </row>
    <row r="29">
      <c r="A29" s="256" t="str">
        <f>'MSW17'!A29</f>
        <v/>
      </c>
      <c r="B29" s="237" t="str">
        <f>'MSW17'!B29</f>
        <v/>
      </c>
      <c r="C29" s="257" t="str">
        <f>'MSW17'!C29</f>
        <v/>
      </c>
      <c r="D29" s="257" t="str">
        <f>'MSW17'!D29</f>
        <v/>
      </c>
      <c r="E29" s="66" t="str">
        <f>'MSW17'!E29</f>
        <v/>
      </c>
      <c r="F29" s="67" t="str">
        <f>'MSW17'!F29</f>
        <v/>
      </c>
      <c r="H29" s="260" t="str">
        <f>'MSW17'!H29</f>
        <v>FILL OUT REP LOG FIRST</v>
      </c>
      <c r="I29" s="16"/>
      <c r="J29" s="16"/>
      <c r="K29" s="16"/>
      <c r="L29" s="16"/>
      <c r="M29" s="230"/>
      <c r="N29" s="141" t="str">
        <f>'MSW17'!N29</f>
        <v/>
      </c>
      <c r="O29" s="260" t="str">
        <f>'MSW17'!O29</f>
        <v>FILL OUT REP LOG FIRST</v>
      </c>
      <c r="P29" s="16"/>
      <c r="Q29" s="16"/>
      <c r="R29" s="16"/>
      <c r="S29" s="16"/>
      <c r="T29" s="230"/>
    </row>
    <row r="30">
      <c r="A30" s="246" t="str">
        <f>'MSW17'!A30</f>
        <v>FILL OUT REP LOG FOR DOWN SETS</v>
      </c>
      <c r="B30" s="20"/>
      <c r="C30" s="20"/>
      <c r="D30" s="20"/>
      <c r="E30" s="20"/>
      <c r="F30" s="95"/>
      <c r="H30" s="91" t="str">
        <f>'MSW17'!H30</f>
        <v/>
      </c>
      <c r="I30" s="261" t="str">
        <f>'MSW17'!I30</f>
        <v/>
      </c>
      <c r="J30" s="262" t="str">
        <f>'MSW17'!J30</f>
        <v/>
      </c>
      <c r="K30" s="65" t="str">
        <f>'MSW17'!K30</f>
        <v/>
      </c>
      <c r="L30" s="66" t="str">
        <f>'MSW17'!L30</f>
        <v/>
      </c>
      <c r="M30" s="263" t="str">
        <f>'MSW17'!M30</f>
        <v/>
      </c>
      <c r="O30" s="91" t="str">
        <f>'MSW17'!O30</f>
        <v/>
      </c>
      <c r="P30" s="261" t="str">
        <f>'MSW17'!P30</f>
        <v/>
      </c>
      <c r="Q30" s="262" t="str">
        <f>'MSW17'!Q30</f>
        <v/>
      </c>
      <c r="R30" s="65" t="str">
        <f>'MSW17'!R30</f>
        <v/>
      </c>
      <c r="S30" s="66" t="str">
        <f>'MSW17'!S30</f>
        <v/>
      </c>
      <c r="T30" s="263" t="str">
        <f>'MSW17'!T30</f>
        <v/>
      </c>
    </row>
    <row r="31">
      <c r="A31" s="264" t="str">
        <f>'MSW17'!A31</f>
        <v/>
      </c>
      <c r="B31" s="265" t="str">
        <f>'MSW17'!B31</f>
        <v/>
      </c>
      <c r="C31" s="266" t="str">
        <f>'MSW17'!C31</f>
        <v/>
      </c>
      <c r="D31" s="267" t="str">
        <f>'MSW17'!D31</f>
        <v/>
      </c>
      <c r="E31" s="66" t="str">
        <f>'MSW17'!E31</f>
        <v/>
      </c>
      <c r="F31" s="67" t="str">
        <f>'MSW17'!F31</f>
        <v/>
      </c>
      <c r="H31" s="269" t="str">
        <f>'MSW17'!H31</f>
        <v/>
      </c>
      <c r="I31" s="254" t="str">
        <f>'MSW17'!I31</f>
        <v/>
      </c>
      <c r="J31" s="253" t="str">
        <f>'MSW17'!J31</f>
        <v/>
      </c>
      <c r="K31" s="65" t="str">
        <f>'MSW17'!K31</f>
        <v/>
      </c>
      <c r="L31" s="66" t="str">
        <f>'MSW17'!L31</f>
        <v/>
      </c>
      <c r="M31" s="270" t="str">
        <f>'MSW17'!M31</f>
        <v/>
      </c>
      <c r="O31" s="269" t="str">
        <f>'MSW17'!O31</f>
        <v/>
      </c>
      <c r="P31" s="254" t="str">
        <f>'MSW17'!P31</f>
        <v/>
      </c>
      <c r="Q31" s="253" t="str">
        <f>'MSW17'!Q31</f>
        <v/>
      </c>
      <c r="R31" s="65" t="str">
        <f>'MSW17'!R31</f>
        <v/>
      </c>
      <c r="S31" s="66" t="str">
        <f>'MSW17'!S31</f>
        <v/>
      </c>
      <c r="T31" s="270" t="str">
        <f>'MSW17'!T31</f>
        <v/>
      </c>
    </row>
    <row r="32">
      <c r="A32" s="243" t="str">
        <f>'MSW17'!A32</f>
        <v/>
      </c>
      <c r="B32" s="237" t="str">
        <f>'MSW17'!B32</f>
        <v/>
      </c>
      <c r="C32" s="245" t="str">
        <f>'MSW17'!C32</f>
        <v/>
      </c>
      <c r="D32" s="65" t="str">
        <f>'MSW17'!D32</f>
        <v/>
      </c>
      <c r="E32" s="66" t="str">
        <f>'MSW17'!E32</f>
        <v/>
      </c>
      <c r="F32" s="271" t="str">
        <f>'MSW17'!F32</f>
        <v/>
      </c>
      <c r="H32" s="269" t="str">
        <f>'MSW17'!H32</f>
        <v/>
      </c>
      <c r="I32" s="254" t="str">
        <f>'MSW17'!I32</f>
        <v/>
      </c>
      <c r="J32" s="253" t="str">
        <f>'MSW17'!J32</f>
        <v/>
      </c>
      <c r="K32" s="65" t="str">
        <f>'MSW17'!K32</f>
        <v/>
      </c>
      <c r="L32" s="66" t="str">
        <f>'MSW17'!L32</f>
        <v/>
      </c>
      <c r="M32" s="270" t="str">
        <f>'MSW17'!M32</f>
        <v/>
      </c>
      <c r="O32" s="269" t="str">
        <f>'MSW17'!O32</f>
        <v/>
      </c>
      <c r="P32" s="254" t="str">
        <f>'MSW17'!P32</f>
        <v/>
      </c>
      <c r="Q32" s="253" t="str">
        <f>'MSW17'!Q32</f>
        <v/>
      </c>
      <c r="R32" s="65" t="str">
        <f>'MSW17'!R32</f>
        <v/>
      </c>
      <c r="S32" s="66" t="str">
        <f>'MSW17'!S32</f>
        <v/>
      </c>
      <c r="T32" s="263" t="str">
        <f>'MSW17'!T32</f>
        <v/>
      </c>
    </row>
    <row r="33">
      <c r="A33" s="272" t="str">
        <f>'MSW17'!A33</f>
        <v>FINAL MAX</v>
      </c>
      <c r="B33" s="273" t="str">
        <f>'MSW17'!B33</f>
        <v/>
      </c>
      <c r="C33" s="11"/>
      <c r="D33" s="11"/>
      <c r="E33" s="11"/>
      <c r="F33" s="46"/>
      <c r="H33" s="269" t="str">
        <f>'MSW17'!H33</f>
        <v/>
      </c>
      <c r="I33" s="254" t="str">
        <f>'MSW17'!I33</f>
        <v/>
      </c>
      <c r="J33" s="253" t="str">
        <f>'MSW17'!J33</f>
        <v/>
      </c>
      <c r="K33" s="65" t="str">
        <f>'MSW17'!K33</f>
        <v/>
      </c>
      <c r="L33" s="66" t="str">
        <f>'MSW17'!L33</f>
        <v/>
      </c>
      <c r="M33" s="270" t="str">
        <f>'MSW17'!M33</f>
        <v/>
      </c>
      <c r="O33" s="269" t="str">
        <f>'MSW17'!O33</f>
        <v/>
      </c>
      <c r="P33" s="254" t="str">
        <f>'MSW17'!P33</f>
        <v/>
      </c>
      <c r="Q33" s="253" t="str">
        <f>'MSW17'!Q33</f>
        <v/>
      </c>
      <c r="R33" s="65" t="str">
        <f>'MSW17'!R33</f>
        <v/>
      </c>
      <c r="S33" s="66" t="str">
        <f>'MSW17'!S33</f>
        <v/>
      </c>
      <c r="T33" s="263" t="str">
        <f>'MSW17'!T33</f>
        <v/>
      </c>
    </row>
    <row r="34">
      <c r="A34" t="str">
        <f>'MSW17'!A34</f>
        <v/>
      </c>
      <c r="H34" s="280" t="str">
        <f>'MSW17'!H34</f>
        <v>FINAL MAX</v>
      </c>
      <c r="I34" s="273" t="str">
        <f>'MSW17'!I34</f>
        <v/>
      </c>
      <c r="J34" s="11"/>
      <c r="K34" s="11"/>
      <c r="L34" s="11"/>
      <c r="M34" s="46"/>
      <c r="O34" s="280" t="str">
        <f>'MSW17'!O34</f>
        <v>FINAL MAX</v>
      </c>
      <c r="P34" s="273" t="str">
        <f>'MSW17'!P34</f>
        <v/>
      </c>
      <c r="Q34" s="11"/>
      <c r="R34" s="11"/>
      <c r="S34" s="11"/>
      <c r="T34" s="46"/>
    </row>
    <row r="35">
      <c r="A35" s="658" t="str">
        <f>'MSW17'!A35</f>
        <v/>
      </c>
      <c r="O35" t="str">
        <f>'MSW17'!O35</f>
        <v/>
      </c>
    </row>
    <row r="37">
      <c r="A37" s="440" t="str">
        <f>'MSW17'!A37</f>
        <v>2. DUMBBELL CHEST FLY</v>
      </c>
      <c r="B37" s="53"/>
      <c r="C37" s="53"/>
      <c r="D37" s="53"/>
      <c r="E37" s="53"/>
      <c r="F37" s="54"/>
      <c r="G37" s="659" t="str">
        <f>'MSW17'!G37</f>
        <v/>
      </c>
      <c r="H37" s="504" t="str">
        <f>'MSW17'!H37</f>
        <v>2. MACHINE CHEST FLY</v>
      </c>
      <c r="I37" s="53"/>
      <c r="J37" s="53"/>
      <c r="K37" s="53"/>
      <c r="L37" s="53"/>
      <c r="M37" s="54"/>
      <c r="N37" s="660" t="str">
        <f>'MSW17'!N37</f>
        <v/>
      </c>
    </row>
    <row r="38">
      <c r="A38" s="226" t="str">
        <f>'MSW17'!A38</f>
        <v>DB INCL PRSS MAX</v>
      </c>
      <c r="B38" s="548" t="str">
        <f>'MSW17'!B38</f>
        <v/>
      </c>
      <c r="C38" s="13"/>
      <c r="D38" s="13"/>
      <c r="E38" s="13"/>
      <c r="F38" s="57"/>
      <c r="H38" s="226" t="str">
        <f>'MSW17'!H38</f>
        <v>DB INCL PRSS MAX</v>
      </c>
      <c r="I38" s="548" t="str">
        <f>'MSW17'!I38</f>
        <v/>
      </c>
      <c r="J38" s="13"/>
      <c r="K38" s="13"/>
      <c r="L38" s="13"/>
      <c r="M38" s="57"/>
    </row>
    <row r="39">
      <c r="A39" s="96" t="str">
        <f>'MSW17'!A39</f>
        <v>SET</v>
      </c>
      <c r="B39" s="97" t="str">
        <f>'MSW17'!B39</f>
        <v>WEIGHT</v>
      </c>
      <c r="C39" s="97" t="str">
        <f>'MSW17'!C39</f>
        <v>REPS</v>
      </c>
      <c r="D39" s="97" t="str">
        <f>'MSW17'!D39</f>
        <v>REST</v>
      </c>
      <c r="E39" s="98" t="str">
        <f>'MSW17'!E39</f>
        <v>PREVIOUS</v>
      </c>
      <c r="F39" s="235" t="str">
        <f>'MSW17'!F39</f>
        <v>REP LOG</v>
      </c>
      <c r="H39" s="96" t="str">
        <f>'MSW17'!H39</f>
        <v>SET</v>
      </c>
      <c r="I39" s="97" t="str">
        <f>'MSW17'!I39</f>
        <v>WEIGHT</v>
      </c>
      <c r="J39" s="97" t="str">
        <f>'MSW17'!J39</f>
        <v>REPS</v>
      </c>
      <c r="K39" s="97" t="str">
        <f>'MSW17'!K39</f>
        <v>REST</v>
      </c>
      <c r="L39" s="341" t="str">
        <f>'MSW17'!L39</f>
        <v>PREVIOUS</v>
      </c>
      <c r="M39" s="235" t="str">
        <f>'MSW17'!M39</f>
        <v>REP LOG</v>
      </c>
    </row>
    <row r="40">
      <c r="A40" s="240">
        <f>'MSW17'!A40</f>
        <v>1</v>
      </c>
      <c r="B40" s="254">
        <f>'MSW17'!B40</f>
        <v>0</v>
      </c>
      <c r="C40" s="241">
        <f>'MSW17'!C40</f>
        <v>15</v>
      </c>
      <c r="D40" s="83" t="str">
        <f>'MSW17'!D40</f>
        <v>1-3 MIN</v>
      </c>
      <c r="E40" s="84" t="str">
        <f>'MSW17'!E40</f>
        <v/>
      </c>
      <c r="F40" s="85" t="str">
        <f>'MSW17'!F40</f>
        <v/>
      </c>
      <c r="H40" s="240">
        <f>'MSW17'!H40</f>
        <v>1</v>
      </c>
      <c r="I40" s="254">
        <f>'MSW17'!I40</f>
        <v>0</v>
      </c>
      <c r="J40" s="241">
        <f>'MSW17'!J40</f>
        <v>15</v>
      </c>
      <c r="K40" s="83" t="str">
        <f>'MSW17'!K40</f>
        <v>1-3 MIN</v>
      </c>
      <c r="L40" s="84" t="str">
        <f>'MSW17'!L40</f>
        <v/>
      </c>
      <c r="M40" s="85" t="str">
        <f>'MSW17'!M40</f>
        <v/>
      </c>
    </row>
    <row r="41">
      <c r="A41" s="661">
        <f>'MSW17'!A41</f>
        <v>2</v>
      </c>
      <c r="B41" s="662">
        <f>'MSW17'!B41</f>
        <v>0</v>
      </c>
      <c r="C41" s="662">
        <f>'MSW17'!C41</f>
        <v>15</v>
      </c>
      <c r="D41" s="88" t="str">
        <f>'MSW17'!D41</f>
        <v>1-3 MIN</v>
      </c>
      <c r="E41" s="89" t="str">
        <f>'MSW17'!E41</f>
        <v>#REF!</v>
      </c>
      <c r="F41" s="85" t="str">
        <f>'MSW17'!F41</f>
        <v/>
      </c>
      <c r="H41" s="661">
        <f>'MSW17'!H41</f>
        <v>2</v>
      </c>
      <c r="I41" s="662">
        <f>'MSW17'!I41</f>
        <v>0</v>
      </c>
      <c r="J41" s="662">
        <f>'MSW17'!J41</f>
        <v>15</v>
      </c>
      <c r="K41" s="88" t="str">
        <f>'MSW17'!K41</f>
        <v>1-3 MIN</v>
      </c>
      <c r="L41" s="89" t="str">
        <f>'MSW17'!L41</f>
        <v/>
      </c>
      <c r="M41" s="85" t="str">
        <f>'MSW17'!M41</f>
        <v/>
      </c>
    </row>
    <row r="42">
      <c r="A42" t="str">
        <f>'MSW17'!A42</f>
        <v/>
      </c>
      <c r="G42" t="str">
        <f>'MSW17'!G42</f>
        <v/>
      </c>
    </row>
    <row r="44">
      <c r="A44" s="73" t="str">
        <f>'MSW17'!A44</f>
        <v>3. LAT PULL DOWN</v>
      </c>
      <c r="B44" s="53"/>
      <c r="C44" s="53"/>
      <c r="D44" s="53"/>
      <c r="E44" s="53"/>
      <c r="F44" s="54"/>
    </row>
    <row r="45">
      <c r="A45" s="226" t="str">
        <f>'MSW17'!A45</f>
        <v>CURRENT MAX</v>
      </c>
      <c r="B45" s="227" t="str">
        <f>'MSW17'!B45</f>
        <v/>
      </c>
      <c r="C45" s="20"/>
      <c r="D45" s="20"/>
      <c r="E45" s="20"/>
      <c r="F45" s="95"/>
    </row>
    <row r="46">
      <c r="A46" s="231" t="str">
        <f>'MSW17'!A46</f>
        <v>SET</v>
      </c>
      <c r="B46" s="232" t="str">
        <f>'MSW17'!B46</f>
        <v>WEIGHT</v>
      </c>
      <c r="C46" s="232" t="str">
        <f>'MSW17'!C46</f>
        <v>REPS</v>
      </c>
      <c r="D46" s="232" t="str">
        <f>'MSW17'!D46</f>
        <v>REST</v>
      </c>
      <c r="E46" s="233" t="str">
        <f>'MSW17'!E46</f>
        <v>PREVIOUS</v>
      </c>
      <c r="F46" s="61" t="str">
        <f>'MSW17'!F46</f>
        <v>REP LOG</v>
      </c>
    </row>
    <row r="47">
      <c r="A47" s="236">
        <f>'MSW17'!A47</f>
        <v>1</v>
      </c>
      <c r="B47" s="237">
        <f>'MSW17'!B47</f>
        <v>0</v>
      </c>
      <c r="C47" s="238">
        <f>'MSW17'!C47</f>
        <v>6</v>
      </c>
      <c r="D47" s="238" t="str">
        <f>'MSW17'!D47</f>
        <v>30s</v>
      </c>
      <c r="E47" s="84" t="str">
        <f>'MSW17'!E47</f>
        <v/>
      </c>
      <c r="F47" s="67"/>
    </row>
    <row r="48">
      <c r="A48" s="236">
        <f>'MSW17'!A48</f>
        <v>2</v>
      </c>
      <c r="B48" s="237">
        <f>'MSW17'!B48</f>
        <v>0</v>
      </c>
      <c r="C48" s="238">
        <f>'MSW17'!C48</f>
        <v>3</v>
      </c>
      <c r="D48" s="238" t="str">
        <f>'MSW17'!D48</f>
        <v>1-2 MIN</v>
      </c>
      <c r="E48" s="84" t="str">
        <f>'MSW17'!E48</f>
        <v/>
      </c>
      <c r="F48" s="67"/>
    </row>
    <row r="49">
      <c r="A49" s="242">
        <f>'MSW17'!A49</f>
        <v>3</v>
      </c>
      <c r="B49" s="237">
        <f>'MSW17'!B49</f>
        <v>0</v>
      </c>
      <c r="C49" s="63">
        <f>'MSW17'!C49</f>
        <v>2</v>
      </c>
      <c r="D49" s="238" t="str">
        <f>'MSW17'!D49</f>
        <v>1-2 MIN</v>
      </c>
      <c r="E49" s="84" t="str">
        <f>'MSW17'!E49</f>
        <v/>
      </c>
      <c r="F49" s="67"/>
    </row>
    <row r="50">
      <c r="A50" s="243">
        <f>'MSW17'!A50</f>
        <v>4</v>
      </c>
      <c r="B50" s="237" t="str">
        <f>'MSW17'!B50</f>
        <v/>
      </c>
      <c r="C50" s="257">
        <f>'MSW17'!C50</f>
        <v>3</v>
      </c>
      <c r="D50" s="238" t="str">
        <f>'MSW17'!D50</f>
        <v>1-5 MIN</v>
      </c>
      <c r="E50" s="84" t="str">
        <f>'MSW17'!E50</f>
        <v/>
      </c>
      <c r="F50" s="67"/>
    </row>
    <row r="51">
      <c r="A51" s="246" t="str">
        <f>'MSW17'!A51</f>
        <v>PROCEED TO DOWN SETS</v>
      </c>
      <c r="B51" s="20"/>
      <c r="C51" s="20"/>
      <c r="D51" s="20"/>
      <c r="E51" s="20"/>
      <c r="F51" s="95"/>
    </row>
    <row r="52">
      <c r="A52" s="249" t="str">
        <f>'MSW17'!A52</f>
        <v/>
      </c>
      <c r="B52" s="175" t="str">
        <f>'MSW17'!B52</f>
        <v/>
      </c>
      <c r="C52" s="238" t="str">
        <f>'MSW17'!C52</f>
        <v/>
      </c>
      <c r="D52" s="238" t="str">
        <f>'MSW17'!D52</f>
        <v/>
      </c>
      <c r="E52" s="84" t="str">
        <f>'MSW17'!E52</f>
        <v/>
      </c>
      <c r="F52" s="67"/>
    </row>
    <row r="53">
      <c r="A53" s="256" t="str">
        <f>'MSW17'!A53</f>
        <v/>
      </c>
      <c r="B53" s="237" t="str">
        <f>'MSW17'!B53</f>
        <v/>
      </c>
      <c r="C53" s="257" t="str">
        <f>'MSW17'!C53</f>
        <v/>
      </c>
      <c r="D53" s="257" t="str">
        <f>'MSW17'!D53</f>
        <v/>
      </c>
      <c r="E53" s="84" t="str">
        <f>'MSW17'!E53</f>
        <v/>
      </c>
      <c r="F53" s="67"/>
    </row>
    <row r="54">
      <c r="A54" s="246" t="str">
        <f>'MSW17'!A54</f>
        <v>FILL OUT REP LOG FOR DOWN SETS</v>
      </c>
      <c r="B54" s="20"/>
      <c r="C54" s="20"/>
      <c r="D54" s="20"/>
      <c r="E54" s="20"/>
      <c r="F54" s="95"/>
    </row>
    <row r="55">
      <c r="A55" s="264" t="str">
        <f>'MSW17'!A55</f>
        <v/>
      </c>
      <c r="B55" s="265">
        <f>'MSW17'!B55</f>
        <v>0</v>
      </c>
      <c r="C55" s="266" t="str">
        <f>'MSW17'!C55</f>
        <v>REP OUT</v>
      </c>
      <c r="D55" s="267" t="str">
        <f>'MSW17'!D55</f>
        <v>1-3 MIN</v>
      </c>
      <c r="E55" s="84" t="str">
        <f>'MSW17'!E55</f>
        <v/>
      </c>
      <c r="F55" s="67"/>
    </row>
    <row r="56">
      <c r="A56" s="243" t="str">
        <f>'MSW17'!A56</f>
        <v/>
      </c>
      <c r="B56" s="237">
        <f>'MSW17'!B56</f>
        <v>0</v>
      </c>
      <c r="C56" s="245" t="str">
        <f>'MSW17'!C56</f>
        <v>REP OUT</v>
      </c>
      <c r="D56" s="65" t="str">
        <f>'MSW17'!D56</f>
        <v>1-3 MIN</v>
      </c>
      <c r="E56" s="84" t="str">
        <f>'MSW17'!E56</f>
        <v/>
      </c>
      <c r="F56" s="271" t="str">
        <f>'MSW17'!F56</f>
        <v/>
      </c>
    </row>
    <row r="57">
      <c r="A57" s="272" t="str">
        <f>'MSW17'!A57</f>
        <v>FINAL MAX</v>
      </c>
      <c r="B57" s="273" t="str">
        <f>'MSW17'!B57</f>
        <v/>
      </c>
      <c r="C57" s="11"/>
      <c r="D57" s="11"/>
      <c r="E57" s="11"/>
      <c r="F57" s="46"/>
    </row>
    <row r="58">
      <c r="A58" s="302" t="str">
        <f>'MSW17'!A58</f>
        <v/>
      </c>
    </row>
    <row r="60">
      <c r="A60" s="73" t="str">
        <f>'MSW17'!A60</f>
        <v>4. MACHINE LOW ROW</v>
      </c>
      <c r="B60" s="53"/>
      <c r="C60" s="53"/>
      <c r="D60" s="53"/>
      <c r="E60" s="53"/>
      <c r="F60" s="54"/>
    </row>
    <row r="61">
      <c r="A61" s="282" t="str">
        <f>'MSW17'!A61</f>
        <v>CURRENT MAX</v>
      </c>
      <c r="B61" s="56">
        <f>'MSW17'!B61</f>
        <v>265</v>
      </c>
      <c r="C61" s="13"/>
      <c r="D61" s="13"/>
      <c r="E61" s="13"/>
      <c r="F61" s="57"/>
    </row>
    <row r="62">
      <c r="A62" s="58" t="str">
        <f>'MSW17'!A62</f>
        <v>SET</v>
      </c>
      <c r="B62" s="59" t="str">
        <f>'MSW17'!B62</f>
        <v>WEIGHT</v>
      </c>
      <c r="C62" s="59" t="str">
        <f>'MSW17'!C62</f>
        <v>REPS</v>
      </c>
      <c r="D62" s="59" t="str">
        <f>'MSW17'!D62</f>
        <v>REST</v>
      </c>
      <c r="E62" s="60" t="str">
        <f>'MSW17'!E62</f>
        <v>PREVIOUS</v>
      </c>
      <c r="F62" s="61" t="str">
        <f>'MSW17'!F62</f>
        <v>REP LOG</v>
      </c>
    </row>
    <row r="63">
      <c r="A63" s="62">
        <f>'MSW17'!A63</f>
        <v>1</v>
      </c>
      <c r="B63" s="63">
        <f>'MSW17'!B63</f>
        <v>225</v>
      </c>
      <c r="C63" s="104" t="str">
        <f>'MSW17'!C63</f>
        <v>REP OUT</v>
      </c>
      <c r="D63" s="65" t="str">
        <f>'MSW17'!D63</f>
        <v>1 MIN</v>
      </c>
      <c r="E63" s="84" t="str">
        <f>'MSW17'!E63</f>
        <v/>
      </c>
      <c r="F63" s="67"/>
    </row>
    <row r="64">
      <c r="A64" s="62">
        <f>'MSW17'!A64</f>
        <v>2</v>
      </c>
      <c r="B64" s="63">
        <f>'MSW17'!B64</f>
        <v>195</v>
      </c>
      <c r="C64" s="104" t="str">
        <f>'MSW17'!C64</f>
        <v>REP OUT</v>
      </c>
      <c r="D64" s="65" t="str">
        <f>'MSW17'!D64</f>
        <v>1 MIN</v>
      </c>
      <c r="E64" s="84" t="str">
        <f>'MSW17'!E64</f>
        <v/>
      </c>
      <c r="F64" s="67"/>
    </row>
    <row r="65">
      <c r="A65" s="68">
        <f>'MSW17'!A65</f>
        <v>3</v>
      </c>
      <c r="B65" s="69">
        <f>'MSW17'!B65</f>
        <v>170</v>
      </c>
      <c r="C65" s="105" t="str">
        <f>'MSW17'!C65</f>
        <v>REP OUT</v>
      </c>
      <c r="D65" s="71" t="str">
        <f>'MSW17'!D65</f>
        <v>1 MIN</v>
      </c>
      <c r="E65" s="89" t="str">
        <f>'MSW17'!E65</f>
        <v/>
      </c>
      <c r="F65" s="67"/>
    </row>
    <row r="66">
      <c r="A66" s="103" t="str">
        <f>'MSW17'!A66</f>
        <v/>
      </c>
    </row>
    <row r="68">
      <c r="A68" s="73" t="str">
        <f>'MSW17'!A68</f>
        <v>5. MACHINE HIGH ROW</v>
      </c>
      <c r="B68" s="53"/>
      <c r="C68" s="53"/>
      <c r="D68" s="53"/>
      <c r="E68" s="53"/>
      <c r="F68" s="54"/>
    </row>
    <row r="69">
      <c r="A69" s="282" t="str">
        <f>'MSW17'!A69</f>
        <v>CURRENT MAX</v>
      </c>
      <c r="B69" s="56" t="str">
        <f>'MSW17'!B69</f>
        <v/>
      </c>
      <c r="C69" s="13"/>
      <c r="D69" s="13"/>
      <c r="E69" s="13"/>
      <c r="F69" s="57"/>
    </row>
    <row r="70">
      <c r="A70" s="58" t="str">
        <f>'MSW17'!A70</f>
        <v>SET</v>
      </c>
      <c r="B70" s="59" t="str">
        <f>'MSW17'!B70</f>
        <v>WEIGHT</v>
      </c>
      <c r="C70" s="59" t="str">
        <f>'MSW17'!C70</f>
        <v>REPS</v>
      </c>
      <c r="D70" s="59" t="str">
        <f>'MSW17'!D70</f>
        <v>REST</v>
      </c>
      <c r="E70" s="60" t="str">
        <f>'MSW17'!E70</f>
        <v>PREVIOUS</v>
      </c>
      <c r="F70" s="61" t="str">
        <f>'MSW17'!F70</f>
        <v>REP LOG</v>
      </c>
    </row>
    <row r="71">
      <c r="A71" s="62">
        <f>'MSW17'!A71</f>
        <v>1</v>
      </c>
      <c r="B71" s="63">
        <f>'MSW17'!B71</f>
        <v>0</v>
      </c>
      <c r="C71" s="104" t="str">
        <f>'MSW17'!C71</f>
        <v>REP OUT</v>
      </c>
      <c r="D71" s="65" t="str">
        <f>'MSW17'!D71</f>
        <v>1 MIN</v>
      </c>
      <c r="E71" s="84" t="str">
        <f>'MSW17'!E71</f>
        <v/>
      </c>
      <c r="F71" s="67"/>
    </row>
    <row r="72">
      <c r="A72" s="62">
        <f>'MSW17'!A72</f>
        <v>2</v>
      </c>
      <c r="B72" s="63">
        <f>'MSW17'!B72</f>
        <v>0</v>
      </c>
      <c r="C72" s="104" t="str">
        <f>'MSW17'!C72</f>
        <v>REP OUT</v>
      </c>
      <c r="D72" s="65" t="str">
        <f>'MSW17'!D72</f>
        <v>1 MIN</v>
      </c>
      <c r="E72" s="84" t="str">
        <f>'MSW17'!E72</f>
        <v/>
      </c>
      <c r="F72" s="67"/>
    </row>
    <row r="73">
      <c r="A73" s="68">
        <f>'MSW17'!A73</f>
        <v>3</v>
      </c>
      <c r="B73" s="87">
        <f>'MSW17'!B73</f>
        <v>0</v>
      </c>
      <c r="C73" s="105" t="str">
        <f>'MSW17'!C73</f>
        <v>REP OUT</v>
      </c>
      <c r="D73" s="309" t="str">
        <f>'MSW17'!D73</f>
        <v>1 MIN</v>
      </c>
      <c r="E73" s="89" t="str">
        <f>'MSW17'!E73</f>
        <v/>
      </c>
      <c r="F73" s="67"/>
    </row>
    <row r="74">
      <c r="A74" s="103" t="str">
        <f>'MSW17'!A74</f>
        <v/>
      </c>
    </row>
    <row r="75">
      <c r="A75" s="310" t="str">
        <f>'MSW17'!A75</f>
        <v>CLICK TO COMPLETE WORKOUT</v>
      </c>
      <c r="B75" s="36"/>
      <c r="C75" s="36"/>
      <c r="D75" s="36"/>
      <c r="E75" s="36"/>
      <c r="F75" s="37"/>
    </row>
    <row r="76">
      <c r="A76" t="str">
        <f>'MSW17'!A76</f>
        <v/>
      </c>
    </row>
    <row r="77">
      <c r="A77" s="224" t="str">
        <f>'MSW17'!A77</f>
        <v>DAY 2 </v>
      </c>
      <c r="B77" s="36"/>
      <c r="C77" s="36"/>
      <c r="D77" s="36"/>
      <c r="E77" s="36"/>
      <c r="F77" s="37"/>
    </row>
    <row r="78">
      <c r="A78" t="str">
        <f>'MSW17'!A78</f>
        <v/>
      </c>
    </row>
    <row r="80">
      <c r="A80" s="1355" t="str">
        <f>'MSW17'!A80</f>
        <v>1. MACHINE SQUAT</v>
      </c>
      <c r="B80" s="53"/>
      <c r="C80" s="53"/>
      <c r="D80" s="53"/>
      <c r="E80" s="53"/>
      <c r="F80" s="54"/>
    </row>
    <row r="81">
      <c r="A81" s="1262" t="str">
        <f>'MSW17'!A81</f>
        <v>6 REP MAX</v>
      </c>
      <c r="B81" s="1463">
        <f>'MSW17'!B81</f>
        <v>105</v>
      </c>
      <c r="F81" s="28"/>
    </row>
    <row r="82">
      <c r="A82" s="231" t="str">
        <f>'MSW17'!A82</f>
        <v>SET</v>
      </c>
      <c r="B82" s="232" t="str">
        <f>'MSW17'!B82</f>
        <v>WEIGHT</v>
      </c>
      <c r="C82" s="232" t="str">
        <f>'MSW17'!C82</f>
        <v>REPS</v>
      </c>
      <c r="D82" s="232" t="str">
        <f>'MSW17'!D82</f>
        <v>REST</v>
      </c>
      <c r="E82" s="233" t="str">
        <f>'MSW17'!E82</f>
        <v>PREVIOUS</v>
      </c>
      <c r="F82" s="61" t="str">
        <f>'MSW17'!F82</f>
        <v>REP LOG</v>
      </c>
    </row>
    <row r="83">
      <c r="A83" s="236">
        <f>'MSW17'!A83</f>
        <v>1</v>
      </c>
      <c r="B83" s="237">
        <f>'MSW17'!B83</f>
        <v>35</v>
      </c>
      <c r="C83" s="238">
        <f>'MSW17'!C83</f>
        <v>10</v>
      </c>
      <c r="D83" s="238" t="str">
        <f>'MSW17'!D83</f>
        <v>30s</v>
      </c>
      <c r="E83" s="66" t="str">
        <f>'MSW17'!E83</f>
        <v/>
      </c>
      <c r="F83" s="67"/>
    </row>
    <row r="84">
      <c r="A84" s="236">
        <f>'MSW17'!A84</f>
        <v>2</v>
      </c>
      <c r="B84" s="237">
        <f>'MSW17'!B84</f>
        <v>70</v>
      </c>
      <c r="C84" s="238">
        <f>'MSW17'!C84</f>
        <v>10</v>
      </c>
      <c r="D84" s="238" t="str">
        <f>'MSW17'!D84</f>
        <v>1-2 MIN</v>
      </c>
      <c r="E84" s="66" t="str">
        <f>'MSW17'!E84</f>
        <v/>
      </c>
      <c r="F84" s="67"/>
    </row>
    <row r="85">
      <c r="A85" s="242">
        <f>'MSW17'!A85</f>
        <v>3</v>
      </c>
      <c r="B85" s="237">
        <f>'MSW17'!B85</f>
        <v>95</v>
      </c>
      <c r="C85" s="238">
        <f>'MSW17'!C85</f>
        <v>10</v>
      </c>
      <c r="D85" s="238" t="str">
        <f>'MSW17'!D85</f>
        <v>1-2 MIN</v>
      </c>
      <c r="E85" s="66" t="str">
        <f>'MSW17'!E85</f>
        <v/>
      </c>
      <c r="F85" s="67"/>
    </row>
    <row r="86">
      <c r="A86" s="249">
        <f>'MSW17'!A86</f>
        <v>4</v>
      </c>
      <c r="B86" s="175">
        <f>'MSW17'!B86</f>
        <v>75</v>
      </c>
      <c r="C86" s="238">
        <f>'MSW17'!C86</f>
        <v>10</v>
      </c>
      <c r="D86" s="238" t="str">
        <f>'MSW17'!D86</f>
        <v>1-5 MIN</v>
      </c>
      <c r="E86" s="66" t="str">
        <f>'MSW17'!E86</f>
        <v/>
      </c>
      <c r="F86" s="67"/>
    </row>
    <row r="87">
      <c r="A87" s="249">
        <f>'MSW17'!A87</f>
        <v>5</v>
      </c>
      <c r="B87" s="175">
        <f>'MSW17'!B87</f>
        <v>60</v>
      </c>
      <c r="C87" s="238">
        <f>'MSW17'!C87</f>
        <v>10</v>
      </c>
      <c r="D87" s="238" t="str">
        <f>'MSW17'!D87</f>
        <v>1-5 MIN</v>
      </c>
      <c r="E87" s="1108" t="str">
        <f>'MSW17'!E87</f>
        <v/>
      </c>
      <c r="F87" s="1037"/>
    </row>
    <row r="88">
      <c r="A88" s="249">
        <f>'MSW17'!A88</f>
        <v>6</v>
      </c>
      <c r="B88" s="175">
        <f>'MSW17'!B88</f>
        <v>50</v>
      </c>
      <c r="C88" s="238">
        <f>'MSW17'!C88</f>
        <v>10</v>
      </c>
      <c r="D88" s="238" t="str">
        <f>'MSW17'!D88</f>
        <v>1-5 MIN</v>
      </c>
      <c r="E88" s="1108" t="str">
        <f>'MSW17'!E88</f>
        <v/>
      </c>
      <c r="F88" s="67"/>
    </row>
    <row r="89">
      <c r="A89" s="1038">
        <f>'MSW17'!A89</f>
        <v>7</v>
      </c>
      <c r="B89" s="175">
        <f>'MSW17'!B89</f>
        <v>40</v>
      </c>
      <c r="C89" s="238">
        <f>'MSW17'!C89</f>
        <v>10</v>
      </c>
      <c r="D89" s="238" t="str">
        <f>'MSW17'!D89</f>
        <v>1-5 MIN</v>
      </c>
      <c r="E89" s="1108" t="str">
        <f>'MSW17'!E89</f>
        <v/>
      </c>
      <c r="F89" s="67"/>
    </row>
    <row r="90">
      <c r="A90" s="249">
        <f>'MSW17'!A90</f>
        <v>8</v>
      </c>
      <c r="B90" s="175">
        <f>'MSW17'!B90</f>
        <v>30</v>
      </c>
      <c r="C90" s="238">
        <f>'MSW17'!C90</f>
        <v>10</v>
      </c>
      <c r="D90" s="238" t="str">
        <f>'MSW17'!D90</f>
        <v>1-5 MIN</v>
      </c>
      <c r="E90" s="1108" t="str">
        <f>'MSW17'!E90</f>
        <v/>
      </c>
      <c r="F90" s="67"/>
    </row>
    <row r="91">
      <c r="A91" s="1038">
        <f>'MSW17'!A91</f>
        <v>9</v>
      </c>
      <c r="B91" s="175">
        <f>'MSW17'!B91</f>
        <v>25</v>
      </c>
      <c r="C91" s="238">
        <f>'MSW17'!C91</f>
        <v>10</v>
      </c>
      <c r="D91" s="238" t="str">
        <f>'MSW17'!D91</f>
        <v>1-5 MIN</v>
      </c>
      <c r="E91" s="1108" t="str">
        <f>'MSW17'!E91</f>
        <v/>
      </c>
      <c r="F91" s="67"/>
    </row>
    <row r="92">
      <c r="A92" s="1038" t="str">
        <f>'MSW17'!A92</f>
        <v>10</v>
      </c>
      <c r="B92" s="175">
        <f>'MSW17'!B92</f>
        <v>20</v>
      </c>
      <c r="C92" s="238">
        <f>'MSW17'!C92</f>
        <v>10</v>
      </c>
      <c r="D92" s="238" t="str">
        <f>'MSW17'!D92</f>
        <v>1-5 MIN</v>
      </c>
      <c r="E92" s="1108" t="str">
        <f>'MSW17'!E92</f>
        <v/>
      </c>
      <c r="F92" s="67"/>
    </row>
    <row r="93">
      <c r="A93" s="272" t="str">
        <f>'MSW17'!A93</f>
        <v>5 REP MAX</v>
      </c>
      <c r="B93" s="1109">
        <f>'MSW17'!B93</f>
        <v>105</v>
      </c>
      <c r="C93" s="11"/>
      <c r="D93" s="11"/>
      <c r="E93" s="11"/>
      <c r="F93" s="46"/>
    </row>
    <row r="94">
      <c r="A94" t="str">
        <f>'MSW17'!A94</f>
        <v/>
      </c>
    </row>
    <row r="96">
      <c r="A96" s="1285" t="str">
        <f>'MSW17'!A96</f>
        <v>2. LEG EXTENSION</v>
      </c>
      <c r="B96" s="53"/>
      <c r="C96" s="53"/>
      <c r="D96" s="53"/>
      <c r="E96" s="53"/>
      <c r="F96" s="54"/>
    </row>
    <row r="97">
      <c r="A97" s="1045" t="str">
        <f>'MSW17'!A97</f>
        <v>CURRENT MAX</v>
      </c>
      <c r="B97" s="1367">
        <f>'MSW17'!B97</f>
        <v>50</v>
      </c>
      <c r="C97" s="20"/>
      <c r="D97" s="20"/>
      <c r="E97" s="20"/>
      <c r="F97" s="95"/>
    </row>
    <row r="98">
      <c r="A98" s="567" t="str">
        <f>'MSW17'!A98</f>
        <v>SET</v>
      </c>
      <c r="B98" s="568" t="str">
        <f>'MSW17'!B98</f>
        <v>WEIGHT</v>
      </c>
      <c r="C98" s="568" t="str">
        <f>'MSW17'!C98</f>
        <v>REPS</v>
      </c>
      <c r="D98" s="568" t="str">
        <f>'MSW17'!D98</f>
        <v>REST</v>
      </c>
      <c r="E98" s="1047" t="str">
        <f>'MSW17'!E98</f>
        <v>PREVIOUS</v>
      </c>
      <c r="F98" s="1048" t="str">
        <f>'MSW17'!F98</f>
        <v>REP LOG</v>
      </c>
    </row>
    <row r="99">
      <c r="A99" s="1049">
        <f>'MSW17'!A99</f>
        <v>1</v>
      </c>
      <c r="B99" s="1050">
        <f>'MSW17'!B99</f>
        <v>50</v>
      </c>
      <c r="C99" s="1051" t="str">
        <f>'MSW17'!C99</f>
        <v>10 - 15</v>
      </c>
      <c r="D99" s="1430" t="str">
        <f>'MSW17'!D99</f>
        <v>1-2 MIN</v>
      </c>
      <c r="E99" s="1130" t="str">
        <f>'MSW17'!E99</f>
        <v/>
      </c>
      <c r="F99" s="1017" t="str">
        <f>'MSW17'!F99</f>
        <v/>
      </c>
    </row>
    <row r="100">
      <c r="A100" s="1049">
        <f>'MSW17'!A100</f>
        <v>2</v>
      </c>
      <c r="B100" s="1050">
        <f>'MSW17'!B100</f>
        <v>40</v>
      </c>
      <c r="C100" s="1051" t="str">
        <f>'MSW17'!C100</f>
        <v>10 - 15</v>
      </c>
      <c r="D100" s="1430" t="str">
        <f>'MSW17'!D100</f>
        <v>1-2 MIN</v>
      </c>
      <c r="E100" s="1130" t="str">
        <f>'MSW17'!E100</f>
        <v/>
      </c>
      <c r="F100" s="1017" t="str">
        <f>'MSW17'!F100</f>
        <v/>
      </c>
    </row>
    <row r="101">
      <c r="A101" s="1053">
        <f>'MSW17'!A101</f>
        <v>3</v>
      </c>
      <c r="B101" s="1054">
        <f>'MSW17'!B101</f>
        <v>30</v>
      </c>
      <c r="C101" s="1055" t="str">
        <f>'MSW17'!C101</f>
        <v>10 - 15</v>
      </c>
      <c r="D101" s="1453" t="str">
        <f>'MSW17'!D101</f>
        <v>1-2 MIN</v>
      </c>
      <c r="E101" s="1348" t="str">
        <f>'MSW17'!E101</f>
        <v/>
      </c>
      <c r="F101" s="1017" t="str">
        <f>'MSW17'!F101</f>
        <v/>
      </c>
    </row>
    <row r="102">
      <c r="A102" t="str">
        <f>'MSW17'!A102</f>
        <v/>
      </c>
    </row>
    <row r="104">
      <c r="A104" s="323" t="str">
        <f>'MSW17'!A104</f>
        <v>3. MACHINE LEG CURL</v>
      </c>
      <c r="B104" s="53"/>
      <c r="C104" s="53"/>
      <c r="D104" s="53"/>
      <c r="E104" s="53"/>
      <c r="F104" s="54"/>
      <c r="G104" s="141" t="str">
        <f>'MSW17'!G104</f>
        <v/>
      </c>
      <c r="H104" s="323" t="str">
        <f>'MSW17'!H104</f>
        <v>3. PRONE LEG CURL</v>
      </c>
      <c r="I104" s="53"/>
      <c r="J104" s="53"/>
      <c r="K104" s="53"/>
      <c r="L104" s="53"/>
      <c r="M104" s="54"/>
    </row>
    <row r="105">
      <c r="A105" s="1045" t="str">
        <f>'MSW17'!A105</f>
        <v>CURRENT MAX</v>
      </c>
      <c r="B105" s="1367">
        <f>'MSW17'!B105</f>
        <v>50</v>
      </c>
      <c r="C105" s="20"/>
      <c r="D105" s="20"/>
      <c r="E105" s="20"/>
      <c r="F105" s="95"/>
      <c r="H105" s="1045" t="str">
        <f>'MSW17'!H105</f>
        <v>CURRENT MAX</v>
      </c>
      <c r="I105" s="1046">
        <f>'MSW17'!I105</f>
        <v>50</v>
      </c>
      <c r="J105" s="13"/>
      <c r="K105" s="13"/>
      <c r="L105" s="13"/>
      <c r="M105" s="57"/>
    </row>
    <row r="106">
      <c r="A106" s="567" t="str">
        <f>'MSW17'!A106</f>
        <v>SET</v>
      </c>
      <c r="B106" s="568" t="str">
        <f>'MSW17'!B106</f>
        <v>WEIGHT</v>
      </c>
      <c r="C106" s="568" t="str">
        <f>'MSW17'!C106</f>
        <v>REPS</v>
      </c>
      <c r="D106" s="568" t="str">
        <f>'MSW17'!D106</f>
        <v>REST</v>
      </c>
      <c r="E106" s="1047" t="str">
        <f>'MSW17'!E106</f>
        <v>PREVIOUS</v>
      </c>
      <c r="F106" s="1048" t="str">
        <f>'MSW17'!F106</f>
        <v>REP LOG</v>
      </c>
      <c r="H106" s="567" t="str">
        <f>'MSW17'!H106</f>
        <v>SET</v>
      </c>
      <c r="I106" s="568" t="str">
        <f>'MSW17'!I106</f>
        <v>WEIGHT</v>
      </c>
      <c r="J106" s="568" t="str">
        <f>'MSW17'!J106</f>
        <v>REPS</v>
      </c>
      <c r="K106" s="568" t="str">
        <f>'MSW17'!K106</f>
        <v>REST</v>
      </c>
      <c r="L106" s="1047" t="str">
        <f>'MSW17'!L106</f>
        <v>PREVIOUS</v>
      </c>
      <c r="M106" s="1048" t="str">
        <f>'MSW17'!M106</f>
        <v>REP LOG</v>
      </c>
    </row>
    <row r="107">
      <c r="A107" s="1049">
        <f>'MSW17'!A107</f>
        <v>1</v>
      </c>
      <c r="B107" s="1050">
        <f>'MSW17'!B107</f>
        <v>0</v>
      </c>
      <c r="C107" s="1051" t="str">
        <f>'MSW17'!C107</f>
        <v>10 - 15</v>
      </c>
      <c r="D107" s="1430" t="str">
        <f>'MSW17'!D107</f>
        <v>1-2 MIN</v>
      </c>
      <c r="E107" s="1130" t="str">
        <f>'MSW17'!E107</f>
        <v/>
      </c>
      <c r="F107" s="1017" t="str">
        <f>'MSW17'!F107</f>
        <v/>
      </c>
      <c r="G107" s="434" t="str">
        <f>'MSW17'!G107</f>
        <v>ALTERNATE</v>
      </c>
      <c r="H107" s="1049">
        <f>'MSW17'!H107</f>
        <v>1</v>
      </c>
      <c r="I107" s="1050">
        <f>'MSW17'!I107</f>
        <v>50</v>
      </c>
      <c r="J107" s="1051" t="str">
        <f>'MSW17'!J107</f>
        <v>10 - 15</v>
      </c>
      <c r="K107" s="1430" t="str">
        <f>'MSW17'!K107</f>
        <v>1-2 MIN</v>
      </c>
      <c r="L107" s="1130" t="str">
        <f>'MSW17'!L107</f>
        <v/>
      </c>
      <c r="M107" s="1017" t="str">
        <f>'MSW17'!M107</f>
        <v/>
      </c>
    </row>
    <row r="108">
      <c r="A108" s="1049">
        <f>'MSW17'!A108</f>
        <v>2</v>
      </c>
      <c r="B108" s="1050">
        <f>'MSW17'!B108</f>
        <v>0</v>
      </c>
      <c r="C108" s="1051" t="str">
        <f>'MSW17'!C108</f>
        <v>10 - 15</v>
      </c>
      <c r="D108" s="1430" t="str">
        <f>'MSW17'!D108</f>
        <v>1-2 MIN</v>
      </c>
      <c r="E108" s="1130" t="str">
        <f>'MSW17'!E108</f>
        <v/>
      </c>
      <c r="F108" s="1017" t="str">
        <f>'MSW17'!F108</f>
        <v/>
      </c>
      <c r="H108" s="1049">
        <f>'MSW17'!H108</f>
        <v>2</v>
      </c>
      <c r="I108" s="1050">
        <f>'MSW17'!I108</f>
        <v>40</v>
      </c>
      <c r="J108" s="1051" t="str">
        <f>'MSW17'!J108</f>
        <v>10 - 15</v>
      </c>
      <c r="K108" s="1430" t="str">
        <f>'MSW17'!K108</f>
        <v>1-2 MIN</v>
      </c>
      <c r="L108" s="1130" t="str">
        <f>'MSW17'!L108</f>
        <v/>
      </c>
      <c r="M108" s="1017" t="str">
        <f>'MSW17'!M108</f>
        <v/>
      </c>
    </row>
    <row r="109">
      <c r="A109" s="1053">
        <f>'MSW17'!A109</f>
        <v>3</v>
      </c>
      <c r="B109" s="1054">
        <f>'MSW17'!B109</f>
        <v>0</v>
      </c>
      <c r="C109" s="1055" t="str">
        <f>'MSW17'!C109</f>
        <v>10 - 15</v>
      </c>
      <c r="D109" s="1453" t="str">
        <f>'MSW17'!D109</f>
        <v>1-2 MIN</v>
      </c>
      <c r="E109" s="1348" t="str">
        <f>'MSW17'!E109</f>
        <v/>
      </c>
      <c r="F109" s="1017" t="str">
        <f>'MSW17'!F109</f>
        <v/>
      </c>
      <c r="G109" s="682" t="str">
        <f>'MSW17'!G109</f>
        <v/>
      </c>
      <c r="H109" s="1053">
        <f>'MSW17'!H109</f>
        <v>3</v>
      </c>
      <c r="I109" s="1054">
        <f>'MSW17'!I109</f>
        <v>30</v>
      </c>
      <c r="J109" s="1055" t="str">
        <f>'MSW17'!J109</f>
        <v>10 - 15</v>
      </c>
      <c r="K109" s="1453" t="str">
        <f>'MSW17'!K109</f>
        <v>1-2 MIN</v>
      </c>
      <c r="L109" s="1348" t="str">
        <f>'MSW17'!L109</f>
        <v/>
      </c>
      <c r="M109" s="1017" t="str">
        <f>'MSW17'!M109</f>
        <v/>
      </c>
    </row>
    <row r="110">
      <c r="A110" s="849" t="str">
        <f>'MSW17'!A110</f>
        <v/>
      </c>
      <c r="H110" s="849" t="str">
        <f>'MSW17'!H110</f>
        <v/>
      </c>
    </row>
    <row r="112">
      <c r="A112" s="1120" t="str">
        <f>'MSW17'!A112</f>
        <v>DAY 3</v>
      </c>
      <c r="B112" s="36"/>
      <c r="C112" s="36"/>
      <c r="D112" s="36"/>
      <c r="E112" s="36"/>
      <c r="F112" s="37"/>
    </row>
    <row r="113">
      <c r="A113" t="str">
        <f>'MSW17'!A113</f>
        <v/>
      </c>
    </row>
    <row r="115">
      <c r="A115" s="51" t="str">
        <f>'MSW17'!A115</f>
        <v>SHOULDERS &amp; ARMS</v>
      </c>
      <c r="B115" s="36"/>
      <c r="C115" s="36"/>
      <c r="D115" s="36"/>
      <c r="E115" s="36"/>
      <c r="F115" s="37"/>
      <c r="G115" s="419" t="str">
        <f>'MSW17'!G115</f>
        <v/>
      </c>
      <c r="H115" s="51" t="str">
        <f>'MSW17'!H115</f>
        <v>SHOULDERS &amp; ARMS</v>
      </c>
      <c r="I115" s="36"/>
      <c r="J115" s="36"/>
      <c r="K115" s="36"/>
      <c r="L115" s="36"/>
      <c r="M115" s="37"/>
    </row>
    <row r="116">
      <c r="A116" s="504" t="str">
        <f>'MSW17'!A116</f>
        <v>1. SHOULDER PRESS</v>
      </c>
      <c r="B116" s="53"/>
      <c r="C116" s="53"/>
      <c r="D116" s="53"/>
      <c r="E116" s="53"/>
      <c r="F116" s="54"/>
      <c r="H116" s="778" t="str">
        <f>'MSW17'!H116</f>
        <v>1. MACHINE SHOULDER PRESS</v>
      </c>
      <c r="I116" s="53"/>
      <c r="J116" s="53"/>
      <c r="K116" s="53"/>
      <c r="L116" s="53"/>
      <c r="M116" s="54"/>
    </row>
    <row r="117">
      <c r="A117" s="589" t="str">
        <f>'MSW17'!A117</f>
        <v>CURRENT MAX</v>
      </c>
      <c r="B117" s="227" t="str">
        <f>'MSW17'!B117</f>
        <v/>
      </c>
      <c r="C117" s="20"/>
      <c r="D117" s="20"/>
      <c r="E117" s="20"/>
      <c r="F117" s="95"/>
      <c r="H117" s="589" t="str">
        <f>'MSW17'!H117</f>
        <v>CURRENT MAX</v>
      </c>
      <c r="I117" s="227">
        <f>'MSW17'!I117</f>
        <v>105</v>
      </c>
      <c r="J117" s="20"/>
      <c r="K117" s="20"/>
      <c r="L117" s="20"/>
      <c r="M117" s="95"/>
    </row>
    <row r="118">
      <c r="A118" s="364" t="str">
        <f>'MSW17'!A118</f>
        <v>SET</v>
      </c>
      <c r="B118" s="365" t="str">
        <f>'MSW17'!B118</f>
        <v>WEIGHT</v>
      </c>
      <c r="C118" s="365" t="str">
        <f>'MSW17'!C118</f>
        <v>REPS</v>
      </c>
      <c r="D118" s="365" t="str">
        <f>'MSW17'!D118</f>
        <v>REST</v>
      </c>
      <c r="E118" s="609" t="str">
        <f>'MSW17'!E118</f>
        <v>PREVIOUS</v>
      </c>
      <c r="F118" s="61" t="str">
        <f>'MSW17'!F118</f>
        <v>REP LOG</v>
      </c>
      <c r="H118" s="364" t="str">
        <f>'MSW17'!H118</f>
        <v>SET</v>
      </c>
      <c r="I118" s="365" t="str">
        <f>'MSW17'!I118</f>
        <v>WEIGHT</v>
      </c>
      <c r="J118" s="365" t="str">
        <f>'MSW17'!J118</f>
        <v>REPS</v>
      </c>
      <c r="K118" s="365" t="str">
        <f>'MSW17'!K118</f>
        <v>REST</v>
      </c>
      <c r="L118" s="609" t="str">
        <f>'MSW17'!L118</f>
        <v>PREVIOUS</v>
      </c>
      <c r="M118" s="61" t="str">
        <f>'MSW17'!M118</f>
        <v>REP LOG</v>
      </c>
    </row>
    <row r="119">
      <c r="A119" s="236">
        <f>'MSW17'!A119</f>
        <v>1</v>
      </c>
      <c r="B119" s="237">
        <f>'MSW17'!B119</f>
        <v>0</v>
      </c>
      <c r="C119" s="237">
        <f>'MSW17'!C119</f>
        <v>6</v>
      </c>
      <c r="D119" s="238" t="str">
        <f>'MSW17'!D119</f>
        <v>30s</v>
      </c>
      <c r="E119" s="66" t="str">
        <f>'MSW17'!E119</f>
        <v/>
      </c>
      <c r="F119" s="67"/>
      <c r="H119" s="236">
        <f>'MSW17'!H119</f>
        <v>1</v>
      </c>
      <c r="I119" s="237">
        <f>'MSW17'!I119</f>
        <v>35</v>
      </c>
      <c r="J119" s="237">
        <f>'MSW17'!J119</f>
        <v>6</v>
      </c>
      <c r="K119" s="238" t="str">
        <f>'MSW17'!K119</f>
        <v>30s</v>
      </c>
      <c r="L119" s="66" t="str">
        <f>'MSW17'!L119</f>
        <v/>
      </c>
      <c r="M119" s="67"/>
    </row>
    <row r="120">
      <c r="A120" s="236">
        <f>'MSW17'!A120</f>
        <v>2</v>
      </c>
      <c r="B120" s="237">
        <f>'MSW17'!B120</f>
        <v>0</v>
      </c>
      <c r="C120" s="237">
        <f>'MSW17'!C120</f>
        <v>1</v>
      </c>
      <c r="D120" s="238" t="str">
        <f>'MSW17'!D120</f>
        <v>1 MIN</v>
      </c>
      <c r="E120" s="66" t="str">
        <f>'MSW17'!E120</f>
        <v/>
      </c>
      <c r="F120" s="67"/>
      <c r="H120" s="236">
        <f>'MSW17'!H120</f>
        <v>2</v>
      </c>
      <c r="I120" s="237">
        <f>'MSW17'!I120</f>
        <v>70</v>
      </c>
      <c r="J120" s="237">
        <f>'MSW17'!J120</f>
        <v>1</v>
      </c>
      <c r="K120" s="238" t="str">
        <f>'MSW17'!K120</f>
        <v>1 MIN</v>
      </c>
      <c r="L120" s="66" t="str">
        <f>'MSW17'!L120</f>
        <v/>
      </c>
      <c r="M120" s="67"/>
    </row>
    <row r="121">
      <c r="A121" s="779">
        <f>'MSW17'!A121</f>
        <v>3</v>
      </c>
      <c r="B121" s="780">
        <f>'MSW17'!B121</f>
        <v>0</v>
      </c>
      <c r="C121" s="781" t="str">
        <f>'MSW17'!C121</f>
        <v>REP OUT</v>
      </c>
      <c r="D121" s="782" t="str">
        <f>'MSW17'!D121</f>
        <v>1 MIN</v>
      </c>
      <c r="E121" s="66" t="str">
        <f>'MSW17'!E121</f>
        <v/>
      </c>
      <c r="F121" s="1467"/>
      <c r="H121" s="779">
        <f>'MSW17'!H121</f>
        <v>3</v>
      </c>
      <c r="I121" s="780">
        <f>'MSW17'!I121</f>
        <v>95</v>
      </c>
      <c r="J121" s="781" t="str">
        <f>'MSW17'!J121</f>
        <v>REP OUT</v>
      </c>
      <c r="K121" s="782" t="str">
        <f>'MSW17'!K121</f>
        <v>1 MIN</v>
      </c>
      <c r="L121" s="66" t="str">
        <f>'MSW17'!L121</f>
        <v/>
      </c>
      <c r="M121" s="1467"/>
    </row>
    <row r="122">
      <c r="A122" s="787">
        <f>'MSW17'!A122</f>
        <v>4</v>
      </c>
      <c r="B122" s="1464">
        <f>'MSW17'!B122</f>
        <v>0</v>
      </c>
      <c r="C122" s="789" t="str">
        <f>'MSW17'!C122</f>
        <v>REP OUT</v>
      </c>
      <c r="D122" s="397" t="str">
        <f>'MSW17'!D122</f>
        <v>1 MIN</v>
      </c>
      <c r="E122" s="72" t="str">
        <f>'MSW17'!E122</f>
        <v/>
      </c>
      <c r="F122" s="1468"/>
      <c r="H122" s="787">
        <f>'MSW17'!H122</f>
        <v>4</v>
      </c>
      <c r="I122" s="395">
        <f>'MSW17'!I122</f>
        <v>80</v>
      </c>
      <c r="J122" s="789" t="str">
        <f>'MSW17'!J122</f>
        <v>REP OUT</v>
      </c>
      <c r="K122" s="397" t="str">
        <f>'MSW17'!K122</f>
        <v>1 MIN</v>
      </c>
      <c r="L122" s="72" t="str">
        <f>'MSW17'!L122</f>
        <v/>
      </c>
      <c r="M122" s="1468"/>
    </row>
    <row r="123">
      <c r="A123" s="1465" t="str">
        <f>'MSW17'!A123</f>
        <v/>
      </c>
      <c r="G123" s="1465" t="str">
        <f>'MSW17'!G123</f>
        <v/>
      </c>
    </row>
    <row r="125">
      <c r="A125" s="1217" t="str">
        <f>'MSW17'!A125</f>
        <v>2. DUMBBELL REAR DELT FLY </v>
      </c>
      <c r="B125" s="53"/>
      <c r="C125" s="53"/>
      <c r="D125" s="53"/>
      <c r="E125" s="53"/>
      <c r="F125" s="54"/>
    </row>
    <row r="126">
      <c r="A126" s="1268" t="str">
        <f>'MSW17'!A126</f>
        <v>SHLDR PRSS MAX</v>
      </c>
      <c r="B126" s="76">
        <f>'MSW17'!B126</f>
        <v>0</v>
      </c>
      <c r="C126" s="13"/>
      <c r="D126" s="13"/>
      <c r="E126" s="13"/>
      <c r="F126" s="57"/>
    </row>
    <row r="127">
      <c r="A127" s="962" t="str">
        <f>'MSW17'!A127</f>
        <v>SET</v>
      </c>
      <c r="B127" s="963" t="str">
        <f>'MSW17'!B127</f>
        <v>WEIGHT</v>
      </c>
      <c r="C127" s="963" t="str">
        <f>'MSW17'!C127</f>
        <v>REPS</v>
      </c>
      <c r="D127" s="963" t="str">
        <f>'MSW17'!D127</f>
        <v>REST</v>
      </c>
      <c r="E127" s="1005" t="str">
        <f>'MSW17'!E127</f>
        <v>PREVIOUS</v>
      </c>
      <c r="F127" s="1006" t="str">
        <f>'MSW17'!F127</f>
        <v>REP LOG</v>
      </c>
    </row>
    <row r="128">
      <c r="A128" s="967">
        <f>'MSW17'!A128</f>
        <v>1</v>
      </c>
      <c r="B128" s="1028">
        <f>'MSW17'!B128</f>
        <v>0</v>
      </c>
      <c r="C128" s="968">
        <f>'MSW17'!C128</f>
        <v>20</v>
      </c>
      <c r="D128" s="969" t="str">
        <f>'MSW17'!D128</f>
        <v>1 MIN</v>
      </c>
      <c r="E128" s="66" t="str">
        <f>'MSW17'!E128</f>
        <v/>
      </c>
      <c r="F128" s="1011"/>
    </row>
    <row r="129">
      <c r="A129" s="967">
        <f>'MSW17'!A129</f>
        <v>2</v>
      </c>
      <c r="B129" s="1028">
        <f>'MSW17'!B129</f>
        <v>0</v>
      </c>
      <c r="C129" s="968">
        <f>'MSW17'!C129</f>
        <v>20</v>
      </c>
      <c r="D129" s="969" t="str">
        <f>'MSW17'!D129</f>
        <v>1 MIN</v>
      </c>
      <c r="E129" s="66" t="str">
        <f>'MSW17'!E129</f>
        <v/>
      </c>
      <c r="F129" s="1011"/>
    </row>
    <row r="130">
      <c r="A130" s="971">
        <f>'MSW17'!A130</f>
        <v>3</v>
      </c>
      <c r="B130" s="1123">
        <f>'MSW17'!B130</f>
        <v>0</v>
      </c>
      <c r="C130" s="972">
        <f>'MSW17'!C130</f>
        <v>20</v>
      </c>
      <c r="D130" s="973" t="str">
        <f>'MSW17'!D130</f>
        <v>1 MIN</v>
      </c>
      <c r="E130" s="72" t="str">
        <f>'MSW17'!E130</f>
        <v/>
      </c>
      <c r="F130" s="1011"/>
    </row>
    <row r="131">
      <c r="A131" s="1068" t="str">
        <f>'MSW17'!A131</f>
        <v/>
      </c>
    </row>
    <row r="133">
      <c r="A133" s="1217" t="str">
        <f>'MSW17'!A133</f>
        <v>3. DUMBBELL SIDE LATERAL RAISE</v>
      </c>
      <c r="B133" s="53"/>
      <c r="C133" s="53"/>
      <c r="D133" s="53"/>
      <c r="E133" s="53"/>
      <c r="F133" s="54"/>
    </row>
    <row r="134">
      <c r="A134" s="1262" t="str">
        <f>'MSW17'!A134</f>
        <v>SHLDR PRSS MAX</v>
      </c>
      <c r="B134" s="76" t="str">
        <f>'MSW17'!B134</f>
        <v/>
      </c>
      <c r="C134" s="13"/>
      <c r="D134" s="13"/>
      <c r="E134" s="13"/>
      <c r="F134" s="57"/>
    </row>
    <row r="135">
      <c r="A135" s="1071" t="str">
        <f>'MSW17'!A135</f>
        <v>SET</v>
      </c>
      <c r="B135" s="1072" t="str">
        <f>'MSW17'!B135</f>
        <v>WEIGHT</v>
      </c>
      <c r="C135" s="1072" t="str">
        <f>'MSW17'!C135</f>
        <v>REPS</v>
      </c>
      <c r="D135" s="1072" t="str">
        <f>'MSW17'!D135</f>
        <v>REST</v>
      </c>
      <c r="E135" s="1073" t="str">
        <f>'MSW17'!E135</f>
        <v>PREVIOUS</v>
      </c>
      <c r="F135" s="1006" t="str">
        <f>'MSW17'!F135</f>
        <v>REP LOG</v>
      </c>
    </row>
    <row r="136">
      <c r="A136" s="1074">
        <f>'MSW17'!A136</f>
        <v>1</v>
      </c>
      <c r="B136" s="968">
        <f>'MSW17'!B136</f>
        <v>0</v>
      </c>
      <c r="C136" s="968">
        <f>'MSW17'!C136</f>
        <v>20</v>
      </c>
      <c r="D136" s="969" t="str">
        <f>'MSW17'!D136</f>
        <v>1 MIN</v>
      </c>
      <c r="E136" s="1235" t="str">
        <f>'MSW17'!E136</f>
        <v/>
      </c>
      <c r="F136" s="1011"/>
    </row>
    <row r="137">
      <c r="A137" s="1074">
        <f>'MSW17'!A137</f>
        <v>2</v>
      </c>
      <c r="B137" s="968">
        <f>'MSW17'!B137</f>
        <v>0</v>
      </c>
      <c r="C137" s="968">
        <f>'MSW17'!C137</f>
        <v>20</v>
      </c>
      <c r="D137" s="969" t="str">
        <f>'MSW17'!D137</f>
        <v>1 MIN</v>
      </c>
      <c r="E137" s="1235" t="str">
        <f>'MSW17'!E137</f>
        <v/>
      </c>
      <c r="F137" s="1011"/>
    </row>
    <row r="138">
      <c r="A138" s="1078">
        <f>'MSW17'!A138</f>
        <v>3</v>
      </c>
      <c r="B138" s="972">
        <f>'MSW17'!B138</f>
        <v>0</v>
      </c>
      <c r="C138" s="972">
        <f>'MSW17'!C138</f>
        <v>20</v>
      </c>
      <c r="D138" s="973" t="str">
        <f>'MSW17'!D138</f>
        <v>1 MIN</v>
      </c>
      <c r="E138" s="1271" t="str">
        <f>'MSW17'!E138</f>
        <v/>
      </c>
      <c r="F138" s="1017" t="str">
        <f>'MSW17'!F138</f>
        <v/>
      </c>
    </row>
    <row r="139">
      <c r="A139" t="str">
        <f>'MSW17'!A139</f>
        <v/>
      </c>
    </row>
    <row r="141">
      <c r="A141" s="74" t="str">
        <f>'MSW17'!A141</f>
        <v>4. TRICEPS PUSHDOWN (STRAIGHT BAR)</v>
      </c>
      <c r="B141" s="53"/>
      <c r="C141" s="53"/>
      <c r="D141" s="53"/>
      <c r="E141" s="53"/>
      <c r="F141" s="54"/>
    </row>
    <row r="142">
      <c r="A142" s="226" t="str">
        <f>'MSW17'!A142</f>
        <v>CURRENT MAX</v>
      </c>
      <c r="B142" s="90">
        <f>'MSW17'!B142</f>
        <v>30</v>
      </c>
      <c r="C142" s="13"/>
      <c r="D142" s="13"/>
      <c r="E142" s="13"/>
      <c r="F142" s="57"/>
    </row>
    <row r="143">
      <c r="A143" s="77" t="str">
        <f>'MSW17'!A143</f>
        <v>SET</v>
      </c>
      <c r="B143" s="78" t="str">
        <f>'MSW17'!B143</f>
        <v>WEIGHT</v>
      </c>
      <c r="C143" s="78" t="str">
        <f>'MSW17'!C143</f>
        <v>REPS</v>
      </c>
      <c r="D143" s="78" t="str">
        <f>'MSW17'!D143</f>
        <v>REST</v>
      </c>
      <c r="E143" s="80" t="str">
        <f>'MSW17'!E143</f>
        <v>PREVIOUS</v>
      </c>
      <c r="F143" s="235" t="str">
        <f>'MSW17'!F143</f>
        <v>REP LOG</v>
      </c>
    </row>
    <row r="144">
      <c r="A144" s="81">
        <f>'MSW17'!A144</f>
        <v>1</v>
      </c>
      <c r="B144" s="82">
        <f>'MSW17'!B144</f>
        <v>15</v>
      </c>
      <c r="C144" s="65">
        <f>'MSW17'!C144</f>
        <v>20</v>
      </c>
      <c r="D144" s="83" t="str">
        <f>'MSW17'!D144</f>
        <v>1MIN</v>
      </c>
      <c r="E144" s="66" t="str">
        <f>'MSW17'!E144</f>
        <v/>
      </c>
      <c r="F144" s="85" t="str">
        <f>'MSW17'!F144</f>
        <v/>
      </c>
    </row>
    <row r="145">
      <c r="A145" s="81">
        <f>'MSW17'!A145</f>
        <v>2</v>
      </c>
      <c r="B145" s="82">
        <f>'MSW17'!B145</f>
        <v>10</v>
      </c>
      <c r="C145" s="65">
        <f>'MSW17'!C145</f>
        <v>20</v>
      </c>
      <c r="D145" s="83" t="str">
        <f>'MSW17'!D145</f>
        <v>1MIN</v>
      </c>
      <c r="E145" s="66" t="str">
        <f>'MSW17'!E145</f>
        <v/>
      </c>
      <c r="F145" s="85" t="str">
        <f>'MSW17'!F145</f>
        <v/>
      </c>
    </row>
    <row r="146">
      <c r="A146" s="86">
        <f>'MSW17'!A146</f>
        <v>3</v>
      </c>
      <c r="B146" s="87">
        <f>'MSW17'!B146</f>
        <v>10</v>
      </c>
      <c r="C146" s="71">
        <f>'MSW17'!C146</f>
        <v>20</v>
      </c>
      <c r="D146" s="88" t="str">
        <f>'MSW17'!D146</f>
        <v>1MIN</v>
      </c>
      <c r="E146" s="72" t="str">
        <f>'MSW17'!E146</f>
        <v/>
      </c>
      <c r="F146" s="85" t="str">
        <f>'MSW17'!F146</f>
        <v/>
      </c>
    </row>
    <row r="147">
      <c r="A147" t="str">
        <f>'MSW17'!A147</f>
        <v/>
      </c>
    </row>
    <row r="149">
      <c r="A149" s="75" t="str">
        <f>'MSW17'!A149</f>
        <v>5. BICEP CABLE CURL</v>
      </c>
      <c r="B149" s="53"/>
      <c r="C149" s="53"/>
      <c r="D149" s="53"/>
      <c r="E149" s="53"/>
      <c r="F149" s="54"/>
      <c r="G149" s="141" t="str">
        <f>'MSW17'!G149</f>
        <v/>
      </c>
      <c r="H149" s="75" t="str">
        <f>'MSW17'!H149</f>
        <v>5. BICEP EZ BAR CURL</v>
      </c>
      <c r="I149" s="53"/>
      <c r="J149" s="53"/>
      <c r="K149" s="53"/>
      <c r="L149" s="53"/>
      <c r="M149" s="54"/>
    </row>
    <row r="150">
      <c r="A150" s="226" t="str">
        <f>'MSW17'!A150</f>
        <v>CURRENT MAX</v>
      </c>
      <c r="B150" s="90">
        <f>'MSW17'!B150</f>
        <v>30</v>
      </c>
      <c r="C150" s="13"/>
      <c r="D150" s="13"/>
      <c r="E150" s="13"/>
      <c r="F150" s="57"/>
      <c r="H150" s="226" t="str">
        <f>'MSW17'!H150</f>
        <v>CURRENT MAX</v>
      </c>
      <c r="I150" s="90">
        <f>'MSW17'!I150</f>
        <v>10</v>
      </c>
      <c r="J150" s="13"/>
      <c r="K150" s="13"/>
      <c r="L150" s="13"/>
      <c r="M150" s="57"/>
    </row>
    <row r="151">
      <c r="A151" s="77" t="str">
        <f>'MSW17'!A151</f>
        <v>SET</v>
      </c>
      <c r="B151" s="78" t="str">
        <f>'MSW17'!B151</f>
        <v>WEIGHT</v>
      </c>
      <c r="C151" s="78" t="str">
        <f>'MSW17'!C151</f>
        <v>REPS</v>
      </c>
      <c r="D151" s="78" t="str">
        <f>'MSW17'!D151</f>
        <v>REST</v>
      </c>
      <c r="E151" s="80" t="str">
        <f>'MSW17'!E151</f>
        <v>PREVIOUS</v>
      </c>
      <c r="F151" s="235" t="str">
        <f>'MSW17'!F151</f>
        <v>REP LOG</v>
      </c>
      <c r="H151" s="77" t="str">
        <f>'MSW17'!H151</f>
        <v>SET</v>
      </c>
      <c r="I151" s="78" t="str">
        <f>'MSW17'!I151</f>
        <v>WEIGHT</v>
      </c>
      <c r="J151" s="78" t="str">
        <f>'MSW17'!J151</f>
        <v>REPS</v>
      </c>
      <c r="K151" s="78" t="str">
        <f>'MSW17'!K151</f>
        <v>REST</v>
      </c>
      <c r="L151" s="80" t="str">
        <f>'MSW17'!L151</f>
        <v>PREVIOUS</v>
      </c>
      <c r="M151" s="235" t="str">
        <f>'MSW17'!M151</f>
        <v>REP LOG</v>
      </c>
    </row>
    <row r="152">
      <c r="A152" s="81">
        <f>'MSW17'!A152</f>
        <v>1</v>
      </c>
      <c r="B152" s="82">
        <f>'MSW17'!B152</f>
        <v>15</v>
      </c>
      <c r="C152" s="65">
        <f>'MSW17'!C152</f>
        <v>20</v>
      </c>
      <c r="D152" s="83" t="str">
        <f>'MSW17'!D152</f>
        <v>1MIN</v>
      </c>
      <c r="E152" s="66" t="str">
        <f>'MSW17'!E152</f>
        <v/>
      </c>
      <c r="F152" s="85" t="str">
        <f>'MSW17'!F152</f>
        <v/>
      </c>
      <c r="H152" s="81">
        <f>'MSW17'!H152</f>
        <v>1</v>
      </c>
      <c r="I152" s="82">
        <f>'MSW17'!I152</f>
        <v>5</v>
      </c>
      <c r="J152" s="65">
        <f>'MSW17'!J152</f>
        <v>20</v>
      </c>
      <c r="K152" s="83" t="str">
        <f>'MSW17'!K152</f>
        <v>1MIN</v>
      </c>
      <c r="L152" s="66" t="str">
        <f>'MSW17'!L152</f>
        <v/>
      </c>
      <c r="M152" s="85" t="str">
        <f>'MSW17'!M152</f>
        <v/>
      </c>
    </row>
    <row r="153">
      <c r="A153" s="81">
        <f>'MSW17'!A153</f>
        <v>2</v>
      </c>
      <c r="B153" s="82">
        <f>'MSW17'!B153</f>
        <v>10</v>
      </c>
      <c r="C153" s="65">
        <f>'MSW17'!C153</f>
        <v>20</v>
      </c>
      <c r="D153" s="83" t="str">
        <f>'MSW17'!D153</f>
        <v>1MIN</v>
      </c>
      <c r="E153" s="66" t="str">
        <f>'MSW17'!E153</f>
        <v/>
      </c>
      <c r="F153" s="85" t="str">
        <f>'MSW17'!F153</f>
        <v/>
      </c>
      <c r="H153" s="81">
        <f>'MSW17'!H153</f>
        <v>2</v>
      </c>
      <c r="I153" s="82">
        <f>'MSW17'!I153</f>
        <v>5</v>
      </c>
      <c r="J153" s="65">
        <f>'MSW17'!J153</f>
        <v>20</v>
      </c>
      <c r="K153" s="83" t="str">
        <f>'MSW17'!K153</f>
        <v>1MIN</v>
      </c>
      <c r="L153" s="66" t="str">
        <f>'MSW17'!L153</f>
        <v/>
      </c>
      <c r="M153" s="85" t="str">
        <f>'MSW17'!M153</f>
        <v/>
      </c>
    </row>
    <row r="154">
      <c r="A154" s="86">
        <f>'MSW17'!A154</f>
        <v>3</v>
      </c>
      <c r="B154" s="87">
        <f>'MSW17'!B154</f>
        <v>10</v>
      </c>
      <c r="C154" s="71">
        <f>'MSW17'!C154</f>
        <v>20</v>
      </c>
      <c r="D154" s="88" t="str">
        <f>'MSW17'!D154</f>
        <v>1MIN</v>
      </c>
      <c r="E154" s="72" t="str">
        <f>'MSW17'!E154</f>
        <v/>
      </c>
      <c r="F154" s="85" t="str">
        <f>'MSW17'!F154</f>
        <v/>
      </c>
      <c r="H154" s="86">
        <f>'MSW17'!H154</f>
        <v>3</v>
      </c>
      <c r="I154" s="87">
        <f>'MSW17'!I154</f>
        <v>5</v>
      </c>
      <c r="J154" s="71">
        <f>'MSW17'!J154</f>
        <v>20</v>
      </c>
      <c r="K154" s="88" t="str">
        <f>'MSW17'!K154</f>
        <v>1MIN</v>
      </c>
      <c r="L154" s="72" t="str">
        <f>'MSW17'!L154</f>
        <v/>
      </c>
      <c r="M154" s="85" t="str">
        <f>'MSW17'!M154</f>
        <v/>
      </c>
    </row>
    <row r="155">
      <c r="A155" t="str">
        <f>'MSW17'!A155</f>
        <v/>
      </c>
      <c r="G155" t="str">
        <f>'MSW17'!G155</f>
        <v/>
      </c>
    </row>
    <row r="157">
      <c r="A157" s="1149" t="str">
        <f>'MSW17'!A157</f>
        <v>WORKOUT COMPLETE!</v>
      </c>
      <c r="B157" s="36"/>
      <c r="C157" s="36"/>
      <c r="D157" s="36"/>
      <c r="E157" s="36"/>
      <c r="F157" s="37"/>
    </row>
    <row r="158">
      <c r="A158" s="623" t="str">
        <f>'MSW17'!A158</f>
        <v/>
      </c>
    </row>
    <row r="159">
      <c r="A159" s="1275" t="str">
        <f>'MSW17'!A159</f>
        <v>WANT TO LEARN MORE?</v>
      </c>
      <c r="B159" s="25"/>
      <c r="C159" s="25"/>
      <c r="D159" s="25"/>
      <c r="E159" s="25"/>
      <c r="F159" s="26"/>
    </row>
    <row r="160">
      <c r="A160" s="529"/>
      <c r="F160" s="28"/>
    </row>
    <row r="161">
      <c r="A161" s="1276" t="str">
        <f>'MSW17'!A161</f>
        <v/>
      </c>
      <c r="B161" s="999" t="str">
        <f>'MSW17'!B161</f>
        <v/>
      </c>
      <c r="C161" s="1150" t="str">
        <f>'MSW17'!C161</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61" s="28"/>
    </row>
    <row r="162">
      <c r="A162" s="1276" t="str">
        <f>'MSW17'!A162</f>
        <v/>
      </c>
      <c r="B162" s="999" t="str">
        <f>'MSW17'!B162</f>
        <v/>
      </c>
      <c r="F162" s="28"/>
    </row>
    <row r="163">
      <c r="A163" s="1276" t="str">
        <f>'MSW17'!A163</f>
        <v/>
      </c>
      <c r="B163" s="999" t="str">
        <f>'MSW17'!B163</f>
        <v/>
      </c>
      <c r="F163" s="28"/>
    </row>
    <row r="164">
      <c r="A164" s="1276" t="str">
        <f>'MSW17'!A164</f>
        <v/>
      </c>
      <c r="B164" s="999" t="str">
        <f>'MSW17'!B164</f>
        <v/>
      </c>
      <c r="F164" s="28"/>
    </row>
    <row r="165">
      <c r="A165" s="1276" t="str">
        <f>'MSW17'!A165</f>
        <v/>
      </c>
      <c r="B165" s="999" t="str">
        <f>'MSW17'!B165</f>
        <v/>
      </c>
      <c r="F165" s="28"/>
    </row>
    <row r="166">
      <c r="A166" s="1276" t="str">
        <f>'MSW17'!A166</f>
        <v/>
      </c>
      <c r="B166" s="999" t="str">
        <f>'MSW17'!B166</f>
        <v/>
      </c>
      <c r="F166" s="28"/>
    </row>
    <row r="167">
      <c r="A167" s="1277" t="str">
        <f>'MSW17'!A167</f>
        <v/>
      </c>
      <c r="B167" s="999" t="str">
        <f>'MSW17'!B167</f>
        <v/>
      </c>
      <c r="F167" s="28"/>
    </row>
    <row r="168">
      <c r="A168" s="1276" t="str">
        <f>'MSW17'!A168</f>
        <v/>
      </c>
      <c r="B168" s="999" t="str">
        <f>'MSW17'!B168</f>
        <v/>
      </c>
      <c r="F168" s="28"/>
    </row>
    <row r="169">
      <c r="A169" s="1276" t="str">
        <f>'MSW17'!A169</f>
        <v/>
      </c>
      <c r="B169" s="999" t="str">
        <f>'MSW17'!B169</f>
        <v/>
      </c>
      <c r="F169" s="28"/>
    </row>
    <row r="170">
      <c r="A170" s="1278" t="str">
        <f>'MSW17'!A170</f>
        <v/>
      </c>
      <c r="B170" s="999" t="str">
        <f>'MSW17'!B170</f>
        <v/>
      </c>
      <c r="F170" s="28"/>
    </row>
    <row r="171">
      <c r="A171" s="1276" t="str">
        <f>'MSW17'!A171</f>
        <v/>
      </c>
      <c r="B171" s="999" t="str">
        <f>'MSW17'!B171</f>
        <v/>
      </c>
      <c r="F171" s="28"/>
    </row>
    <row r="172">
      <c r="A172" s="1276" t="str">
        <f>'MSW17'!A172</f>
        <v/>
      </c>
      <c r="B172" s="999" t="str">
        <f>'MSW17'!B172</f>
        <v/>
      </c>
      <c r="F172" s="28"/>
    </row>
    <row r="173">
      <c r="A173" s="1276" t="str">
        <f>'MSW17'!A173</f>
        <v/>
      </c>
      <c r="B173" s="999" t="str">
        <f>'MSW17'!B173</f>
        <v/>
      </c>
      <c r="F173" s="28"/>
    </row>
    <row r="174">
      <c r="A174" s="1276" t="str">
        <f>'MSW17'!A174</f>
        <v/>
      </c>
      <c r="B174" s="999" t="str">
        <f>'MSW17'!B174</f>
        <v/>
      </c>
      <c r="F174" s="28"/>
    </row>
    <row r="175">
      <c r="A175" s="1279" t="str">
        <f>'MSW17'!A175</f>
        <v/>
      </c>
      <c r="B175" s="1280" t="str">
        <f>'MSW17'!B175</f>
        <v/>
      </c>
      <c r="C175" s="11"/>
      <c r="D175" s="11"/>
      <c r="E175" s="11"/>
      <c r="F175" s="46"/>
    </row>
    <row r="176">
      <c r="A176" t="str">
        <f>'MSW17'!A176</f>
        <v/>
      </c>
      <c r="B176" t="str">
        <f>'MSW17'!B176</f>
        <v/>
      </c>
      <c r="C176" t="str">
        <f>'MSW17'!C176</f>
        <v/>
      </c>
    </row>
  </sheetData>
  <mergeCells count="113">
    <mergeCell ref="H20:M20"/>
    <mergeCell ref="I21:M21"/>
    <mergeCell ref="G26:G33"/>
    <mergeCell ref="H27:M27"/>
    <mergeCell ref="N27:N28"/>
    <mergeCell ref="H29:M29"/>
    <mergeCell ref="N29:N34"/>
    <mergeCell ref="I34:M34"/>
    <mergeCell ref="B38:F38"/>
    <mergeCell ref="I38:M38"/>
    <mergeCell ref="G24:G25"/>
    <mergeCell ref="A27:F27"/>
    <mergeCell ref="A30:F30"/>
    <mergeCell ref="B33:F33"/>
    <mergeCell ref="A34:G34"/>
    <mergeCell ref="A35:N36"/>
    <mergeCell ref="G37:G41"/>
    <mergeCell ref="A74:F74"/>
    <mergeCell ref="A75:F75"/>
    <mergeCell ref="B57:F57"/>
    <mergeCell ref="A58:F59"/>
    <mergeCell ref="A60:F60"/>
    <mergeCell ref="B61:F61"/>
    <mergeCell ref="A66:F67"/>
    <mergeCell ref="A68:F68"/>
    <mergeCell ref="B69:F69"/>
    <mergeCell ref="A96:F96"/>
    <mergeCell ref="B97:F97"/>
    <mergeCell ref="A76:F76"/>
    <mergeCell ref="A77:F77"/>
    <mergeCell ref="A78:F79"/>
    <mergeCell ref="A80:F80"/>
    <mergeCell ref="B81:F81"/>
    <mergeCell ref="B93:F93"/>
    <mergeCell ref="A94:F95"/>
    <mergeCell ref="A113:F114"/>
    <mergeCell ref="A115:F115"/>
    <mergeCell ref="A13:F13"/>
    <mergeCell ref="A14:F14"/>
    <mergeCell ref="A102:F103"/>
    <mergeCell ref="A104:F104"/>
    <mergeCell ref="B105:F105"/>
    <mergeCell ref="A110:F111"/>
    <mergeCell ref="A112:F112"/>
    <mergeCell ref="A139:F140"/>
    <mergeCell ref="A141:F141"/>
    <mergeCell ref="B117:F117"/>
    <mergeCell ref="A123:F124"/>
    <mergeCell ref="A125:F125"/>
    <mergeCell ref="B126:F126"/>
    <mergeCell ref="A131:F132"/>
    <mergeCell ref="A133:F133"/>
    <mergeCell ref="B134:F134"/>
    <mergeCell ref="G123:M148"/>
    <mergeCell ref="G149:G154"/>
    <mergeCell ref="H149:M149"/>
    <mergeCell ref="I150:M150"/>
    <mergeCell ref="H10:M10"/>
    <mergeCell ref="H12:M14"/>
    <mergeCell ref="G42:M103"/>
    <mergeCell ref="G104:G106"/>
    <mergeCell ref="H104:M104"/>
    <mergeCell ref="I105:M105"/>
    <mergeCell ref="G107:G108"/>
    <mergeCell ref="C161:F175"/>
    <mergeCell ref="C176:F176"/>
    <mergeCell ref="B142:F142"/>
    <mergeCell ref="A147:F148"/>
    <mergeCell ref="A149:F149"/>
    <mergeCell ref="B150:F150"/>
    <mergeCell ref="A155:F156"/>
    <mergeCell ref="G155:M176"/>
    <mergeCell ref="A157:F157"/>
    <mergeCell ref="A15:F15"/>
    <mergeCell ref="H15:M15"/>
    <mergeCell ref="O19:T19"/>
    <mergeCell ref="O20:T20"/>
    <mergeCell ref="P21:T21"/>
    <mergeCell ref="O27:T27"/>
    <mergeCell ref="O29:T29"/>
    <mergeCell ref="P34:T34"/>
    <mergeCell ref="O35:T36"/>
    <mergeCell ref="N37:T176"/>
    <mergeCell ref="A1:T8"/>
    <mergeCell ref="A9:F9"/>
    <mergeCell ref="G9:G14"/>
    <mergeCell ref="H9:M9"/>
    <mergeCell ref="N9:T18"/>
    <mergeCell ref="A10:F11"/>
    <mergeCell ref="A12:F12"/>
    <mergeCell ref="A16:M18"/>
    <mergeCell ref="A19:F19"/>
    <mergeCell ref="G19:G23"/>
    <mergeCell ref="H19:M19"/>
    <mergeCell ref="N19:N26"/>
    <mergeCell ref="A20:F20"/>
    <mergeCell ref="B21:F21"/>
    <mergeCell ref="A37:F37"/>
    <mergeCell ref="H37:M37"/>
    <mergeCell ref="A42:F43"/>
    <mergeCell ref="A44:F44"/>
    <mergeCell ref="B45:F45"/>
    <mergeCell ref="A51:F51"/>
    <mergeCell ref="A54:F54"/>
    <mergeCell ref="G109:G114"/>
    <mergeCell ref="H110:M114"/>
    <mergeCell ref="G115:G122"/>
    <mergeCell ref="H115:M115"/>
    <mergeCell ref="A116:F116"/>
    <mergeCell ref="H116:M116"/>
    <mergeCell ref="I117:M117"/>
    <mergeCell ref="A158:F158"/>
    <mergeCell ref="A159:F160"/>
  </mergeCells>
  <dataValidations>
    <dataValidation type="decimal" operator="greaterThan" allowBlank="1" showDropDown="1" showErrorMessage="1" sqref="M11">
      <formula1>0.0</formula1>
    </dataValidation>
  </dataValidation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265</v>
      </c>
      <c r="B9" s="20"/>
      <c r="C9" s="20"/>
      <c r="D9" s="20"/>
      <c r="E9" s="20"/>
      <c r="F9" s="21"/>
      <c r="G9" s="103"/>
      <c r="H9" s="24" t="s">
        <v>35</v>
      </c>
      <c r="I9" s="25"/>
      <c r="J9" s="25"/>
      <c r="K9" s="25"/>
      <c r="L9" s="25"/>
      <c r="M9" s="26"/>
    </row>
    <row r="10">
      <c r="A10" s="15" t="str">
        <f>HYPERLINK("https://goo.gl/forms/3ibooB993Hi7SS2d2","PRESS TO RECORD BODY WEIGHT")</f>
        <v>PRESS TO RECORD BODY WEIGHT</v>
      </c>
      <c r="B10" s="16"/>
      <c r="C10" s="16"/>
      <c r="D10" s="16"/>
      <c r="E10" s="16"/>
      <c r="F10" s="17"/>
      <c r="G10" s="103"/>
      <c r="H10" s="147" t="s">
        <v>266</v>
      </c>
      <c r="M10" s="28"/>
    </row>
    <row r="11">
      <c r="A11" s="18"/>
      <c r="B11" s="13"/>
      <c r="C11" s="13"/>
      <c r="D11" s="13"/>
      <c r="E11" s="13"/>
      <c r="F11" s="14"/>
      <c r="G11" s="103"/>
      <c r="H11" s="29" t="s">
        <v>267</v>
      </c>
      <c r="I11" s="30"/>
      <c r="J11" s="30"/>
      <c r="K11" s="30"/>
      <c r="L11" s="30"/>
      <c r="M11" s="31"/>
    </row>
    <row r="12">
      <c r="A12" s="19" t="s">
        <v>69</v>
      </c>
      <c r="B12" s="20"/>
      <c r="C12" s="20"/>
      <c r="D12" s="20"/>
      <c r="E12" s="20"/>
      <c r="F12" s="21"/>
      <c r="G12" s="103"/>
      <c r="H12" s="219"/>
      <c r="I12" s="220"/>
      <c r="J12" s="221"/>
      <c r="K12" s="219"/>
      <c r="L12" s="222"/>
      <c r="M12" s="103"/>
    </row>
    <row r="13">
      <c r="A13" s="22" t="s">
        <v>207</v>
      </c>
      <c r="B13" s="20"/>
      <c r="C13" s="20"/>
      <c r="D13" s="20"/>
      <c r="E13" s="20"/>
      <c r="F13" s="21"/>
      <c r="G13" s="103"/>
      <c r="H13" s="103"/>
      <c r="I13" s="103"/>
      <c r="J13" s="103"/>
      <c r="K13" s="103"/>
      <c r="L13" s="222"/>
      <c r="M13" s="103"/>
    </row>
    <row r="14">
      <c r="E14" s="1248"/>
    </row>
    <row r="15">
      <c r="A15" s="51" t="s">
        <v>48</v>
      </c>
      <c r="B15" s="36"/>
      <c r="C15" s="36"/>
      <c r="D15" s="36"/>
      <c r="E15" s="36"/>
      <c r="F15" s="37"/>
      <c r="H15" s="51" t="s">
        <v>48</v>
      </c>
      <c r="I15" s="36"/>
      <c r="J15" s="36"/>
      <c r="K15" s="36"/>
      <c r="L15" s="36"/>
      <c r="M15" s="37"/>
    </row>
    <row r="16">
      <c r="A16" s="93" t="str">
        <f>HYPERLINK("https://youtu.be/iLgUDezDMbU","1. BENCH PRESS")</f>
        <v>1. BENCH PRESS</v>
      </c>
      <c r="B16" s="53"/>
      <c r="C16" s="53"/>
      <c r="D16" s="53"/>
      <c r="E16" s="53"/>
      <c r="F16" s="54"/>
      <c r="H16" s="93" t="str">
        <f>HYPERLINK("https://youtu.be/iLgUDezDMbU","1. DUMBELL INCLINE")</f>
        <v>1. DUMBELL INCLINE</v>
      </c>
      <c r="I16" s="53"/>
      <c r="J16" s="53"/>
      <c r="K16" s="53"/>
      <c r="L16" s="53"/>
      <c r="M16" s="54"/>
    </row>
    <row r="17">
      <c r="A17" s="226" t="s">
        <v>119</v>
      </c>
      <c r="B17" s="691" t="str">
        <f>IF('WEEK 17'!B33="",'WEEK 17'!B21,'WEEK 17'!B33)</f>
        <v/>
      </c>
      <c r="C17" s="13"/>
      <c r="D17" s="13"/>
      <c r="E17" s="13"/>
      <c r="F17" s="57"/>
      <c r="H17" s="226" t="s">
        <v>119</v>
      </c>
      <c r="I17" s="691" t="str">
        <f>IF('WEEK 17'!I34="",'WEEK 17'!I21,'WEEK 17'!I34)</f>
        <v/>
      </c>
      <c r="J17" s="13"/>
      <c r="K17" s="13"/>
      <c r="L17" s="13"/>
      <c r="M17" s="57"/>
    </row>
    <row r="18">
      <c r="A18" s="96" t="s">
        <v>50</v>
      </c>
      <c r="B18" s="97" t="s">
        <v>51</v>
      </c>
      <c r="C18" s="97" t="s">
        <v>52</v>
      </c>
      <c r="D18" s="97" t="s">
        <v>53</v>
      </c>
      <c r="E18" s="1249" t="s">
        <v>54</v>
      </c>
      <c r="F18" s="235" t="s">
        <v>55</v>
      </c>
      <c r="H18" s="96" t="s">
        <v>50</v>
      </c>
      <c r="I18" s="97" t="s">
        <v>51</v>
      </c>
      <c r="J18" s="97" t="s">
        <v>52</v>
      </c>
      <c r="K18" s="97" t="s">
        <v>53</v>
      </c>
      <c r="L18" s="341" t="s">
        <v>54</v>
      </c>
      <c r="M18" s="235" t="s">
        <v>55</v>
      </c>
    </row>
    <row r="19">
      <c r="A19" s="725">
        <v>1.0</v>
      </c>
      <c r="B19" s="344">
        <f>IF( 'WEEK 18'!B17&lt;125,45,mround('WEEK 18'!B17*0.5,5))</f>
        <v>0</v>
      </c>
      <c r="C19" s="1250" t="s">
        <v>65</v>
      </c>
      <c r="D19" s="1251" t="s">
        <v>208</v>
      </c>
      <c r="E19" s="84" t="str">
        <f>IF('WEEK 9'!B19='WEEK 18'!B19,'WEEK 9'!F19,"")</f>
        <v/>
      </c>
      <c r="F19" s="85"/>
      <c r="H19" s="342">
        <v>1.0</v>
      </c>
      <c r="I19" s="344">
        <f>mround('WEEK 18'!I17*0.5,5)</f>
        <v>0</v>
      </c>
      <c r="J19" s="1250" t="s">
        <v>65</v>
      </c>
      <c r="K19" s="343" t="s">
        <v>57</v>
      </c>
      <c r="L19" s="84" t="str">
        <f>IF('WEEK 9'!I19='WEEK 18'!I19,'WEEK 9'!M19,"")</f>
        <v/>
      </c>
      <c r="M19" s="85"/>
    </row>
    <row r="20">
      <c r="A20" s="342">
        <v>2.0</v>
      </c>
      <c r="B20" s="344">
        <f>IF( 'WEEK 18'!B17&lt;125,45,mround('WEEK 18'!B17*0.5,5))</f>
        <v>0</v>
      </c>
      <c r="C20" s="1250" t="s">
        <v>65</v>
      </c>
      <c r="D20" s="1251" t="s">
        <v>208</v>
      </c>
      <c r="E20" s="84" t="str">
        <f>IF('WEEK 9'!B20='WEEK 18'!B20,'WEEK 9'!F20,"")</f>
        <v/>
      </c>
      <c r="F20" s="85"/>
      <c r="H20" s="725" t="str">
        <f>IF(OR(ISBLANK('WEEK 18'!M19)),"",IF('WEEK 18'!M19&lt;10,"MOVE",2))</f>
        <v/>
      </c>
      <c r="I20" s="344" t="str">
        <f>IF(OR(ISBLANK('WEEK 18'!M19)),"",IF('WEEK 18'!M19&lt;10,"TO",mround('WEEK 18'!I17*0.5,5)))</f>
        <v/>
      </c>
      <c r="J20" s="1250" t="str">
        <f>IF(OR(ISBLANK('WEEK 18'!M19)),"",IF('WEEK 18'!M19&lt;10,"#","REP OUT"))</f>
        <v/>
      </c>
      <c r="K20" s="343" t="str">
        <f>IF(OR(ISBLANK('WEEK 18'!M19)),"",IF('WEEK 18'!M19&lt;10,"2","1 MIN"))</f>
        <v/>
      </c>
      <c r="L20" s="84" t="str">
        <f>IF('WEEK 9'!I20='WEEK 18'!I20,'WEEK 9'!M20,"")</f>
        <v/>
      </c>
      <c r="M20" s="85"/>
    </row>
    <row r="21">
      <c r="A21" s="735">
        <v>3.0</v>
      </c>
      <c r="B21" s="344">
        <f>IF( 'WEEK 18'!B17&lt;125,45,mround('WEEK 18'!B17*0.5,5))</f>
        <v>0</v>
      </c>
      <c r="C21" s="1253" t="s">
        <v>65</v>
      </c>
      <c r="D21" s="1254" t="s">
        <v>208</v>
      </c>
      <c r="E21" s="84" t="str">
        <f>IF('WEEK 9'!B21='WEEK 18'!B21,'WEEK 9'!F21,"")</f>
        <v/>
      </c>
      <c r="F21" s="330"/>
      <c r="H21" s="725" t="str">
        <f>IF(OR(ISBLANK('WEEK 18'!M19),ISBLANK('WEEK 18'!M20)),"",IF('WEEK 18'!M20&lt;10,"MOVE",3))</f>
        <v/>
      </c>
      <c r="I21" s="344" t="str">
        <f>IF(OR(ISBLANK('WEEK 18'!M19),ISBLANK('WEEK 18'!M20)),"",IF('WEEK 18'!M20&lt;10,"TO",mround('WEEK 18'!I17*0.5,5)))</f>
        <v/>
      </c>
      <c r="J21" s="1250" t="str">
        <f>IF(OR(ISBLANK('WEEK 18'!M19),ISBLANK('WEEK 18'!M20)),"",IF('WEEK 18'!M20&lt;10,"#","REP OUT"))</f>
        <v/>
      </c>
      <c r="K21" s="343" t="str">
        <f>IF(OR(ISBLANK('WEEK 18'!M19),ISBLANK('WEEK 18'!M20)),"",IF('WEEK 18'!M20&lt;10,"2","1 MIN"))</f>
        <v/>
      </c>
      <c r="L21" s="84" t="str">
        <f>IF('WEEK 9'!I21='WEEK 18'!I21,'WEEK 9'!M21,"")</f>
        <v/>
      </c>
      <c r="M21" s="85"/>
    </row>
    <row r="22">
      <c r="A22" s="1256"/>
      <c r="B22" s="1256"/>
      <c r="C22" s="1256"/>
      <c r="D22" s="1256"/>
      <c r="E22" s="1257"/>
      <c r="F22" s="1256"/>
      <c r="H22" s="725" t="str">
        <f>IF(OR(ISBLANK('WEEK 18'!M19),ISBLANK('WEEK 18'!M20),ISBLANK('WEEK 18'!M21)),"",IF('WEEK 18'!M21&lt;10,"MOVE",4))</f>
        <v/>
      </c>
      <c r="I22" s="344" t="str">
        <f>IF(OR(ISBLANK('WEEK 18'!M19),ISBLANK('WEEK 18'!M20),ISBLANK('WEEK 18'!M21)),"",IF('WEEK 18'!M21&gt;=1&lt;10,"TO",mround('WEEK 18'!I17*0.5,5)))</f>
        <v/>
      </c>
      <c r="J22" s="1250" t="str">
        <f>IF(OR(ISBLANK('WEEK 18'!M19),ISBLANK('WEEK 18'!M20),ISBLANK('WEEK 18'!M21)),"",IF('WEEK 18'!M21&lt;10,"#","REP OUT"))</f>
        <v/>
      </c>
      <c r="K22" s="343" t="str">
        <f>IF(OR(ISBLANK('WEEK 18'!M19),ISBLANK('WEEK 18'!M20),ISBLANK('WEEK 18'!M21)),"",IF('WEEK 18'!M21&lt;10,"2","1 MIN"))</f>
        <v/>
      </c>
      <c r="L22" s="84" t="str">
        <f>IF('WEEK 9'!I22='WEEK 18'!I22,'WEEK 9'!M22,"")</f>
        <v/>
      </c>
      <c r="M22" s="85"/>
    </row>
    <row r="23">
      <c r="A23" s="1258"/>
      <c r="B23" s="1258"/>
      <c r="C23" s="1258"/>
      <c r="D23" s="1258"/>
      <c r="E23" s="1259"/>
      <c r="F23" s="1258"/>
      <c r="H23" s="725" t="str">
        <f>IF(OR(ISBLANK('WEEK 18'!M19),ISBLANK('WEEK 18'!M20),ISBLANK('WEEK 18'!M21),ISBLANK('WEEK 18'!M22)),"",IF('WEEK 18'!M22&lt;10,"MOVE",5))</f>
        <v/>
      </c>
      <c r="I23" s="344" t="str">
        <f>IF(OR(ISBLANK('WEEK 18'!M19),ISBLANK('WEEK 18'!M20),ISBLANK('WEEK 18'!M21),ISBLANK('WEEK 18'!M22)),"",IF('WEEK 18'!M22&lt;10,"TO",mround('WEEK 18'!I17*0.5,5)))</f>
        <v/>
      </c>
      <c r="J23" s="1250" t="str">
        <f>IF(OR(ISBLANK('WEEK 18'!M19),ISBLANK('WEEK 18'!M20),ISBLANK('WEEK 18'!M21),ISBLANK('WEEK 18'!M22)),"",IF('WEEK 18'!M22&lt;10,"#","REP OUT"))</f>
        <v/>
      </c>
      <c r="K23" s="343" t="str">
        <f>IF(OR(ISBLANK('WEEK 18'!M19),ISBLANK('WEEK 18'!M20),ISBLANK('WEEK 18'!M21),ISBLANK('WEEK 18'!M22)),"",IF('WEEK 18'!M22&lt;10,"2","1 MIN"))</f>
        <v/>
      </c>
      <c r="L23" s="84" t="str">
        <f>IF('WEEK 9'!I23='WEEK 18'!I23,'WEEK 9'!M23,"")</f>
        <v/>
      </c>
      <c r="M23" s="85"/>
    </row>
    <row r="24">
      <c r="A24" s="1258"/>
      <c r="B24" s="1258"/>
      <c r="C24" s="1258"/>
      <c r="D24" s="1258"/>
      <c r="E24" s="1259"/>
      <c r="F24" s="1258"/>
      <c r="H24" s="735" t="str">
        <f>IF(OR(ISBLANK('WEEK 18'!M19),ISBLANK('WEEK 18'!M20),ISBLANK('WEEK 18'!M21),ISBLANK('WEEK 18'!M22),ISBLANK('WEEK 18'!M23)),"",IF('WEEK 18'!M23&lt;10,"MOVE",6))</f>
        <v/>
      </c>
      <c r="I24" s="1252" t="str">
        <f>IF(OR(ISBLANK('WEEK 18'!M19),ISBLANK('WEEK 18'!M20),ISBLANK('WEEK 18'!M21),ISBLANK('WEEK 18'!M22),ISBLANK('WEEK 18'!M23)),"",IF('WEEK 18'!M23&lt;10,"TO",mround('WEEK 18'!I17*0.5,5)))</f>
        <v/>
      </c>
      <c r="J24" s="1253" t="str">
        <f>IF(OR(ISBLANK('WEEK 18'!M19),ISBLANK('WEEK 18'!M20),ISBLANK('WEEK 18'!M21),ISBLANK('WEEK 18'!M22),ISBLANK('WEEK 18'!M23)),"",IF('WEEK 18'!M23&lt;10,"#","REP OUT"))</f>
        <v/>
      </c>
      <c r="K24" s="738" t="str">
        <f>IF(OR(ISBLANK('WEEK 18'!M19),ISBLANK('WEEK 18'!M20),ISBLANK('WEEK 18'!M21),ISBLANK('WEEK 18'!M22),ISBLANK('WEEK 18'!M23)),"",IF('WEEK 18'!M23&lt;10,"2","1 MIN"))</f>
        <v/>
      </c>
      <c r="L24" s="84" t="str">
        <f>IF('WEEK 9'!I24='WEEK 18'!I24,'WEEK 9'!M24,"")</f>
        <v/>
      </c>
      <c r="M24" s="330"/>
    </row>
    <row r="27">
      <c r="A27" s="73" t="str">
        <f>HYPERLINK("https://youtu.be/9YH1YvZbiY0","3. MACHINE LOW ROW ")</f>
        <v>3. MACHINE LOW ROW </v>
      </c>
      <c r="B27" s="53"/>
      <c r="C27" s="53"/>
      <c r="D27" s="53"/>
      <c r="E27" s="53"/>
      <c r="F27" s="54"/>
    </row>
    <row r="28">
      <c r="A28" s="226" t="s">
        <v>119</v>
      </c>
      <c r="B28" s="227">
        <f>'WEEK 17'!B61</f>
        <v>265</v>
      </c>
      <c r="C28" s="20"/>
      <c r="D28" s="20"/>
      <c r="E28" s="20"/>
      <c r="F28" s="95"/>
    </row>
    <row r="29">
      <c r="A29" s="231" t="s">
        <v>50</v>
      </c>
      <c r="B29" s="232" t="s">
        <v>51</v>
      </c>
      <c r="C29" s="232" t="s">
        <v>52</v>
      </c>
      <c r="D29" s="232" t="s">
        <v>53</v>
      </c>
      <c r="E29" s="233" t="s">
        <v>54</v>
      </c>
      <c r="F29" s="61" t="s">
        <v>55</v>
      </c>
    </row>
    <row r="30">
      <c r="A30" s="236">
        <v>1.0</v>
      </c>
      <c r="B30" s="237">
        <f>mround('WEEK 18'!B28*0.35,5)</f>
        <v>95</v>
      </c>
      <c r="C30" s="237">
        <v>6.0</v>
      </c>
      <c r="D30" s="238" t="s">
        <v>120</v>
      </c>
      <c r="E30" s="84" t="str">
        <f>IF('WEEK 18'!B30='WEEK 14'!B47,'WEEK 14'!F47,"")</f>
        <v/>
      </c>
      <c r="F30" s="67"/>
    </row>
    <row r="31">
      <c r="A31" s="236">
        <v>2.0</v>
      </c>
      <c r="B31" s="237">
        <f>mround('WEEK 18'!B28*0.65,5)</f>
        <v>170</v>
      </c>
      <c r="C31" s="238">
        <v>3.0</v>
      </c>
      <c r="D31" s="238" t="s">
        <v>121</v>
      </c>
      <c r="E31" s="84" t="str">
        <f>IF('WEEK 18'!B31='WEEK 14'!B48,'WEEK 14'!F48,"")</f>
        <v/>
      </c>
      <c r="F31" s="67"/>
    </row>
    <row r="32">
      <c r="A32" s="242">
        <v>3.0</v>
      </c>
      <c r="B32" s="237">
        <f>mround('WEEK 18'!B28*0.9,5)</f>
        <v>240</v>
      </c>
      <c r="C32" s="63">
        <v>2.0</v>
      </c>
      <c r="D32" s="238" t="s">
        <v>121</v>
      </c>
      <c r="E32" s="84" t="str">
        <f>IF('WEEK 18'!B32='WEEK 14'!B49,'WEEK 14'!F49,"")</f>
        <v/>
      </c>
      <c r="F32" s="67"/>
    </row>
    <row r="33">
      <c r="A33" s="243">
        <v>4.0</v>
      </c>
      <c r="B33" s="237">
        <f>'WEEK 18'!B28</f>
        <v>265</v>
      </c>
      <c r="C33" s="257">
        <v>3.0</v>
      </c>
      <c r="D33" s="238" t="s">
        <v>122</v>
      </c>
      <c r="E33" s="84" t="str">
        <f>IF('WEEK 18'!B33='WEEK 14'!B50,'WEEK 14'!F50,"")</f>
        <v/>
      </c>
      <c r="F33" s="67"/>
    </row>
    <row r="34">
      <c r="A34" s="246" t="str">
        <f>IF('WEEK 18'!F33&lt;3,"PROCEED TO DOWN SETS","NEW 4 REP MAX ATTEMPT")</f>
        <v>NEW 4 REP MAX ATTEMPT</v>
      </c>
      <c r="B34" s="20"/>
      <c r="C34" s="20"/>
      <c r="D34" s="20"/>
      <c r="E34" s="20"/>
      <c r="F34" s="95"/>
    </row>
    <row r="35">
      <c r="A35" s="249">
        <f>if('WEEK 18'!F33&lt;=2,"",5)</f>
        <v>5</v>
      </c>
      <c r="B35" s="175">
        <f>IF('WEEK 18'!F33&lt;=2,"",'WEEK 18'!B33+5)</f>
        <v>270</v>
      </c>
      <c r="C35" s="238">
        <f>if('WEEK 18'!F33&lt;=2,"",4)</f>
        <v>4</v>
      </c>
      <c r="D35" s="238" t="str">
        <f>if('WEEK 18'!F33&lt;=2,"","1-5 MIN")</f>
        <v>1-5 MIN</v>
      </c>
      <c r="E35" s="84" t="str">
        <f>IF('WEEK 18'!B35='WEEK 14'!B52,'WEEK 14'!F52,"")</f>
        <v/>
      </c>
      <c r="F35" s="67"/>
    </row>
    <row r="36">
      <c r="A36" s="259" t="str">
        <f>IF('WEEK 18'!F35&lt;4,"","6")</f>
        <v/>
      </c>
      <c r="B36" s="237" t="str">
        <f>IF('WEEK 18'!F35&lt;4,"",'WEEK 18'!B35+5)</f>
        <v/>
      </c>
      <c r="C36" s="257" t="str">
        <f>IF('WEEK 18'!F35&lt;4,"","4")</f>
        <v/>
      </c>
      <c r="D36" s="257" t="str">
        <f>IF('WEEK 18'!F35&lt;4,"","1-5 MIN")</f>
        <v/>
      </c>
      <c r="E36" s="84" t="str">
        <f>IF('WEEK 18'!B36='WEEK 14'!B53,'WEEK 14'!F53,"")</f>
        <v/>
      </c>
      <c r="F36" s="67"/>
    </row>
    <row r="37">
      <c r="A37" s="246" t="s">
        <v>133</v>
      </c>
      <c r="B37" s="20"/>
      <c r="C37" s="20"/>
      <c r="D37" s="20"/>
      <c r="E37" s="20"/>
      <c r="F37" s="95"/>
    </row>
    <row r="38">
      <c r="A38" s="264">
        <f>IF(OR(ISBLANK('WEEK 18'!F33),ISBLANK('WEEK 18'!F32),ISBLANK('WEEK 18'!F31)),"",IF((AND('WEEK 18'!A35="",'WEEK 18'!A36="")),5,IF((AND('WEEK 18'!A35&gt;1,'WEEK 18'!A36="")),6,7)))</f>
        <v>6</v>
      </c>
      <c r="B38" s="265">
        <f>MROUND('WEEK 18'!B40*0.8,5)</f>
        <v>215</v>
      </c>
      <c r="C38" s="266" t="s">
        <v>65</v>
      </c>
      <c r="D38" s="267" t="s">
        <v>127</v>
      </c>
      <c r="E38" s="84" t="str">
        <f>IF('WEEK 18'!B38='WEEK 14'!B55,'WEEK 14'!F55,"")</f>
        <v/>
      </c>
      <c r="F38" s="67"/>
    </row>
    <row r="39">
      <c r="A39" s="243">
        <f>IF(OR(ISBLANK('WEEK 18'!F33),ISBLANK('WEEK 18'!F32),ISBLANK('WEEK 18'!F31)),"",IF((AND('WEEK 18'!A35="",'WEEK 18'!A36="")),6,IF((AND('WEEK 18'!A35&gt;1,'WEEK 18'!A36="")),7,8)))</f>
        <v>7</v>
      </c>
      <c r="B39" s="237">
        <f>mround('WEEK 18'!B40*0.7,5)</f>
        <v>190</v>
      </c>
      <c r="C39" s="245" t="s">
        <v>65</v>
      </c>
      <c r="D39" s="65" t="s">
        <v>127</v>
      </c>
      <c r="E39" s="84" t="str">
        <f>IF('WEEK 18'!B39='WEEK 14'!B56,'WEEK 14'!F56,"")</f>
        <v/>
      </c>
      <c r="F39" s="271"/>
    </row>
    <row r="40">
      <c r="A40" s="272" t="s">
        <v>124</v>
      </c>
      <c r="B40" s="273">
        <f>IF(OR(ISBLANK('WEEK 18'!F33),ISBLANK('WEEK 18'!F32),ISBLANK('WEEK 18'!F31)),"",IF('WEEK 18'!F36&gt;=4,'WEEK 18'!B36,IF('WEEK 18'!F35&gt;=1,'WEEK 18'!B35,IF('WEEK 18'!F33&lt;3,'WEEK 18'!B33-5,'WEEK 18'!B33))))</f>
        <v>270</v>
      </c>
      <c r="C40" s="11"/>
      <c r="D40" s="11"/>
      <c r="E40" s="11"/>
      <c r="F40" s="46"/>
    </row>
    <row r="41">
      <c r="A41" s="292"/>
      <c r="B41" s="292"/>
      <c r="C41" s="292"/>
      <c r="D41" s="292"/>
      <c r="E41" s="292"/>
      <c r="F41" s="292"/>
    </row>
    <row r="42">
      <c r="A42" s="73" t="str">
        <f>HYPERLINK("https://youtu.be/hMUUvL3FlkE","4. HIGH ROW")</f>
        <v>4. HIGH ROW</v>
      </c>
      <c r="B42" s="53"/>
      <c r="C42" s="53"/>
      <c r="D42" s="53"/>
      <c r="E42" s="53"/>
      <c r="F42" s="54"/>
    </row>
    <row r="43">
      <c r="A43" s="282" t="s">
        <v>119</v>
      </c>
      <c r="B43" s="56" t="str">
        <f>'WEEK 17'!B69</f>
        <v/>
      </c>
      <c r="C43" s="13"/>
      <c r="D43" s="13"/>
      <c r="E43" s="13"/>
      <c r="F43" s="57"/>
    </row>
    <row r="44">
      <c r="A44" s="58" t="s">
        <v>50</v>
      </c>
      <c r="B44" s="59" t="s">
        <v>51</v>
      </c>
      <c r="C44" s="59" t="s">
        <v>52</v>
      </c>
      <c r="D44" s="59" t="s">
        <v>53</v>
      </c>
      <c r="E44" s="60" t="s">
        <v>54</v>
      </c>
      <c r="F44" s="61" t="s">
        <v>55</v>
      </c>
    </row>
    <row r="45">
      <c r="A45" s="62">
        <v>1.0</v>
      </c>
      <c r="B45" s="63">
        <f>MROUND('WEEK 18'!B43*0.9,5)</f>
        <v>0</v>
      </c>
      <c r="C45" s="104" t="s">
        <v>65</v>
      </c>
      <c r="D45" s="65" t="s">
        <v>127</v>
      </c>
      <c r="E45" s="84" t="str">
        <f>IF('WEEK 18'!B45='WEEK 14'!B62,'WEEK 14'!F62,"")</f>
        <v/>
      </c>
      <c r="F45" s="67"/>
    </row>
    <row r="46">
      <c r="A46" s="62">
        <v>2.0</v>
      </c>
      <c r="B46" s="63">
        <f>IF('WEEK 18'!F45&lt;6,MROUND('WEEK 18'!B43*0.75,5),IF('WEEK 18'!F45&lt;=10,MROUND('WEEK 18'!B43*0.85,5),'WEEK 18'!B45))</f>
        <v>0</v>
      </c>
      <c r="C46" s="104" t="s">
        <v>65</v>
      </c>
      <c r="D46" s="65" t="s">
        <v>127</v>
      </c>
      <c r="E46" s="84" t="str">
        <f>IF('WEEK 18'!B46='WEEK 14'!B63,'WEEK 14'!F63,"")</f>
        <v/>
      </c>
      <c r="F46" s="67"/>
    </row>
    <row r="47">
      <c r="A47" s="68">
        <v>3.0</v>
      </c>
      <c r="B47" s="69">
        <f>IF('WEEK 18'!F46&lt;6,MROUND('WEEK 18'!B43*0.75,5),IF('WEEK 18'!F46&lt;=10,MROUND('WEEK 18'!B43*0.85,5),'WEEK 18'!B46))</f>
        <v>0</v>
      </c>
      <c r="C47" s="105" t="s">
        <v>65</v>
      </c>
      <c r="D47" s="65" t="s">
        <v>127</v>
      </c>
      <c r="E47" s="84" t="str">
        <f>IF('WEEK 18'!B47='WEEK 14'!B64,'WEEK 14'!F64,"")</f>
        <v/>
      </c>
      <c r="F47" s="67"/>
    </row>
    <row r="48">
      <c r="A48" s="657"/>
    </row>
    <row r="50">
      <c r="A50" s="440" t="str">
        <f>HYPERLINK("https://www.youtube.com/watch?v=PnaDzYh2axA","5. LAT PULL DOWN")</f>
        <v>5. LAT PULL DOWN</v>
      </c>
      <c r="B50" s="53"/>
      <c r="C50" s="53"/>
      <c r="D50" s="53"/>
      <c r="E50" s="53"/>
      <c r="F50" s="54"/>
    </row>
    <row r="51">
      <c r="A51" s="282" t="s">
        <v>119</v>
      </c>
      <c r="B51" s="56" t="str">
        <f>'WEEK 17'!B57</f>
        <v/>
      </c>
      <c r="C51" s="13"/>
      <c r="D51" s="13"/>
      <c r="E51" s="13"/>
      <c r="F51" s="57"/>
    </row>
    <row r="52">
      <c r="A52" s="58" t="s">
        <v>50</v>
      </c>
      <c r="B52" s="59" t="s">
        <v>51</v>
      </c>
      <c r="C52" s="59" t="s">
        <v>52</v>
      </c>
      <c r="D52" s="59" t="s">
        <v>53</v>
      </c>
      <c r="E52" s="60" t="s">
        <v>54</v>
      </c>
      <c r="F52" s="61" t="s">
        <v>55</v>
      </c>
    </row>
    <row r="53">
      <c r="A53" s="62">
        <v>1.0</v>
      </c>
      <c r="B53" s="63">
        <f>mround('WEEK 18'!B51*0.85,5)</f>
        <v>0</v>
      </c>
      <c r="C53" s="104" t="s">
        <v>65</v>
      </c>
      <c r="D53" s="65" t="s">
        <v>127</v>
      </c>
      <c r="E53" s="84" t="str">
        <f>IF('WEEK 18'!B53='WEEK 14'!B70,'WEEK 14'!F70,"")</f>
        <v/>
      </c>
      <c r="F53" s="67"/>
    </row>
    <row r="54">
      <c r="A54" s="62">
        <v>2.0</v>
      </c>
      <c r="B54" s="663">
        <f>IF('WEEK 18'!F53&lt;6,MROUND('WEEK 18'!B53*0.85,5),IF('WEEK 18'!F53&lt;=10,MROUND('WEEK 18'!B53*0.95,5),'WEEK 18'!B53))</f>
        <v>0</v>
      </c>
      <c r="C54" s="104" t="s">
        <v>65</v>
      </c>
      <c r="D54" s="65" t="s">
        <v>127</v>
      </c>
      <c r="E54" s="84" t="str">
        <f>IF('WEEK 18'!B54='WEEK 14'!B71,'WEEK 14'!F71,"")</f>
        <v/>
      </c>
      <c r="F54" s="67"/>
    </row>
    <row r="55">
      <c r="A55" s="325">
        <v>3.0</v>
      </c>
      <c r="B55" s="663">
        <f>IF('WEEK 18'!F54&lt;6,MROUND('WEEK 18'!B54*0.85,5),IF('WEEK 18'!F54&lt;=10,MROUND('WEEK 18'!B54*0.95,5),'WEEK 18'!B54))</f>
        <v>0</v>
      </c>
      <c r="C55" s="327" t="s">
        <v>65</v>
      </c>
      <c r="D55" s="65" t="s">
        <v>127</v>
      </c>
      <c r="E55" s="84" t="str">
        <f>IF('WEEK 18'!B55='WEEK 14'!B72,'WEEK 14'!F72,"")</f>
        <v/>
      </c>
      <c r="F55" s="665"/>
    </row>
    <row r="56">
      <c r="A56" s="580"/>
      <c r="B56" s="666"/>
      <c r="C56" s="667"/>
      <c r="D56" s="666"/>
      <c r="E56" s="668"/>
      <c r="F56" s="666"/>
    </row>
    <row r="57">
      <c r="A57" s="581" t="str">
        <f>HYPERLINK("https://docs.google.com/a/fitnessresults.com/forms/d/e/1FAIpQLSd7MoczESe8Yjv6BKpmwAZGn9Aiymrs9-UdgfYIUpbr9t5NXg/viewform?usp=pp_url&amp;entry.93370101","CLICK TO COMPLETE WORKOUT")</f>
        <v>CLICK TO COMPLETE WORKOUT</v>
      </c>
      <c r="B57" s="25"/>
      <c r="C57" s="25"/>
      <c r="D57" s="25"/>
      <c r="E57" s="25"/>
      <c r="F57" s="26"/>
    </row>
    <row r="58">
      <c r="A58" s="336"/>
      <c r="B58" s="11"/>
      <c r="C58" s="11"/>
      <c r="D58" s="11"/>
      <c r="E58" s="11"/>
      <c r="F58" s="46"/>
    </row>
    <row r="59">
      <c r="A59" s="582"/>
      <c r="B59" s="582"/>
      <c r="C59" s="582"/>
      <c r="D59" s="582"/>
      <c r="E59" s="582"/>
      <c r="F59" s="582"/>
    </row>
    <row r="60">
      <c r="A60" s="669" t="s">
        <v>128</v>
      </c>
      <c r="B60" s="11"/>
      <c r="C60" s="11"/>
      <c r="D60" s="11"/>
      <c r="E60" s="11"/>
      <c r="F60" s="46"/>
    </row>
    <row r="62">
      <c r="A62" s="1355" t="str">
        <f>HYPERLINK("https://www.youtube.com/watch?v=5UOeRbRoFOI","1. MACHINE SQUAT")</f>
        <v>1. MACHINE SQUAT</v>
      </c>
      <c r="B62" s="53"/>
      <c r="C62" s="53"/>
      <c r="D62" s="53"/>
      <c r="E62" s="53"/>
      <c r="F62" s="54"/>
    </row>
    <row r="63">
      <c r="A63" s="1469" t="s">
        <v>216</v>
      </c>
      <c r="B63" s="1463">
        <f>'WEEK 14'!B93</f>
        <v>100</v>
      </c>
      <c r="F63" s="28"/>
    </row>
    <row r="64">
      <c r="A64" s="231" t="s">
        <v>50</v>
      </c>
      <c r="B64" s="232" t="s">
        <v>51</v>
      </c>
      <c r="C64" s="232" t="s">
        <v>52</v>
      </c>
      <c r="D64" s="232" t="s">
        <v>53</v>
      </c>
      <c r="E64" s="233" t="s">
        <v>54</v>
      </c>
      <c r="F64" s="61" t="s">
        <v>55</v>
      </c>
    </row>
    <row r="65">
      <c r="A65" s="236">
        <v>1.0</v>
      </c>
      <c r="B65" s="237">
        <f>mround('WEEK 18'!B63*0.35,5)</f>
        <v>35</v>
      </c>
      <c r="C65" s="238">
        <v>10.0</v>
      </c>
      <c r="D65" s="238" t="s">
        <v>120</v>
      </c>
      <c r="E65" s="66" t="str">
        <f>IF('WEEK 14'!B83='WEEK 18'!B65,'WEEK 14'!F83,"")</f>
        <v/>
      </c>
      <c r="F65" s="67"/>
    </row>
    <row r="66">
      <c r="A66" s="236">
        <v>2.0</v>
      </c>
      <c r="B66" s="237">
        <f>mround('WEEK 18'!B63*0.65,5)</f>
        <v>65</v>
      </c>
      <c r="C66" s="238">
        <v>10.0</v>
      </c>
      <c r="D66" s="238" t="s">
        <v>121</v>
      </c>
      <c r="E66" s="66" t="str">
        <f>IF('WEEK 14'!B84='WEEK 18'!B66,'WEEK 14'!F84,"")</f>
        <v/>
      </c>
      <c r="F66" s="67"/>
    </row>
    <row r="67">
      <c r="A67" s="242">
        <v>3.0</v>
      </c>
      <c r="B67" s="237">
        <f>mround('WEEK 18'!B63*0.9,5)</f>
        <v>90</v>
      </c>
      <c r="C67" s="238">
        <v>10.0</v>
      </c>
      <c r="D67" s="238" t="s">
        <v>121</v>
      </c>
      <c r="E67" s="66" t="str">
        <f>IF('WEEK 14'!B85='WEEK 18'!B67,'WEEK 14'!F85,"")</f>
        <v/>
      </c>
      <c r="F67" s="67"/>
    </row>
    <row r="68">
      <c r="A68" s="249">
        <v>4.0</v>
      </c>
      <c r="B68" s="175">
        <f>if('WEEK 18'!F67&lt;2,MROUND('WEEK 18'!B67-('WEEK 18'!B67*20%),5),'WEEK 18'!B63)</f>
        <v>70</v>
      </c>
      <c r="C68" s="238">
        <v>10.0</v>
      </c>
      <c r="D68" s="238" t="s">
        <v>122</v>
      </c>
      <c r="E68" s="66" t="str">
        <f>IF('WEEK 14'!B86='WEEK 18'!B68,'WEEK 14'!F86,"")</f>
        <v/>
      </c>
      <c r="F68" s="67"/>
    </row>
    <row r="69">
      <c r="A69" s="249">
        <v>5.0</v>
      </c>
      <c r="B69" s="175">
        <f>IF((AND('WEEK 18'!B68&lt;='WEEK 18'!B67,'WEEK 18'!F68&gt;=2)),'WEEK 18'!B68,IF('WEEK 18'!F68&lt;2,MROUND('WEEK 18'!B68-('WEEK 18'!B68*20%),5),if( 'WEEK 18'!F68&lt;2,,MROUND('WEEK 18'!B68-('WEEK 18'!B68*10%),5),MROUND('WEEK 18'!B68+('WEEK 18'!B68*10%),5))))</f>
        <v>55</v>
      </c>
      <c r="C69" s="238">
        <v>10.0</v>
      </c>
      <c r="D69" s="238" t="s">
        <v>122</v>
      </c>
      <c r="E69" s="66" t="str">
        <f>IF('WEEK 14'!B87='WEEK 18'!B69,'WEEK 14'!F87,"")</f>
        <v/>
      </c>
      <c r="F69" s="1037"/>
    </row>
    <row r="70">
      <c r="A70" s="249">
        <f>if('WEEK 18'!F68&lt;2,6,6)</f>
        <v>6</v>
      </c>
      <c r="B70" s="175">
        <f>IF((AND('WEEK 18'!B69&lt;='WEEK 18'!B68,'WEEK 18'!F69&gt;=2)),'WEEK 18'!B69,IF('WEEK 18'!F69&lt;2,MROUND('WEEK 18'!B69-('WEEK 18'!B69*20%),5),if( 'WEEK 18'!F69&lt;2,,MROUND('WEEK 18'!B69-('WEEK 18'!B69*10%),5),MROUND('WEEK 18'!B69+('WEEK 18'!B69*10%),5))))</f>
        <v>45</v>
      </c>
      <c r="C70" s="238">
        <v>10.0</v>
      </c>
      <c r="D70" s="238" t="s">
        <v>122</v>
      </c>
      <c r="E70" s="66" t="str">
        <f>IF('WEEK 14'!B88='WEEK 18'!B70,'WEEK 14'!F88,"")</f>
        <v/>
      </c>
      <c r="F70" s="67"/>
    </row>
    <row r="71">
      <c r="A71" s="1038">
        <f>IF('WEEK 18'!F70&lt;2,7,"7")</f>
        <v>7</v>
      </c>
      <c r="B71" s="175">
        <f>IF((AND('WEEK 18'!B70&lt;='WEEK 18'!B69,'WEEK 18'!F70&gt;=2)),'WEEK 18'!B70,IF('WEEK 18'!F70&lt;2,MROUND('WEEK 18'!B70-('WEEK 18'!B70*20%),5),if( 'WEEK 18'!F70&lt;2,,MROUND('WEEK 18'!B70-('WEEK 18'!B70*10%),5),MROUND('WEEK 18'!B70+('WEEK 18'!B70*10%),5))))</f>
        <v>35</v>
      </c>
      <c r="C71" s="238">
        <v>10.0</v>
      </c>
      <c r="D71" s="238" t="s">
        <v>122</v>
      </c>
      <c r="E71" s="66" t="str">
        <f>IF('WEEK 14'!B89='WEEK 18'!B71,'WEEK 14'!F89,"")</f>
        <v/>
      </c>
      <c r="F71" s="67"/>
    </row>
    <row r="72">
      <c r="A72" s="249">
        <f>IF('WEEK 18'!F71&lt;2,8,"8")</f>
        <v>8</v>
      </c>
      <c r="B72" s="175">
        <f>IF((AND('WEEK 18'!B71&lt;='WEEK 18'!B70,'WEEK 18'!F71&gt;=2)),'WEEK 18'!B71,IF('WEEK 18'!F71&lt;2,MROUND('WEEK 18'!B71-('WEEK 18'!B71*20%),5),if( 'WEEK 18'!F71&lt;2,,MROUND('WEEK 18'!B71-('WEEK 18'!B71*10%),5),MROUND('WEEK 18'!B71+('WEEK 18'!B71*10%),5))))</f>
        <v>30</v>
      </c>
      <c r="C72" s="238">
        <v>10.0</v>
      </c>
      <c r="D72" s="238" t="s">
        <v>122</v>
      </c>
      <c r="E72" s="66" t="str">
        <f>IF('WEEK 14'!B90='WEEK 18'!B72,'WEEK 14'!F90,"")</f>
        <v/>
      </c>
      <c r="F72" s="67"/>
    </row>
    <row r="73">
      <c r="A73" s="1038">
        <f>IF('WEEK 18'!F72&lt;2,9,"9")</f>
        <v>9</v>
      </c>
      <c r="B73" s="175">
        <f>IF((AND('WEEK 18'!B72&lt;='WEEK 18'!B71,'WEEK 18'!F72&gt;=2)),'WEEK 18'!B72,IF('WEEK 18'!F72&lt;2,MROUND('WEEK 18'!B72-('WEEK 18'!B72*20%),5),if( 'WEEK 18'!F72&lt;2,,MROUND('WEEK 18'!B72-('WEEK 18'!B72*10%),5),MROUND('WEEK 18'!B72+('WEEK 18'!B72*10%),5))))</f>
        <v>25</v>
      </c>
      <c r="C73" s="238">
        <v>10.0</v>
      </c>
      <c r="D73" s="238" t="s">
        <v>122</v>
      </c>
      <c r="E73" s="66" t="str">
        <f>IF('WEEK 14'!B91='WEEK 18'!B73,'WEEK 14'!F91,"")</f>
        <v/>
      </c>
      <c r="F73" s="67"/>
    </row>
    <row r="74">
      <c r="A74" s="1038" t="str">
        <f>IF('WEEK 18'!F73&lt;2,"10","10")</f>
        <v>10</v>
      </c>
      <c r="B74" s="175">
        <f>IF((AND('WEEK 18'!B73&lt;='WEEK 18'!B72,'WEEK 18'!F73&gt;=2)),'WEEK 18'!B73,IF('WEEK 18'!F73&lt;2,MROUND('WEEK 18'!B73-('WEEK 18'!B73*20%),5),if( 'WEEK 18'!F73&lt;2,,MROUND('WEEK 18'!B73-('WEEK 18'!B73*10%),5),MROUND('WEEK 18'!B73+('WEEK 18'!B73*10%),5))))</f>
        <v>20</v>
      </c>
      <c r="C74" s="238">
        <v>10.0</v>
      </c>
      <c r="D74" s="238" t="s">
        <v>122</v>
      </c>
      <c r="E74" s="66" t="str">
        <f>IF('WEEK 14'!B92='WEEK 18'!B74,'WEEK 14'!F92,"")</f>
        <v/>
      </c>
      <c r="F74" s="67"/>
    </row>
    <row r="75">
      <c r="A75" s="272" t="s">
        <v>268</v>
      </c>
      <c r="B75" s="1039">
        <f>IF(OR(ISBLANK('WEEK 18'!F65),ISBLANK('WEEK 18'!F66)),'WEEK 18'!B63,IF((AND('WEEK 18'!F74&gt;=2,'WEEK 18'!B74&gt;'WEEK 18'!B73)),'WEEK 18'!B74,IF((AND('WEEK 18'!F73&gt;=2,'WEEK 18'!B73&gt;'WEEK 18'!B72)),'WEEK 18'!B73,IF((AND('WEEK 18'!F72&gt;=2,'WEEK 18'!B72&gt;'WEEK 18'!B71)),'WEEK 18'!B72,IF((AND('WEEK 18'!F71&gt;=2,'WEEK 18'!B71&gt;'WEEK 18'!B70)),'WEEK 18'!B71,IF((AND('WEEK 18'!F70&gt;=2,'WEEK 18'!B70&gt;'WEEK 18'!B69)),'WEEK 18'!B70,IF((AND('WEEK 18'!F69&gt;=2,'WEEK 18'!B69&gt;'WEEK 18'!B68)),'WEEK 18'!B69,IF((AND('WEEK 18'!F68&gt;=2,'WEEK 18'!B68&gt;'WEEK 18'!B67)),'WEEK 18'!B68,IF((AND('WEEK 18'!F67&gt;=2,'WEEK 18'!B67&gt;'WEEK 18'!B66)),'WEEK 18'!B67,IF((AND('WEEK 18'!F66&gt;=2,'WEEK 18'!B66&gt;'WEEK 18'!B65)),'WEEK 18'!B66))))))))))</f>
        <v>100</v>
      </c>
      <c r="C75" s="11"/>
      <c r="D75" s="11"/>
      <c r="E75" s="11"/>
      <c r="F75" s="46"/>
    </row>
    <row r="78">
      <c r="A78" s="1285" t="str">
        <f>HYPERLINK("https://www.youtube.com/watch?v=NZ9KiFtbiMs","2. LEG EXTENSION")</f>
        <v>2. LEG EXTENSION</v>
      </c>
      <c r="B78" s="53"/>
      <c r="C78" s="53"/>
      <c r="D78" s="53"/>
      <c r="E78" s="53"/>
      <c r="F78" s="54"/>
    </row>
    <row r="79">
      <c r="A79" s="1045" t="s">
        <v>119</v>
      </c>
      <c r="B79" s="1367">
        <f>IF('WEEK 17'!B99='WEEK 17'!B101,'WEEK 17'!B99+5,IF('WEEK 17'!F99&lt;=9,MROUND('WEEK 17'!B97*0.95,5),'WEEK 17'!B99))</f>
        <v>50</v>
      </c>
      <c r="C79" s="20"/>
      <c r="D79" s="20"/>
      <c r="E79" s="20"/>
      <c r="F79" s="95"/>
    </row>
    <row r="80">
      <c r="A80" s="567" t="s">
        <v>50</v>
      </c>
      <c r="B80" s="568" t="s">
        <v>51</v>
      </c>
      <c r="C80" s="568" t="s">
        <v>52</v>
      </c>
      <c r="D80" s="568" t="s">
        <v>53</v>
      </c>
      <c r="E80" s="1047" t="s">
        <v>54</v>
      </c>
      <c r="F80" s="1048" t="s">
        <v>55</v>
      </c>
    </row>
    <row r="81">
      <c r="A81" s="1049">
        <v>1.0</v>
      </c>
      <c r="B81" s="1050">
        <f>'WEEK 18'!B79</f>
        <v>50</v>
      </c>
      <c r="C81" s="1051" t="s">
        <v>61</v>
      </c>
      <c r="D81" s="1430" t="s">
        <v>121</v>
      </c>
      <c r="E81" s="1130" t="str">
        <f>IF('WEEK 17'!B99='WEEK 18'!B81,'WEEK 17'!F99,"")</f>
        <v/>
      </c>
      <c r="F81" s="1017"/>
    </row>
    <row r="82">
      <c r="A82" s="1049">
        <v>2.0</v>
      </c>
      <c r="B82" s="1050">
        <f>if('WEEK 18'!F81&lt;12,mround('WEEK 18'!B81*0.8,5),IF('WEEK 18'!F81&lt;=14,MROUND('WEEK 18'!B81*0.95,5),'WEEK 18'!B81))</f>
        <v>40</v>
      </c>
      <c r="C82" s="1051" t="s">
        <v>61</v>
      </c>
      <c r="D82" s="1430" t="s">
        <v>121</v>
      </c>
      <c r="E82" s="1130" t="str">
        <f>IF('WEEK 17'!B100='WEEK 18'!B82,'WEEK 17'!F100,"")</f>
        <v/>
      </c>
      <c r="F82" s="1017"/>
    </row>
    <row r="83">
      <c r="A83" s="1053">
        <v>3.0</v>
      </c>
      <c r="B83" s="1054">
        <f>if('WEEK 18'!F82&lt;12,mround('WEEK 18'!B82*0.8,5),IF('WEEK 18'!F82&lt;=14,MROUND('WEEK 18'!B82*0.95,5),'WEEK 18'!B82))</f>
        <v>30</v>
      </c>
      <c r="C83" s="1055" t="s">
        <v>61</v>
      </c>
      <c r="D83" s="1430" t="s">
        <v>121</v>
      </c>
      <c r="E83" s="1130" t="str">
        <f>IF('WEEK 17'!B101='WEEK 18'!B83,'WEEK 17'!F101,"")</f>
        <v/>
      </c>
      <c r="F83" s="1017"/>
    </row>
    <row r="86">
      <c r="A86" s="323" t="str">
        <f>HYPERLINK("https://www.youtube.com/watch?v=XepOfsnGFJg","3. MACHINE LEG CURL")</f>
        <v>3. MACHINE LEG CURL</v>
      </c>
      <c r="B86" s="53"/>
      <c r="C86" s="53"/>
      <c r="D86" s="53"/>
      <c r="E86" s="53"/>
      <c r="F86" s="54"/>
      <c r="G86" s="141"/>
      <c r="H86" s="323" t="str">
        <f>HYPERLINK("https://youtu.be/kmN9cJ79PDE","3. PRONE LEG CURL")</f>
        <v>3. PRONE LEG CURL</v>
      </c>
      <c r="I86" s="53"/>
      <c r="J86" s="53"/>
      <c r="K86" s="53"/>
      <c r="L86" s="53"/>
      <c r="M86" s="54"/>
    </row>
    <row r="87">
      <c r="A87" s="1045" t="s">
        <v>119</v>
      </c>
      <c r="B87" s="1367">
        <f>IF('WEEK 17'!B107='WEEK 17'!B109,'WEEK 17'!B107+5,IF('WEEK 17'!F107&lt;=9,MROUND('WEEK 17'!B105*0.95,5),'WEEK 17'!B107))</f>
        <v>5</v>
      </c>
      <c r="C87" s="20"/>
      <c r="D87" s="20"/>
      <c r="E87" s="20"/>
      <c r="F87" s="95"/>
      <c r="H87" s="1045" t="s">
        <v>119</v>
      </c>
      <c r="I87" s="1046">
        <f>'WEEK 18'!B87</f>
        <v>5</v>
      </c>
      <c r="J87" s="13"/>
      <c r="K87" s="13"/>
      <c r="L87" s="13"/>
      <c r="M87" s="57"/>
    </row>
    <row r="88">
      <c r="A88" s="567" t="s">
        <v>50</v>
      </c>
      <c r="B88" s="568" t="s">
        <v>51</v>
      </c>
      <c r="C88" s="568" t="s">
        <v>52</v>
      </c>
      <c r="D88" s="568" t="s">
        <v>53</v>
      </c>
      <c r="E88" s="1047" t="s">
        <v>54</v>
      </c>
      <c r="F88" s="1048" t="s">
        <v>55</v>
      </c>
      <c r="H88" s="567" t="s">
        <v>50</v>
      </c>
      <c r="I88" s="568" t="s">
        <v>51</v>
      </c>
      <c r="J88" s="568" t="s">
        <v>52</v>
      </c>
      <c r="K88" s="568" t="s">
        <v>53</v>
      </c>
      <c r="L88" s="1047" t="s">
        <v>54</v>
      </c>
      <c r="M88" s="1048" t="s">
        <v>55</v>
      </c>
    </row>
    <row r="89">
      <c r="A89" s="1049">
        <v>1.0</v>
      </c>
      <c r="B89" s="1050">
        <f>'WEEK 18'!B87</f>
        <v>5</v>
      </c>
      <c r="C89" s="1051" t="s">
        <v>61</v>
      </c>
      <c r="D89" s="1430" t="s">
        <v>121</v>
      </c>
      <c r="E89" s="1130" t="str">
        <f>IF('WEEK 17'!B107='WEEK 18'!B89,'WEEK 17'!F107,"")</f>
        <v/>
      </c>
      <c r="F89" s="1017"/>
      <c r="G89" s="434" t="s">
        <v>123</v>
      </c>
      <c r="H89" s="1049">
        <v>1.0</v>
      </c>
      <c r="I89" s="1050">
        <f>'WEEK 18'!I87</f>
        <v>5</v>
      </c>
      <c r="J89" s="1051" t="s">
        <v>61</v>
      </c>
      <c r="K89" s="1430" t="s">
        <v>121</v>
      </c>
      <c r="L89" s="1130" t="str">
        <f>IF('WEEK 17'!I107='WEEK 18'!I89,'WEEK 17'!M107,"")</f>
        <v/>
      </c>
      <c r="M89" s="1017"/>
    </row>
    <row r="90">
      <c r="A90" s="1049">
        <v>2.0</v>
      </c>
      <c r="B90" s="1050">
        <f>if('WEEK 18'!F89&lt;12,mround('WEEK 18'!B89*0.8,5),IF('WEEK 18'!F89&lt;=14,MROUND('WEEK 18'!B89*0.95,5),'WEEK 18'!B89))</f>
        <v>5</v>
      </c>
      <c r="C90" s="1051" t="s">
        <v>61</v>
      </c>
      <c r="D90" s="1430" t="s">
        <v>121</v>
      </c>
      <c r="E90" s="1130" t="str">
        <f>IF('WEEK 17'!B108='WEEK 18'!B90,'WEEK 17'!F108,"")</f>
        <v/>
      </c>
      <c r="F90" s="1017"/>
      <c r="H90" s="1049">
        <v>2.0</v>
      </c>
      <c r="I90" s="1050">
        <f>if('WEEK 18'!M89&lt;12,mround('WEEK 18'!I89*0.8,5),IF('WEEK 18'!M89&lt;=14,MROUND('WEEK 18'!I89*0.95,5),'WEEK 18'!I89))</f>
        <v>5</v>
      </c>
      <c r="J90" s="1051" t="s">
        <v>61</v>
      </c>
      <c r="K90" s="1430" t="s">
        <v>121</v>
      </c>
      <c r="L90" s="1130" t="str">
        <f>IF('WEEK 17'!I108='WEEK 18'!I90,'WEEK 17'!M108,"")</f>
        <v/>
      </c>
      <c r="M90" s="1017"/>
    </row>
    <row r="91">
      <c r="A91" s="1053">
        <v>3.0</v>
      </c>
      <c r="B91" s="1054">
        <f>if('WEEK 18'!F90&lt;12,mround('WEEK 18'!B90*0.8,5),IF('WEEK 18'!F90&lt;=14,MROUND('WEEK 18'!B90*0.95,5),'WEEK 18'!B90))</f>
        <v>5</v>
      </c>
      <c r="C91" s="1055" t="s">
        <v>61</v>
      </c>
      <c r="D91" s="1430" t="s">
        <v>121</v>
      </c>
      <c r="E91" s="1130" t="str">
        <f>IF('WEEK 17'!B109='WEEK 18'!B91,'WEEK 17'!F109,"")</f>
        <v/>
      </c>
      <c r="F91" s="1017"/>
      <c r="G91" s="682"/>
      <c r="H91" s="1053">
        <v>3.0</v>
      </c>
      <c r="I91" s="1054">
        <f>if('WEEK 18'!M90&lt;12,mround('WEEK 18'!I90*0.8,5),IF('WEEK 18'!M90&lt;=14,MROUND('WEEK 18'!I90*0.95,5),'WEEK 18'!I90))</f>
        <v>5</v>
      </c>
      <c r="J91" s="1055" t="s">
        <v>61</v>
      </c>
      <c r="K91" s="1430" t="s">
        <v>121</v>
      </c>
      <c r="L91" s="1130" t="str">
        <f>IF('WEEK 17'!I109='WEEK 18'!I91,'WEEK 17'!M109,"")</f>
        <v/>
      </c>
      <c r="M91" s="1017"/>
    </row>
    <row r="92">
      <c r="A92" s="849"/>
      <c r="B92" s="849"/>
      <c r="C92" s="849"/>
      <c r="D92" s="849"/>
      <c r="E92" s="849"/>
      <c r="F92" s="849"/>
      <c r="H92" s="849"/>
      <c r="I92" s="850"/>
      <c r="J92" s="850"/>
      <c r="K92" s="850"/>
      <c r="L92" s="850"/>
      <c r="M92" s="850"/>
    </row>
    <row r="94">
      <c r="A94" s="1120" t="s">
        <v>62</v>
      </c>
      <c r="B94" s="36"/>
      <c r="C94" s="36"/>
      <c r="D94" s="36"/>
      <c r="E94" s="36"/>
      <c r="F94" s="37"/>
    </row>
    <row r="97">
      <c r="A97" s="51" t="s">
        <v>131</v>
      </c>
      <c r="B97" s="36"/>
      <c r="C97" s="36"/>
      <c r="D97" s="36"/>
      <c r="E97" s="36"/>
      <c r="F97" s="37"/>
      <c r="H97" s="51" t="s">
        <v>131</v>
      </c>
      <c r="I97" s="36"/>
      <c r="J97" s="36"/>
      <c r="K97" s="36"/>
      <c r="L97" s="36"/>
      <c r="M97" s="37"/>
    </row>
    <row r="98">
      <c r="A98" s="504" t="str">
        <f>HYPERLINK("https://youtu.be/rmxOkkd2hUk","1. SHOULDER PRESS")</f>
        <v>1. SHOULDER PRESS</v>
      </c>
      <c r="B98" s="53"/>
      <c r="C98" s="53"/>
      <c r="D98" s="53"/>
      <c r="E98" s="53"/>
      <c r="F98" s="54"/>
      <c r="H98" s="778" t="str">
        <f>HYPERLINK("https://www.youtube.com/watch?v=-cSBPE-y38M","1. MACHINE SHOULDER PRESS")</f>
        <v>1. MACHINE SHOULDER PRESS</v>
      </c>
      <c r="I98" s="53"/>
      <c r="J98" s="53"/>
      <c r="K98" s="53"/>
      <c r="L98" s="53"/>
      <c r="M98" s="54"/>
    </row>
    <row r="99">
      <c r="A99" s="589" t="s">
        <v>119</v>
      </c>
      <c r="B99" s="227" t="str">
        <f>'WEEK 17'!B117</f>
        <v/>
      </c>
      <c r="C99" s="20"/>
      <c r="D99" s="20"/>
      <c r="E99" s="20"/>
      <c r="F99" s="95"/>
      <c r="H99" s="589" t="s">
        <v>119</v>
      </c>
      <c r="I99" s="227">
        <f>'WEEK 17'!I117</f>
        <v>105</v>
      </c>
      <c r="J99" s="20"/>
      <c r="K99" s="20"/>
      <c r="L99" s="20"/>
      <c r="M99" s="95"/>
    </row>
    <row r="100">
      <c r="A100" s="364" t="s">
        <v>50</v>
      </c>
      <c r="B100" s="365" t="s">
        <v>51</v>
      </c>
      <c r="C100" s="365" t="s">
        <v>52</v>
      </c>
      <c r="D100" s="365" t="s">
        <v>53</v>
      </c>
      <c r="E100" s="609" t="s">
        <v>54</v>
      </c>
      <c r="F100" s="61" t="s">
        <v>55</v>
      </c>
      <c r="H100" s="364" t="s">
        <v>50</v>
      </c>
      <c r="I100" s="365" t="s">
        <v>51</v>
      </c>
      <c r="J100" s="365" t="s">
        <v>52</v>
      </c>
      <c r="K100" s="365" t="s">
        <v>53</v>
      </c>
      <c r="L100" s="609" t="s">
        <v>54</v>
      </c>
      <c r="M100" s="61" t="s">
        <v>55</v>
      </c>
    </row>
    <row r="101">
      <c r="A101" s="236">
        <v>1.0</v>
      </c>
      <c r="B101" s="237">
        <f>mround('WEEK 18'!B99*0.35,5)</f>
        <v>0</v>
      </c>
      <c r="C101" s="237">
        <v>6.0</v>
      </c>
      <c r="D101" s="238" t="s">
        <v>120</v>
      </c>
      <c r="E101" s="66" t="str">
        <f>IF('WEEK 18'!B101='WEEK 9'!B103,'WEEK 9'!F103,"")</f>
        <v/>
      </c>
      <c r="F101" s="67"/>
      <c r="H101" s="236">
        <v>1.0</v>
      </c>
      <c r="I101" s="237">
        <f>mround('WEEK 18'!I99*0.35,5)</f>
        <v>35</v>
      </c>
      <c r="J101" s="237">
        <v>6.0</v>
      </c>
      <c r="K101" s="238" t="s">
        <v>120</v>
      </c>
      <c r="L101" s="66" t="str">
        <f>IF('WEEK 18'!I101='WEEK 9'!I103,'WEEK 9'!M103,"")</f>
        <v/>
      </c>
      <c r="M101" s="67"/>
    </row>
    <row r="102">
      <c r="A102" s="236">
        <v>2.0</v>
      </c>
      <c r="B102" s="237">
        <f>mround('WEEK 18'!B99*0.65,5)</f>
        <v>0</v>
      </c>
      <c r="C102" s="237">
        <v>1.0</v>
      </c>
      <c r="D102" s="238" t="s">
        <v>57</v>
      </c>
      <c r="E102" s="66" t="str">
        <f>IF('WEEK 18'!B102='WEEK 9'!B104,'WEEK 9'!F104,"")</f>
        <v/>
      </c>
      <c r="F102" s="67"/>
      <c r="H102" s="236">
        <v>2.0</v>
      </c>
      <c r="I102" s="237">
        <f>mround('WEEK 18'!I99*0.65,5)</f>
        <v>70</v>
      </c>
      <c r="J102" s="237">
        <v>1.0</v>
      </c>
      <c r="K102" s="238" t="s">
        <v>57</v>
      </c>
      <c r="L102" s="66" t="str">
        <f>IF('WEEK 18'!I102='WEEK 9'!I104,'WEEK 9'!M104,"")</f>
        <v/>
      </c>
      <c r="M102" s="67"/>
    </row>
    <row r="103">
      <c r="A103" s="779">
        <v>3.0</v>
      </c>
      <c r="B103" s="780">
        <f> mround('WEEK 18'!B99*0.85,5)</f>
        <v>0</v>
      </c>
      <c r="C103" s="781" t="s">
        <v>65</v>
      </c>
      <c r="D103" s="782" t="s">
        <v>57</v>
      </c>
      <c r="E103" s="66" t="str">
        <f>IF('WEEK 18'!B103='WEEK 9'!B105,'WEEK 9'!F105,"")</f>
        <v/>
      </c>
      <c r="F103" s="784"/>
      <c r="H103" s="779">
        <v>3.0</v>
      </c>
      <c r="I103" s="780">
        <f> mround('WEEK 18'!I99*0.85,5)</f>
        <v>90</v>
      </c>
      <c r="J103" s="781" t="s">
        <v>65</v>
      </c>
      <c r="K103" s="782" t="s">
        <v>57</v>
      </c>
      <c r="L103" s="66" t="str">
        <f>IF('WEEK 18'!I103='WEEK 9'!I105,'WEEK 9'!M105,"")</f>
        <v/>
      </c>
      <c r="M103" s="784"/>
    </row>
    <row r="104">
      <c r="A104" s="785">
        <v>4.0</v>
      </c>
      <c r="B104" s="388">
        <f>if('WEEK 18'!F103&lt;20,mround('WEEK 18'!B103*0.85,5),'WEEK 18'!B103)</f>
        <v>0</v>
      </c>
      <c r="C104" s="781" t="s">
        <v>65</v>
      </c>
      <c r="D104" s="390" t="s">
        <v>57</v>
      </c>
      <c r="E104" s="66" t="str">
        <f>IF('WEEK 18'!B104='WEEK 9'!B106,'WEEK 9'!F106,"")</f>
        <v/>
      </c>
      <c r="F104" s="392"/>
      <c r="H104" s="785">
        <v>4.0</v>
      </c>
      <c r="I104" s="388">
        <f>if('WEEK 18'!M103&lt;20,mround('WEEK 18'!I103*0.85,5),'WEEK 18'!I103)</f>
        <v>75</v>
      </c>
      <c r="J104" s="781" t="s">
        <v>65</v>
      </c>
      <c r="K104" s="390" t="s">
        <v>57</v>
      </c>
      <c r="L104" s="66" t="str">
        <f>IF('WEEK 18'!I104='WEEK 9'!I106,'WEEK 9'!M106,"")</f>
        <v/>
      </c>
      <c r="M104" s="392"/>
    </row>
    <row r="105">
      <c r="A105" s="787">
        <v>5.0</v>
      </c>
      <c r="B105" s="788">
        <f>if('WEEK 18'!F104&lt;20,mround('WEEK 18'!B104*0.85,2.5),'WEEK 18'!B104)</f>
        <v>0</v>
      </c>
      <c r="C105" s="789" t="s">
        <v>65</v>
      </c>
      <c r="D105" s="397" t="s">
        <v>57</v>
      </c>
      <c r="E105" s="66" t="str">
        <f>IF('WEEK 18'!B105='WEEK 9'!B107,'WEEK 9'!F107,"")</f>
        <v/>
      </c>
      <c r="F105" s="392"/>
      <c r="H105" s="787">
        <v>5.0</v>
      </c>
      <c r="I105" s="788">
        <f>if('WEEK 18'!M104&lt;20,mround('WEEK 18'!I104*0.85,10),'WEEK 18'!I104)</f>
        <v>75</v>
      </c>
      <c r="J105" s="789" t="s">
        <v>65</v>
      </c>
      <c r="K105" s="397" t="s">
        <v>57</v>
      </c>
      <c r="L105" s="66" t="str">
        <f>IF('WEEK 18'!I105='WEEK 9'!I107,'WEEK 9'!M107,"")</f>
        <v/>
      </c>
      <c r="M105" s="392"/>
    </row>
    <row r="108">
      <c r="A108" s="1217" t="str">
        <f>HYPERLINK("https://www.youtube.com/watch?v=XDLQt1j3qUU","2. DUMBBELL REAR DELT FLY ")</f>
        <v>2. DUMBBELL REAR DELT FLY </v>
      </c>
      <c r="B108" s="53"/>
      <c r="C108" s="53"/>
      <c r="D108" s="53"/>
      <c r="E108" s="53"/>
      <c r="F108" s="54"/>
    </row>
    <row r="109">
      <c r="A109" s="1268" t="s">
        <v>134</v>
      </c>
      <c r="B109" s="76">
        <f>mround('WEEK 17'!B126,2.5)</f>
        <v>0</v>
      </c>
      <c r="C109" s="13"/>
      <c r="D109" s="13"/>
      <c r="E109" s="13"/>
      <c r="F109" s="57"/>
    </row>
    <row r="110">
      <c r="A110" s="962" t="s">
        <v>50</v>
      </c>
      <c r="B110" s="963" t="s">
        <v>51</v>
      </c>
      <c r="C110" s="963" t="s">
        <v>52</v>
      </c>
      <c r="D110" s="963" t="s">
        <v>53</v>
      </c>
      <c r="E110" s="1005" t="s">
        <v>54</v>
      </c>
      <c r="F110" s="1006" t="s">
        <v>55</v>
      </c>
    </row>
    <row r="111">
      <c r="A111" s="967">
        <v>1.0</v>
      </c>
      <c r="B111" s="1028">
        <f>MROUND('WEEK 18'!B109*0.2*0.9,2.5)</f>
        <v>0</v>
      </c>
      <c r="C111" s="1067" t="s">
        <v>249</v>
      </c>
      <c r="D111" s="1384" t="s">
        <v>127</v>
      </c>
      <c r="E111" s="66" t="str">
        <f>IF('WEEK 18'!B111='WEEK 17'!B128,'WEEK 17'!F128,"")</f>
        <v/>
      </c>
      <c r="F111" s="1017"/>
    </row>
    <row r="112">
      <c r="A112" s="967">
        <v>2.0</v>
      </c>
      <c r="B112" s="1028">
        <f>if('WEEK 18'!F111&lt;10,mround('WEEK 18'!B111*0.8,2.5),IF('WEEK 18'!F111&lt;15,MROUND('WEEK 18'!B111*0.95,2.5),'WEEK 18'!B111))</f>
        <v>0</v>
      </c>
      <c r="C112" s="1067" t="s">
        <v>249</v>
      </c>
      <c r="D112" s="1384" t="s">
        <v>127</v>
      </c>
      <c r="E112" s="66" t="str">
        <f>IF('WEEK 18'!B112='WEEK 17'!B129,'WEEK 17'!F129,"")</f>
        <v/>
      </c>
      <c r="F112" s="1017"/>
    </row>
    <row r="113">
      <c r="A113" s="971">
        <v>3.0</v>
      </c>
      <c r="B113" s="1123">
        <f>if('WEEK 18'!F112&lt;10,mround('WEEK 18'!B112*0.8,2.5),IF('WEEK 18'!F112&lt;15,MROUND('WEEK 18'!B112*0.95,2.5),'WEEK 18'!B112))</f>
        <v>0</v>
      </c>
      <c r="C113" s="1067" t="s">
        <v>249</v>
      </c>
      <c r="D113" s="1384" t="s">
        <v>127</v>
      </c>
      <c r="E113" s="66" t="str">
        <f>IF('WEEK 18'!B113='WEEK 17'!B130,'WEEK 17'!F130,"")</f>
        <v/>
      </c>
      <c r="F113" s="1017"/>
    </row>
    <row r="116">
      <c r="A116" s="1217" t="str">
        <f>HYPERLINK("https://youtu.be/QUNZvtb6mnY","3. DUMBBELL SIDE LATERAL RAISE")</f>
        <v>3. DUMBBELL SIDE LATERAL RAISE</v>
      </c>
      <c r="B116" s="53"/>
      <c r="C116" s="53"/>
      <c r="D116" s="53"/>
      <c r="E116" s="53"/>
      <c r="F116" s="54"/>
    </row>
    <row r="117">
      <c r="A117" s="1268" t="s">
        <v>134</v>
      </c>
      <c r="B117" s="76">
        <f>mround('WEEK 17'!B134,2.5)</f>
        <v>0</v>
      </c>
      <c r="C117" s="13"/>
      <c r="D117" s="13"/>
      <c r="E117" s="13"/>
      <c r="F117" s="57"/>
    </row>
    <row r="118">
      <c r="A118" s="1071" t="s">
        <v>50</v>
      </c>
      <c r="B118" s="1072" t="s">
        <v>51</v>
      </c>
      <c r="C118" s="1072" t="s">
        <v>52</v>
      </c>
      <c r="D118" s="1072" t="s">
        <v>53</v>
      </c>
      <c r="E118" s="1073" t="s">
        <v>54</v>
      </c>
      <c r="F118" s="1006" t="s">
        <v>55</v>
      </c>
    </row>
    <row r="119">
      <c r="A119" s="1074">
        <v>1.0</v>
      </c>
      <c r="B119" s="968">
        <f> mround('WEEK 18'!B117*0.2*0.9,5)</f>
        <v>0</v>
      </c>
      <c r="C119" s="1075" t="s">
        <v>61</v>
      </c>
      <c r="D119" s="1384" t="s">
        <v>127</v>
      </c>
      <c r="E119" s="66" t="str">
        <f>IF('WEEK 18'!B119='WEEK 17'!B136,'WEEK 17'!F136,"")</f>
        <v/>
      </c>
      <c r="F119" s="1017"/>
    </row>
    <row r="120">
      <c r="A120" s="1074">
        <v>2.0</v>
      </c>
      <c r="B120" s="968">
        <f>if('WEEK 18'!F119&lt;15,mround('WEEK 18'!B117*0.15,2.5),'WEEK 18'!B119)</f>
        <v>0</v>
      </c>
      <c r="C120" s="1075" t="s">
        <v>61</v>
      </c>
      <c r="D120" s="1384" t="s">
        <v>127</v>
      </c>
      <c r="E120" s="66" t="str">
        <f>IF('WEEK 18'!B120='WEEK 17'!B137,'WEEK 17'!F137,"")</f>
        <v/>
      </c>
      <c r="F120" s="1017"/>
    </row>
    <row r="121">
      <c r="A121" s="1078">
        <v>3.0</v>
      </c>
      <c r="B121" s="972">
        <f>if('WEEK 18'!F120&lt;15,mround('WEEK 18'!B117*0.1,2.5),'WEEK 18'!B120)</f>
        <v>0</v>
      </c>
      <c r="C121" s="1079" t="s">
        <v>61</v>
      </c>
      <c r="D121" s="1384" t="s">
        <v>127</v>
      </c>
      <c r="E121" s="66" t="str">
        <f>IF('WEEK 18'!B121='WEEK 17'!B138,'WEEK 17'!F138,"")</f>
        <v/>
      </c>
      <c r="F121" s="1017"/>
    </row>
    <row r="124">
      <c r="A124" s="1442" t="str">
        <f>HYPERLINK("https://www.youtube.com/watch?v=Zt0LwrUdpNs","4.  TRICEP OVERHEAD ROPE EXTENSION")</f>
        <v>4.  TRICEP OVERHEAD ROPE EXTENSION</v>
      </c>
      <c r="B124" s="13"/>
      <c r="C124" s="13"/>
      <c r="D124" s="13"/>
      <c r="E124" s="13"/>
      <c r="F124" s="57"/>
    </row>
    <row r="125">
      <c r="A125" s="961" t="s">
        <v>119</v>
      </c>
      <c r="B125" s="1443">
        <f>IF('WEEK 16'!B136='WEEK 16'!B138,'WEEK 16'!B136+5,IF('WEEK 16'!B136&lt;=15,MROUND('WEEK 16'!F134*0.9,5),'WEEK 16'!B136))</f>
        <v>0</v>
      </c>
      <c r="C125" s="13"/>
      <c r="D125" s="13"/>
      <c r="E125" s="13"/>
      <c r="F125" s="57"/>
    </row>
    <row r="126">
      <c r="A126" s="1444" t="s">
        <v>50</v>
      </c>
      <c r="B126" s="1445" t="s">
        <v>51</v>
      </c>
      <c r="C126" s="1445" t="s">
        <v>52</v>
      </c>
      <c r="D126" s="1446" t="s">
        <v>53</v>
      </c>
      <c r="E126" s="1447" t="s">
        <v>54</v>
      </c>
      <c r="F126" s="1448" t="s">
        <v>55</v>
      </c>
    </row>
    <row r="127">
      <c r="A127" s="387">
        <v>1.0</v>
      </c>
      <c r="B127" s="388">
        <f>'WEEK 18'!B125</f>
        <v>0</v>
      </c>
      <c r="C127" s="1449" t="s">
        <v>61</v>
      </c>
      <c r="D127" s="1433" t="s">
        <v>127</v>
      </c>
      <c r="E127" s="1450" t="str">
        <f>IF('WEEK 16'!B136='WEEK 18'!B127,'WEEK 16'!F136,"")</f>
        <v/>
      </c>
      <c r="F127" s="1451"/>
    </row>
    <row r="128">
      <c r="A128" s="387">
        <v>2.0</v>
      </c>
      <c r="B128" s="388">
        <f>if('WEEK 18'!F127&lt;6,mround('WEEK 18'!B127*0.8,5),IF('WEEK 18'!F127&lt;=14,MROUND('WEEK 18'!B127*0.95,5),'WEEK 18'!B127))</f>
        <v>0</v>
      </c>
      <c r="C128" s="1449" t="s">
        <v>61</v>
      </c>
      <c r="D128" s="1433" t="s">
        <v>127</v>
      </c>
      <c r="E128" s="1450" t="str">
        <f>IF('WEEK 16'!B137='WEEK 18'!B128,'WEEK 16'!F137,"")</f>
        <v/>
      </c>
      <c r="F128" s="1451"/>
    </row>
    <row r="129">
      <c r="A129" s="394">
        <v>3.0</v>
      </c>
      <c r="B129" s="395">
        <f>if('WEEK 18'!F128&lt;6,mround('WEEK 18'!B128*0.8,5),IF('WEEK 18'!F128&lt;=14,MROUND('WEEK 18'!B128*0.95,5),'WEEK 18'!B128))</f>
        <v>0</v>
      </c>
      <c r="C129" s="1461" t="s">
        <v>61</v>
      </c>
      <c r="D129" s="1456" t="s">
        <v>127</v>
      </c>
      <c r="E129" s="1470" t="str">
        <f>IF('WEEK 16'!B138='WEEK 18'!B129,'WEEK 16'!F138,"")</f>
        <v/>
      </c>
      <c r="F129" s="1451"/>
    </row>
    <row r="132">
      <c r="A132" s="1217" t="str">
        <f>HYPERLINK("https://youtu.be/TorWpKwLCSg","5. ALTERNATING DUMBBELL BICEP CURLS")</f>
        <v>5. ALTERNATING DUMBBELL BICEP CURLS</v>
      </c>
      <c r="B132" s="53"/>
      <c r="C132" s="53"/>
      <c r="D132" s="53"/>
      <c r="E132" s="53"/>
      <c r="F132" s="54"/>
    </row>
    <row r="133">
      <c r="A133" s="961" t="s">
        <v>119</v>
      </c>
      <c r="B133" s="839">
        <f>IF('WEEK 15'!B158='WEEK 15'!B160,'WEEK 15'!B158,IF('WEEK 15'!F158&lt;=15,MROUND('WEEK 15'!B156*0.9,5),'WEEK 15'!B158))</f>
        <v>30</v>
      </c>
      <c r="F133" s="28"/>
    </row>
    <row r="134">
      <c r="A134" s="962" t="s">
        <v>50</v>
      </c>
      <c r="B134" s="963" t="s">
        <v>51</v>
      </c>
      <c r="C134" s="963" t="s">
        <v>52</v>
      </c>
      <c r="D134" s="963" t="s">
        <v>53</v>
      </c>
      <c r="E134" s="1073" t="s">
        <v>54</v>
      </c>
      <c r="F134" s="1006" t="s">
        <v>55</v>
      </c>
    </row>
    <row r="135">
      <c r="A135" s="967">
        <v>1.0</v>
      </c>
      <c r="B135" s="968">
        <f> mround('WEEK 18'!B133*0.9,5)</f>
        <v>25</v>
      </c>
      <c r="C135" s="1067" t="s">
        <v>61</v>
      </c>
      <c r="D135" s="1076" t="s">
        <v>57</v>
      </c>
      <c r="E135" s="1235" t="str">
        <f>if('WEEK 18'!B135='WEEK 15'!B158,'WEEK 15'!F158,"")</f>
        <v/>
      </c>
      <c r="F135" s="984">
        <v>10.0</v>
      </c>
    </row>
    <row r="136">
      <c r="A136" s="967">
        <v>2.0</v>
      </c>
      <c r="B136" s="968">
        <f>if('WEEK 18'!F135&lt;10,mround('WEEK 18'!B133*0.35,5),'WEEK 18'!B135)</f>
        <v>25</v>
      </c>
      <c r="C136" s="1067" t="s">
        <v>61</v>
      </c>
      <c r="D136" s="1076" t="s">
        <v>57</v>
      </c>
      <c r="E136" s="1235" t="str">
        <f>if('WEEK 18'!B136='WEEK 15'!B159,'WEEK 15'!F159,"")</f>
        <v/>
      </c>
      <c r="F136" s="984">
        <v>10.0</v>
      </c>
    </row>
    <row r="137">
      <c r="A137" s="971">
        <v>3.0</v>
      </c>
      <c r="B137" s="972">
        <f>if('WEEK 18'!F136&lt;10,mround('WEEK 18'!B136*0.75,5),'WEEK 18'!B136)</f>
        <v>25</v>
      </c>
      <c r="C137" s="1220" t="s">
        <v>61</v>
      </c>
      <c r="D137" s="1080" t="s">
        <v>57</v>
      </c>
      <c r="E137" s="1235" t="str">
        <f>if('WEEK 18'!B137='WEEK 15'!B160,'WEEK 15'!F160,"")</f>
        <v/>
      </c>
      <c r="F137" s="984">
        <v>5.0</v>
      </c>
    </row>
    <row r="140">
      <c r="A140" s="1149" t="s">
        <v>135</v>
      </c>
      <c r="B140" s="36"/>
      <c r="C140" s="36"/>
      <c r="D140" s="36"/>
      <c r="E140" s="36"/>
      <c r="F140" s="37"/>
    </row>
    <row r="141">
      <c r="A141" s="623"/>
      <c r="B141" s="623"/>
      <c r="C141" s="623"/>
      <c r="D141" s="623"/>
      <c r="E141" s="1274"/>
      <c r="F141" s="623"/>
    </row>
    <row r="142">
      <c r="A142" s="1275" t="str">
        <f>HYPERLINK("https://www.amazon.com/30-Minute-Body-Investment-Champion/dp/0692791892/ref=sr_1_1?ie=UTF8&amp;qid=1490447969&amp;sr=8-1&amp;keywords=30+minute+body","WANT TO LEARN MORE?")</f>
        <v>WANT TO LEARN MORE?</v>
      </c>
      <c r="B142" s="25"/>
      <c r="C142" s="25"/>
      <c r="D142" s="25"/>
      <c r="E142" s="25"/>
      <c r="F142" s="26"/>
    </row>
    <row r="143">
      <c r="A143" s="529"/>
      <c r="F143" s="28"/>
    </row>
    <row r="144">
      <c r="A144" s="1276"/>
      <c r="B144" s="999"/>
      <c r="C144" s="1150" t="s">
        <v>67</v>
      </c>
      <c r="F144" s="28"/>
    </row>
    <row r="145">
      <c r="A145" s="1276"/>
      <c r="B145" s="999"/>
      <c r="F145" s="28"/>
    </row>
    <row r="146">
      <c r="A146" s="1276"/>
      <c r="B146" s="999"/>
      <c r="F146" s="28"/>
    </row>
    <row r="147">
      <c r="A147" s="1276"/>
      <c r="B147" s="999"/>
      <c r="F147" s="28"/>
    </row>
    <row r="148">
      <c r="A148" s="1276"/>
      <c r="B148" s="999"/>
      <c r="F148" s="28"/>
    </row>
    <row r="149">
      <c r="A149" s="1276"/>
      <c r="B149" s="999"/>
      <c r="F149" s="28"/>
    </row>
    <row r="150">
      <c r="A150" s="1277"/>
      <c r="B150" s="999"/>
      <c r="F150" s="28"/>
    </row>
    <row r="151">
      <c r="A151" s="1276"/>
      <c r="B151" s="999"/>
      <c r="F151" s="28"/>
    </row>
    <row r="152">
      <c r="A152" s="1276"/>
      <c r="B152" s="999"/>
      <c r="F152" s="28"/>
    </row>
    <row r="153">
      <c r="A153" s="1278"/>
      <c r="B153" s="999"/>
      <c r="F153" s="28"/>
    </row>
    <row r="154">
      <c r="A154" s="1276"/>
      <c r="B154" s="999"/>
      <c r="F154" s="28"/>
    </row>
    <row r="155">
      <c r="A155" s="1276"/>
      <c r="B155" s="999"/>
      <c r="F155" s="28"/>
    </row>
    <row r="156">
      <c r="A156" s="1276"/>
      <c r="B156" s="999"/>
      <c r="F156" s="28"/>
    </row>
    <row r="157">
      <c r="A157" s="1276"/>
      <c r="B157" s="999"/>
      <c r="F157" s="28"/>
    </row>
    <row r="158">
      <c r="A158" s="1279"/>
      <c r="B158" s="1280"/>
      <c r="C158" s="11"/>
      <c r="D158" s="11"/>
      <c r="E158" s="11"/>
      <c r="F158" s="46"/>
    </row>
  </sheetData>
  <mergeCells count="54">
    <mergeCell ref="A86:F86"/>
    <mergeCell ref="H86:M86"/>
    <mergeCell ref="I87:M87"/>
    <mergeCell ref="A94:F94"/>
    <mergeCell ref="A97:F97"/>
    <mergeCell ref="H97:M97"/>
    <mergeCell ref="A98:F98"/>
    <mergeCell ref="H98:M98"/>
    <mergeCell ref="B99:F99"/>
    <mergeCell ref="I99:M99"/>
    <mergeCell ref="H16:M16"/>
    <mergeCell ref="I17:M17"/>
    <mergeCell ref="A9:F9"/>
    <mergeCell ref="H9:M9"/>
    <mergeCell ref="A10:F11"/>
    <mergeCell ref="H10:M10"/>
    <mergeCell ref="A12:F12"/>
    <mergeCell ref="A13:F13"/>
    <mergeCell ref="H15:M15"/>
    <mergeCell ref="A15:F15"/>
    <mergeCell ref="A16:F16"/>
    <mergeCell ref="B17:F17"/>
    <mergeCell ref="A27:F27"/>
    <mergeCell ref="B28:F28"/>
    <mergeCell ref="A34:F34"/>
    <mergeCell ref="A37:F37"/>
    <mergeCell ref="B40:F40"/>
    <mergeCell ref="A42:F42"/>
    <mergeCell ref="B43:F43"/>
    <mergeCell ref="A48:F49"/>
    <mergeCell ref="A50:F50"/>
    <mergeCell ref="B51:F51"/>
    <mergeCell ref="A57:F58"/>
    <mergeCell ref="G86:G88"/>
    <mergeCell ref="G89:G90"/>
    <mergeCell ref="G91:G92"/>
    <mergeCell ref="A60:F60"/>
    <mergeCell ref="A62:F62"/>
    <mergeCell ref="B63:F63"/>
    <mergeCell ref="B75:F75"/>
    <mergeCell ref="A78:F78"/>
    <mergeCell ref="B79:F79"/>
    <mergeCell ref="B87:F87"/>
    <mergeCell ref="B133:F133"/>
    <mergeCell ref="A140:F140"/>
    <mergeCell ref="A142:F143"/>
    <mergeCell ref="C144:F158"/>
    <mergeCell ref="A108:F108"/>
    <mergeCell ref="B109:F109"/>
    <mergeCell ref="A116:F116"/>
    <mergeCell ref="B117:F117"/>
    <mergeCell ref="A124:F124"/>
    <mergeCell ref="B125:F125"/>
    <mergeCell ref="A132:F132"/>
  </mergeCells>
  <dataValidations>
    <dataValidation type="decimal" operator="greaterThanOrEqual" allowBlank="1" showDropDown="1" showErrorMessage="1" sqref="M12:M13 F29:F32 F36 F38 F44:F47 F52:F56">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64:F68 F70">
      <formula1>0.0</formula1>
    </dataValidation>
  </dataValidations>
  <drawing r:id="rId2"/>
  <legacy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'MSW18'!A1</f>
        <v/>
      </c>
    </row>
    <row r="8">
      <c r="A8" s="11"/>
      <c r="B8" s="11"/>
      <c r="C8" s="11"/>
      <c r="D8" s="11"/>
      <c r="E8" s="11"/>
      <c r="F8" s="11"/>
      <c r="G8" s="11"/>
      <c r="H8" s="11"/>
      <c r="I8" s="11"/>
      <c r="J8" s="11"/>
      <c r="K8" s="11"/>
      <c r="L8" s="11"/>
      <c r="M8" s="11"/>
    </row>
    <row r="9">
      <c r="A9" s="12" t="str">
        <f>'MSW18'!A9</f>
        <v>Week 18</v>
      </c>
      <c r="B9" s="13"/>
      <c r="C9" s="13"/>
      <c r="D9" s="13"/>
      <c r="E9" s="13"/>
      <c r="F9" s="14"/>
      <c r="G9" s="103" t="str">
        <f>'MSW18'!G9</f>
        <v/>
      </c>
      <c r="H9" s="24" t="s">
        <v>35</v>
      </c>
      <c r="I9" s="25"/>
      <c r="J9" s="25"/>
      <c r="K9" s="25"/>
      <c r="L9" s="25"/>
      <c r="M9" s="26"/>
    </row>
    <row r="10">
      <c r="A10" s="15" t="str">
        <f>'MSW18'!A10</f>
        <v>PRESS TO RECORD BODY WEIGHT</v>
      </c>
      <c r="B10" s="16"/>
      <c r="C10" s="16"/>
      <c r="D10" s="16"/>
      <c r="E10" s="16"/>
      <c r="F10" s="17"/>
      <c r="H10" s="27" t="s">
        <v>269</v>
      </c>
      <c r="M10" s="28"/>
    </row>
    <row r="11">
      <c r="A11" s="18"/>
      <c r="B11" s="13"/>
      <c r="C11" s="13"/>
      <c r="D11" s="13"/>
      <c r="E11" s="13"/>
      <c r="F11" s="14"/>
      <c r="H11" s="29" t="s">
        <v>270</v>
      </c>
      <c r="I11" s="30"/>
      <c r="J11" s="30"/>
      <c r="K11" s="30"/>
      <c r="L11" s="30"/>
      <c r="M11" s="31"/>
    </row>
    <row r="12">
      <c r="A12" s="19" t="str">
        <f>'MSW18'!A12</f>
        <v>This Weeks Goals</v>
      </c>
      <c r="B12" s="20"/>
      <c r="C12" s="20"/>
      <c r="D12" s="20"/>
      <c r="E12" s="20"/>
      <c r="F12" s="21"/>
      <c r="G12" s="103" t="str">
        <f>'MSW18'!G12</f>
        <v/>
      </c>
    </row>
    <row r="13">
      <c r="A13" s="22" t="str">
        <f>'MSW18'!A13</f>
        <v>Get mentally prepared to lift some heavy weights this week. Strive for bettering yourself and achieving those new max reps. Remember keep proper form during all reps or it doesn't really count. No Cheating! Happy lifting. </v>
      </c>
      <c r="B13" s="20"/>
      <c r="C13" s="20"/>
      <c r="D13" s="20"/>
      <c r="E13" s="20"/>
      <c r="F13" s="21"/>
    </row>
    <row r="14">
      <c r="A14" t="str">
        <f>'MSW18'!A14</f>
        <v/>
      </c>
      <c r="B14" t="str">
        <f>'MSW18'!B14</f>
        <v/>
      </c>
      <c r="C14" t="str">
        <f>'MSW18'!C14</f>
        <v/>
      </c>
      <c r="D14" t="str">
        <f>'MSW18'!D14</f>
        <v/>
      </c>
      <c r="E14" s="1248" t="str">
        <f>'MSW18'!E14</f>
        <v/>
      </c>
      <c r="F14" t="str">
        <f>'MSW18'!F14</f>
        <v/>
      </c>
    </row>
    <row r="15">
      <c r="A15" s="51" t="str">
        <f>'MSW18'!A15</f>
        <v>CHEST &amp; BACK </v>
      </c>
      <c r="B15" s="36"/>
      <c r="C15" s="36"/>
      <c r="D15" s="36"/>
      <c r="E15" s="36"/>
      <c r="F15" s="37"/>
      <c r="G15" t="str">
        <f>'MSW18'!G15</f>
        <v/>
      </c>
      <c r="H15" s="51" t="str">
        <f>'MSW18'!H15</f>
        <v>CHEST &amp; BACK </v>
      </c>
      <c r="I15" s="36"/>
      <c r="J15" s="36"/>
      <c r="K15" s="36"/>
      <c r="L15" s="36"/>
      <c r="M15" s="37"/>
    </row>
    <row r="16">
      <c r="A16" s="93" t="str">
        <f>'MSW18'!A16</f>
        <v>1. BENCH PRESS</v>
      </c>
      <c r="B16" s="53"/>
      <c r="C16" s="53"/>
      <c r="D16" s="53"/>
      <c r="E16" s="53"/>
      <c r="F16" s="54"/>
      <c r="H16" s="93" t="str">
        <f>'MSW18'!H16</f>
        <v>1. DUMBELL INCLINE</v>
      </c>
      <c r="I16" s="53"/>
      <c r="J16" s="53"/>
      <c r="K16" s="53"/>
      <c r="L16" s="53"/>
      <c r="M16" s="54"/>
    </row>
    <row r="17">
      <c r="A17" s="226" t="str">
        <f>'MSW18'!A17</f>
        <v>CURRENT MAX</v>
      </c>
      <c r="B17" s="691" t="str">
        <f>'MSW18'!B17</f>
        <v/>
      </c>
      <c r="C17" s="13"/>
      <c r="D17" s="13"/>
      <c r="E17" s="13"/>
      <c r="F17" s="57"/>
      <c r="H17" s="226" t="str">
        <f>'MSW18'!H17</f>
        <v>CURRENT MAX</v>
      </c>
      <c r="I17" s="691" t="str">
        <f>'MSW18'!I17</f>
        <v/>
      </c>
      <c r="J17" s="13"/>
      <c r="K17" s="13"/>
      <c r="L17" s="13"/>
      <c r="M17" s="57"/>
    </row>
    <row r="18">
      <c r="A18" s="96" t="str">
        <f>'MSW18'!A18</f>
        <v>SET</v>
      </c>
      <c r="B18" s="97" t="str">
        <f>'MSW18'!B18</f>
        <v>WEIGHT</v>
      </c>
      <c r="C18" s="97" t="str">
        <f>'MSW18'!C18</f>
        <v>REPS</v>
      </c>
      <c r="D18" s="97" t="str">
        <f>'MSW18'!D18</f>
        <v>REST</v>
      </c>
      <c r="E18" s="1249" t="str">
        <f>'MSW18'!E18</f>
        <v>PREVIOUS</v>
      </c>
      <c r="F18" s="235" t="str">
        <f>'MSW18'!F18</f>
        <v>REP LOG</v>
      </c>
      <c r="H18" s="96" t="str">
        <f>'MSW18'!H18</f>
        <v>SET</v>
      </c>
      <c r="I18" s="97" t="str">
        <f>'MSW18'!I18</f>
        <v>WEIGHT</v>
      </c>
      <c r="J18" s="97" t="str">
        <f>'MSW18'!J18</f>
        <v>REPS</v>
      </c>
      <c r="K18" s="97" t="str">
        <f>'MSW18'!K18</f>
        <v>REST</v>
      </c>
      <c r="L18" s="341" t="str">
        <f>'MSW18'!L18</f>
        <v>PREVIOUS</v>
      </c>
      <c r="M18" s="235" t="str">
        <f>'MSW18'!M18</f>
        <v>REP LOG</v>
      </c>
    </row>
    <row r="19">
      <c r="A19" s="725">
        <f>'MSW18'!A19</f>
        <v>1</v>
      </c>
      <c r="B19" s="344">
        <f>'MSW18'!B19</f>
        <v>0</v>
      </c>
      <c r="C19" s="1250" t="str">
        <f>'MSW18'!C19</f>
        <v>REP OUT</v>
      </c>
      <c r="D19" s="1251" t="str">
        <f>'MSW18'!D19</f>
        <v>1.5 - 3MIN</v>
      </c>
      <c r="E19" s="84" t="str">
        <f>'MSW18'!E19</f>
        <v/>
      </c>
      <c r="F19" s="85"/>
      <c r="H19" s="342">
        <f>'MSW18'!H19</f>
        <v>1</v>
      </c>
      <c r="I19" s="344">
        <f>'MSW18'!I19</f>
        <v>0</v>
      </c>
      <c r="J19" s="1250" t="str">
        <f>'MSW18'!J19</f>
        <v>REP OUT</v>
      </c>
      <c r="K19" s="343" t="str">
        <f>'MSW18'!K19</f>
        <v>1 MIN</v>
      </c>
      <c r="L19" s="84" t="str">
        <f>'MSW18'!L19</f>
        <v/>
      </c>
      <c r="M19" s="85" t="str">
        <f>'MSW18'!M19</f>
        <v/>
      </c>
    </row>
    <row r="20">
      <c r="A20" s="342">
        <f>'MSW18'!A20</f>
        <v>2</v>
      </c>
      <c r="B20" s="344">
        <f>'MSW18'!B20</f>
        <v>0</v>
      </c>
      <c r="C20" s="1250" t="str">
        <f>'MSW18'!C20</f>
        <v>REP OUT</v>
      </c>
      <c r="D20" s="1251" t="str">
        <f>'MSW18'!D20</f>
        <v>1.5 - 3MIN</v>
      </c>
      <c r="E20" s="84" t="str">
        <f>'MSW18'!E20</f>
        <v/>
      </c>
      <c r="F20" s="85"/>
      <c r="H20" s="725" t="str">
        <f>'MSW18'!H20</f>
        <v/>
      </c>
      <c r="I20" s="344" t="str">
        <f>'MSW18'!I20</f>
        <v/>
      </c>
      <c r="J20" s="1250" t="str">
        <f>'MSW18'!J20</f>
        <v/>
      </c>
      <c r="K20" s="343" t="str">
        <f>'MSW18'!K20</f>
        <v/>
      </c>
      <c r="L20" s="84" t="str">
        <f>'MSW18'!L20</f>
        <v/>
      </c>
      <c r="M20" s="85" t="str">
        <f>'MSW18'!M20</f>
        <v/>
      </c>
    </row>
    <row r="21">
      <c r="A21" s="735">
        <f>'MSW18'!A21</f>
        <v>3</v>
      </c>
      <c r="B21" s="1252">
        <f>'MSW18'!B21</f>
        <v>0</v>
      </c>
      <c r="C21" s="1253" t="str">
        <f>'MSW18'!C21</f>
        <v>REP OUT</v>
      </c>
      <c r="D21" s="1254" t="str">
        <f>'MSW18'!D21</f>
        <v>1.5 - 3MIN</v>
      </c>
      <c r="E21" s="84" t="str">
        <f>'MSW18'!E21</f>
        <v/>
      </c>
      <c r="F21" s="330"/>
      <c r="H21" s="725" t="str">
        <f>'MSW18'!H21</f>
        <v/>
      </c>
      <c r="I21" s="344" t="str">
        <f>'MSW18'!I21</f>
        <v/>
      </c>
      <c r="J21" s="1250" t="str">
        <f>'MSW18'!J21</f>
        <v/>
      </c>
      <c r="K21" s="343" t="str">
        <f>'MSW18'!K21</f>
        <v/>
      </c>
      <c r="L21" s="84" t="str">
        <f>'MSW18'!L21</f>
        <v/>
      </c>
      <c r="M21" s="85" t="str">
        <f>'MSW18'!M21</f>
        <v/>
      </c>
    </row>
    <row r="22">
      <c r="A22" s="1471" t="str">
        <f>'MSW18'!A22</f>
        <v/>
      </c>
      <c r="B22" s="25"/>
      <c r="C22" s="25"/>
      <c r="D22" s="25"/>
      <c r="E22" s="25"/>
      <c r="F22" s="25"/>
      <c r="H22" s="725" t="str">
        <f>'MSW18'!H22</f>
        <v/>
      </c>
      <c r="I22" s="344" t="str">
        <f>'MSW18'!I22</f>
        <v/>
      </c>
      <c r="J22" s="1250" t="str">
        <f>'MSW18'!J22</f>
        <v/>
      </c>
      <c r="K22" s="343" t="str">
        <f>'MSW18'!K22</f>
        <v/>
      </c>
      <c r="L22" s="84" t="str">
        <f>'MSW18'!L22</f>
        <v/>
      </c>
      <c r="M22" s="85" t="str">
        <f>'MSW18'!M22</f>
        <v/>
      </c>
    </row>
    <row r="23">
      <c r="H23" s="725" t="str">
        <f>'MSW18'!H23</f>
        <v/>
      </c>
      <c r="I23" s="344" t="str">
        <f>'MSW18'!I23</f>
        <v/>
      </c>
      <c r="J23" s="1250" t="str">
        <f>'MSW18'!J23</f>
        <v/>
      </c>
      <c r="K23" s="343" t="str">
        <f>'MSW18'!K23</f>
        <v/>
      </c>
      <c r="L23" s="84" t="str">
        <f>'MSW18'!L23</f>
        <v/>
      </c>
      <c r="M23" s="85" t="str">
        <f>'MSW18'!M23</f>
        <v/>
      </c>
    </row>
    <row r="24">
      <c r="H24" s="753" t="str">
        <f>'MSW18'!H24</f>
        <v/>
      </c>
      <c r="I24" s="754" t="str">
        <f>'MSW18'!I24</f>
        <v/>
      </c>
      <c r="J24" s="1282" t="str">
        <f>'MSW18'!J24</f>
        <v/>
      </c>
      <c r="K24" s="486" t="str">
        <f>'MSW18'!K24</f>
        <v/>
      </c>
      <c r="L24" s="89" t="str">
        <f>'MSW18'!L24</f>
        <v/>
      </c>
      <c r="M24" s="85" t="str">
        <f>'MSW18'!M24</f>
        <v/>
      </c>
    </row>
    <row r="25">
      <c r="G25" t="str">
        <f>'MSW18'!G25</f>
        <v/>
      </c>
    </row>
    <row r="27">
      <c r="A27" s="73" t="str">
        <f>'MSW18'!A27</f>
        <v>3. MACHINE LOW ROW </v>
      </c>
      <c r="B27" s="53"/>
      <c r="C27" s="53"/>
      <c r="D27" s="53"/>
      <c r="E27" s="53"/>
      <c r="F27" s="54"/>
    </row>
    <row r="28">
      <c r="A28" s="226" t="str">
        <f>'MSW18'!A28</f>
        <v>CURRENT MAX</v>
      </c>
      <c r="B28" s="227">
        <f>'MSW18'!B28</f>
        <v>265</v>
      </c>
      <c r="C28" s="20"/>
      <c r="D28" s="20"/>
      <c r="E28" s="20"/>
      <c r="F28" s="95"/>
    </row>
    <row r="29">
      <c r="A29" s="231" t="str">
        <f>'MSW18'!A29</f>
        <v>SET</v>
      </c>
      <c r="B29" s="232" t="str">
        <f>'MSW18'!B29</f>
        <v>WEIGHT</v>
      </c>
      <c r="C29" s="232" t="str">
        <f>'MSW18'!C29</f>
        <v>REPS</v>
      </c>
      <c r="D29" s="232" t="str">
        <f>'MSW18'!D29</f>
        <v>REST</v>
      </c>
      <c r="E29" s="233" t="str">
        <f>'MSW18'!E29</f>
        <v>PREVIOUS</v>
      </c>
      <c r="F29" s="61" t="str">
        <f>'MSW18'!F29</f>
        <v>REP LOG</v>
      </c>
    </row>
    <row r="30">
      <c r="A30" s="236">
        <f>'MSW18'!A30</f>
        <v>1</v>
      </c>
      <c r="B30" s="237">
        <f>'MSW18'!B30</f>
        <v>95</v>
      </c>
      <c r="C30" s="237">
        <f>'MSW18'!C30</f>
        <v>6</v>
      </c>
      <c r="D30" s="238" t="str">
        <f>'MSW18'!D30</f>
        <v>30s</v>
      </c>
      <c r="E30" s="84" t="str">
        <f>'MSW18'!E30</f>
        <v/>
      </c>
      <c r="F30" s="67">
        <v>6.0</v>
      </c>
    </row>
    <row r="31">
      <c r="A31" s="236">
        <f>'MSW18'!A31</f>
        <v>2</v>
      </c>
      <c r="B31" s="237">
        <f>'MSW18'!B31</f>
        <v>170</v>
      </c>
      <c r="C31" s="238">
        <f>'MSW18'!C31</f>
        <v>3</v>
      </c>
      <c r="D31" s="238" t="str">
        <f>'MSW18'!D31</f>
        <v>1-2 MIN</v>
      </c>
      <c r="E31" s="84" t="str">
        <f>'MSW18'!E31</f>
        <v/>
      </c>
      <c r="F31" s="67">
        <v>3.0</v>
      </c>
    </row>
    <row r="32">
      <c r="A32" s="242">
        <f>'MSW18'!A32</f>
        <v>3</v>
      </c>
      <c r="B32" s="237">
        <f>'MSW18'!B32</f>
        <v>240</v>
      </c>
      <c r="C32" s="63">
        <f>'MSW18'!C32</f>
        <v>2</v>
      </c>
      <c r="D32" s="238" t="str">
        <f>'MSW18'!D32</f>
        <v>1-2 MIN</v>
      </c>
      <c r="E32" s="84" t="str">
        <f>'MSW18'!E32</f>
        <v/>
      </c>
      <c r="F32" s="67">
        <v>2.0</v>
      </c>
    </row>
    <row r="33">
      <c r="A33" s="243">
        <f>'MSW18'!A33</f>
        <v>4</v>
      </c>
      <c r="B33" s="237">
        <f>'MSW18'!B33</f>
        <v>265</v>
      </c>
      <c r="C33" s="257">
        <f>'MSW18'!C33</f>
        <v>3</v>
      </c>
      <c r="D33" s="238" t="str">
        <f>'MSW18'!D33</f>
        <v>1-5 MIN</v>
      </c>
      <c r="E33" s="84" t="str">
        <f>'MSW18'!E33</f>
        <v/>
      </c>
      <c r="F33" s="67">
        <v>3.0</v>
      </c>
    </row>
    <row r="34">
      <c r="A34" s="246" t="str">
        <f>'MSW18'!A34</f>
        <v>NEW 4 REP MAX ATTEMPT</v>
      </c>
      <c r="B34" s="20"/>
      <c r="C34" s="20"/>
      <c r="D34" s="20"/>
      <c r="E34" s="20"/>
      <c r="F34" s="95"/>
    </row>
    <row r="35">
      <c r="A35" s="249">
        <f>'MSW18'!A35</f>
        <v>5</v>
      </c>
      <c r="B35" s="175">
        <f>'MSW18'!B35</f>
        <v>270</v>
      </c>
      <c r="C35" s="238">
        <f>'MSW18'!C35</f>
        <v>4</v>
      </c>
      <c r="D35" s="238" t="str">
        <f>'MSW18'!D35</f>
        <v>1-5 MIN</v>
      </c>
      <c r="E35" s="84" t="str">
        <f>'MSW18'!E35</f>
        <v/>
      </c>
      <c r="F35" s="67">
        <v>3.0</v>
      </c>
    </row>
    <row r="36">
      <c r="A36" s="259" t="str">
        <f>'MSW18'!A36</f>
        <v/>
      </c>
      <c r="B36" s="237" t="str">
        <f>'MSW18'!B36</f>
        <v/>
      </c>
      <c r="C36" s="257" t="str">
        <f>'MSW18'!C36</f>
        <v/>
      </c>
      <c r="D36" s="257" t="str">
        <f>'MSW18'!D36</f>
        <v/>
      </c>
      <c r="E36" s="84" t="str">
        <f>'MSW18'!E36</f>
        <v/>
      </c>
      <c r="F36" s="67" t="str">
        <f>'MSW18'!F36</f>
        <v/>
      </c>
    </row>
    <row r="37">
      <c r="A37" s="246" t="str">
        <f>'MSW18'!A37</f>
        <v>DOWN SETS</v>
      </c>
      <c r="B37" s="20"/>
      <c r="C37" s="20"/>
      <c r="D37" s="20"/>
      <c r="E37" s="20"/>
      <c r="F37" s="95"/>
    </row>
    <row r="38">
      <c r="A38" s="264">
        <f>'MSW18'!A38</f>
        <v>6</v>
      </c>
      <c r="B38" s="265">
        <f>'MSW18'!B38</f>
        <v>215</v>
      </c>
      <c r="C38" s="266" t="str">
        <f>'MSW18'!C38</f>
        <v>REP OUT</v>
      </c>
      <c r="D38" s="267" t="str">
        <f>'MSW18'!D38</f>
        <v>1-3 MIN</v>
      </c>
      <c r="E38" s="84" t="str">
        <f>'MSW18'!E38</f>
        <v/>
      </c>
      <c r="F38" s="67" t="str">
        <f>'MSW18'!F38</f>
        <v/>
      </c>
    </row>
    <row r="39">
      <c r="A39" s="243">
        <f>'MSW18'!A39</f>
        <v>7</v>
      </c>
      <c r="B39" s="237">
        <f>'MSW18'!B39</f>
        <v>190</v>
      </c>
      <c r="C39" s="245" t="str">
        <f>'MSW18'!C39</f>
        <v>REP OUT</v>
      </c>
      <c r="D39" s="65" t="str">
        <f>'MSW18'!D39</f>
        <v>1-3 MIN</v>
      </c>
      <c r="E39" s="84" t="str">
        <f>'MSW18'!E39</f>
        <v/>
      </c>
      <c r="F39" s="271" t="str">
        <f>'MSW18'!F39</f>
        <v/>
      </c>
    </row>
    <row r="40">
      <c r="A40" s="228" t="str">
        <f>'MSW18'!A40</f>
        <v>FINAL MAX</v>
      </c>
      <c r="B40" s="549">
        <f>'MSW18'!B40</f>
        <v>270</v>
      </c>
      <c r="F40" s="28"/>
    </row>
    <row r="41">
      <c r="A41" s="750" t="str">
        <f>'MSW18'!A41</f>
        <v/>
      </c>
      <c r="B41" s="36"/>
      <c r="C41" s="36"/>
      <c r="D41" s="36"/>
      <c r="E41" s="36"/>
      <c r="F41" s="36"/>
    </row>
    <row r="42">
      <c r="A42" s="751" t="str">
        <f>'MSW18'!A42</f>
        <v>4. HIGH ROW</v>
      </c>
      <c r="B42" s="13"/>
      <c r="C42" s="13"/>
      <c r="D42" s="13"/>
      <c r="E42" s="13"/>
      <c r="F42" s="57"/>
    </row>
    <row r="43">
      <c r="A43" s="226" t="str">
        <f>'MSW18'!A43</f>
        <v>CURRENT MAX</v>
      </c>
      <c r="B43" s="691" t="str">
        <f>'MSW18'!B43</f>
        <v/>
      </c>
      <c r="C43" s="13"/>
      <c r="D43" s="13"/>
      <c r="E43" s="13"/>
      <c r="F43" s="57"/>
    </row>
    <row r="44">
      <c r="A44" s="96" t="str">
        <f>'MSW18'!A44</f>
        <v>SET</v>
      </c>
      <c r="B44" s="97" t="str">
        <f>'MSW18'!B44</f>
        <v>WEIGHT</v>
      </c>
      <c r="C44" s="97" t="str">
        <f>'MSW18'!C44</f>
        <v>REPS</v>
      </c>
      <c r="D44" s="97" t="str">
        <f>'MSW18'!D44</f>
        <v>REST</v>
      </c>
      <c r="E44" s="341" t="str">
        <f>'MSW18'!E44</f>
        <v>PREVIOUS</v>
      </c>
      <c r="F44" s="235" t="str">
        <f>'MSW18'!F44</f>
        <v>REP LOG</v>
      </c>
    </row>
    <row r="45">
      <c r="A45" s="725">
        <f>'MSW18'!A45</f>
        <v>1</v>
      </c>
      <c r="B45" s="344">
        <f>'MSW18'!B45</f>
        <v>0</v>
      </c>
      <c r="C45" s="437" t="str">
        <f>'MSW18'!C45</f>
        <v>REP OUT</v>
      </c>
      <c r="D45" s="343" t="str">
        <f>'MSW18'!D45</f>
        <v>1-3 MIN</v>
      </c>
      <c r="E45" s="84" t="str">
        <f>'MSW18'!E45</f>
        <v/>
      </c>
      <c r="F45" s="85">
        <v>15.0</v>
      </c>
    </row>
    <row r="46">
      <c r="A46" s="725">
        <f>'MSW18'!A46</f>
        <v>2</v>
      </c>
      <c r="B46" s="344">
        <f>'MSW18'!B46</f>
        <v>0</v>
      </c>
      <c r="C46" s="437" t="str">
        <f>'MSW18'!C46</f>
        <v>REP OUT</v>
      </c>
      <c r="D46" s="343" t="str">
        <f>'MSW18'!D46</f>
        <v>1-3 MIN</v>
      </c>
      <c r="E46" s="84" t="str">
        <f>'MSW18'!E46</f>
        <v/>
      </c>
      <c r="F46" s="85">
        <v>15.0</v>
      </c>
    </row>
    <row r="47">
      <c r="A47" s="753">
        <f>'MSW18'!A47</f>
        <v>3</v>
      </c>
      <c r="B47" s="754">
        <f>'MSW18'!B47</f>
        <v>0</v>
      </c>
      <c r="C47" s="733" t="str">
        <f>'MSW18'!C47</f>
        <v>REP OUT</v>
      </c>
      <c r="D47" s="486" t="str">
        <f>'MSW18'!D47</f>
        <v>1-3 MIN</v>
      </c>
      <c r="E47" s="89" t="str">
        <f>'MSW18'!E47</f>
        <v/>
      </c>
      <c r="F47" s="85">
        <v>15.0</v>
      </c>
    </row>
    <row r="48">
      <c r="A48" s="756" t="str">
        <f>'MSW18'!A48</f>
        <v/>
      </c>
    </row>
    <row r="50">
      <c r="A50" s="73" t="str">
        <f>'MSW18'!A50</f>
        <v>5. LAT PULL DOWN</v>
      </c>
      <c r="B50" s="53"/>
      <c r="C50" s="53"/>
      <c r="D50" s="53"/>
      <c r="E50" s="53"/>
      <c r="F50" s="54"/>
    </row>
    <row r="51">
      <c r="A51" s="226" t="str">
        <f>'MSW18'!A51</f>
        <v>CURRENT MAX</v>
      </c>
      <c r="B51" s="691" t="str">
        <f>'MSW18'!B51</f>
        <v/>
      </c>
      <c r="C51" s="13"/>
      <c r="D51" s="13"/>
      <c r="E51" s="13"/>
      <c r="F51" s="57"/>
    </row>
    <row r="52">
      <c r="A52" s="96" t="str">
        <f>'MSW18'!A52</f>
        <v>SET</v>
      </c>
      <c r="B52" s="97" t="str">
        <f>'MSW18'!B52</f>
        <v>WEIGHT</v>
      </c>
      <c r="C52" s="97" t="str">
        <f>'MSW18'!C52</f>
        <v>REPS</v>
      </c>
      <c r="D52" s="97" t="str">
        <f>'MSW18'!D52</f>
        <v>REST</v>
      </c>
      <c r="E52" s="341" t="str">
        <f>'MSW18'!E52</f>
        <v>PREVIOUS</v>
      </c>
      <c r="F52" s="235" t="str">
        <f>'MSW18'!F52</f>
        <v>REP LOG</v>
      </c>
    </row>
    <row r="53">
      <c r="A53" s="725">
        <f>'MSW18'!A53</f>
        <v>1</v>
      </c>
      <c r="B53" s="344">
        <f>'MSW18'!B53</f>
        <v>0</v>
      </c>
      <c r="C53" s="437" t="str">
        <f>'MSW18'!C53</f>
        <v>REP OUT</v>
      </c>
      <c r="D53" s="343" t="str">
        <f>'MSW18'!D53</f>
        <v>1-3 MIN</v>
      </c>
      <c r="E53" s="84" t="str">
        <f>'MSW18'!E53</f>
        <v/>
      </c>
      <c r="F53" s="85" t="str">
        <f>'MSW18'!F53</f>
        <v/>
      </c>
    </row>
    <row r="54">
      <c r="A54" s="725">
        <f>'MSW18'!A54</f>
        <v>2</v>
      </c>
      <c r="B54" s="344">
        <f>'MSW18'!B54</f>
        <v>0</v>
      </c>
      <c r="C54" s="437" t="str">
        <f>'MSW18'!C54</f>
        <v>REP OUT</v>
      </c>
      <c r="D54" s="343" t="str">
        <f>'MSW18'!D54</f>
        <v>1-3 MIN</v>
      </c>
      <c r="E54" s="84" t="str">
        <f>'MSW18'!E54</f>
        <v/>
      </c>
      <c r="F54" s="85" t="str">
        <f>'MSW18'!F54</f>
        <v/>
      </c>
    </row>
    <row r="55">
      <c r="A55" s="753">
        <f>'MSW18'!A55</f>
        <v>3</v>
      </c>
      <c r="B55" s="754">
        <f>'MSW18'!B55</f>
        <v>0</v>
      </c>
      <c r="C55" s="733" t="str">
        <f>'MSW18'!C55</f>
        <v>REP OUT</v>
      </c>
      <c r="D55" s="486" t="str">
        <f>'MSW18'!D55</f>
        <v>1-3 MIN</v>
      </c>
      <c r="E55" s="89" t="str">
        <f>'MSW18'!E55</f>
        <v/>
      </c>
      <c r="F55" s="85" t="str">
        <f>'MSW18'!F55</f>
        <v/>
      </c>
    </row>
    <row r="56">
      <c r="A56" s="1157" t="str">
        <f>'MSW18'!A56</f>
        <v/>
      </c>
      <c r="F56" s="39"/>
    </row>
    <row r="57">
      <c r="A57" s="310" t="str">
        <f>'MSW18'!A57</f>
        <v>CLICK TO COMPLETE WORKOUT</v>
      </c>
      <c r="B57" s="36"/>
      <c r="C57" s="36"/>
      <c r="D57" s="36"/>
      <c r="E57" s="36"/>
      <c r="F57" s="37"/>
    </row>
    <row r="58">
      <c r="A58" s="1472" t="str">
        <f>'MSW18'!A58</f>
        <v/>
      </c>
    </row>
    <row r="59">
      <c r="A59" s="529"/>
    </row>
    <row r="60">
      <c r="A60" s="50" t="str">
        <f>'MSW18'!A60</f>
        <v>DAY 2 </v>
      </c>
      <c r="B60" s="36"/>
      <c r="C60" s="36"/>
      <c r="D60" s="36"/>
      <c r="E60" s="36"/>
      <c r="F60" s="37"/>
    </row>
    <row r="61">
      <c r="A61" t="str">
        <f>'MSW18'!A61</f>
        <v/>
      </c>
    </row>
    <row r="62">
      <c r="A62" s="1355" t="str">
        <f>'MSW18'!A62</f>
        <v>1. MACHINE SQUAT</v>
      </c>
      <c r="B62" s="53"/>
      <c r="C62" s="53"/>
      <c r="D62" s="53"/>
      <c r="E62" s="53"/>
      <c r="F62" s="54"/>
    </row>
    <row r="63">
      <c r="A63" s="1469" t="str">
        <f>'MSW18'!A63</f>
        <v>4 REP MAX</v>
      </c>
      <c r="B63" s="1463">
        <f>'MSW18'!B63</f>
        <v>100</v>
      </c>
      <c r="F63" s="28"/>
    </row>
    <row r="64">
      <c r="A64" s="231" t="str">
        <f>'MSW18'!A64</f>
        <v>SET</v>
      </c>
      <c r="B64" s="232" t="str">
        <f>'MSW18'!B64</f>
        <v>WEIGHT</v>
      </c>
      <c r="C64" s="232" t="str">
        <f>'MSW18'!C64</f>
        <v>REPS</v>
      </c>
      <c r="D64" s="232" t="str">
        <f>'MSW18'!D64</f>
        <v>REST</v>
      </c>
      <c r="E64" s="233" t="str">
        <f>'MSW18'!E64</f>
        <v>PREVIOUS</v>
      </c>
      <c r="F64" s="61" t="str">
        <f>'MSW18'!F64</f>
        <v>REP LOG</v>
      </c>
    </row>
    <row r="65">
      <c r="A65" s="236">
        <f>'MSW18'!A65</f>
        <v>1</v>
      </c>
      <c r="B65" s="237">
        <f>'MSW18'!B65</f>
        <v>35</v>
      </c>
      <c r="C65" s="238">
        <f>'MSW18'!C65</f>
        <v>10</v>
      </c>
      <c r="D65" s="238" t="str">
        <f>'MSW18'!D65</f>
        <v>30s</v>
      </c>
      <c r="E65" s="66" t="str">
        <f>'MSW18'!E65</f>
        <v/>
      </c>
      <c r="F65" s="67" t="str">
        <f>'MSW18'!F65</f>
        <v/>
      </c>
    </row>
    <row r="66">
      <c r="A66" s="236">
        <f>'MSW18'!A66</f>
        <v>2</v>
      </c>
      <c r="B66" s="237">
        <f>'MSW18'!B66</f>
        <v>65</v>
      </c>
      <c r="C66" s="238">
        <f>'MSW18'!C66</f>
        <v>10</v>
      </c>
      <c r="D66" s="238" t="str">
        <f>'MSW18'!D66</f>
        <v>1-2 MIN</v>
      </c>
      <c r="E66" s="66" t="str">
        <f>'MSW18'!E66</f>
        <v/>
      </c>
      <c r="F66" s="67" t="str">
        <f>'MSW18'!F66</f>
        <v/>
      </c>
    </row>
    <row r="67">
      <c r="A67" s="242">
        <f>'MSW18'!A67</f>
        <v>3</v>
      </c>
      <c r="B67" s="237">
        <f>'MSW18'!B67</f>
        <v>90</v>
      </c>
      <c r="C67" s="238">
        <f>'MSW18'!C67</f>
        <v>10</v>
      </c>
      <c r="D67" s="238" t="str">
        <f>'MSW18'!D67</f>
        <v>1-2 MIN</v>
      </c>
      <c r="E67" s="66" t="str">
        <f>'MSW18'!E67</f>
        <v/>
      </c>
      <c r="F67" s="67" t="str">
        <f>'MSW18'!F67</f>
        <v/>
      </c>
    </row>
    <row r="68">
      <c r="A68" s="249">
        <f>'MSW18'!A68</f>
        <v>4</v>
      </c>
      <c r="B68" s="175">
        <f>'MSW18'!B68</f>
        <v>70</v>
      </c>
      <c r="C68" s="238">
        <f>'MSW18'!C68</f>
        <v>10</v>
      </c>
      <c r="D68" s="238" t="str">
        <f>'MSW18'!D68</f>
        <v>1-5 MIN</v>
      </c>
      <c r="E68" s="66" t="str">
        <f>'MSW18'!E68</f>
        <v/>
      </c>
      <c r="F68" s="67" t="str">
        <f>'MSW18'!F68</f>
        <v/>
      </c>
    </row>
    <row r="69">
      <c r="A69" s="249">
        <f>'MSW18'!A69</f>
        <v>5</v>
      </c>
      <c r="B69" s="175">
        <f>'MSW18'!B69</f>
        <v>55</v>
      </c>
      <c r="C69" s="238">
        <f>'MSW18'!C69</f>
        <v>10</v>
      </c>
      <c r="D69" s="238" t="str">
        <f>'MSW18'!D69</f>
        <v>1-5 MIN</v>
      </c>
      <c r="E69" s="66" t="str">
        <f>'MSW18'!E69</f>
        <v/>
      </c>
      <c r="F69" s="1037" t="str">
        <f>'MSW18'!F69</f>
        <v/>
      </c>
    </row>
    <row r="70">
      <c r="A70" s="249">
        <f>'MSW18'!A70</f>
        <v>6</v>
      </c>
      <c r="B70" s="175">
        <f>'MSW18'!B70</f>
        <v>45</v>
      </c>
      <c r="C70" s="238">
        <f>'MSW18'!C70</f>
        <v>10</v>
      </c>
      <c r="D70" s="238" t="str">
        <f>'MSW18'!D70</f>
        <v>1-5 MIN</v>
      </c>
      <c r="E70" s="66" t="str">
        <f>'MSW18'!E70</f>
        <v/>
      </c>
      <c r="F70" s="67" t="str">
        <f>'MSW18'!F70</f>
        <v/>
      </c>
    </row>
    <row r="71">
      <c r="A71" s="1038">
        <f>'MSW18'!A71</f>
        <v>7</v>
      </c>
      <c r="B71" s="175">
        <f>'MSW18'!B71</f>
        <v>35</v>
      </c>
      <c r="C71" s="238">
        <f>'MSW18'!C71</f>
        <v>10</v>
      </c>
      <c r="D71" s="238" t="str">
        <f>'MSW18'!D71</f>
        <v>1-5 MIN</v>
      </c>
      <c r="E71" s="66" t="str">
        <f>'MSW18'!E71</f>
        <v/>
      </c>
      <c r="F71" s="67" t="str">
        <f>'MSW18'!F71</f>
        <v/>
      </c>
    </row>
    <row r="72">
      <c r="A72" s="249">
        <f>'MSW18'!A72</f>
        <v>8</v>
      </c>
      <c r="B72" s="175">
        <f>'MSW18'!B72</f>
        <v>30</v>
      </c>
      <c r="C72" s="238">
        <f>'MSW18'!C72</f>
        <v>10</v>
      </c>
      <c r="D72" s="238" t="str">
        <f>'MSW18'!D72</f>
        <v>1-5 MIN</v>
      </c>
      <c r="E72" s="66" t="str">
        <f>'MSW18'!E72</f>
        <v/>
      </c>
      <c r="F72" s="67" t="str">
        <f>'MSW18'!F72</f>
        <v/>
      </c>
    </row>
    <row r="73">
      <c r="A73" s="1038">
        <f>'MSW18'!A73</f>
        <v>9</v>
      </c>
      <c r="B73" s="175">
        <f>'MSW18'!B73</f>
        <v>25</v>
      </c>
      <c r="C73" s="238">
        <f>'MSW18'!C73</f>
        <v>10</v>
      </c>
      <c r="D73" s="238" t="str">
        <f>'MSW18'!D73</f>
        <v>1-5 MIN</v>
      </c>
      <c r="E73" s="66" t="str">
        <f>'MSW18'!E73</f>
        <v/>
      </c>
      <c r="F73" s="67" t="str">
        <f>'MSW18'!F73</f>
        <v/>
      </c>
    </row>
    <row r="74">
      <c r="A74" s="1038" t="str">
        <f>'MSW18'!A74</f>
        <v>10</v>
      </c>
      <c r="B74" s="175">
        <f>'MSW18'!B74</f>
        <v>20</v>
      </c>
      <c r="C74" s="238">
        <f>'MSW18'!C74</f>
        <v>10</v>
      </c>
      <c r="D74" s="238" t="str">
        <f>'MSW18'!D74</f>
        <v>1-5 MIN</v>
      </c>
      <c r="E74" s="66" t="str">
        <f>'MSW18'!E74</f>
        <v/>
      </c>
      <c r="F74" s="67" t="str">
        <f>'MSW18'!F74</f>
        <v/>
      </c>
    </row>
    <row r="75">
      <c r="A75" s="272" t="str">
        <f>'MSW18'!A75</f>
        <v>2 REP MAX</v>
      </c>
      <c r="B75" s="1039">
        <f>'MSW18'!B75</f>
        <v>100</v>
      </c>
      <c r="C75" s="11"/>
      <c r="D75" s="11"/>
      <c r="E75" s="11"/>
      <c r="F75" s="46"/>
    </row>
    <row r="76">
      <c r="A76" t="str">
        <f>'MSW18'!A76</f>
        <v/>
      </c>
    </row>
    <row r="78">
      <c r="A78" s="1285" t="str">
        <f>'MSW18'!A78</f>
        <v>2. LEG EXTENSION</v>
      </c>
      <c r="B78" s="53"/>
      <c r="C78" s="53"/>
      <c r="D78" s="53"/>
      <c r="E78" s="53"/>
      <c r="F78" s="54"/>
    </row>
    <row r="79">
      <c r="A79" s="1045" t="str">
        <f>'MSW18'!A79</f>
        <v>CURRENT MAX</v>
      </c>
      <c r="B79" s="1367">
        <f>'MSW18'!B79</f>
        <v>50</v>
      </c>
      <c r="C79" s="20"/>
      <c r="D79" s="20"/>
      <c r="E79" s="20"/>
      <c r="F79" s="95"/>
    </row>
    <row r="80">
      <c r="A80" s="567" t="str">
        <f>'MSW18'!A80</f>
        <v>SET</v>
      </c>
      <c r="B80" s="568" t="str">
        <f>'MSW18'!B80</f>
        <v>WEIGHT</v>
      </c>
      <c r="C80" s="568" t="str">
        <f>'MSW18'!C80</f>
        <v>REPS</v>
      </c>
      <c r="D80" s="568" t="str">
        <f>'MSW18'!D80</f>
        <v>REST</v>
      </c>
      <c r="E80" s="1047" t="str">
        <f>'MSW18'!E80</f>
        <v>PREVIOUS</v>
      </c>
      <c r="F80" s="1048" t="str">
        <f>'MSW18'!F80</f>
        <v>REP LOG</v>
      </c>
    </row>
    <row r="81">
      <c r="A81" s="1049">
        <f>'MSW18'!A81</f>
        <v>1</v>
      </c>
      <c r="B81" s="1050">
        <f>'MSW18'!B81</f>
        <v>50</v>
      </c>
      <c r="C81" s="1051" t="str">
        <f>'MSW18'!C81</f>
        <v>10 - 15</v>
      </c>
      <c r="D81" s="1430" t="str">
        <f>'MSW18'!D81</f>
        <v>1-2 MIN</v>
      </c>
      <c r="E81" s="1130" t="str">
        <f>'MSW18'!E81</f>
        <v/>
      </c>
      <c r="F81" s="1017" t="str">
        <f>'MSW18'!F81</f>
        <v/>
      </c>
    </row>
    <row r="82">
      <c r="A82" s="1049">
        <f>'MSW18'!A82</f>
        <v>2</v>
      </c>
      <c r="B82" s="1050">
        <f>'MSW18'!B82</f>
        <v>40</v>
      </c>
      <c r="C82" s="1051" t="str">
        <f>'MSW18'!C82</f>
        <v>10 - 15</v>
      </c>
      <c r="D82" s="1430" t="str">
        <f>'MSW18'!D82</f>
        <v>1-2 MIN</v>
      </c>
      <c r="E82" s="1130" t="str">
        <f>'MSW18'!E82</f>
        <v/>
      </c>
      <c r="F82" s="1017" t="str">
        <f>'MSW18'!F82</f>
        <v/>
      </c>
    </row>
    <row r="83">
      <c r="A83" s="1053">
        <f>'MSW18'!A83</f>
        <v>3</v>
      </c>
      <c r="B83" s="1054">
        <f>'MSW18'!B83</f>
        <v>30</v>
      </c>
      <c r="C83" s="1055" t="str">
        <f>'MSW18'!C83</f>
        <v>10 - 15</v>
      </c>
      <c r="D83" s="1453" t="str">
        <f>'MSW18'!D83</f>
        <v>1-2 MIN</v>
      </c>
      <c r="E83" s="1348" t="str">
        <f>'MSW18'!E83</f>
        <v/>
      </c>
      <c r="F83" s="1017" t="str">
        <f>'MSW18'!F83</f>
        <v/>
      </c>
    </row>
    <row r="84">
      <c r="A84" t="str">
        <f>'MSW18'!A84</f>
        <v/>
      </c>
    </row>
    <row r="86">
      <c r="A86" s="323" t="str">
        <f>'MSW18'!A86</f>
        <v>3. MACHINE LEG CURL</v>
      </c>
      <c r="B86" s="53"/>
      <c r="C86" s="53"/>
      <c r="D86" s="53"/>
      <c r="E86" s="53"/>
      <c r="F86" s="54"/>
      <c r="G86" s="141" t="str">
        <f>'MSW18'!G86</f>
        <v/>
      </c>
      <c r="H86" s="323" t="str">
        <f>'MSW18'!H86</f>
        <v>3. PRONE LEG CURL</v>
      </c>
      <c r="I86" s="53"/>
      <c r="J86" s="53"/>
      <c r="K86" s="53"/>
      <c r="L86" s="53"/>
      <c r="M86" s="54"/>
    </row>
    <row r="87">
      <c r="A87" s="1045" t="str">
        <f>'MSW18'!A87</f>
        <v>CURRENT MAX</v>
      </c>
      <c r="B87" s="1367">
        <f>'MSW18'!B87</f>
        <v>5</v>
      </c>
      <c r="C87" s="20"/>
      <c r="D87" s="20"/>
      <c r="E87" s="20"/>
      <c r="F87" s="95"/>
      <c r="H87" s="1045" t="str">
        <f>'MSW18'!H87</f>
        <v>CURRENT MAX</v>
      </c>
      <c r="I87" s="1046">
        <f>'MSW18'!I87</f>
        <v>5</v>
      </c>
      <c r="J87" s="13"/>
      <c r="K87" s="13"/>
      <c r="L87" s="13"/>
      <c r="M87" s="57"/>
    </row>
    <row r="88">
      <c r="A88" s="567" t="str">
        <f>'MSW18'!A88</f>
        <v>SET</v>
      </c>
      <c r="B88" s="568" t="str">
        <f>'MSW18'!B88</f>
        <v>WEIGHT</v>
      </c>
      <c r="C88" s="568" t="str">
        <f>'MSW18'!C88</f>
        <v>REPS</v>
      </c>
      <c r="D88" s="568" t="str">
        <f>'MSW18'!D88</f>
        <v>REST</v>
      </c>
      <c r="E88" s="1047" t="str">
        <f>'MSW18'!E88</f>
        <v>PREVIOUS</v>
      </c>
      <c r="F88" s="1048" t="str">
        <f>'MSW18'!F88</f>
        <v>REP LOG</v>
      </c>
      <c r="H88" s="567" t="str">
        <f>'MSW18'!H88</f>
        <v>SET</v>
      </c>
      <c r="I88" s="568" t="str">
        <f>'MSW18'!I88</f>
        <v>WEIGHT</v>
      </c>
      <c r="J88" s="568" t="str">
        <f>'MSW18'!J88</f>
        <v>REPS</v>
      </c>
      <c r="K88" s="568" t="str">
        <f>'MSW18'!K88</f>
        <v>REST</v>
      </c>
      <c r="L88" s="1047" t="str">
        <f>'MSW18'!L88</f>
        <v>PREVIOUS</v>
      </c>
      <c r="M88" s="1048" t="str">
        <f>'MSW18'!M88</f>
        <v>REP LOG</v>
      </c>
    </row>
    <row r="89">
      <c r="A89" s="1049">
        <f>'MSW18'!A89</f>
        <v>1</v>
      </c>
      <c r="B89" s="1050">
        <f>'MSW18'!B89</f>
        <v>5</v>
      </c>
      <c r="C89" s="1051" t="str">
        <f>'MSW18'!C89</f>
        <v>10 - 15</v>
      </c>
      <c r="D89" s="1430" t="str">
        <f>'MSW18'!D89</f>
        <v>1-2 MIN</v>
      </c>
      <c r="E89" s="1130" t="str">
        <f>'MSW18'!E89</f>
        <v/>
      </c>
      <c r="F89" s="1017" t="str">
        <f>'MSW18'!F89</f>
        <v/>
      </c>
      <c r="G89" s="434" t="str">
        <f>'MSW18'!G89</f>
        <v>ALTERNATE</v>
      </c>
      <c r="H89" s="1049">
        <f>'MSW18'!H89</f>
        <v>1</v>
      </c>
      <c r="I89" s="1050">
        <f>'MSW18'!I89</f>
        <v>5</v>
      </c>
      <c r="J89" s="1051" t="str">
        <f>'MSW18'!J89</f>
        <v>10 - 15</v>
      </c>
      <c r="K89" s="1430" t="str">
        <f>'MSW18'!K89</f>
        <v>1-2 MIN</v>
      </c>
      <c r="L89" s="1130" t="str">
        <f>'MSW18'!L89</f>
        <v/>
      </c>
      <c r="M89" s="1017" t="str">
        <f>'MSW18'!M89</f>
        <v/>
      </c>
    </row>
    <row r="90">
      <c r="A90" s="1049">
        <f>'MSW18'!A90</f>
        <v>2</v>
      </c>
      <c r="B90" s="1050">
        <f>'MSW18'!B90</f>
        <v>5</v>
      </c>
      <c r="C90" s="1051" t="str">
        <f>'MSW18'!C90</f>
        <v>10 - 15</v>
      </c>
      <c r="D90" s="1430" t="str">
        <f>'MSW18'!D90</f>
        <v>1-2 MIN</v>
      </c>
      <c r="E90" s="1130" t="str">
        <f>'MSW18'!E90</f>
        <v/>
      </c>
      <c r="F90" s="1017" t="str">
        <f>'MSW18'!F90</f>
        <v/>
      </c>
      <c r="H90" s="1049">
        <f>'MSW18'!H90</f>
        <v>2</v>
      </c>
      <c r="I90" s="1050">
        <f>'MSW18'!I90</f>
        <v>5</v>
      </c>
      <c r="J90" s="1051" t="str">
        <f>'MSW18'!J90</f>
        <v>10 - 15</v>
      </c>
      <c r="K90" s="1430" t="str">
        <f>'MSW18'!K90</f>
        <v>1-2 MIN</v>
      </c>
      <c r="L90" s="1130" t="str">
        <f>'MSW18'!L90</f>
        <v/>
      </c>
      <c r="M90" s="1017" t="str">
        <f>'MSW18'!M90</f>
        <v/>
      </c>
    </row>
    <row r="91">
      <c r="A91" s="1053">
        <f>'MSW18'!A91</f>
        <v>3</v>
      </c>
      <c r="B91" s="1054">
        <f>'MSW18'!B91</f>
        <v>5</v>
      </c>
      <c r="C91" s="1055" t="str">
        <f>'MSW18'!C91</f>
        <v>10 - 15</v>
      </c>
      <c r="D91" s="1453" t="str">
        <f>'MSW18'!D91</f>
        <v>1-2 MIN</v>
      </c>
      <c r="E91" s="1348" t="str">
        <f>'MSW18'!E91</f>
        <v/>
      </c>
      <c r="F91" s="1017" t="str">
        <f>'MSW18'!F91</f>
        <v/>
      </c>
      <c r="G91" s="682" t="str">
        <f>'MSW18'!G91</f>
        <v/>
      </c>
      <c r="H91" s="1053">
        <f>'MSW18'!H91</f>
        <v>3</v>
      </c>
      <c r="I91" s="1054">
        <f>'MSW18'!I91</f>
        <v>5</v>
      </c>
      <c r="J91" s="1055" t="str">
        <f>'MSW18'!J91</f>
        <v>10 - 15</v>
      </c>
      <c r="K91" s="1453" t="str">
        <f>'MSW18'!K91</f>
        <v>1-2 MIN</v>
      </c>
      <c r="L91" s="1348" t="str">
        <f>'MSW18'!L91</f>
        <v/>
      </c>
      <c r="M91" s="1017" t="str">
        <f>'MSW18'!M91</f>
        <v/>
      </c>
    </row>
    <row r="92">
      <c r="A92" s="849" t="str">
        <f>'MSW18'!A92</f>
        <v/>
      </c>
      <c r="G92" s="849" t="str">
        <f>'MSW18'!H92</f>
        <v/>
      </c>
    </row>
    <row r="94">
      <c r="A94" s="1120" t="str">
        <f>'MSW18'!A94</f>
        <v>DAY 3</v>
      </c>
      <c r="B94" s="36"/>
      <c r="C94" s="36"/>
      <c r="D94" s="36"/>
      <c r="E94" s="36"/>
      <c r="F94" s="37"/>
    </row>
    <row r="95">
      <c r="A95" t="str">
        <f>'MSW18'!A95</f>
        <v/>
      </c>
    </row>
    <row r="97">
      <c r="A97" s="51" t="str">
        <f>'MSW18'!A97</f>
        <v>SHOULDERS &amp; ARMS</v>
      </c>
      <c r="B97" s="36"/>
      <c r="C97" s="36"/>
      <c r="D97" s="36"/>
      <c r="E97" s="36"/>
      <c r="F97" s="37"/>
      <c r="G97" t="str">
        <f>'MSW18'!G97</f>
        <v/>
      </c>
      <c r="H97" s="51" t="str">
        <f>'MSW18'!H97</f>
        <v>SHOULDERS &amp; ARMS</v>
      </c>
      <c r="I97" s="36"/>
      <c r="J97" s="36"/>
      <c r="K97" s="36"/>
      <c r="L97" s="36"/>
      <c r="M97" s="37"/>
    </row>
    <row r="98">
      <c r="A98" s="504" t="str">
        <f>'MSW18'!A98</f>
        <v>1. SHOULDER PRESS</v>
      </c>
      <c r="B98" s="53"/>
      <c r="C98" s="53"/>
      <c r="D98" s="53"/>
      <c r="E98" s="53"/>
      <c r="F98" s="54"/>
      <c r="H98" s="778" t="str">
        <f>'MSW18'!H98</f>
        <v>1. MACHINE SHOULDER PRESS</v>
      </c>
      <c r="I98" s="53"/>
      <c r="J98" s="53"/>
      <c r="K98" s="53"/>
      <c r="L98" s="53"/>
      <c r="M98" s="54"/>
    </row>
    <row r="99">
      <c r="A99" s="589" t="str">
        <f>'MSW18'!A99</f>
        <v>CURRENT MAX</v>
      </c>
      <c r="B99" s="227" t="str">
        <f>'MSW18'!B99</f>
        <v/>
      </c>
      <c r="C99" s="20"/>
      <c r="D99" s="20"/>
      <c r="E99" s="20"/>
      <c r="F99" s="95"/>
      <c r="H99" s="589" t="str">
        <f>'MSW18'!H99</f>
        <v>CURRENT MAX</v>
      </c>
      <c r="I99" s="227">
        <f>'MSW18'!I99</f>
        <v>105</v>
      </c>
      <c r="J99" s="20"/>
      <c r="K99" s="20"/>
      <c r="L99" s="20"/>
      <c r="M99" s="95"/>
    </row>
    <row r="100">
      <c r="A100" s="364" t="str">
        <f>'MSW18'!A100</f>
        <v>SET</v>
      </c>
      <c r="B100" s="365" t="str">
        <f>'MSW18'!B100</f>
        <v>WEIGHT</v>
      </c>
      <c r="C100" s="365" t="str">
        <f>'MSW18'!C100</f>
        <v>REPS</v>
      </c>
      <c r="D100" s="365" t="str">
        <f>'MSW18'!D100</f>
        <v>REST</v>
      </c>
      <c r="E100" s="609" t="str">
        <f>'MSW18'!E100</f>
        <v>PREVIOUS</v>
      </c>
      <c r="F100" s="61" t="str">
        <f>'MSW18'!F100</f>
        <v>REP LOG</v>
      </c>
      <c r="H100" s="364" t="str">
        <f>'MSW18'!H100</f>
        <v>SET</v>
      </c>
      <c r="I100" s="365" t="str">
        <f>'MSW18'!I100</f>
        <v>WEIGHT</v>
      </c>
      <c r="J100" s="365" t="str">
        <f>'MSW18'!J100</f>
        <v>REPS</v>
      </c>
      <c r="K100" s="365" t="str">
        <f>'MSW18'!K100</f>
        <v>REST</v>
      </c>
      <c r="L100" s="609" t="str">
        <f>'MSW18'!L100</f>
        <v>PREVIOUS</v>
      </c>
      <c r="M100" s="61" t="str">
        <f>'MSW18'!M100</f>
        <v>REP LOG</v>
      </c>
    </row>
    <row r="101">
      <c r="A101" s="236">
        <f>'MSW18'!A101</f>
        <v>1</v>
      </c>
      <c r="B101" s="237">
        <f>'MSW18'!B101</f>
        <v>0</v>
      </c>
      <c r="C101" s="237">
        <f>'MSW18'!C101</f>
        <v>6</v>
      </c>
      <c r="D101" s="238" t="str">
        <f>'MSW18'!D101</f>
        <v>30s</v>
      </c>
      <c r="E101" s="66" t="str">
        <f>'MSW18'!E101</f>
        <v/>
      </c>
      <c r="F101" s="67">
        <v>6.0</v>
      </c>
      <c r="H101" s="236">
        <f>'MSW18'!H101</f>
        <v>1</v>
      </c>
      <c r="I101" s="237">
        <f>'MSW18'!I101</f>
        <v>35</v>
      </c>
      <c r="J101" s="237">
        <f>'MSW18'!J101</f>
        <v>6</v>
      </c>
      <c r="K101" s="238" t="str">
        <f>'MSW18'!K101</f>
        <v>30s</v>
      </c>
      <c r="L101" s="66" t="str">
        <f>'MSW18'!L101</f>
        <v/>
      </c>
      <c r="M101" s="67">
        <v>6.0</v>
      </c>
    </row>
    <row r="102">
      <c r="A102" s="236">
        <f>'MSW18'!A102</f>
        <v>2</v>
      </c>
      <c r="B102" s="237">
        <f>'MSW18'!B102</f>
        <v>0</v>
      </c>
      <c r="C102" s="237">
        <f>'MSW18'!C102</f>
        <v>1</v>
      </c>
      <c r="D102" s="238" t="str">
        <f>'MSW18'!D102</f>
        <v>1 MIN</v>
      </c>
      <c r="E102" s="66" t="str">
        <f>'MSW18'!E102</f>
        <v/>
      </c>
      <c r="F102" s="67">
        <v>1.0</v>
      </c>
      <c r="H102" s="236">
        <f>'MSW18'!H102</f>
        <v>2</v>
      </c>
      <c r="I102" s="237">
        <f>'MSW18'!I102</f>
        <v>70</v>
      </c>
      <c r="J102" s="237">
        <f>'MSW18'!J102</f>
        <v>1</v>
      </c>
      <c r="K102" s="238" t="str">
        <f>'MSW18'!K102</f>
        <v>1 MIN</v>
      </c>
      <c r="L102" s="66" t="str">
        <f>'MSW18'!L102</f>
        <v/>
      </c>
      <c r="M102" s="67">
        <v>1.0</v>
      </c>
    </row>
    <row r="103">
      <c r="A103" s="779">
        <f>'MSW18'!A103</f>
        <v>3</v>
      </c>
      <c r="B103" s="780">
        <f>'MSW18'!B103</f>
        <v>0</v>
      </c>
      <c r="C103" s="781" t="str">
        <f>'MSW18'!C103</f>
        <v>REP OUT</v>
      </c>
      <c r="D103" s="782" t="str">
        <f>'MSW18'!D103</f>
        <v>1 MIN</v>
      </c>
      <c r="E103" s="66" t="str">
        <f>'MSW18'!E103</f>
        <v/>
      </c>
      <c r="F103" s="1121">
        <v>20.0</v>
      </c>
      <c r="H103" s="779">
        <f>'MSW18'!H103</f>
        <v>3</v>
      </c>
      <c r="I103" s="780">
        <f>'MSW18'!I103</f>
        <v>90</v>
      </c>
      <c r="J103" s="781" t="str">
        <f>'MSW18'!J103</f>
        <v>REP OUT</v>
      </c>
      <c r="K103" s="782" t="str">
        <f>'MSW18'!K103</f>
        <v>1 MIN</v>
      </c>
      <c r="L103" s="66" t="str">
        <f>'MSW18'!L103</f>
        <v/>
      </c>
      <c r="M103" s="1121">
        <v>15.0</v>
      </c>
    </row>
    <row r="104">
      <c r="A104" s="785">
        <f>'MSW18'!A104</f>
        <v>4</v>
      </c>
      <c r="B104" s="388">
        <f>'MSW18'!B104</f>
        <v>0</v>
      </c>
      <c r="C104" s="781" t="str">
        <f>'MSW18'!C104</f>
        <v>REP OUT</v>
      </c>
      <c r="D104" s="390" t="str">
        <f>'MSW18'!D104</f>
        <v>1 MIN</v>
      </c>
      <c r="E104" s="66" t="str">
        <f>'MSW18'!E104</f>
        <v/>
      </c>
      <c r="F104" s="1122">
        <v>5.0</v>
      </c>
      <c r="H104" s="785">
        <f>'MSW18'!H104</f>
        <v>4</v>
      </c>
      <c r="I104" s="388">
        <f>'MSW18'!I104</f>
        <v>75</v>
      </c>
      <c r="J104" s="781" t="str">
        <f>'MSW18'!J104</f>
        <v>REP OUT</v>
      </c>
      <c r="K104" s="390" t="str">
        <f>'MSW18'!K104</f>
        <v>1 MIN</v>
      </c>
      <c r="L104" s="66" t="str">
        <f>'MSW18'!L104</f>
        <v/>
      </c>
      <c r="M104" s="1122">
        <v>20.0</v>
      </c>
    </row>
    <row r="105">
      <c r="A105" s="787">
        <f>'MSW18'!A105</f>
        <v>5</v>
      </c>
      <c r="B105" s="788">
        <f>'MSW18'!B105</f>
        <v>0</v>
      </c>
      <c r="C105" s="789" t="str">
        <f>'MSW18'!C105</f>
        <v>REP OUT</v>
      </c>
      <c r="D105" s="397" t="str">
        <f>'MSW18'!D105</f>
        <v>1 MIN</v>
      </c>
      <c r="E105" s="72" t="str">
        <f>'MSW18'!E105</f>
        <v/>
      </c>
      <c r="F105" s="392" t="str">
        <f>'MSW18'!F105</f>
        <v/>
      </c>
      <c r="H105" s="787">
        <f>'MSW18'!H105</f>
        <v>5</v>
      </c>
      <c r="I105" s="788">
        <f>'MSW18'!I105</f>
        <v>75</v>
      </c>
      <c r="J105" s="789" t="str">
        <f>'MSW18'!J105</f>
        <v>REP OUT</v>
      </c>
      <c r="K105" s="397" t="str">
        <f>'MSW18'!K105</f>
        <v>1 MIN</v>
      </c>
      <c r="L105" s="72" t="str">
        <f>'MSW18'!L105</f>
        <v/>
      </c>
      <c r="M105" s="1122">
        <v>10.0</v>
      </c>
    </row>
    <row r="106">
      <c r="A106" t="str">
        <f>'MSW18'!A106</f>
        <v/>
      </c>
      <c r="G106" t="str">
        <f>'MSW18'!G106</f>
        <v/>
      </c>
    </row>
    <row r="108">
      <c r="A108" s="1217" t="str">
        <f>'MSW18'!A108</f>
        <v>2. DUMBBELL REAR DELT FLY </v>
      </c>
      <c r="B108" s="53"/>
      <c r="C108" s="53"/>
      <c r="D108" s="53"/>
      <c r="E108" s="53"/>
      <c r="F108" s="54"/>
    </row>
    <row r="109">
      <c r="A109" s="1268" t="str">
        <f>'MSW18'!A109</f>
        <v>SHLDR PRSS MAX</v>
      </c>
      <c r="B109" s="76">
        <f>'MSW18'!B109</f>
        <v>0</v>
      </c>
      <c r="C109" s="13"/>
      <c r="D109" s="13"/>
      <c r="E109" s="13"/>
      <c r="F109" s="57"/>
    </row>
    <row r="110">
      <c r="A110" s="962" t="str">
        <f>'MSW18'!A110</f>
        <v>SET</v>
      </c>
      <c r="B110" s="963" t="str">
        <f>'MSW18'!B110</f>
        <v>WEIGHT</v>
      </c>
      <c r="C110" s="963" t="str">
        <f>'MSW18'!C110</f>
        <v>REPS</v>
      </c>
      <c r="D110" s="963" t="str">
        <f>'MSW18'!D110</f>
        <v>REST</v>
      </c>
      <c r="E110" s="1005" t="str">
        <f>'MSW18'!E110</f>
        <v>PREVIOUS</v>
      </c>
      <c r="F110" s="1006" t="str">
        <f>'MSW18'!F110</f>
        <v>REP LOG</v>
      </c>
    </row>
    <row r="111">
      <c r="A111" s="967">
        <f>'MSW18'!A111</f>
        <v>1</v>
      </c>
      <c r="B111" s="1028">
        <f>'MSW18'!B111</f>
        <v>0</v>
      </c>
      <c r="C111" s="1067" t="str">
        <f>'MSW18'!C111</f>
        <v>10 -15</v>
      </c>
      <c r="D111" s="1384" t="str">
        <f>'MSW18'!D111</f>
        <v>1-3 MIN</v>
      </c>
      <c r="E111" s="66" t="str">
        <f>'MSW18'!E111</f>
        <v/>
      </c>
      <c r="F111" s="1011">
        <v>10.0</v>
      </c>
    </row>
    <row r="112">
      <c r="A112" s="967">
        <f>'MSW18'!A112</f>
        <v>2</v>
      </c>
      <c r="B112" s="1028">
        <f>'MSW18'!B112</f>
        <v>0</v>
      </c>
      <c r="C112" s="1067" t="str">
        <f>'MSW18'!C112</f>
        <v>10 -15</v>
      </c>
      <c r="D112" s="1384" t="str">
        <f>'MSW18'!D112</f>
        <v>1-3 MIN</v>
      </c>
      <c r="E112" s="66" t="str">
        <f>'MSW18'!E112</f>
        <v/>
      </c>
      <c r="F112" s="1011">
        <v>5.0</v>
      </c>
    </row>
    <row r="113">
      <c r="A113" s="971">
        <f>'MSW18'!A113</f>
        <v>3</v>
      </c>
      <c r="B113" s="1123">
        <f>'MSW18'!B113</f>
        <v>0</v>
      </c>
      <c r="C113" s="1220" t="str">
        <f>'MSW18'!C113</f>
        <v>10 -15</v>
      </c>
      <c r="D113" s="1402" t="str">
        <f>'MSW18'!D113</f>
        <v>1-3 MIN</v>
      </c>
      <c r="E113" s="72" t="str">
        <f>'MSW18'!E113</f>
        <v/>
      </c>
      <c r="F113" s="1017" t="str">
        <f>'MSW18'!F113</f>
        <v/>
      </c>
    </row>
    <row r="114">
      <c r="A114" t="str">
        <f>'MSW18'!A114</f>
        <v/>
      </c>
    </row>
    <row r="116">
      <c r="A116" s="1217" t="str">
        <f>'MSW18'!A116</f>
        <v>3. DUMBBELL SIDE LATERAL RAISE</v>
      </c>
      <c r="B116" s="53"/>
      <c r="C116" s="53"/>
      <c r="D116" s="53"/>
      <c r="E116" s="53"/>
      <c r="F116" s="54"/>
    </row>
    <row r="117">
      <c r="A117" s="1268" t="str">
        <f>'MSW18'!A117</f>
        <v>SHLDR PRSS MAX</v>
      </c>
      <c r="B117" s="76">
        <f>'MSW18'!B117</f>
        <v>0</v>
      </c>
      <c r="C117" s="13"/>
      <c r="D117" s="13"/>
      <c r="E117" s="13"/>
      <c r="F117" s="57"/>
    </row>
    <row r="118">
      <c r="A118" s="1071" t="str">
        <f>'MSW18'!A118</f>
        <v>SET</v>
      </c>
      <c r="B118" s="1072" t="str">
        <f>'MSW18'!B118</f>
        <v>WEIGHT</v>
      </c>
      <c r="C118" s="1072" t="str">
        <f>'MSW18'!C118</f>
        <v>REPS</v>
      </c>
      <c r="D118" s="1072" t="str">
        <f>'MSW18'!D118</f>
        <v>REST</v>
      </c>
      <c r="E118" s="1073" t="str">
        <f>'MSW18'!E118</f>
        <v>PREVIOUS</v>
      </c>
      <c r="F118" s="1006" t="str">
        <f>'MSW18'!F118</f>
        <v>REP LOG</v>
      </c>
    </row>
    <row r="119">
      <c r="A119" s="1074">
        <f>'MSW18'!A119</f>
        <v>1</v>
      </c>
      <c r="B119" s="968">
        <f>'MSW18'!B119</f>
        <v>0</v>
      </c>
      <c r="C119" s="1075" t="str">
        <f>'MSW18'!C119</f>
        <v>10 - 15</v>
      </c>
      <c r="D119" s="1384" t="str">
        <f>'MSW18'!D119</f>
        <v>1-3 MIN</v>
      </c>
      <c r="E119" s="66" t="str">
        <f>'MSW18'!E119</f>
        <v/>
      </c>
      <c r="F119" s="1011">
        <v>15.0</v>
      </c>
    </row>
    <row r="120">
      <c r="A120" s="1074">
        <f>'MSW18'!A120</f>
        <v>2</v>
      </c>
      <c r="B120" s="968">
        <f>'MSW18'!B120</f>
        <v>0</v>
      </c>
      <c r="C120" s="1075" t="str">
        <f>'MSW18'!C120</f>
        <v>10 - 15</v>
      </c>
      <c r="D120" s="1384" t="str">
        <f>'MSW18'!D120</f>
        <v>1-3 MIN</v>
      </c>
      <c r="E120" s="66" t="str">
        <f>'MSW18'!E120</f>
        <v/>
      </c>
      <c r="F120" s="1011">
        <v>15.0</v>
      </c>
    </row>
    <row r="121">
      <c r="A121" s="1078">
        <f>'MSW18'!A121</f>
        <v>3</v>
      </c>
      <c r="B121" s="972">
        <f>'MSW18'!B121</f>
        <v>0</v>
      </c>
      <c r="C121" s="1079" t="str">
        <f>'MSW18'!C121</f>
        <v>10 - 15</v>
      </c>
      <c r="D121" s="1402" t="str">
        <f>'MSW18'!D121</f>
        <v>1-3 MIN</v>
      </c>
      <c r="E121" s="72" t="str">
        <f>'MSW18'!E121</f>
        <v/>
      </c>
      <c r="F121" s="1017" t="str">
        <f>'MSW18'!F121</f>
        <v/>
      </c>
    </row>
    <row r="122">
      <c r="A122" t="str">
        <f>'MSW18'!A122</f>
        <v/>
      </c>
    </row>
    <row r="124">
      <c r="A124" s="1442" t="str">
        <f>'MSW18'!A124</f>
        <v>4.  TRICEP OVERHEAD ROPE EXTENSION</v>
      </c>
      <c r="B124" s="13"/>
      <c r="C124" s="13"/>
      <c r="D124" s="13"/>
      <c r="E124" s="13"/>
      <c r="F124" s="57"/>
    </row>
    <row r="125">
      <c r="A125" s="961" t="str">
        <f>'MSW18'!A125</f>
        <v>CURRENT MAX</v>
      </c>
      <c r="B125" s="1443">
        <f>'MSW18'!B125</f>
        <v>0</v>
      </c>
      <c r="C125" s="13"/>
      <c r="D125" s="13"/>
      <c r="E125" s="13"/>
      <c r="F125" s="57"/>
    </row>
    <row r="126">
      <c r="A126" s="1444" t="str">
        <f>'MSW18'!A126</f>
        <v>SET</v>
      </c>
      <c r="B126" s="1445" t="str">
        <f>'MSW18'!B126</f>
        <v>WEIGHT</v>
      </c>
      <c r="C126" s="1445" t="str">
        <f>'MSW18'!C126</f>
        <v>REPS</v>
      </c>
      <c r="D126" s="1446" t="str">
        <f>'MSW18'!D126</f>
        <v>REST</v>
      </c>
      <c r="E126" s="1447" t="str">
        <f>'MSW18'!E126</f>
        <v>PREVIOUS</v>
      </c>
      <c r="F126" s="1448" t="str">
        <f>'MSW18'!F126</f>
        <v>REP LOG</v>
      </c>
    </row>
    <row r="127">
      <c r="A127" s="387">
        <f>'MSW18'!A127</f>
        <v>1</v>
      </c>
      <c r="B127" s="388">
        <f>'MSW18'!B127</f>
        <v>0</v>
      </c>
      <c r="C127" s="1449" t="str">
        <f>'MSW18'!C127</f>
        <v>10 - 15</v>
      </c>
      <c r="D127" s="1433" t="str">
        <f>'MSW18'!D127</f>
        <v>1-3 MIN</v>
      </c>
      <c r="E127" s="1450" t="str">
        <f>'MSW18'!E127</f>
        <v/>
      </c>
      <c r="F127" s="1451" t="str">
        <f>'MSW18'!F127</f>
        <v/>
      </c>
    </row>
    <row r="128">
      <c r="A128" s="387">
        <f>'MSW18'!A128</f>
        <v>2</v>
      </c>
      <c r="B128" s="388">
        <f>'MSW18'!B128</f>
        <v>0</v>
      </c>
      <c r="C128" s="1449" t="str">
        <f>'MSW18'!C128</f>
        <v>10 - 15</v>
      </c>
      <c r="D128" s="1433" t="str">
        <f>'MSW18'!D128</f>
        <v>1-3 MIN</v>
      </c>
      <c r="E128" s="1450" t="str">
        <f>'MSW18'!E128</f>
        <v/>
      </c>
      <c r="F128" s="1451" t="str">
        <f>'MSW18'!F128</f>
        <v/>
      </c>
    </row>
    <row r="129">
      <c r="A129" s="394">
        <f>'MSW18'!A129</f>
        <v>3</v>
      </c>
      <c r="B129" s="395">
        <f>'MSW18'!B129</f>
        <v>0</v>
      </c>
      <c r="C129" s="1461" t="str">
        <f>'MSW18'!C129</f>
        <v>10 - 15</v>
      </c>
      <c r="D129" s="1456" t="str">
        <f>'MSW18'!D129</f>
        <v>1-3 MIN</v>
      </c>
      <c r="E129" s="1470" t="str">
        <f>'MSW18'!E129</f>
        <v/>
      </c>
      <c r="F129" s="1451" t="str">
        <f>'MSW18'!F129</f>
        <v/>
      </c>
    </row>
    <row r="130">
      <c r="A130" t="str">
        <f>'MSW18'!A130</f>
        <v/>
      </c>
    </row>
    <row r="132">
      <c r="A132" s="1217" t="str">
        <f>'MSW18'!A132</f>
        <v>5. ALTERNATING DUMBBELL BICEP CURLS</v>
      </c>
      <c r="B132" s="53"/>
      <c r="C132" s="53"/>
      <c r="D132" s="53"/>
      <c r="E132" s="53"/>
      <c r="F132" s="54"/>
    </row>
    <row r="133">
      <c r="A133" s="961" t="str">
        <f>'MSW18'!A133</f>
        <v>CURRENT MAX</v>
      </c>
      <c r="B133" s="839">
        <f>'MSW18'!B133</f>
        <v>30</v>
      </c>
      <c r="F133" s="28"/>
    </row>
    <row r="134">
      <c r="A134" s="962" t="str">
        <f>'MSW18'!A134</f>
        <v>SET</v>
      </c>
      <c r="B134" s="963" t="str">
        <f>'MSW18'!B134</f>
        <v>WEIGHT</v>
      </c>
      <c r="C134" s="963" t="str">
        <f>'MSW18'!C134</f>
        <v>REPS</v>
      </c>
      <c r="D134" s="963" t="str">
        <f>'MSW18'!D134</f>
        <v>REST</v>
      </c>
      <c r="E134" s="1073" t="str">
        <f>'MSW18'!E134</f>
        <v>PREVIOUS</v>
      </c>
      <c r="F134" s="1006" t="str">
        <f>'MSW18'!F134</f>
        <v>REP LOG</v>
      </c>
    </row>
    <row r="135">
      <c r="A135" s="967">
        <f>'MSW18'!A135</f>
        <v>1</v>
      </c>
      <c r="B135" s="968">
        <f>'MSW18'!B135</f>
        <v>25</v>
      </c>
      <c r="C135" s="1067" t="str">
        <f>'MSW18'!C135</f>
        <v>10 - 15</v>
      </c>
      <c r="D135" s="1076" t="str">
        <f>'MSW18'!D135</f>
        <v>1 MIN</v>
      </c>
      <c r="E135" s="1235" t="str">
        <f>'MSW18'!E135</f>
        <v/>
      </c>
      <c r="F135" s="984">
        <f>'MSW18'!F135</f>
        <v>10</v>
      </c>
    </row>
    <row r="136">
      <c r="A136" s="967">
        <f>'MSW18'!A136</f>
        <v>2</v>
      </c>
      <c r="B136" s="968">
        <f>'MSW18'!B136</f>
        <v>25</v>
      </c>
      <c r="C136" s="1067" t="str">
        <f>'MSW18'!C136</f>
        <v>10 - 15</v>
      </c>
      <c r="D136" s="1076" t="str">
        <f>'MSW18'!D136</f>
        <v>1 MIN</v>
      </c>
      <c r="E136" s="1235" t="str">
        <f>'MSW18'!E136</f>
        <v/>
      </c>
      <c r="F136" s="984">
        <f>'MSW18'!F136</f>
        <v>10</v>
      </c>
    </row>
    <row r="137">
      <c r="A137" s="971">
        <f>'MSW18'!A137</f>
        <v>3</v>
      </c>
      <c r="B137" s="972">
        <f>'MSW18'!B137</f>
        <v>25</v>
      </c>
      <c r="C137" s="1220" t="str">
        <f>'MSW18'!C137</f>
        <v>10 - 15</v>
      </c>
      <c r="D137" s="1080" t="str">
        <f>'MSW18'!D137</f>
        <v>1 MIN</v>
      </c>
      <c r="E137" s="1271" t="str">
        <f>'MSW18'!E137</f>
        <v/>
      </c>
      <c r="F137" s="984">
        <f>'MSW18'!F137</f>
        <v>5</v>
      </c>
    </row>
    <row r="138">
      <c r="A138" t="str">
        <f>'MSW18'!A138</f>
        <v/>
      </c>
    </row>
    <row r="140">
      <c r="A140" s="1149" t="str">
        <f>'MSW18'!A140</f>
        <v>WORKOUT COMPLETE!</v>
      </c>
      <c r="B140" s="36"/>
      <c r="C140" s="36"/>
      <c r="D140" s="36"/>
      <c r="E140" s="36"/>
      <c r="F140" s="37"/>
    </row>
    <row r="141">
      <c r="A141" s="623" t="str">
        <f>'MSW18'!A141</f>
        <v/>
      </c>
    </row>
    <row r="142">
      <c r="A142" s="1275" t="str">
        <f>'MSW18'!A142</f>
        <v>WANT TO LEARN MORE?</v>
      </c>
      <c r="B142" s="25"/>
      <c r="C142" s="25"/>
      <c r="D142" s="25"/>
      <c r="E142" s="25"/>
      <c r="F142" s="26"/>
    </row>
    <row r="143">
      <c r="A143" s="529"/>
      <c r="F143" s="28"/>
    </row>
    <row r="144">
      <c r="A144" s="1276" t="str">
        <f>'MSW18'!A144</f>
        <v/>
      </c>
      <c r="B144" s="999" t="str">
        <f>'MSW18'!B144</f>
        <v/>
      </c>
      <c r="C144" s="1150" t="str">
        <f>'MSW18'!C144</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44" s="28"/>
    </row>
    <row r="145">
      <c r="A145" s="1276" t="str">
        <f>'MSW18'!A145</f>
        <v/>
      </c>
      <c r="B145" s="999" t="str">
        <f>'MSW18'!B145</f>
        <v/>
      </c>
      <c r="F145" s="28"/>
    </row>
    <row r="146">
      <c r="A146" s="1276" t="str">
        <f>'MSW18'!A146</f>
        <v/>
      </c>
      <c r="B146" s="999" t="str">
        <f>'MSW18'!B146</f>
        <v/>
      </c>
      <c r="F146" s="28"/>
    </row>
    <row r="147">
      <c r="A147" s="1276" t="str">
        <f>'MSW18'!A147</f>
        <v/>
      </c>
      <c r="B147" s="999" t="str">
        <f>'MSW18'!B147</f>
        <v/>
      </c>
      <c r="F147" s="28"/>
    </row>
    <row r="148">
      <c r="A148" s="1276" t="str">
        <f>'MSW18'!A148</f>
        <v/>
      </c>
      <c r="B148" s="999" t="str">
        <f>'MSW18'!B148</f>
        <v/>
      </c>
      <c r="F148" s="28"/>
    </row>
    <row r="149">
      <c r="A149" s="1276" t="str">
        <f>'MSW18'!A149</f>
        <v/>
      </c>
      <c r="B149" s="999" t="str">
        <f>'MSW18'!B149</f>
        <v/>
      </c>
      <c r="F149" s="28"/>
    </row>
    <row r="150">
      <c r="A150" s="1277" t="str">
        <f>'MSW18'!A150</f>
        <v/>
      </c>
      <c r="B150" s="999" t="str">
        <f>'MSW18'!B150</f>
        <v/>
      </c>
      <c r="F150" s="28"/>
    </row>
    <row r="151">
      <c r="A151" s="1276" t="str">
        <f>'MSW18'!A151</f>
        <v/>
      </c>
      <c r="B151" s="999" t="str">
        <f>'MSW18'!B151</f>
        <v/>
      </c>
      <c r="F151" s="28"/>
    </row>
    <row r="152">
      <c r="A152" s="1276" t="str">
        <f>'MSW18'!A152</f>
        <v/>
      </c>
      <c r="B152" s="999" t="str">
        <f>'MSW18'!B152</f>
        <v/>
      </c>
      <c r="F152" s="28"/>
    </row>
    <row r="153">
      <c r="A153" s="1278" t="str">
        <f>'MSW18'!A153</f>
        <v/>
      </c>
      <c r="B153" s="999" t="str">
        <f>'MSW18'!B153</f>
        <v/>
      </c>
      <c r="F153" s="28"/>
    </row>
    <row r="154">
      <c r="A154" s="1276" t="str">
        <f>'MSW18'!A154</f>
        <v/>
      </c>
      <c r="B154" s="999" t="str">
        <f>'MSW18'!B154</f>
        <v/>
      </c>
      <c r="F154" s="28"/>
    </row>
    <row r="155">
      <c r="A155" s="1276" t="str">
        <f>'MSW18'!A155</f>
        <v/>
      </c>
      <c r="B155" s="999" t="str">
        <f>'MSW18'!B155</f>
        <v/>
      </c>
      <c r="F155" s="28"/>
    </row>
    <row r="156">
      <c r="A156" s="1276" t="str">
        <f>'MSW18'!A156</f>
        <v/>
      </c>
      <c r="B156" s="999" t="str">
        <f>'MSW18'!B156</f>
        <v/>
      </c>
      <c r="F156" s="28"/>
    </row>
    <row r="157">
      <c r="A157" s="1276" t="str">
        <f>'MSW18'!A157</f>
        <v/>
      </c>
      <c r="B157" s="999" t="str">
        <f>'MSW18'!B157</f>
        <v/>
      </c>
      <c r="F157" s="28"/>
    </row>
    <row r="158">
      <c r="A158" s="1279" t="str">
        <f>'MSW18'!A158</f>
        <v/>
      </c>
      <c r="B158" s="1280" t="str">
        <f>'MSW18'!B158</f>
        <v/>
      </c>
      <c r="C158" s="11"/>
      <c r="D158" s="11"/>
      <c r="E158" s="11"/>
      <c r="F158" s="46"/>
    </row>
    <row r="159">
      <c r="A159" s="3" t="str">
        <f>'MSW18'!A159</f>
        <v/>
      </c>
    </row>
  </sheetData>
  <mergeCells count="77">
    <mergeCell ref="A97:F97"/>
    <mergeCell ref="A98:F98"/>
    <mergeCell ref="B79:F79"/>
    <mergeCell ref="A84:F85"/>
    <mergeCell ref="A86:F86"/>
    <mergeCell ref="B87:F87"/>
    <mergeCell ref="A92:F93"/>
    <mergeCell ref="A94:F94"/>
    <mergeCell ref="A95:F96"/>
    <mergeCell ref="A124:F124"/>
    <mergeCell ref="B125:F125"/>
    <mergeCell ref="A106:F107"/>
    <mergeCell ref="A108:F108"/>
    <mergeCell ref="B109:F109"/>
    <mergeCell ref="A114:F115"/>
    <mergeCell ref="A116:F116"/>
    <mergeCell ref="B117:F117"/>
    <mergeCell ref="A122:F123"/>
    <mergeCell ref="C144:F158"/>
    <mergeCell ref="A159:F159"/>
    <mergeCell ref="A130:F131"/>
    <mergeCell ref="A132:F132"/>
    <mergeCell ref="B133:F133"/>
    <mergeCell ref="A138:F139"/>
    <mergeCell ref="A140:F140"/>
    <mergeCell ref="A141:F141"/>
    <mergeCell ref="A142:F143"/>
    <mergeCell ref="A1:M8"/>
    <mergeCell ref="A9:F9"/>
    <mergeCell ref="G9:G11"/>
    <mergeCell ref="H9:M9"/>
    <mergeCell ref="A10:F11"/>
    <mergeCell ref="H10:M10"/>
    <mergeCell ref="G12:M14"/>
    <mergeCell ref="A12:F12"/>
    <mergeCell ref="A13:F13"/>
    <mergeCell ref="A15:F15"/>
    <mergeCell ref="G15:G24"/>
    <mergeCell ref="A16:F16"/>
    <mergeCell ref="B17:F17"/>
    <mergeCell ref="A22:F26"/>
    <mergeCell ref="A27:F27"/>
    <mergeCell ref="B28:F28"/>
    <mergeCell ref="A34:F34"/>
    <mergeCell ref="A37:F37"/>
    <mergeCell ref="B40:F40"/>
    <mergeCell ref="A41:F41"/>
    <mergeCell ref="A42:F42"/>
    <mergeCell ref="B43:F43"/>
    <mergeCell ref="A48:F49"/>
    <mergeCell ref="A50:F50"/>
    <mergeCell ref="B51:F51"/>
    <mergeCell ref="A56:F56"/>
    <mergeCell ref="A57:F57"/>
    <mergeCell ref="A58:F59"/>
    <mergeCell ref="H15:M15"/>
    <mergeCell ref="H16:M16"/>
    <mergeCell ref="I17:M17"/>
    <mergeCell ref="G25:M85"/>
    <mergeCell ref="G86:G88"/>
    <mergeCell ref="H86:M86"/>
    <mergeCell ref="I87:M87"/>
    <mergeCell ref="G106:M159"/>
    <mergeCell ref="G89:G90"/>
    <mergeCell ref="G92:M96"/>
    <mergeCell ref="G97:G105"/>
    <mergeCell ref="H97:M97"/>
    <mergeCell ref="H98:M98"/>
    <mergeCell ref="B99:F99"/>
    <mergeCell ref="I99:M99"/>
    <mergeCell ref="A60:F60"/>
    <mergeCell ref="A61:F61"/>
    <mergeCell ref="A62:F62"/>
    <mergeCell ref="B63:F63"/>
    <mergeCell ref="B75:F75"/>
    <mergeCell ref="A76:F77"/>
    <mergeCell ref="A78:F78"/>
  </mergeCells>
  <dataValidations>
    <dataValidation type="decimal" allowBlank="1" showDropDown="1" showInputMessage="1" showErrorMessage="1" prompt="Enter a number between 0 and 30" sqref="F14 F18:F21 M18:M24 F29:F33 F35:F36 F38:F39 F44:F47 F52:F55 F64:F74 F80:F83 F88:F91 M88:M91 F100:F105 M100:M105 F110:F113 F118:F121 F126:F129 F134:F137">
      <formula1>0.0</formula1>
      <formula2>30.0</formula2>
    </dataValidation>
    <dataValidation type="decimal" operator="greaterThan" allowBlank="1" showDropDown="1" showErrorMessage="1" sqref="M11">
      <formula1>0.0</formula1>
    </dataValidation>
  </dataValidation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293" t="s">
        <v>271</v>
      </c>
      <c r="B9" s="36"/>
      <c r="C9" s="36"/>
      <c r="D9" s="36"/>
      <c r="E9" s="36"/>
      <c r="F9" s="37"/>
      <c r="G9" s="419"/>
      <c r="H9" s="24" t="s">
        <v>35</v>
      </c>
      <c r="I9" s="25"/>
      <c r="J9" s="25"/>
      <c r="K9" s="25"/>
      <c r="L9" s="25"/>
      <c r="M9" s="26"/>
    </row>
    <row r="10">
      <c r="A10" s="719" t="str">
        <f>HYPERLINK("https://goo.gl/forms/3ibooB993Hi7SS2d2","PRESS TO RECORD BODY WEIGHT")</f>
        <v>PRESS TO RECORD BODY WEIGHT</v>
      </c>
      <c r="B10" s="25"/>
      <c r="C10" s="25"/>
      <c r="D10" s="25"/>
      <c r="E10" s="25"/>
      <c r="F10" s="26"/>
      <c r="G10" s="419"/>
      <c r="H10" s="147" t="s">
        <v>272</v>
      </c>
      <c r="M10" s="28"/>
    </row>
    <row r="11">
      <c r="A11" s="336"/>
      <c r="B11" s="11"/>
      <c r="C11" s="11"/>
      <c r="D11" s="11"/>
      <c r="E11" s="11"/>
      <c r="F11" s="46"/>
      <c r="G11" s="419"/>
      <c r="H11" s="29" t="s">
        <v>273</v>
      </c>
      <c r="I11" s="30"/>
      <c r="J11" s="30"/>
      <c r="K11" s="30"/>
      <c r="L11" s="30"/>
      <c r="M11" s="31"/>
    </row>
    <row r="12">
      <c r="A12" s="720" t="s">
        <v>69</v>
      </c>
      <c r="B12" s="36"/>
      <c r="C12" s="36"/>
      <c r="D12" s="36"/>
      <c r="E12" s="36"/>
      <c r="F12" s="37"/>
      <c r="G12" s="419"/>
      <c r="H12" s="419"/>
      <c r="I12" s="419"/>
      <c r="J12" s="419"/>
      <c r="K12" s="419"/>
      <c r="L12" s="717"/>
      <c r="M12" s="419"/>
    </row>
    <row r="13">
      <c r="A13" s="721" t="s">
        <v>149</v>
      </c>
      <c r="B13" s="36"/>
      <c r="C13" s="36"/>
      <c r="D13" s="36"/>
      <c r="E13" s="36"/>
      <c r="F13" s="37"/>
      <c r="G13" s="419"/>
      <c r="H13" s="419"/>
      <c r="I13" s="419"/>
      <c r="J13" s="419"/>
      <c r="K13" s="419"/>
      <c r="L13" s="717"/>
      <c r="M13" s="419"/>
    </row>
    <row r="14">
      <c r="A14" s="653"/>
      <c r="B14" s="653"/>
      <c r="C14" s="653"/>
      <c r="D14" s="653"/>
      <c r="E14" s="654"/>
      <c r="F14" s="141"/>
      <c r="G14" s="419"/>
      <c r="H14" s="419"/>
      <c r="I14" s="419"/>
      <c r="J14" s="419"/>
      <c r="K14" s="419"/>
      <c r="L14" s="717"/>
      <c r="M14" s="419"/>
    </row>
    <row r="15">
      <c r="A15" s="50" t="s">
        <v>47</v>
      </c>
      <c r="B15" s="36"/>
      <c r="C15" s="36"/>
      <c r="D15" s="36"/>
      <c r="E15" s="36"/>
      <c r="F15" s="37"/>
      <c r="G15" s="722"/>
      <c r="H15" s="429" t="s">
        <v>118</v>
      </c>
      <c r="I15" s="36"/>
      <c r="J15" s="36"/>
      <c r="K15" s="36"/>
      <c r="L15" s="36"/>
      <c r="M15" s="37"/>
    </row>
    <row r="16">
      <c r="A16" s="657"/>
      <c r="B16" s="657"/>
      <c r="C16" s="657"/>
      <c r="D16" s="657"/>
      <c r="E16" s="657"/>
      <c r="F16" s="657"/>
      <c r="G16" s="722"/>
      <c r="H16" s="657"/>
      <c r="I16" s="657"/>
      <c r="J16" s="657"/>
      <c r="K16" s="657"/>
      <c r="L16" s="657"/>
      <c r="M16" s="657"/>
    </row>
    <row r="17">
      <c r="A17" s="657"/>
      <c r="B17" s="657"/>
      <c r="C17" s="657"/>
      <c r="D17" s="657"/>
      <c r="E17" s="657"/>
      <c r="F17" s="657"/>
      <c r="G17" s="722"/>
      <c r="H17" s="657"/>
      <c r="I17" s="657"/>
      <c r="J17" s="657"/>
      <c r="K17" s="657"/>
      <c r="L17" s="657"/>
      <c r="M17" s="657"/>
    </row>
    <row r="18">
      <c r="A18" s="51" t="s">
        <v>48</v>
      </c>
      <c r="B18" s="36"/>
      <c r="C18" s="36"/>
      <c r="D18" s="36"/>
      <c r="E18" s="36"/>
      <c r="F18" s="37"/>
      <c r="G18" s="722"/>
      <c r="H18" s="51" t="s">
        <v>48</v>
      </c>
      <c r="I18" s="36"/>
      <c r="J18" s="36"/>
      <c r="K18" s="36"/>
      <c r="L18" s="36"/>
      <c r="M18" s="37"/>
    </row>
    <row r="19">
      <c r="A19" s="93" t="str">
        <f>HYPERLINK("https://youtu.be/iLgUDezDMbU","1. BENCH PRESS")</f>
        <v>1. BENCH PRESS</v>
      </c>
      <c r="B19" s="53"/>
      <c r="C19" s="53"/>
      <c r="D19" s="53"/>
      <c r="E19" s="53"/>
      <c r="F19" s="54"/>
      <c r="G19" s="722"/>
      <c r="H19" s="93" t="str">
        <f>HYPERLINK("https://youtu.be/75e_H9Vq_Lw","1. MACHINE PRESS")</f>
        <v>1. MACHINE PRESS</v>
      </c>
      <c r="I19" s="53"/>
      <c r="J19" s="53"/>
      <c r="K19" s="53"/>
      <c r="L19" s="53"/>
      <c r="M19" s="54"/>
    </row>
    <row r="20">
      <c r="A20" s="226" t="s">
        <v>119</v>
      </c>
      <c r="B20" s="691" t="str">
        <f>'WEEK 18'!B17</f>
        <v/>
      </c>
      <c r="C20" s="13"/>
      <c r="D20" s="13"/>
      <c r="E20" s="13"/>
      <c r="F20" s="57"/>
      <c r="G20" s="722"/>
      <c r="H20" s="226" t="s">
        <v>119</v>
      </c>
      <c r="I20" s="691" t="str">
        <f>IF('WEEK 17'!P34="",'WEEK 17'!P21,'WEEK 17'!P34)</f>
        <v/>
      </c>
      <c r="J20" s="13"/>
      <c r="K20" s="13"/>
      <c r="L20" s="13"/>
      <c r="M20" s="57"/>
    </row>
    <row r="21">
      <c r="A21" s="96" t="s">
        <v>50</v>
      </c>
      <c r="B21" s="97" t="s">
        <v>51</v>
      </c>
      <c r="C21" s="97" t="s">
        <v>52</v>
      </c>
      <c r="D21" s="97" t="s">
        <v>53</v>
      </c>
      <c r="E21" s="341" t="s">
        <v>54</v>
      </c>
      <c r="F21" s="235" t="s">
        <v>55</v>
      </c>
      <c r="G21" s="723"/>
      <c r="H21" s="96" t="s">
        <v>50</v>
      </c>
      <c r="I21" s="97" t="s">
        <v>51</v>
      </c>
      <c r="J21" s="97" t="s">
        <v>52</v>
      </c>
      <c r="K21" s="97" t="s">
        <v>53</v>
      </c>
      <c r="L21" s="341" t="s">
        <v>54</v>
      </c>
      <c r="M21" s="235" t="s">
        <v>55</v>
      </c>
    </row>
    <row r="22">
      <c r="A22" s="725">
        <v>1.0</v>
      </c>
      <c r="B22" s="1473">
        <f>IF( 'WEEK 19'!B20&lt;125,45, mround('WEEK 19'!B20*0.9*0.35,5))</f>
        <v>0</v>
      </c>
      <c r="C22" s="344">
        <v>6.0</v>
      </c>
      <c r="D22" s="343" t="s">
        <v>150</v>
      </c>
      <c r="E22" s="66" t="str">
        <f>IF('WEEK 19'!B22='WEEK 16'!B22,'WEEK 16'!F22,"")</f>
        <v/>
      </c>
      <c r="F22" s="85"/>
      <c r="G22" s="423"/>
      <c r="H22" s="725">
        <v>1.0</v>
      </c>
      <c r="I22" s="344">
        <f>mround('WEEK 19'!I20*0.9*0.35,5)</f>
        <v>0</v>
      </c>
      <c r="J22" s="344">
        <v>6.0</v>
      </c>
      <c r="K22" s="343" t="s">
        <v>150</v>
      </c>
      <c r="L22" s="66" t="str">
        <f>IF('WEEK 19'!I22='WEEK 16'!I22,'WEEK 16'!M22,"")</f>
        <v/>
      </c>
      <c r="M22" s="85"/>
    </row>
    <row r="23">
      <c r="A23" s="725">
        <v>2.0</v>
      </c>
      <c r="B23" s="1474">
        <f>IF( 'WEEK 19'!B20&lt;70,MROUND('WEEK 19'!B20*0.78,5),MROUND('WEEK 19'!B20*0.9*0.72,5))</f>
        <v>0</v>
      </c>
      <c r="C23" s="344">
        <v>1.0</v>
      </c>
      <c r="D23" s="343" t="s">
        <v>151</v>
      </c>
      <c r="E23" s="66" t="str">
        <f>IF('WEEK 19'!B23='WEEK 16'!B23,'WEEK 16'!F23,"")</f>
        <v/>
      </c>
      <c r="F23" s="85"/>
      <c r="G23" s="423"/>
      <c r="H23" s="725">
        <v>2.0</v>
      </c>
      <c r="I23" s="344">
        <f>mround('WEEK 19'!I20*0.9*0.72,5)</f>
        <v>0</v>
      </c>
      <c r="J23" s="344">
        <v>1.0</v>
      </c>
      <c r="K23" s="343" t="s">
        <v>151</v>
      </c>
      <c r="L23" s="66" t="str">
        <f>IF('WEEK 19'!I23='WEEK 16'!I23,'WEEK 16'!M23,"")</f>
        <v/>
      </c>
      <c r="M23" s="85"/>
    </row>
    <row r="24">
      <c r="A24" s="725">
        <v>3.0</v>
      </c>
      <c r="B24" s="344">
        <f>mround('WEEK 13'!B20*0.9*0.9,5)</f>
        <v>0</v>
      </c>
      <c r="C24" s="344">
        <v>1.0</v>
      </c>
      <c r="D24" s="343" t="s">
        <v>57</v>
      </c>
      <c r="E24" s="66" t="str">
        <f>IF('WEEK 19'!B24='WEEK 16'!B24,'WEEK 16'!F24,"")</f>
        <v/>
      </c>
      <c r="F24" s="85"/>
      <c r="G24" s="423"/>
      <c r="H24" s="725">
        <v>3.0</v>
      </c>
      <c r="I24" s="344">
        <f>mround('WEEK 19'!I20*0.9*0.9,5)</f>
        <v>0</v>
      </c>
      <c r="J24" s="344">
        <v>1.0</v>
      </c>
      <c r="K24" s="343" t="s">
        <v>57</v>
      </c>
      <c r="L24" s="66" t="str">
        <f>IF('WEEK 19'!I24='WEEK 16'!I24,'WEEK 16'!M24,"")</f>
        <v/>
      </c>
      <c r="M24" s="85"/>
    </row>
    <row r="25">
      <c r="A25" s="730" t="s">
        <v>152</v>
      </c>
      <c r="B25" s="13"/>
      <c r="C25" s="13"/>
      <c r="D25" s="13"/>
      <c r="E25" s="13"/>
      <c r="F25" s="57"/>
      <c r="G25" s="731" t="s">
        <v>123</v>
      </c>
      <c r="H25" s="730" t="s">
        <v>152</v>
      </c>
      <c r="I25" s="13"/>
      <c r="J25" s="13"/>
      <c r="K25" s="13"/>
      <c r="L25" s="13"/>
      <c r="M25" s="57"/>
    </row>
    <row r="26">
      <c r="A26" s="96" t="s">
        <v>50</v>
      </c>
      <c r="B26" s="97" t="s">
        <v>51</v>
      </c>
      <c r="C26" s="97" t="s">
        <v>52</v>
      </c>
      <c r="D26" s="97" t="s">
        <v>53</v>
      </c>
      <c r="E26" s="341" t="s">
        <v>54</v>
      </c>
      <c r="F26" s="235" t="s">
        <v>55</v>
      </c>
      <c r="H26" s="96" t="s">
        <v>50</v>
      </c>
      <c r="I26" s="97" t="s">
        <v>51</v>
      </c>
      <c r="J26" s="97" t="s">
        <v>52</v>
      </c>
      <c r="K26" s="97" t="s">
        <v>53</v>
      </c>
      <c r="L26" s="341" t="s">
        <v>54</v>
      </c>
      <c r="M26" s="235" t="s">
        <v>55</v>
      </c>
    </row>
    <row r="27">
      <c r="A27" s="342">
        <v>1.0</v>
      </c>
      <c r="B27" s="348">
        <f>mround('WEEK 19'!B20*1*0.9,5)</f>
        <v>0</v>
      </c>
      <c r="C27" s="437" t="s">
        <v>65</v>
      </c>
      <c r="D27" s="343" t="s">
        <v>122</v>
      </c>
      <c r="E27" s="66" t="str">
        <f>IF('WEEK 19'!B27='WEEK 16'!B27,'WEEK 16'!F27,"")</f>
        <v/>
      </c>
      <c r="F27" s="85"/>
      <c r="G27" s="423"/>
      <c r="H27" s="725">
        <v>1.0</v>
      </c>
      <c r="I27" s="348">
        <f>mround('WEEK 19'!I20*1*0.9,5)</f>
        <v>0</v>
      </c>
      <c r="J27" s="437" t="s">
        <v>65</v>
      </c>
      <c r="K27" s="343" t="s">
        <v>122</v>
      </c>
      <c r="L27" s="66" t="str">
        <f>IF('WEEK 19'!I27='WEEK 16'!I27,'WEEK 16'!M27,"")</f>
        <v/>
      </c>
      <c r="M27" s="85"/>
    </row>
    <row r="28">
      <c r="A28" s="725">
        <v>2.0</v>
      </c>
      <c r="B28" s="348">
        <f>IF('WEEK 19'!F27&lt;3,MROUND('WEEK 19'!B27*0.75,5),IF('WEEK 19'!F27&lt;6,MROUND('WEEK 19'!B27*0.85,5),mround('WEEK 19'!B27*0.9,5)))</f>
        <v>0</v>
      </c>
      <c r="C28" s="437" t="s">
        <v>65</v>
      </c>
      <c r="D28" s="343" t="s">
        <v>122</v>
      </c>
      <c r="E28" s="66" t="str">
        <f>IF('WEEK 19'!B28='WEEK 16'!B28,'WEEK 16'!F28,"")</f>
        <v/>
      </c>
      <c r="F28" s="85"/>
      <c r="G28" s="722"/>
      <c r="H28" s="725">
        <v>2.0</v>
      </c>
      <c r="I28" s="348">
        <f>IF('WEEK 19'!M27&lt;3,MROUND('WEEK 19'!I27*0.75,5),IF('WEEK 19'!M27&lt;6,MROUND('WEEK 19'!I27*0.85,5),mround('WEEK 19'!I27*0.9,5)))</f>
        <v>0</v>
      </c>
      <c r="J28" s="437" t="s">
        <v>65</v>
      </c>
      <c r="K28" s="343" t="s">
        <v>122</v>
      </c>
      <c r="L28" s="66" t="str">
        <f>IF('WEEK 19'!I28='WEEK 16'!I28,'WEEK 16'!M28,"")</f>
        <v/>
      </c>
      <c r="M28" s="85"/>
    </row>
    <row r="29">
      <c r="A29" s="485">
        <v>3.0</v>
      </c>
      <c r="B29" s="732">
        <f>IF('WEEK 19'!F28&lt;3,MROUND('WEEK 19'!B28*0.75,5),IF('WEEK 19'!F28&lt;6,MROUND('WEEK 19'!B28*0.85,5),mround('WEEK 19'!B28*0.9,5)))</f>
        <v>0</v>
      </c>
      <c r="C29" s="733" t="s">
        <v>65</v>
      </c>
      <c r="D29" s="486" t="s">
        <v>122</v>
      </c>
      <c r="E29" s="66" t="str">
        <f>IF('WEEK 19'!B29='WEEK 16'!B29,'WEEK 16'!F29,"")</f>
        <v/>
      </c>
      <c r="F29" s="85"/>
      <c r="G29" s="722"/>
      <c r="H29" s="735">
        <v>3.0</v>
      </c>
      <c r="I29" s="736">
        <f>IF('WEEK 19'!M28&lt;3,MROUND('WEEK 19'!I28*0.75,5),IF('WEEK 19'!M28&lt;6,MROUND('WEEK 19'!I28*0.85,5),mround('WEEK 19'!I28*0.9,5)))</f>
        <v>0</v>
      </c>
      <c r="J29" s="737" t="s">
        <v>65</v>
      </c>
      <c r="K29" s="738" t="s">
        <v>122</v>
      </c>
      <c r="L29" s="66" t="str">
        <f>IF('WEEK 19'!I29='WEEK 16'!I29,'WEEK 16'!M29,"")</f>
        <v/>
      </c>
      <c r="M29" s="330"/>
    </row>
    <row r="30">
      <c r="A30" s="740"/>
      <c r="B30" s="740"/>
      <c r="C30" s="740"/>
      <c r="D30" s="740"/>
      <c r="E30" s="741"/>
      <c r="F30" s="419"/>
      <c r="G30" s="722"/>
      <c r="H30" s="742"/>
      <c r="I30" s="742"/>
      <c r="J30" s="742"/>
      <c r="K30" s="742"/>
      <c r="L30" s="742"/>
      <c r="M30" s="742"/>
    </row>
    <row r="31">
      <c r="A31" s="740"/>
      <c r="B31" s="740"/>
      <c r="C31" s="740"/>
      <c r="D31" s="740"/>
      <c r="E31" s="741"/>
      <c r="F31" s="419"/>
      <c r="G31" s="419"/>
      <c r="H31" s="657"/>
      <c r="I31" s="657"/>
      <c r="J31" s="657"/>
      <c r="K31" s="657"/>
      <c r="L31" s="657"/>
      <c r="M31" s="657"/>
    </row>
    <row r="32">
      <c r="A32" s="440" t="str">
        <f>HYPERLINK("https://www.youtube.com/watch?v=mGv8D2DGyNQ","2. DB CHEST FLY")</f>
        <v>2. DB CHEST FLY</v>
      </c>
      <c r="B32" s="53"/>
      <c r="C32" s="53"/>
      <c r="D32" s="53"/>
      <c r="E32" s="53"/>
      <c r="F32" s="54"/>
      <c r="G32" s="419"/>
      <c r="H32" s="504" t="str">
        <f>HYPERLINK("https://www.youtube.com/watch?v=THb0dhfIu1k","2. MACHINE CHEST FLY")</f>
        <v>2. MACHINE CHEST FLY</v>
      </c>
      <c r="I32" s="53"/>
      <c r="J32" s="53"/>
      <c r="K32" s="53"/>
      <c r="L32" s="53"/>
      <c r="M32" s="54"/>
    </row>
    <row r="33">
      <c r="A33" s="226" t="s">
        <v>228</v>
      </c>
      <c r="B33" s="691" t="str">
        <f>if('WEEK 17'!I34="",'WEEK 17'!I21,'WEEK 17'!I34)</f>
        <v/>
      </c>
      <c r="C33" s="13"/>
      <c r="D33" s="13"/>
      <c r="E33" s="13"/>
      <c r="F33" s="57"/>
      <c r="G33" s="419"/>
      <c r="H33" s="226" t="s">
        <v>228</v>
      </c>
      <c r="I33" s="548" t="str">
        <f>'WEEK 19'!B33</f>
        <v/>
      </c>
      <c r="J33" s="13"/>
      <c r="K33" s="13"/>
      <c r="L33" s="13"/>
      <c r="M33" s="57"/>
    </row>
    <row r="34">
      <c r="A34" s="743" t="s">
        <v>50</v>
      </c>
      <c r="B34" s="744" t="s">
        <v>51</v>
      </c>
      <c r="C34" s="744" t="s">
        <v>52</v>
      </c>
      <c r="D34" s="744" t="s">
        <v>53</v>
      </c>
      <c r="E34" s="745" t="s">
        <v>54</v>
      </c>
      <c r="F34" s="746" t="s">
        <v>55</v>
      </c>
      <c r="G34" s="724"/>
      <c r="H34" s="96" t="s">
        <v>50</v>
      </c>
      <c r="I34" s="97" t="s">
        <v>51</v>
      </c>
      <c r="J34" s="97" t="s">
        <v>52</v>
      </c>
      <c r="K34" s="97" t="s">
        <v>53</v>
      </c>
      <c r="L34" s="341" t="s">
        <v>54</v>
      </c>
      <c r="M34" s="235" t="s">
        <v>55</v>
      </c>
    </row>
    <row r="35">
      <c r="A35" s="725">
        <v>1.0</v>
      </c>
      <c r="B35" s="254">
        <f>mround('WEEK 19'!B33*0.29,2.5)</f>
        <v>0</v>
      </c>
      <c r="C35" s="344">
        <v>15.0</v>
      </c>
      <c r="D35" s="343" t="s">
        <v>57</v>
      </c>
      <c r="E35" s="66" t="str">
        <f>IF('WEEK 19'!B35='WEEK 17'!B40,'WEEK 17'!F40,"")</f>
        <v/>
      </c>
      <c r="F35" s="85"/>
      <c r="G35" s="728"/>
      <c r="H35" s="240">
        <v>1.0</v>
      </c>
      <c r="I35" s="254">
        <f>mround('WEEK 19'!I33*2*0.75,10)</f>
        <v>0</v>
      </c>
      <c r="J35" s="241">
        <v>15.0</v>
      </c>
      <c r="K35" s="83" t="s">
        <v>57</v>
      </c>
      <c r="L35" s="66" t="str">
        <f>IF('WEEK 19'!I35='WEEK 17'!I40,'WEEK 17'!M40,"")</f>
        <v/>
      </c>
      <c r="M35" s="85"/>
    </row>
    <row r="36">
      <c r="A36" s="747">
        <v>2.0</v>
      </c>
      <c r="B36" s="662">
        <f>mround('WEEK 19'!B33*0.29,2.5)</f>
        <v>0</v>
      </c>
      <c r="C36" s="813">
        <v>15.0</v>
      </c>
      <c r="D36" s="486" t="s">
        <v>57</v>
      </c>
      <c r="E36" s="66" t="str">
        <f>IF('WEEK 19'!B36='WEEK 17'!B41,'WEEK 17'!F41,"")</f>
        <v/>
      </c>
      <c r="F36" s="85"/>
      <c r="G36" s="728"/>
      <c r="H36" s="661">
        <v>2.0</v>
      </c>
      <c r="I36" s="662">
        <f>mround('WEEK 19'!I33*2*0.75,10)</f>
        <v>0</v>
      </c>
      <c r="J36" s="662">
        <v>15.0</v>
      </c>
      <c r="K36" s="88" t="s">
        <v>57</v>
      </c>
      <c r="L36" s="66" t="str">
        <f>IF('WEEK 19'!I36='WEEK 17'!I41,'WEEK 17'!M41,"")</f>
        <v/>
      </c>
      <c r="M36" s="85"/>
    </row>
    <row r="39">
      <c r="A39" s="73" t="str">
        <f>HYPERLINK("https://youtu.be/hMUUvL3FlkE","3. MACHINE HIGH ROW")</f>
        <v>3. MACHINE HIGH ROW</v>
      </c>
      <c r="B39" s="53"/>
      <c r="C39" s="53"/>
      <c r="D39" s="53"/>
      <c r="E39" s="53"/>
      <c r="F39" s="54"/>
    </row>
    <row r="40">
      <c r="A40" s="226" t="s">
        <v>119</v>
      </c>
      <c r="B40" s="227" t="str">
        <f>'WEEK 18'!B43</f>
        <v/>
      </c>
      <c r="C40" s="20"/>
      <c r="D40" s="20"/>
      <c r="E40" s="20"/>
      <c r="F40" s="95"/>
    </row>
    <row r="41">
      <c r="A41" s="231" t="s">
        <v>50</v>
      </c>
      <c r="B41" s="232" t="s">
        <v>51</v>
      </c>
      <c r="C41" s="232" t="s">
        <v>52</v>
      </c>
      <c r="D41" s="232" t="s">
        <v>53</v>
      </c>
      <c r="E41" s="233" t="s">
        <v>54</v>
      </c>
      <c r="F41" s="61" t="s">
        <v>55</v>
      </c>
    </row>
    <row r="42">
      <c r="A42" s="236">
        <v>1.0</v>
      </c>
      <c r="B42" s="237">
        <f>mround('WEEK 19'!B40*0.35,5)</f>
        <v>0</v>
      </c>
      <c r="C42" s="237">
        <v>6.0</v>
      </c>
      <c r="D42" s="238" t="s">
        <v>120</v>
      </c>
      <c r="E42" s="89" t="str">
        <f>IF('WEEK 15'!B47='WEEK 19'!B42,'WEEK 15'!F47,"")</f>
        <v/>
      </c>
      <c r="F42" s="67"/>
    </row>
    <row r="43">
      <c r="A43" s="236">
        <v>2.0</v>
      </c>
      <c r="B43" s="237">
        <f>mround('WEEK 19'!B40*0.65,5)</f>
        <v>0</v>
      </c>
      <c r="C43" s="238">
        <v>3.0</v>
      </c>
      <c r="D43" s="238" t="s">
        <v>121</v>
      </c>
      <c r="E43" s="89" t="str">
        <f>IF('WEEK 15'!B48='WEEK 19'!B43,'WEEK 15'!F48,"")</f>
        <v/>
      </c>
      <c r="F43" s="67"/>
    </row>
    <row r="44">
      <c r="A44" s="242">
        <v>3.0</v>
      </c>
      <c r="B44" s="237">
        <f>mround('WEEK 19'!B40*0.9,5)</f>
        <v>0</v>
      </c>
      <c r="C44" s="63">
        <v>2.0</v>
      </c>
      <c r="D44" s="238" t="s">
        <v>121</v>
      </c>
      <c r="E44" s="89" t="str">
        <f>IF('WEEK 15'!B49='WEEK 19'!B44,'WEEK 15'!F49,"")</f>
        <v/>
      </c>
      <c r="F44" s="67"/>
    </row>
    <row r="45">
      <c r="A45" s="243">
        <v>4.0</v>
      </c>
      <c r="B45" s="237" t="str">
        <f>'WEEK 19'!B40</f>
        <v/>
      </c>
      <c r="C45" s="257">
        <v>3.0</v>
      </c>
      <c r="D45" s="238" t="s">
        <v>122</v>
      </c>
      <c r="E45" s="89" t="str">
        <f>IF('WEEK 15'!B50='WEEK 19'!B45,'WEEK 15'!F50,"")</f>
        <v/>
      </c>
      <c r="F45" s="67"/>
    </row>
    <row r="46">
      <c r="A46" s="246" t="str">
        <f>IF('WEEK 19'!F45&lt;3,"PROCEED TO DOWN SETS","NEW 4 REP MAX ATTEMPT")</f>
        <v>PROCEED TO DOWN SETS</v>
      </c>
      <c r="B46" s="20"/>
      <c r="C46" s="20"/>
      <c r="D46" s="20"/>
      <c r="E46" s="20"/>
      <c r="F46" s="95"/>
    </row>
    <row r="47">
      <c r="A47" s="249" t="str">
        <f>if('WEEK 19'!F45&lt;=2,"",5)</f>
        <v/>
      </c>
      <c r="B47" s="175" t="str">
        <f>IF('WEEK 19'!F45&lt;=2,"",'WEEK 19'!B45+5)</f>
        <v/>
      </c>
      <c r="C47" s="238" t="str">
        <f>if('WEEK 19'!F45&lt;=2,"",4)</f>
        <v/>
      </c>
      <c r="D47" s="238" t="str">
        <f>if('WEEK 19'!F45&lt;=2,"","1-5 MIN")</f>
        <v/>
      </c>
      <c r="E47" s="89" t="str">
        <f>IF('WEEK 15'!B52='WEEK 19'!B47,'WEEK 15'!F52,"")</f>
        <v/>
      </c>
      <c r="F47" s="67"/>
    </row>
    <row r="48">
      <c r="A48" s="259" t="str">
        <f>IF('WEEK 19'!F47&lt;4,"","6")</f>
        <v/>
      </c>
      <c r="B48" s="237" t="str">
        <f>IF('WEEK 19'!F47&lt;4,"",'WEEK 19'!B47+5)</f>
        <v/>
      </c>
      <c r="C48" s="257" t="str">
        <f>IF('WEEK 19'!F47&lt;4,"","4")</f>
        <v/>
      </c>
      <c r="D48" s="257" t="str">
        <f>IF('WEEK 19'!F47&lt;4,"","1-5 MIN")</f>
        <v/>
      </c>
      <c r="E48" s="89" t="str">
        <f>IF('WEEK 15'!B53='WEEK 19'!B48,'WEEK 15'!F53,"")</f>
        <v/>
      </c>
      <c r="F48" s="67"/>
    </row>
    <row r="49">
      <c r="A49" s="246" t="s">
        <v>133</v>
      </c>
      <c r="B49" s="20"/>
      <c r="C49" s="20"/>
      <c r="D49" s="20"/>
      <c r="E49" s="20"/>
      <c r="F49" s="95"/>
    </row>
    <row r="50">
      <c r="A50" s="264">
        <f>IF('WEEK 19'!F47&gt;=1,7,IF('WEEK 19'!F45&lt;1,5,6))</f>
        <v>5</v>
      </c>
      <c r="B50" s="265">
        <f>MROUND('WEEK 19'!B52*0.8,5)</f>
        <v>0</v>
      </c>
      <c r="C50" s="266" t="s">
        <v>65</v>
      </c>
      <c r="D50" s="267" t="s">
        <v>127</v>
      </c>
      <c r="E50" s="89" t="str">
        <f>IF('WEEK 15'!B55='WEEK 19'!B50,'WEEK 15'!F55,"")</f>
        <v/>
      </c>
      <c r="F50" s="67"/>
    </row>
    <row r="51">
      <c r="A51" s="243">
        <f>IF('WEEK 19'!F47&gt;=1,8,IF('WEEK 19'!F45&lt;1,6,7))</f>
        <v>6</v>
      </c>
      <c r="B51" s="237">
        <f>mround('WEEK 19'!B52*0.7,5)</f>
        <v>0</v>
      </c>
      <c r="C51" s="245" t="s">
        <v>65</v>
      </c>
      <c r="D51" s="65" t="s">
        <v>127</v>
      </c>
      <c r="E51" s="89" t="str">
        <f>IF('WEEK 15'!B56='WEEK 19'!B51,'WEEK 15'!F56,"")</f>
        <v/>
      </c>
      <c r="F51" s="271"/>
    </row>
    <row r="52">
      <c r="A52" s="228" t="s">
        <v>124</v>
      </c>
      <c r="B52" s="549" t="str">
        <f>IF(OR(ISBLANK('WEEK 19'!F45),ISBLANK('WEEK 19'!F44),ISBLANK('WEEK 19'!F43)),"",IF('WEEK 19'!F48&gt;=4,'WEEK 19'!B48,IF('WEEK 19'!F47&gt;=1,'WEEK 19'!B47,IF('WEEK 19'!F45&lt;3,'WEEK 19'!B45-5,'WEEK 19'!B45))))</f>
        <v/>
      </c>
      <c r="F52" s="28"/>
    </row>
    <row r="53">
      <c r="A53" s="750"/>
      <c r="B53" s="750"/>
      <c r="C53" s="750"/>
      <c r="D53" s="750"/>
      <c r="E53" s="750"/>
      <c r="F53" s="750"/>
    </row>
    <row r="54">
      <c r="A54" s="751" t="str">
        <f>HYPERLINK("https://www.youtube.com/watch?v=PnaDzYh2axA","4. LAT PULL DOWN")</f>
        <v>4. LAT PULL DOWN</v>
      </c>
      <c r="B54" s="13"/>
      <c r="C54" s="13"/>
      <c r="D54" s="13"/>
      <c r="E54" s="13"/>
      <c r="F54" s="57"/>
    </row>
    <row r="55">
      <c r="A55" s="226" t="s">
        <v>119</v>
      </c>
      <c r="B55" s="691" t="str">
        <f>'WEEK 18'!B51</f>
        <v/>
      </c>
      <c r="C55" s="13"/>
      <c r="D55" s="13"/>
      <c r="E55" s="13"/>
      <c r="F55" s="57"/>
    </row>
    <row r="56">
      <c r="A56" s="96" t="s">
        <v>50</v>
      </c>
      <c r="B56" s="97" t="s">
        <v>51</v>
      </c>
      <c r="C56" s="97" t="s">
        <v>52</v>
      </c>
      <c r="D56" s="97" t="s">
        <v>53</v>
      </c>
      <c r="E56" s="341" t="s">
        <v>54</v>
      </c>
      <c r="F56" s="235" t="s">
        <v>55</v>
      </c>
    </row>
    <row r="57">
      <c r="A57" s="725">
        <v>1.0</v>
      </c>
      <c r="B57" s="344">
        <f> mround('WEEK 19'!B55*0.85,5)</f>
        <v>0</v>
      </c>
      <c r="C57" s="437" t="s">
        <v>65</v>
      </c>
      <c r="D57" s="343" t="s">
        <v>57</v>
      </c>
      <c r="E57" s="89" t="str">
        <f>IF('WEEK 18'!B53='WEEK 19'!B57,'WEEK 18'!F53,"")</f>
        <v/>
      </c>
      <c r="F57" s="85"/>
    </row>
    <row r="58">
      <c r="A58" s="725">
        <v>2.0</v>
      </c>
      <c r="B58" s="344">
        <f>IF('WEEK 19'!F57&lt;6,MROUND('WEEK 19'!B55*0.75,5),IF('WEEK 19'!F57&lt;=11,MROUND('WEEK 19'!B55*0.85,5),'WEEK 19'!B57))</f>
        <v>0</v>
      </c>
      <c r="C58" s="437" t="s">
        <v>65</v>
      </c>
      <c r="D58" s="343" t="s">
        <v>57</v>
      </c>
      <c r="E58" s="89" t="str">
        <f>IF('WEEK 18'!B54='WEEK 19'!B58,'WEEK 18'!F54,"")</f>
        <v/>
      </c>
      <c r="F58" s="85"/>
    </row>
    <row r="59">
      <c r="A59" s="753">
        <v>3.0</v>
      </c>
      <c r="B59" s="754">
        <f>IF('WEEK 19'!F58&lt;6,MROUND('WEEK 19'!B55*0.75,5),IF('WEEK 19'!F58&lt;=11,MROUND('WEEK 19'!B55*0.85,5),'WEEK 19'!B58))</f>
        <v>0</v>
      </c>
      <c r="C59" s="733" t="s">
        <v>65</v>
      </c>
      <c r="D59" s="486" t="s">
        <v>57</v>
      </c>
      <c r="E59" s="89" t="str">
        <f>IF('WEEK 18'!B55='WEEK 19'!B59,'WEEK 18'!F55,"")</f>
        <v/>
      </c>
      <c r="F59" s="85"/>
    </row>
    <row r="60">
      <c r="A60" s="756"/>
      <c r="B60" s="756"/>
      <c r="C60" s="756"/>
      <c r="D60" s="756"/>
      <c r="E60" s="757"/>
      <c r="F60" s="419"/>
    </row>
    <row r="61">
      <c r="A61" s="756"/>
      <c r="B61" s="756"/>
      <c r="C61" s="756"/>
      <c r="D61" s="756"/>
      <c r="E61" s="757"/>
      <c r="F61" s="419"/>
    </row>
    <row r="62">
      <c r="A62" s="73" t="str">
        <f>HYPERLINK("https://youtu.be/9YH1YvZbiY0","5. LOW ROW ")</f>
        <v>5. LOW ROW </v>
      </c>
      <c r="B62" s="53"/>
      <c r="C62" s="53"/>
      <c r="D62" s="53"/>
      <c r="E62" s="53"/>
      <c r="F62" s="54"/>
    </row>
    <row r="63">
      <c r="A63" s="226" t="s">
        <v>119</v>
      </c>
      <c r="B63" s="691">
        <f>'WEEK 18'!B40</f>
        <v>270</v>
      </c>
      <c r="C63" s="13"/>
      <c r="D63" s="13"/>
      <c r="E63" s="13"/>
      <c r="F63" s="57"/>
    </row>
    <row r="64">
      <c r="A64" s="96" t="s">
        <v>50</v>
      </c>
      <c r="B64" s="97" t="s">
        <v>51</v>
      </c>
      <c r="C64" s="97" t="s">
        <v>52</v>
      </c>
      <c r="D64" s="97" t="s">
        <v>53</v>
      </c>
      <c r="E64" s="341" t="s">
        <v>54</v>
      </c>
      <c r="F64" s="235" t="s">
        <v>55</v>
      </c>
    </row>
    <row r="65">
      <c r="A65" s="725">
        <v>1.0</v>
      </c>
      <c r="B65" s="344">
        <f>mround('WEEK 19'!B63*0.8,5)</f>
        <v>215</v>
      </c>
      <c r="C65" s="437" t="s">
        <v>65</v>
      </c>
      <c r="D65" s="343" t="s">
        <v>127</v>
      </c>
      <c r="E65" s="89" t="str">
        <f>IF('WEEK 17'!B63='WEEK 19'!B65,'WEEK 17'!F63,"")</f>
        <v/>
      </c>
      <c r="F65" s="85"/>
    </row>
    <row r="66">
      <c r="A66" s="725">
        <v>2.0</v>
      </c>
      <c r="B66" s="344">
        <f>IF('WEEK 19'!F65&lt;6,MROUND('WEEK 19'!B63*0.75,5),IF('WEEK 19'!F65&lt;=11,MROUND('WEEK 19'!B63*0.75,5),'WEEK 19'!B65))</f>
        <v>205</v>
      </c>
      <c r="C66" s="437" t="s">
        <v>65</v>
      </c>
      <c r="D66" s="343" t="s">
        <v>127</v>
      </c>
      <c r="E66" s="89" t="str">
        <f>IF('WEEK 17'!B64='WEEK 19'!B66,'WEEK 17'!F64,"")</f>
        <v/>
      </c>
      <c r="F66" s="85"/>
    </row>
    <row r="67">
      <c r="A67" s="753">
        <v>3.0</v>
      </c>
      <c r="B67" s="754">
        <f>IF('WEEK 19'!F66&lt;6,MROUND('WEEK 19'!B66*0.8,5),IF('WEEK 19'!F66&lt;=11,MROUND('WEEK 19'!B63*0.75,5),'WEEK 19'!B66))</f>
        <v>165</v>
      </c>
      <c r="C67" s="733" t="s">
        <v>65</v>
      </c>
      <c r="D67" s="486" t="s">
        <v>127</v>
      </c>
      <c r="E67" s="89" t="str">
        <f>IF('WEEK 17'!B65='WEEK 19'!B67,'WEEK 17'!F65,"")</f>
        <v/>
      </c>
      <c r="F67" s="85"/>
    </row>
    <row r="68">
      <c r="A68" s="758"/>
      <c r="B68" s="736"/>
      <c r="C68" s="759"/>
      <c r="D68" s="760"/>
      <c r="E68" s="761"/>
      <c r="F68" s="762"/>
    </row>
    <row r="69">
      <c r="A69" s="310" t="str">
        <f>HYPERLINK("https://docs.google.com/a/fitnessresults.com/forms/d/e/1FAIpQLSd7MoczESe8Yjv6BKpmwAZGn9Aiymrs9-UdgfYIUpbr9t5NXg/viewform?usp=pp_url&amp;entry.93370101","CLICK TO COMPLETE WORKOUT")</f>
        <v>CLICK TO COMPLETE WORKOUT</v>
      </c>
      <c r="B69" s="36"/>
      <c r="C69" s="36"/>
      <c r="D69" s="36"/>
      <c r="E69" s="36"/>
      <c r="F69" s="37"/>
    </row>
    <row r="70">
      <c r="A70" s="763"/>
      <c r="B70" s="764"/>
      <c r="C70" s="764"/>
      <c r="D70" s="764"/>
      <c r="E70" s="764"/>
      <c r="F70" s="764"/>
    </row>
    <row r="71">
      <c r="A71" s="50" t="s">
        <v>128</v>
      </c>
      <c r="B71" s="36"/>
      <c r="C71" s="36"/>
      <c r="D71" s="36"/>
      <c r="E71" s="36"/>
      <c r="F71" s="37"/>
    </row>
    <row r="74">
      <c r="A74" s="1355" t="str">
        <f>HYPERLINK("https://www.youtube.com/watch?v=5UOeRbRoFOI","1. MACHINE SQUAT")</f>
        <v>1. MACHINE SQUAT</v>
      </c>
      <c r="B74" s="53"/>
      <c r="C74" s="53"/>
      <c r="D74" s="53"/>
      <c r="E74" s="53"/>
      <c r="F74" s="54"/>
    </row>
    <row r="75">
      <c r="A75" s="1262" t="s">
        <v>268</v>
      </c>
      <c r="B75" s="1035">
        <f>'WEEK 18'!B75</f>
        <v>100</v>
      </c>
      <c r="C75" s="13"/>
      <c r="D75" s="13"/>
      <c r="E75" s="13"/>
      <c r="F75" s="57"/>
    </row>
    <row r="76">
      <c r="A76" s="962" t="s">
        <v>50</v>
      </c>
      <c r="B76" s="1203" t="s">
        <v>51</v>
      </c>
      <c r="C76" s="963" t="s">
        <v>52</v>
      </c>
      <c r="D76" s="963" t="s">
        <v>53</v>
      </c>
      <c r="E76" s="1073" t="s">
        <v>54</v>
      </c>
      <c r="F76" s="1006" t="s">
        <v>55</v>
      </c>
    </row>
    <row r="77">
      <c r="A77" s="1307">
        <v>1.0</v>
      </c>
      <c r="B77" s="1015">
        <f>mround('WEEK 19'!B75*0.5,5)</f>
        <v>50</v>
      </c>
      <c r="C77" s="1234">
        <v>30.0</v>
      </c>
      <c r="D77" s="1234" t="s">
        <v>122</v>
      </c>
      <c r="E77" s="1077"/>
      <c r="F77" s="1131"/>
    </row>
    <row r="78">
      <c r="A78" s="967">
        <v>2.0</v>
      </c>
      <c r="B78" s="1015">
        <f>mround('WEEK 19'!B75*0.5,5)</f>
        <v>50</v>
      </c>
      <c r="C78" s="1067">
        <v>30.0</v>
      </c>
      <c r="D78" s="1234" t="s">
        <v>122</v>
      </c>
      <c r="E78" s="1077"/>
      <c r="F78" s="1131"/>
    </row>
    <row r="79">
      <c r="A79" s="1308">
        <v>3.0</v>
      </c>
      <c r="B79" s="1205">
        <f>mround('WEEK 19'!B75*0.5,5)</f>
        <v>50</v>
      </c>
      <c r="C79" s="1239">
        <v>30.0</v>
      </c>
      <c r="D79" s="1234" t="s">
        <v>122</v>
      </c>
      <c r="E79" s="1077"/>
      <c r="F79" s="1131"/>
    </row>
    <row r="80">
      <c r="A80" s="1308" t="str">
        <f>IF(OR(ISBLANK('WEEK 19'!F77),ISBLANK('WEEK 19'!F78),ISBLANK('WEEK 19'!F79),),"",IF('WEEK 19'!F79&lt;10,"",4))</f>
        <v/>
      </c>
      <c r="B80" s="1028" t="str">
        <f>IF(OR(ISBLANK('WEEK 19'!F77),ISBLANK('WEEK 19'!F78),ISBLANK('WEEK 19'!F79),),"",IF('WEEK 19'!F79&lt;10,"",IF('WEEK 19'!F79&gt;=10,B79,)))</f>
        <v/>
      </c>
      <c r="C80" s="1205" t="str">
        <f>IF(OR(ISBLANK('WEEK 19'!F77),ISBLANK('WEEK 19'!F78),ISBLANK('WEEK 19'!F79)),"",IF('WEEK 19'!F79&lt;10,"",30))</f>
        <v/>
      </c>
      <c r="D80" s="1234" t="str">
        <f>IF(OR(ISBLANK('WEEK 19'!F77),ISBLANK('WEEK 19'!F78),ISBLANK('WEEK 19'!F79)),"",IF('WEEK 19'!F79&gt;=10,"1-5 MIN",""))</f>
        <v/>
      </c>
      <c r="E80" s="1211"/>
      <c r="F80" s="1309"/>
    </row>
    <row r="81">
      <c r="A81" s="1308" t="str">
        <f>IF(OR(ISBLANK('WEEK 19'!F77),ISBLANK('WEEK 19'!F78),ISBLANK('WEEK 19'!F79),ISBLANK('WEEK 19'!F80)), "",IF('WEEK 19'!F80&gt;=10,"5",""))</f>
        <v/>
      </c>
      <c r="B81" s="1205" t="str">
        <f>IF(OR(ISBLANK('WEEK 19'!F77),ISBLANK('WEEK 19'!F78),ISBLANK('WEEK 19'!F79),ISBLANK('WEEK 19'!F80)),"",IF('WEEK 19'!F80&lt;10,"",IF('WEEK 19'!F80&gt;=10,B80,)))</f>
        <v/>
      </c>
      <c r="C81" s="1234" t="str">
        <f>IF(OR(ISBLANK('WEEK 19'!F77),ISBLANK('WEEK 19'!F78),ISBLANK('WEEK 19'!F79),ISBLANK('WEEK 19'!F80)), "",IF('WEEK 19'!F80&gt;=10,"30",""))</f>
        <v/>
      </c>
      <c r="D81" s="1234" t="str">
        <f>IF(OR(ISBLANK('WEEK 19'!F77),ISBLANK('WEEK 19'!F78),ISBLANK('WEEK 19'!F79),ISBLANK('WEEK 19'!F80)), "",IF('WEEK 19'!F80&gt;=10,"1-5 MIN",""))</f>
        <v/>
      </c>
      <c r="E81" s="1010"/>
      <c r="F81" s="1131"/>
    </row>
    <row r="82">
      <c r="A82" s="1310" t="str">
        <f>IF(OR(ISBLANK('WEEK 19'!F77),ISBLANK('WEEK 19'!F78),ISBLANK('WEEK 19'!F79),ISBLANK('WEEK 19'!F80),ISBLANK('WEEK 19'!F81)), "",IF('WEEK 19'!F81&lt;10,"","6"))</f>
        <v/>
      </c>
      <c r="B82" s="1205" t="str">
        <f>IF(OR(ISBLANK('WEEK 19'!F77),ISBLANK('WEEK 19'!F78),ISBLANK('WEEK 19'!F79),ISBLANK('WEEK 19'!F80),ISBLANK('WEEK 19'!F81)), "",IF('WEEK 19'!F81&lt;10,"",IF('WEEK 19'!F81&gt;=10,B81,)))</f>
        <v/>
      </c>
      <c r="C82" s="1311" t="str">
        <f>IF(OR(ISBLANK('WEEK 19'!F77),ISBLANK('WEEK 19'!F78),ISBLANK('WEEK 19'!F79),ISBLANK('WEEK 19'!F80),ISBLANK('WEEK 19'!F81)), "",IF('WEEK 19'!F81&gt;=10,"30",""))</f>
        <v/>
      </c>
      <c r="D82" s="1234" t="str">
        <f>IF(OR(ISBLANK('WEEK 19'!F77),ISBLANK('WEEK 19'!F78),ISBLANK('WEEK 19'!F79),ISBLANK('WEEK 19'!F80),ISBLANK('WEEK 19'!F81)), "",IF('WEEK 19'!F81&gt;=10,"1-5 MIN",""))</f>
        <v/>
      </c>
      <c r="E82" s="1010"/>
      <c r="F82" s="1017"/>
    </row>
    <row r="83">
      <c r="A83" s="1310" t="str">
        <f>IF(OR(ISBLANK('WEEK 19'!F77),ISBLANK('WEEK 19'!F78),ISBLANK('WEEK 19'!F79),ISBLANK('WEEK 19'!F80),ISBLANK('WEEK 19'!F81),ISBLANK('WEEK 19'!F82)), "",IF('WEEK 19'!F82&lt;10,"",7))</f>
        <v/>
      </c>
      <c r="B83" s="1205" t="str">
        <f>IF(OR(ISBLANK('WEEK 19'!F77),ISBLANK('WEEK 19'!F78),ISBLANK('WEEK 19'!F79),ISBLANK('WEEK 19'!F80),ISBLANK('WEEK 19'!F81),ISBLANK('WEEK 19'!F82)), "",IF('WEEK 19'!F82&lt;10,"",IF('WEEK 19'!F82&gt;=10,B82,)))</f>
        <v/>
      </c>
      <c r="C83" s="1311" t="str">
        <f>IF(OR(ISBLANK('WEEK 19'!F77),ISBLANK('WEEK 19'!F78),ISBLANK('WEEK 19'!F79),ISBLANK('WEEK 19'!F80),ISBLANK('WEEK 19'!F81),ISBLANK('WEEK 19'!F82)), "",IF('WEEK 19'!F82&gt;=10,C82,""))</f>
        <v/>
      </c>
      <c r="D83" s="1234" t="str">
        <f>IF(OR(ISBLANK('WEEK 19'!F77),ISBLANK('WEEK 19'!F78),ISBLANK('WEEK 19'!F79),ISBLANK('WEEK 19'!F80),ISBLANK('WEEK 19'!F81),ISBLANK('WEEK 19'!F82)), "",IF('WEEK 19'!F82&gt;=10,D82,""))</f>
        <v/>
      </c>
      <c r="E83" s="1010"/>
      <c r="F83" s="1085"/>
    </row>
    <row r="84">
      <c r="A84" s="1310" t="str">
        <f>IF(OR(ISBLANK('WEEK 19'!F77),ISBLANK('WEEK 19'!F78),ISBLANK('WEEK 19'!F79),ISBLANK('WEEK 19'!F80),ISBLANK('WEEK 19'!F81),ISBLANK('WEEK 19'!F82),ISBLANK('WEEK 19'!F83)), "",IF('WEEK 19'!F83&lt;10,"","8"))</f>
        <v/>
      </c>
      <c r="B84" s="1205" t="str">
        <f>IF('WEEK 19'!F83&lt;10,"",IF('WEEK 19'!F83&gt;=10,B83,))</f>
        <v/>
      </c>
      <c r="C84" s="1311" t="str">
        <f>IF(OR(ISBLANK('WEEK 19'!F77),ISBLANK('WEEK 19'!F78),ISBLANK('WEEK 19'!F79),ISBLANK('WEEK 19'!F80),ISBLANK('WEEK 19'!F81),ISBLANK('WEEK 19'!F82),ISBLANK('WEEK 19'!F83)), "",IF('WEEK 19'!F83&gt;=10,"30",""))</f>
        <v/>
      </c>
      <c r="D84" s="1234" t="str">
        <f>IF(OR(ISBLANK('WEEK 19'!F77),ISBLANK('WEEK 19'!F78),ISBLANK('WEEK 19'!F79),ISBLANK('WEEK 19'!F80),ISBLANK('WEEK 19'!F81),ISBLANK('WEEK 19'!F82),ISBLANK('WEEK 19'!F83)), "",IF('WEEK 19'!F83&gt;=10,"1-5 MIN",""))</f>
        <v/>
      </c>
      <c r="E84" s="1312"/>
      <c r="F84" s="1313"/>
    </row>
    <row r="85">
      <c r="A85" s="1310" t="str">
        <f>IF(OR(ISBLANK('WEEK 19'!F77),ISBLANK('WEEK 19'!F78),ISBLANK('WEEK 19'!F79),ISBLANK('WEEK 19'!F80),ISBLANK('WEEK 19'!F81),ISBLANK('WEEK 19'!F82),ISBLANK('WEEK 19'!F83),ISBLANK('WEEK 19'!F84)), "",IF('WEEK 19'!F84&lt;10,"","9"))</f>
        <v/>
      </c>
      <c r="B85" s="1205" t="str">
        <f>IF('WEEK 19'!F84&lt;10,"",IF('WEEK 19'!F84&gt;=10,B84,))</f>
        <v/>
      </c>
      <c r="C85" s="1311" t="str">
        <f>IF(OR(ISBLANK('WEEK 19'!F77),ISBLANK('WEEK 19'!F78),ISBLANK('WEEK 19'!F79),ISBLANK('WEEK 19'!F80),ISBLANK('WEEK 19'!F81),ISBLANK('WEEK 19'!F82),ISBLANK('WEEK 19'!F83),ISBLANK('WEEK 19'!F84)), "",IF('WEEK 19'!F84&gt;=10,"30",""))</f>
        <v/>
      </c>
      <c r="D85" s="1234" t="str">
        <f>IF(OR(ISBLANK('WEEK 19'!F77),ISBLANK('WEEK 19'!F78),ISBLANK('WEEK 19'!F79),ISBLANK('WEEK 19'!F80),ISBLANK('WEEK 19'!F81),ISBLANK('WEEK 19'!F82),ISBLANK('WEEK 19'!F83),ISBLANK('WEEK 19'!F84)), "",IF('WEEK 19'!F84&gt;=10,"1-5 MIN",""))</f>
        <v/>
      </c>
      <c r="E85" s="1010"/>
      <c r="F85" s="1017"/>
    </row>
    <row r="86">
      <c r="A86" s="1326" t="str">
        <f>IF(OR(ISBLANK('WEEK 19'!F77),ISBLANK('WEEK 19'!F78),ISBLANK('WEEK 19'!F79),ISBLANK('WEEK 19'!F80),ISBLANK('WEEK 19'!F81),ISBLANK('WEEK 19'!F82),ISBLANK('WEEK 19'!F83),ISBLANK('WEEK 19'!F84),ISBLANK('WEEK 19'!F85)), "",IF('WEEK 19'!F85&lt;10,"","10"))</f>
        <v/>
      </c>
      <c r="B86" s="1327" t="str">
        <f>IF('WEEK 19'!F85&lt;10,"",IF('WEEK 19'!F85&gt;=10,B85,))</f>
        <v/>
      </c>
      <c r="C86" s="1328" t="str">
        <f>IF(OR(ISBLANK('WEEK 19'!F77),ISBLANK('WEEK 19'!F78),ISBLANK('WEEK 19'!F79),ISBLANK('WEEK 19'!F80),ISBLANK('WEEK 19'!F81),ISBLANK('WEEK 19'!F82),ISBLANK('WEEK 19'!F83),ISBLANK('WEEK 19'!F84),ISBLANK('WEEK 19'!F85)), "",IF('WEEK 19'!F85&gt;=10,"30",""))</f>
        <v/>
      </c>
      <c r="D86" s="1329" t="str">
        <f>IF(OR(ISBLANK('WEEK 19'!F77),ISBLANK('WEEK 19'!F78),ISBLANK('WEEK 19'!F79),ISBLANK('WEEK 19'!F80),ISBLANK('WEEK 19'!F81),ISBLANK('WEEK 19'!F82),ISBLANK('WEEK 19'!F83),ISBLANK('WEEK 19'!F84),ISBLANK('WEEK 19'!F85)), "",IF('WEEK 19'!F85&gt;=10,"1-5 MIN",""))</f>
        <v/>
      </c>
      <c r="E86" s="1065" t="str">
        <f>IF(OR(ISBLANK('WEEK 19'!F79),ISBLANK('WEEK 19'!F78),ISBLANK('WEEK 19'!F77)), "",)</f>
        <v/>
      </c>
      <c r="F86" s="1085"/>
    </row>
    <row r="87">
      <c r="A87" s="1330"/>
      <c r="B87" s="1330"/>
      <c r="C87" s="1330"/>
      <c r="D87" s="1330"/>
      <c r="E87" s="1330"/>
      <c r="F87" s="1330"/>
    </row>
    <row r="89">
      <c r="A89" s="310" t="str">
        <f>HYPERLINK("https://docs.google.com/a/fitnessresults.com/forms/d/e/1FAIpQLSd7MoczESe8Yjv6BKpmwAZGn9Aiymrs9-UdgfYIUpbr9t5NXg/viewform?usp=pp_url&amp;entry.93370101","CLICK TO COMPLETE WORKOUT")</f>
        <v>CLICK TO COMPLETE WORKOUT</v>
      </c>
      <c r="B89" s="36"/>
      <c r="C89" s="36"/>
      <c r="D89" s="36"/>
      <c r="E89" s="36"/>
      <c r="F89" s="37"/>
    </row>
    <row r="92">
      <c r="A92" s="1120" t="s">
        <v>62</v>
      </c>
      <c r="B92" s="36"/>
      <c r="C92" s="36"/>
      <c r="D92" s="36"/>
      <c r="E92" s="36"/>
      <c r="F92" s="37"/>
    </row>
    <row r="95">
      <c r="A95" s="44" t="s">
        <v>131</v>
      </c>
      <c r="B95" s="36"/>
      <c r="C95" s="36"/>
      <c r="D95" s="36"/>
      <c r="E95" s="36"/>
      <c r="F95" s="37"/>
      <c r="H95" s="44" t="s">
        <v>131</v>
      </c>
      <c r="I95" s="36"/>
      <c r="J95" s="36"/>
      <c r="K95" s="36"/>
      <c r="L95" s="36"/>
      <c r="M95" s="37"/>
    </row>
    <row r="96">
      <c r="A96" s="112" t="str">
        <f>HYPERLINK("https://www.youtube.com/watch?v=rmxOkkd2hUk","1. SHOULDER PRESS")</f>
        <v>1. SHOULDER PRESS</v>
      </c>
      <c r="B96" s="13"/>
      <c r="C96" s="13"/>
      <c r="D96" s="13"/>
      <c r="E96" s="13"/>
      <c r="F96" s="57"/>
      <c r="H96" s="1139" t="str">
        <f>HYPERLINK("https://www.youtube.com/watch?v=-cSBPE-y38M","1. MACHINE SHOULDER PRESS")</f>
        <v>1. MACHINE SHOULDER PRESS</v>
      </c>
      <c r="I96" s="13"/>
      <c r="J96" s="13"/>
      <c r="K96" s="13"/>
      <c r="L96" s="13"/>
      <c r="M96" s="57"/>
    </row>
    <row r="97">
      <c r="A97" s="226" t="s">
        <v>119</v>
      </c>
      <c r="B97" s="227" t="str">
        <f>'WEEK 18'!B99</f>
        <v/>
      </c>
      <c r="C97" s="20"/>
      <c r="D97" s="20"/>
      <c r="E97" s="20"/>
      <c r="F97" s="95"/>
      <c r="H97" s="226" t="s">
        <v>119</v>
      </c>
      <c r="I97" s="227">
        <f>'WEEK 18'!I99</f>
        <v>105</v>
      </c>
      <c r="J97" s="20"/>
      <c r="K97" s="20"/>
      <c r="L97" s="20"/>
      <c r="M97" s="95"/>
    </row>
    <row r="98">
      <c r="A98" s="231" t="s">
        <v>50</v>
      </c>
      <c r="B98" s="232" t="s">
        <v>51</v>
      </c>
      <c r="C98" s="232" t="s">
        <v>52</v>
      </c>
      <c r="D98" s="232" t="s">
        <v>53</v>
      </c>
      <c r="E98" s="233" t="s">
        <v>54</v>
      </c>
      <c r="F98" s="61" t="s">
        <v>55</v>
      </c>
      <c r="H98" s="231" t="s">
        <v>50</v>
      </c>
      <c r="I98" s="232" t="s">
        <v>51</v>
      </c>
      <c r="J98" s="232" t="s">
        <v>52</v>
      </c>
      <c r="K98" s="232" t="s">
        <v>53</v>
      </c>
      <c r="L98" s="233" t="s">
        <v>54</v>
      </c>
      <c r="M98" s="61" t="s">
        <v>55</v>
      </c>
    </row>
    <row r="99">
      <c r="A99" s="1140">
        <v>1.0</v>
      </c>
      <c r="B99" s="237">
        <f>mround('WEEK 19'!B97*0.35,5)</f>
        <v>0</v>
      </c>
      <c r="C99" s="237">
        <v>6.0</v>
      </c>
      <c r="D99" s="238" t="s">
        <v>120</v>
      </c>
      <c r="E99" s="84" t="str">
        <f>IF('WEEK 16'!B104='WEEK 19'!B99,'WEEK 16'!F104,"")</f>
        <v/>
      </c>
      <c r="F99" s="67"/>
      <c r="H99" s="1140">
        <v>1.0</v>
      </c>
      <c r="I99" s="237">
        <f>mround('WEEK 19'!I97*0.35,5)</f>
        <v>35</v>
      </c>
      <c r="J99" s="237">
        <v>6.0</v>
      </c>
      <c r="K99" s="238" t="s">
        <v>120</v>
      </c>
      <c r="L99" s="84" t="str">
        <f>IF('WEEK 16'!I104='WEEK 19'!I99,'WEEK 16'!M104,"")</f>
        <v/>
      </c>
      <c r="M99" s="67"/>
    </row>
    <row r="100">
      <c r="A100" s="236">
        <v>2.0</v>
      </c>
      <c r="B100" s="237">
        <f>mround('WEEK 19'!B97*0.65,5)</f>
        <v>0</v>
      </c>
      <c r="C100" s="237">
        <v>1.0</v>
      </c>
      <c r="D100" s="238" t="s">
        <v>121</v>
      </c>
      <c r="E100" s="84" t="str">
        <f>IF('WEEK 16'!B105='WEEK 19'!B100,'WEEK 16'!F105,"")</f>
        <v/>
      </c>
      <c r="F100" s="67"/>
      <c r="H100" s="236">
        <v>2.0</v>
      </c>
      <c r="I100" s="237">
        <f>mround('WEEK 19'!I97*0.65,5)</f>
        <v>70</v>
      </c>
      <c r="J100" s="237">
        <v>1.0</v>
      </c>
      <c r="K100" s="238" t="s">
        <v>121</v>
      </c>
      <c r="L100" s="84" t="str">
        <f>IF('WEEK 16'!I105='WEEK 19'!I100,'WEEK 16'!M105,"")</f>
        <v/>
      </c>
      <c r="M100" s="67"/>
    </row>
    <row r="101">
      <c r="A101" s="242">
        <v>3.0</v>
      </c>
      <c r="B101" s="237">
        <f>mround('WEEK 20'!B93*0.9,5)</f>
        <v>10</v>
      </c>
      <c r="C101" s="82">
        <v>1.0</v>
      </c>
      <c r="D101" s="238" t="s">
        <v>121</v>
      </c>
      <c r="E101" s="84" t="str">
        <f>IF('WEEK 16'!B106='WEEK 19'!B101,'WEEK 16'!F106,"")</f>
        <v/>
      </c>
      <c r="F101" s="67"/>
      <c r="H101" s="242">
        <v>3.0</v>
      </c>
      <c r="I101" s="237">
        <f>mround('WEEK 19'!I97*0.9,5)</f>
        <v>95</v>
      </c>
      <c r="J101" s="82">
        <v>1.0</v>
      </c>
      <c r="K101" s="238" t="s">
        <v>121</v>
      </c>
      <c r="L101" s="84" t="str">
        <f>IF('WEEK 16'!I106='WEEK 19'!I101,'WEEK 16'!M106,"")</f>
        <v/>
      </c>
      <c r="M101" s="67"/>
    </row>
    <row r="102">
      <c r="A102" s="243">
        <v>4.0</v>
      </c>
      <c r="B102" s="237" t="str">
        <f>'WEEK 19'!B97</f>
        <v/>
      </c>
      <c r="C102" s="257">
        <v>1.0</v>
      </c>
      <c r="D102" s="238" t="s">
        <v>122</v>
      </c>
      <c r="E102" s="84" t="str">
        <f>IF('WEEK 16'!B107='WEEK 19'!B102,'WEEK 16'!F107,"")</f>
        <v/>
      </c>
      <c r="F102" s="67"/>
      <c r="H102" s="243">
        <v>4.0</v>
      </c>
      <c r="I102" s="237">
        <f>'WEEK 19'!I97</f>
        <v>105</v>
      </c>
      <c r="J102" s="257">
        <v>1.0</v>
      </c>
      <c r="K102" s="238" t="s">
        <v>122</v>
      </c>
      <c r="L102" s="84" t="str">
        <f>IF('WEEK 16'!I107='WEEK 19'!I102,'WEEK 16'!M107,"")</f>
        <v/>
      </c>
      <c r="M102" s="67"/>
    </row>
    <row r="103">
      <c r="A103" s="246" t="str">
        <f>IF('WEEK 19'!F102&lt;1,"PROCEED TO DOWN SETS","NEW 4 REP MAX ATTEMPT")</f>
        <v>PROCEED TO DOWN SETS</v>
      </c>
      <c r="B103" s="20"/>
      <c r="C103" s="20"/>
      <c r="D103" s="20"/>
      <c r="E103" s="20"/>
      <c r="F103" s="95"/>
      <c r="H103" s="246" t="str">
        <f>IF('WEEK 19'!M102&lt;1,"PROCEED TO DOWN SETS","NEW 4 REP MAX ATTEMPT")</f>
        <v>PROCEED TO DOWN SETS</v>
      </c>
      <c r="I103" s="20"/>
      <c r="J103" s="20"/>
      <c r="K103" s="20"/>
      <c r="L103" s="20"/>
      <c r="M103" s="95"/>
    </row>
    <row r="104">
      <c r="A104" s="249" t="str">
        <f>IF(OR(ISBLANK('WEEK 19'!F102),ISBLANK('WEEK 19'!F101),ISBLANK('WEEK 19'!F100)), "",if('WEEK 19'!F102&lt;1,"",5))</f>
        <v/>
      </c>
      <c r="B104" s="175" t="str">
        <f>IF('WEEK 19'!F102&lt;1,"",'WEEK 19'!B102+5)</f>
        <v/>
      </c>
      <c r="C104" s="238" t="str">
        <f>if('WEEK 19'!F102&lt;1,"",4)</f>
        <v/>
      </c>
      <c r="D104" s="238" t="str">
        <f>if('WEEK 19'!F102&lt;1,"","1-5 MIN")</f>
        <v/>
      </c>
      <c r="E104" s="84" t="str">
        <f>IF('WEEK 16'!B109='WEEK 19'!B104,'WEEK 16'!F109,"")</f>
        <v/>
      </c>
      <c r="F104" s="67"/>
      <c r="H104" s="249" t="str">
        <f>IF(OR(ISBLANK('WEEK 19'!M102),ISBLANK('WEEK 19'!M101),ISBLANK('WEEK 19'!M100)), "",if('WEEK 19'!M102&lt;1,"",5))</f>
        <v/>
      </c>
      <c r="I104" s="175" t="str">
        <f>IF('WEEK 19'!M102&lt;1,"",'WEEK 19'!I102+5)</f>
        <v/>
      </c>
      <c r="J104" s="238" t="str">
        <f>if('WEEK 19'!M102&lt;1,"",4)</f>
        <v/>
      </c>
      <c r="K104" s="238" t="str">
        <f>if('WEEK 19'!M102&lt;1,"","1-5 MIN")</f>
        <v/>
      </c>
      <c r="L104" s="84" t="str">
        <f>IF('WEEK 16'!I109='WEEK 19'!I104,'WEEK 16'!M109,"")</f>
        <v/>
      </c>
      <c r="M104" s="67"/>
    </row>
    <row r="105">
      <c r="A105" s="259" t="str">
        <f>IF(OR(ISBLANK('WEEK 19'!F101),ISBLANK('WEEK 19'!F102),ISBLANK('WEEK 19'!F104)), "",IF('WEEK 19'!F104&lt;4,"","6"))</f>
        <v/>
      </c>
      <c r="B105" s="237" t="str">
        <f>IF(OR(ISBLANK('WEEK 19'!F101),ISBLANK('WEEK 19'!F102),ISBLANK('WEEK 19'!F104)), "",IF('WEEK 19'!F104&lt;4,"",'WEEK 19'!B104+5))</f>
        <v/>
      </c>
      <c r="C105" s="257" t="str">
        <f>IF(OR(ISBLANK('WEEK 19'!F101),ISBLANK('WEEK 19'!F102),ISBLANK('WEEK 19'!F104)), "",IF('WEEK 19'!F104&lt;4,"","4"))</f>
        <v/>
      </c>
      <c r="D105" s="257" t="str">
        <f>IF(OR(ISBLANK('WEEK 19'!F101),ISBLANK('WEEK 19'!F102),ISBLANK('WEEK 19'!F104)), "",IF('WEEK 19'!F104&lt;4,"","1-5 MIN"))</f>
        <v/>
      </c>
      <c r="E105" s="84" t="str">
        <f>IF('WEEK 16'!B110='WEEK 19'!B105,'WEEK 16'!F110,"")</f>
        <v/>
      </c>
      <c r="F105" s="67"/>
      <c r="H105" s="259" t="str">
        <f>IF(OR(ISBLANK('WEEK 19'!M101),ISBLANK('WEEK 19'!M102),ISBLANK('WEEK 19'!M104)), "",IF('WEEK 19'!M104&lt;4,"","6"))</f>
        <v/>
      </c>
      <c r="I105" s="237" t="str">
        <f>IF(OR(ISBLANK('WEEK 19'!M101),ISBLANK('WEEK 19'!M102),ISBLANK('WEEK 19'!M104)), "",IF('WEEK 19'!M104&lt;4,"",'WEEK 19'!I104+5))</f>
        <v/>
      </c>
      <c r="J105" s="257" t="str">
        <f>IF(OR(ISBLANK('WEEK 19'!M101),ISBLANK('WEEK 19'!M102),ISBLANK('WEEK 19'!M104)), "",IF('WEEK 19'!M104&lt;4,"","4"))</f>
        <v/>
      </c>
      <c r="K105" s="257" t="str">
        <f>IF(OR(ISBLANK('WEEK 19'!M101),ISBLANK('WEEK 19'!M102),ISBLANK('WEEK 19'!M104)), "",IF('WEEK 19'!M104&lt;4,"","1-5 MIN"))</f>
        <v/>
      </c>
      <c r="L105" s="84" t="str">
        <f>IF('WEEK 16'!I110='WEEK 19'!I105,'WEEK 16'!M110,"")</f>
        <v/>
      </c>
      <c r="M105" s="67"/>
    </row>
    <row r="106">
      <c r="A106" s="246" t="s">
        <v>133</v>
      </c>
      <c r="B106" s="20"/>
      <c r="C106" s="20"/>
      <c r="D106" s="20"/>
      <c r="E106" s="20"/>
      <c r="F106" s="95"/>
      <c r="H106" s="246" t="s">
        <v>133</v>
      </c>
      <c r="I106" s="20"/>
      <c r="J106" s="20"/>
      <c r="K106" s="20"/>
      <c r="L106" s="20"/>
      <c r="M106" s="95"/>
    </row>
    <row r="107">
      <c r="A107" s="264" t="str">
        <f>IF(OR(ISBLANK('WEEK 19'!F102),ISBLANK('WEEK 19'!F101),ISBLANK('WEEK 19'!F100)),"",IF((AND(A104="",A105="")),5,IF((AND(A104&gt;1,A105="")),6,7)))</f>
        <v/>
      </c>
      <c r="B107" s="265">
        <f>MROUND('WEEK 19'!B109*0.9,5)</f>
        <v>0</v>
      </c>
      <c r="C107" s="266" t="s">
        <v>65</v>
      </c>
      <c r="D107" s="267" t="s">
        <v>127</v>
      </c>
      <c r="E107" s="84" t="str">
        <f>IF('WEEK 16'!B112='WEEK 19'!B107,'WEEK 16'!F112,"")</f>
        <v/>
      </c>
      <c r="F107" s="67"/>
      <c r="H107" s="264" t="str">
        <f>IF(OR(ISBLANK('WEEK 19'!M102),ISBLANK('WEEK 19'!M101),ISBLANK('WEEK 19'!M100)),"",IF((AND(H104="",H105="")),5,IF((AND(H104&gt;1,H105="")),6,7)))</f>
        <v/>
      </c>
      <c r="I107" s="265">
        <f>MROUND('WEEK 19'!I109*0.9,5)</f>
        <v>0</v>
      </c>
      <c r="J107" s="266" t="s">
        <v>65</v>
      </c>
      <c r="K107" s="267" t="s">
        <v>127</v>
      </c>
      <c r="L107" s="84" t="str">
        <f>IF('WEEK 16'!I112='WEEK 19'!I107,'WEEK 16'!M112,"")</f>
        <v/>
      </c>
      <c r="M107" s="67"/>
    </row>
    <row r="108">
      <c r="A108" s="243" t="str">
        <f>IF(OR(ISBLANK('WEEK 19'!F102),ISBLANK('WEEK 19'!F101),ISBLANK('WEEK 19'!F100)),"",IF((AND(A104="",A105="")),6,IF((AND(A104&gt;1,A105="")),7,8)))</f>
        <v/>
      </c>
      <c r="B108" s="237">
        <f>mround('WEEK 19'!B109*0.78,5)</f>
        <v>0</v>
      </c>
      <c r="C108" s="245" t="s">
        <v>65</v>
      </c>
      <c r="D108" s="65" t="s">
        <v>127</v>
      </c>
      <c r="E108" s="84" t="str">
        <f>IF('WEEK 16'!B113='WEEK 19'!B108,'WEEK 16'!F113,"")</f>
        <v/>
      </c>
      <c r="F108" s="271"/>
      <c r="H108" s="243" t="str">
        <f>IF(OR(ISBLANK('WEEK 19'!M102),ISBLANK('WEEK 19'!M101),ISBLANK('WEEK 19'!M100)),"",IF((AND(H104="",H105="")),6,IF((AND(H104&gt;1,H105="")),7,8)))</f>
        <v/>
      </c>
      <c r="I108" s="237">
        <f>mround('WEEK 19'!I109*0.78,5)</f>
        <v>0</v>
      </c>
      <c r="J108" s="245" t="s">
        <v>65</v>
      </c>
      <c r="K108" s="65" t="s">
        <v>127</v>
      </c>
      <c r="L108" s="84" t="str">
        <f>IF('WEEK 16'!I113='WEEK 19'!I108,'WEEK 16'!M113,"")</f>
        <v/>
      </c>
      <c r="M108" s="271"/>
    </row>
    <row r="109">
      <c r="A109" s="272" t="s">
        <v>124</v>
      </c>
      <c r="B109" s="273" t="str">
        <f>IF(OR(ISBLANK('WEEK 19'!F102),ISBLANK('WEEK 19'!F101),ISBLANK('WEEK 19'!F100)),"",IF('WEEK 19'!F105&gt;=1,'WEEK 19'!B105,IF('WEEK 19'!F104&gt;=4,'WEEK 19'!B104,IF('WEEK 19'!F102&lt;1,'WEEK 19'!B102-5,'WEEK 19'!B102))))</f>
        <v/>
      </c>
      <c r="C109" s="11"/>
      <c r="D109" s="11"/>
      <c r="E109" s="11"/>
      <c r="F109" s="46"/>
      <c r="H109" s="272" t="s">
        <v>124</v>
      </c>
      <c r="I109" s="273" t="str">
        <f>IF(OR(ISBLANK('WEEK 19'!M102),ISBLANK('WEEK 19'!M101),ISBLANK('WEEK 19'!M100)),"",IF('WEEK 19'!M105&gt;=1,'WEEK 19'!I105,IF('WEEK 19'!M104&gt;=4,'WEEK 19'!I104,IF('WEEK 19'!M102&lt;1,'WEEK 19'!I102-5,'WEEK 19'!I102))))</f>
        <v/>
      </c>
      <c r="J109" s="11"/>
      <c r="K109" s="11"/>
      <c r="L109" s="11"/>
      <c r="M109" s="46"/>
    </row>
    <row r="112">
      <c r="A112" s="361" t="str">
        <f>HYPERLINK("https://www.youtube.com/watch?v=gxWVN6F_uxo","2.  CABLE HIGH PULLEY ROW")</f>
        <v>2.  CABLE HIGH PULLEY ROW</v>
      </c>
      <c r="B112" s="53"/>
      <c r="C112" s="53"/>
      <c r="D112" s="53"/>
      <c r="E112" s="53"/>
      <c r="F112" s="54"/>
    </row>
    <row r="113">
      <c r="A113" s="226" t="s">
        <v>119</v>
      </c>
      <c r="B113" s="76">
        <f>IF('WEEK 13'!B130='WEEK 13'!B132,'WEEK 13'!B130+5,IF('WEEK 13'!F130&lt;=15,MROUND('WEEK 13'!B128*0.95,5),'WEEK 13'!B130))</f>
        <v>85</v>
      </c>
      <c r="C113" s="13"/>
      <c r="D113" s="13"/>
      <c r="E113" s="13"/>
      <c r="F113" s="57"/>
    </row>
    <row r="114">
      <c r="A114" s="77" t="s">
        <v>50</v>
      </c>
      <c r="B114" s="78" t="s">
        <v>51</v>
      </c>
      <c r="C114" s="78" t="s">
        <v>52</v>
      </c>
      <c r="D114" s="78" t="s">
        <v>53</v>
      </c>
      <c r="E114" s="80" t="s">
        <v>54</v>
      </c>
      <c r="F114" s="235" t="s">
        <v>55</v>
      </c>
    </row>
    <row r="115">
      <c r="A115" s="81">
        <v>1.0</v>
      </c>
      <c r="B115" s="82">
        <f> mround('WEEK 19'!B113,5)</f>
        <v>85</v>
      </c>
      <c r="C115" s="65" t="s">
        <v>61</v>
      </c>
      <c r="D115" s="83" t="s">
        <v>274</v>
      </c>
      <c r="E115" s="84" t="str">
        <f>IF('WEEK 13'!B130='WEEK 19'!B115,'WEEK 13'!F130,"")</f>
        <v/>
      </c>
      <c r="F115" s="85"/>
    </row>
    <row r="116">
      <c r="A116" s="81">
        <v>2.0</v>
      </c>
      <c r="B116" s="82">
        <f>if('WEEK 19'!F115&lt;10,mround(B115*0.8,5),IF('WEEK 19'!F115&lt;=14,MROUND('WEEK 19'!B115*0.95,5),'WEEK 19'!B115))</f>
        <v>70</v>
      </c>
      <c r="C116" s="65" t="s">
        <v>61</v>
      </c>
      <c r="D116" s="83" t="s">
        <v>274</v>
      </c>
      <c r="E116" s="84">
        <f>IF('WEEK 13'!B131='WEEK 19'!B116,'WEEK 13'!F131,"")</f>
        <v>10</v>
      </c>
      <c r="F116" s="85"/>
    </row>
    <row r="117">
      <c r="A117" s="86">
        <v>3.0</v>
      </c>
      <c r="B117" s="87">
        <f>if('WEEK 19'!F116&lt;8,mround('WEEK 19'!B116*0.8,5),IF('WEEK 19'!F116&lt;=14,MROUND('WEEK 19'!B116*0.95,5),'WEEK 19'!B116))</f>
        <v>55</v>
      </c>
      <c r="C117" s="65" t="s">
        <v>61</v>
      </c>
      <c r="D117" s="83" t="s">
        <v>274</v>
      </c>
      <c r="E117" s="84" t="str">
        <f>IF('WEEK 13'!B132='WEEK 19'!B117,'WEEK 13'!F132,"")</f>
        <v/>
      </c>
      <c r="F117" s="85"/>
    </row>
    <row r="119">
      <c r="A119" s="513" t="str">
        <f>HYPERLINK("https://youtu.be/QUNZvtb6mnY","3. DUMBBELL SIDE LATERAL RAISE")</f>
        <v>3. DUMBBELL SIDE LATERAL RAISE</v>
      </c>
      <c r="B119" s="53"/>
      <c r="C119" s="53"/>
      <c r="D119" s="53"/>
      <c r="E119" s="53"/>
      <c r="F119" s="54"/>
    </row>
    <row r="120">
      <c r="A120" s="226" t="s">
        <v>134</v>
      </c>
      <c r="B120" s="90" t="str">
        <f>IF('WEEK 19'!B109="",B97,'WEEK 19'!B109)</f>
        <v/>
      </c>
      <c r="C120" s="13"/>
      <c r="D120" s="13"/>
      <c r="E120" s="13"/>
      <c r="F120" s="57"/>
    </row>
    <row r="121">
      <c r="A121" s="376" t="s">
        <v>50</v>
      </c>
      <c r="B121" s="79" t="s">
        <v>51</v>
      </c>
      <c r="C121" s="79" t="s">
        <v>52</v>
      </c>
      <c r="D121" s="79" t="s">
        <v>53</v>
      </c>
      <c r="E121" s="98" t="s">
        <v>54</v>
      </c>
      <c r="F121" s="377" t="s">
        <v>55</v>
      </c>
    </row>
    <row r="122">
      <c r="A122" s="81">
        <v>1.0</v>
      </c>
      <c r="B122" s="82">
        <f>MROUND('WEEK 19'!B120*0.2,2.5)</f>
        <v>0</v>
      </c>
      <c r="C122" s="65" t="s">
        <v>61</v>
      </c>
      <c r="D122" s="83" t="s">
        <v>274</v>
      </c>
      <c r="E122" s="84">
        <f>IF('WEEK 18'!B119='WEEK 19'!B122,'WEEK 18'!F119,"")</f>
        <v>15</v>
      </c>
      <c r="F122" s="796"/>
    </row>
    <row r="123">
      <c r="A123" s="81">
        <v>2.0</v>
      </c>
      <c r="B123" s="82">
        <f>if('WEEK 19'!F122&lt;12,mround('WEEK 19'!B122*0.8,2.5),'WEEK 19'!B122)</f>
        <v>0</v>
      </c>
      <c r="C123" s="65" t="s">
        <v>61</v>
      </c>
      <c r="D123" s="83" t="s">
        <v>274</v>
      </c>
      <c r="E123" s="84">
        <f>IF('WEEK 18'!B120='WEEK 19'!B123,'WEEK 18'!F120,"")</f>
        <v>15</v>
      </c>
      <c r="F123" s="330"/>
    </row>
    <row r="124">
      <c r="A124" s="86">
        <v>3.0</v>
      </c>
      <c r="B124" s="87">
        <f>if('WEEK 19'!F123&lt;12,mround('WEEK 19'!B123*0.8,2.5),'WEEK 19'!B123)</f>
        <v>0</v>
      </c>
      <c r="C124" s="65" t="s">
        <v>61</v>
      </c>
      <c r="D124" s="83" t="s">
        <v>274</v>
      </c>
      <c r="E124" s="84" t="str">
        <f>IF('WEEK 18'!B121='WEEK 19'!B124,'WEEK 18'!F121,"")</f>
        <v/>
      </c>
      <c r="F124" s="85"/>
    </row>
    <row r="125">
      <c r="G125" s="697"/>
      <c r="H125" s="697"/>
      <c r="I125" s="697"/>
      <c r="J125" s="697"/>
      <c r="K125" s="697"/>
      <c r="L125" s="697"/>
      <c r="M125" s="697"/>
    </row>
    <row r="126">
      <c r="G126" s="697"/>
      <c r="H126" s="697"/>
      <c r="I126" s="697"/>
      <c r="J126" s="697"/>
      <c r="K126" s="697"/>
      <c r="L126" s="697"/>
      <c r="M126" s="697"/>
    </row>
    <row r="127">
      <c r="A127" s="73" t="str">
        <f>HYPERLINK("https://youtu.be/Yke__29qVfo","4. TRICEP PUSH DOWNS")</f>
        <v>4. TRICEP PUSH DOWNS</v>
      </c>
      <c r="B127" s="53"/>
      <c r="C127" s="53"/>
      <c r="D127" s="53"/>
      <c r="E127" s="53"/>
      <c r="F127" s="54"/>
      <c r="G127" s="1322"/>
      <c r="H127" s="621"/>
      <c r="I127" s="621"/>
      <c r="J127" s="621"/>
      <c r="K127" s="621"/>
      <c r="L127" s="621"/>
      <c r="M127" s="621"/>
    </row>
    <row r="128">
      <c r="A128" s="226" t="s">
        <v>119</v>
      </c>
      <c r="B128" s="90">
        <f>'WEEK 17'!B142</f>
        <v>30</v>
      </c>
      <c r="C128" s="13"/>
      <c r="D128" s="13"/>
      <c r="E128" s="13"/>
      <c r="F128" s="57"/>
      <c r="G128" s="529"/>
      <c r="H128" s="621"/>
      <c r="I128" s="621"/>
      <c r="J128" s="621"/>
      <c r="K128" s="621"/>
      <c r="L128" s="621"/>
      <c r="M128" s="621"/>
    </row>
    <row r="129">
      <c r="A129" s="77" t="s">
        <v>50</v>
      </c>
      <c r="B129" s="78" t="s">
        <v>51</v>
      </c>
      <c r="C129" s="78" t="s">
        <v>52</v>
      </c>
      <c r="D129" s="78" t="s">
        <v>53</v>
      </c>
      <c r="E129" s="80" t="s">
        <v>54</v>
      </c>
      <c r="F129" s="235" t="s">
        <v>55</v>
      </c>
      <c r="G129" s="529"/>
      <c r="H129" s="621"/>
      <c r="I129" s="621"/>
      <c r="J129" s="621"/>
      <c r="K129" s="621"/>
      <c r="L129" s="621"/>
      <c r="M129" s="621"/>
    </row>
    <row r="130">
      <c r="A130" s="81">
        <v>1.0</v>
      </c>
      <c r="B130" s="82">
        <f>mround('WEEK 19'!B128,5)</f>
        <v>30</v>
      </c>
      <c r="C130" s="65">
        <v>20.0</v>
      </c>
      <c r="D130" s="83" t="s">
        <v>58</v>
      </c>
      <c r="E130" s="84" t="str">
        <f>IF('WEEK 17'!B144='WEEK 19'!B130,'WEEK 17'!F144,"")</f>
        <v/>
      </c>
      <c r="F130" s="85"/>
      <c r="G130" s="529"/>
      <c r="H130" s="621"/>
      <c r="I130" s="621"/>
      <c r="J130" s="621"/>
      <c r="K130" s="621"/>
      <c r="L130" s="621"/>
      <c r="M130" s="621"/>
    </row>
    <row r="131">
      <c r="A131" s="81">
        <v>2.0</v>
      </c>
      <c r="B131" s="82">
        <f>if('WEEK 19'!F130&lt;10,mround('WEEK 19'!B130*0.8,5),IF('WEEK 19'!F130&lt;=14,MROUND('WEEK 19'!B128*0.95,5),'WEEK 19'!B130))</f>
        <v>25</v>
      </c>
      <c r="C131" s="65">
        <v>20.0</v>
      </c>
      <c r="D131" s="83" t="s">
        <v>58</v>
      </c>
      <c r="E131" s="84" t="str">
        <f>IF('WEEK 17'!B145='WEEK 19'!B131,'WEEK 17'!F145,"")</f>
        <v/>
      </c>
      <c r="F131" s="85"/>
      <c r="G131" s="529"/>
      <c r="H131" s="621"/>
      <c r="I131" s="621"/>
      <c r="J131" s="621"/>
      <c r="K131" s="621"/>
      <c r="L131" s="621"/>
      <c r="M131" s="621"/>
    </row>
    <row r="132">
      <c r="A132" s="629">
        <v>3.0</v>
      </c>
      <c r="B132" s="630">
        <f>if('WEEK 11'!F131&lt;10,mround('WEEK 11'!B131*0.8,5),IF('WEEK 11'!F131&lt;=14,MROUND('WEEK 11'!B131*0.95,5),'WEEK 11'!B131))</f>
        <v>0</v>
      </c>
      <c r="C132" s="631">
        <v>20.0</v>
      </c>
      <c r="D132" s="328" t="s">
        <v>58</v>
      </c>
      <c r="E132" s="84" t="str">
        <f>IF('WEEK 17'!B146='WEEK 19'!B132,'WEEK 17'!F146,"")</f>
        <v/>
      </c>
      <c r="F132" s="330"/>
      <c r="G132" s="529"/>
      <c r="H132" s="621"/>
      <c r="I132" s="621"/>
      <c r="J132" s="621"/>
      <c r="K132" s="621"/>
      <c r="L132" s="621"/>
      <c r="M132" s="621"/>
    </row>
    <row r="133">
      <c r="G133" s="529"/>
      <c r="H133" s="621"/>
      <c r="I133" s="621"/>
      <c r="J133" s="621"/>
      <c r="K133" s="621"/>
      <c r="L133" s="621"/>
      <c r="M133" s="621"/>
    </row>
    <row r="134">
      <c r="G134" s="141"/>
      <c r="H134" s="621"/>
      <c r="I134" s="621"/>
      <c r="J134" s="621"/>
      <c r="K134" s="621"/>
      <c r="L134" s="621"/>
      <c r="M134" s="621"/>
    </row>
    <row r="135">
      <c r="A135" s="75" t="str">
        <f>HYPERLINK("https://www.youtube.com/watch?v=9IqvmIhFxtY","5. BICEP CABLE CURL")</f>
        <v>5. BICEP CABLE CURL</v>
      </c>
      <c r="B135" s="53"/>
      <c r="C135" s="53"/>
      <c r="D135" s="53"/>
      <c r="E135" s="53"/>
      <c r="F135" s="54"/>
      <c r="G135" s="141"/>
      <c r="H135" s="75" t="str">
        <f>HYPERLINK("https://www.youtube.com/watch?v=Bi6Do6QIlpQ","5. BICEP EZ BAR CURL")</f>
        <v>5. BICEP EZ BAR CURL</v>
      </c>
      <c r="I135" s="53"/>
      <c r="J135" s="53"/>
      <c r="K135" s="53"/>
      <c r="L135" s="53"/>
      <c r="M135" s="54"/>
    </row>
    <row r="136">
      <c r="A136" s="226" t="s">
        <v>119</v>
      </c>
      <c r="B136" s="90">
        <f>IF('WEEK 17'!B152='WEEK 17'!B154,'WEEK 17'!B152+5,IF('WEEK 17'!F152&lt;=9,MROUND('WEEK 17'!B150*0.95,5),'WEEK 17'!B152))</f>
        <v>30</v>
      </c>
      <c r="C136" s="13"/>
      <c r="D136" s="13"/>
      <c r="E136" s="13"/>
      <c r="F136" s="57"/>
      <c r="G136" s="141"/>
      <c r="H136" s="226" t="s">
        <v>119</v>
      </c>
      <c r="I136" s="90">
        <f>IF('WEEK 17'!I152='WEEK 17'!I154,'WEEK 17'!I152+5,IF('WEEK 17'!M152&lt;=9,MROUND('WEEK 17'!I150*0.95,5),'WEEK 17'!I152))</f>
        <v>10</v>
      </c>
      <c r="J136" s="13"/>
      <c r="K136" s="13"/>
      <c r="L136" s="13"/>
      <c r="M136" s="57"/>
    </row>
    <row r="137">
      <c r="A137" s="77" t="s">
        <v>50</v>
      </c>
      <c r="B137" s="78" t="s">
        <v>51</v>
      </c>
      <c r="C137" s="78" t="s">
        <v>52</v>
      </c>
      <c r="D137" s="78" t="s">
        <v>53</v>
      </c>
      <c r="E137" s="80" t="s">
        <v>54</v>
      </c>
      <c r="F137" s="235" t="s">
        <v>55</v>
      </c>
      <c r="H137" s="77" t="s">
        <v>50</v>
      </c>
      <c r="I137" s="78" t="s">
        <v>51</v>
      </c>
      <c r="J137" s="78" t="s">
        <v>52</v>
      </c>
      <c r="K137" s="78" t="s">
        <v>53</v>
      </c>
      <c r="L137" s="80" t="s">
        <v>54</v>
      </c>
      <c r="M137" s="235" t="s">
        <v>55</v>
      </c>
    </row>
    <row r="138">
      <c r="A138" s="81">
        <v>1.0</v>
      </c>
      <c r="B138" s="82">
        <f>MROUND('WEEK 19'!B136,5)</f>
        <v>30</v>
      </c>
      <c r="C138" s="65" t="s">
        <v>61</v>
      </c>
      <c r="D138" s="83" t="s">
        <v>274</v>
      </c>
      <c r="E138" s="84" t="str">
        <f>IF('WEEK 17'!B152='WEEK 19'!B138,'WEEK 17'!F152,"")</f>
        <v/>
      </c>
      <c r="F138" s="85"/>
      <c r="H138" s="81">
        <v>1.0</v>
      </c>
      <c r="I138" s="82">
        <f>MROUND('WEEK 19'!I136,5)</f>
        <v>10</v>
      </c>
      <c r="J138" s="65" t="s">
        <v>61</v>
      </c>
      <c r="K138" s="83" t="s">
        <v>274</v>
      </c>
      <c r="L138" s="84" t="str">
        <f>IF('WEEK 17'!I152='WEEK 19'!I138,'WEEK 17'!M152,"")</f>
        <v/>
      </c>
      <c r="M138" s="85"/>
    </row>
    <row r="139">
      <c r="A139" s="81">
        <v>2.0</v>
      </c>
      <c r="B139" s="82">
        <f>if('WEEK 19'!F138&lt;10,mround('WEEK 19'!B138*0.8,5),IF('WEEK 19'!F138&lt;=15,MROUND('WEEK 19'!B136*0.95,5),'WEEK 19'!B138))</f>
        <v>25</v>
      </c>
      <c r="C139" s="65" t="s">
        <v>61</v>
      </c>
      <c r="D139" s="83" t="s">
        <v>274</v>
      </c>
      <c r="E139" s="84" t="str">
        <f>IF('WEEK 17'!B153='WEEK 19'!B139,'WEEK 17'!F153,"")</f>
        <v/>
      </c>
      <c r="F139" s="85"/>
      <c r="H139" s="81">
        <v>2.0</v>
      </c>
      <c r="I139" s="82">
        <f>if('WEEK 19'!M138&lt;10,mround('WEEK 19'!I138*0.8,5),IF('WEEK 19'!M138&lt;=15,MROUND('WEEK 19'!I136*0.95,5),'WEEK 19'!I138))</f>
        <v>10</v>
      </c>
      <c r="J139" s="65" t="s">
        <v>61</v>
      </c>
      <c r="K139" s="83" t="s">
        <v>274</v>
      </c>
      <c r="L139" s="84" t="str">
        <f>IF('WEEK 17'!I153='WEEK 19'!I139,'WEEK 17'!M153,"")</f>
        <v/>
      </c>
      <c r="M139" s="85"/>
    </row>
    <row r="140">
      <c r="A140" s="86">
        <v>3.0</v>
      </c>
      <c r="B140" s="87">
        <f>if('WEEK 19'!F139&lt;10,mround('WEEK 19'!B139*0.8,5),IF('WEEK 19'!F139&lt;=15,MROUND('WEEK 19'!B137*0.95,5),'WEEK 19'!B139))</f>
        <v>20</v>
      </c>
      <c r="C140" s="71" t="s">
        <v>61</v>
      </c>
      <c r="D140" s="88" t="s">
        <v>274</v>
      </c>
      <c r="E140" s="89" t="str">
        <f>IF('WEEK 17'!B154='WEEK 19'!B140,'WEEK 17'!F154,"")</f>
        <v/>
      </c>
      <c r="F140" s="85"/>
      <c r="H140" s="86">
        <v>3.0</v>
      </c>
      <c r="I140" s="87">
        <f>if('WEEK 19'!M139&lt;10,mround('WEEK 19'!I139*0.8,5),IF('WEEK 19'!M139&lt;=15,MROUND('WEEK 19'!I137*0.95,5),'WEEK 19'!I139))</f>
        <v>10</v>
      </c>
      <c r="J140" s="71" t="s">
        <v>61</v>
      </c>
      <c r="K140" s="88" t="s">
        <v>274</v>
      </c>
      <c r="L140" s="89" t="str">
        <f>IF('WEEK 17'!I154='WEEK 19'!I140,'WEEK 17'!M154,"")</f>
        <v/>
      </c>
      <c r="M140" s="85"/>
    </row>
    <row r="143">
      <c r="A143" s="1149" t="s">
        <v>135</v>
      </c>
      <c r="B143" s="36"/>
      <c r="C143" s="36"/>
      <c r="D143" s="36"/>
      <c r="E143" s="36"/>
      <c r="F143" s="37"/>
    </row>
    <row r="144">
      <c r="A144" s="623"/>
      <c r="B144" s="623"/>
      <c r="C144" s="623"/>
      <c r="D144" s="623"/>
      <c r="E144" s="1274"/>
      <c r="F144" s="623"/>
    </row>
    <row r="145">
      <c r="A145" s="1275" t="str">
        <f>HYPERLINK("https://www.amazon.com/30-Minute-Body-Investment-Champion/dp/0692791892/ref=sr_1_1?ie=UTF8&amp;qid=1490447969&amp;sr=8-1&amp;keywords=30+minute+body","WANT TO LEARN MORE?")</f>
        <v>WANT TO LEARN MORE?</v>
      </c>
      <c r="B145" s="25"/>
      <c r="C145" s="25"/>
      <c r="D145" s="25"/>
      <c r="E145" s="25"/>
      <c r="F145" s="26"/>
    </row>
    <row r="146">
      <c r="A146" s="529"/>
      <c r="F146" s="28"/>
    </row>
    <row r="147">
      <c r="A147" s="1276"/>
      <c r="B147" s="999"/>
      <c r="C147" s="1150" t="s">
        <v>67</v>
      </c>
      <c r="F147" s="28"/>
    </row>
    <row r="148">
      <c r="A148" s="1276"/>
      <c r="B148" s="999"/>
      <c r="F148" s="28"/>
    </row>
    <row r="149">
      <c r="A149" s="1276"/>
      <c r="B149" s="999"/>
      <c r="F149" s="28"/>
    </row>
    <row r="150">
      <c r="A150" s="1276"/>
      <c r="B150" s="999"/>
      <c r="F150" s="28"/>
    </row>
    <row r="151">
      <c r="A151" s="1276"/>
      <c r="B151" s="999"/>
      <c r="F151" s="28"/>
    </row>
    <row r="152">
      <c r="A152" s="1276"/>
      <c r="B152" s="999"/>
      <c r="F152" s="28"/>
    </row>
    <row r="153">
      <c r="A153" s="1277"/>
      <c r="B153" s="999"/>
      <c r="F153" s="28"/>
    </row>
    <row r="154">
      <c r="A154" s="1276"/>
      <c r="B154" s="999"/>
      <c r="F154" s="28"/>
    </row>
    <row r="155">
      <c r="A155" s="1276"/>
      <c r="B155" s="999"/>
      <c r="F155" s="28"/>
    </row>
    <row r="156">
      <c r="A156" s="1278"/>
      <c r="B156" s="999"/>
      <c r="F156" s="28"/>
    </row>
    <row r="157">
      <c r="A157" s="1276"/>
      <c r="B157" s="999"/>
      <c r="F157" s="28"/>
    </row>
    <row r="158">
      <c r="A158" s="1276"/>
      <c r="B158" s="999"/>
      <c r="F158" s="28"/>
    </row>
    <row r="159">
      <c r="A159" s="1276"/>
      <c r="B159" s="999"/>
      <c r="F159" s="28"/>
    </row>
    <row r="160">
      <c r="A160" s="1276"/>
      <c r="B160" s="999"/>
      <c r="F160" s="28"/>
    </row>
    <row r="161">
      <c r="A161" s="1279"/>
      <c r="B161" s="1280"/>
      <c r="C161" s="11"/>
      <c r="D161" s="11"/>
      <c r="E161" s="11"/>
      <c r="F161" s="46"/>
    </row>
  </sheetData>
  <mergeCells count="64">
    <mergeCell ref="A133:F134"/>
    <mergeCell ref="A135:F135"/>
    <mergeCell ref="H135:M135"/>
    <mergeCell ref="B136:F136"/>
    <mergeCell ref="I136:M136"/>
    <mergeCell ref="A143:F143"/>
    <mergeCell ref="A145:F146"/>
    <mergeCell ref="C147:F161"/>
    <mergeCell ref="B113:F113"/>
    <mergeCell ref="A119:F119"/>
    <mergeCell ref="B120:F120"/>
    <mergeCell ref="A125:F126"/>
    <mergeCell ref="A127:F127"/>
    <mergeCell ref="G127:G133"/>
    <mergeCell ref="B128:F128"/>
    <mergeCell ref="A9:F9"/>
    <mergeCell ref="H9:M9"/>
    <mergeCell ref="A10:F11"/>
    <mergeCell ref="H10:M10"/>
    <mergeCell ref="A12:F12"/>
    <mergeCell ref="A13:F13"/>
    <mergeCell ref="H15:M15"/>
    <mergeCell ref="A15:F15"/>
    <mergeCell ref="A18:F18"/>
    <mergeCell ref="H18:M18"/>
    <mergeCell ref="A19:F19"/>
    <mergeCell ref="H19:M19"/>
    <mergeCell ref="B20:F20"/>
    <mergeCell ref="I20:M20"/>
    <mergeCell ref="A25:F25"/>
    <mergeCell ref="G25:G26"/>
    <mergeCell ref="H25:M25"/>
    <mergeCell ref="A32:F32"/>
    <mergeCell ref="H32:M32"/>
    <mergeCell ref="B33:F33"/>
    <mergeCell ref="I33:M33"/>
    <mergeCell ref="A39:F39"/>
    <mergeCell ref="B40:F40"/>
    <mergeCell ref="A46:F46"/>
    <mergeCell ref="A49:F49"/>
    <mergeCell ref="B52:F52"/>
    <mergeCell ref="A54:F54"/>
    <mergeCell ref="B55:F55"/>
    <mergeCell ref="A62:F62"/>
    <mergeCell ref="B63:F63"/>
    <mergeCell ref="A69:F69"/>
    <mergeCell ref="A71:F71"/>
    <mergeCell ref="A74:F74"/>
    <mergeCell ref="B75:F75"/>
    <mergeCell ref="A89:F89"/>
    <mergeCell ref="A92:F92"/>
    <mergeCell ref="A95:F95"/>
    <mergeCell ref="H95:M95"/>
    <mergeCell ref="A96:F96"/>
    <mergeCell ref="H96:M96"/>
    <mergeCell ref="B97:F97"/>
    <mergeCell ref="I97:M97"/>
    <mergeCell ref="A103:F103"/>
    <mergeCell ref="H103:M103"/>
    <mergeCell ref="A106:F106"/>
    <mergeCell ref="H106:M106"/>
    <mergeCell ref="B109:F109"/>
    <mergeCell ref="I109:M109"/>
    <mergeCell ref="A112:F112"/>
  </mergeCells>
  <dataValidations>
    <dataValidation type="decimal" operator="greaterThanOrEqual" allowBlank="1" showDropDown="1" showErrorMessage="1" sqref="F121:F124">
      <formula1>0.0</formula1>
    </dataValidation>
  </dataValidation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'MSW19'!A1</f>
        <v/>
      </c>
    </row>
    <row r="8">
      <c r="A8" s="11"/>
      <c r="B8" s="11"/>
      <c r="C8" s="11"/>
      <c r="D8" s="11"/>
      <c r="E8" s="11"/>
      <c r="F8" s="11"/>
      <c r="G8" s="11"/>
      <c r="H8" s="11"/>
      <c r="I8" s="11"/>
      <c r="J8" s="11"/>
      <c r="K8" s="11"/>
      <c r="L8" s="11"/>
      <c r="M8" s="11"/>
    </row>
    <row r="9">
      <c r="A9" s="1293" t="str">
        <f>'MSW19'!A9</f>
        <v>Week 19</v>
      </c>
      <c r="B9" s="36"/>
      <c r="C9" s="36"/>
      <c r="D9" s="36"/>
      <c r="E9" s="36"/>
      <c r="F9" s="37"/>
      <c r="G9" s="419" t="str">
        <f>'MSW19'!G9</f>
        <v/>
      </c>
      <c r="H9" s="24" t="s">
        <v>35</v>
      </c>
      <c r="I9" s="25"/>
      <c r="J9" s="25"/>
      <c r="K9" s="25"/>
      <c r="L9" s="25"/>
      <c r="M9" s="26"/>
    </row>
    <row r="10">
      <c r="A10" s="719" t="str">
        <f>'MSW19'!A10</f>
        <v>PRESS TO RECORD BODY WEIGHT</v>
      </c>
      <c r="B10" s="25"/>
      <c r="C10" s="25"/>
      <c r="D10" s="25"/>
      <c r="E10" s="25"/>
      <c r="F10" s="26"/>
      <c r="H10" s="27" t="s">
        <v>275</v>
      </c>
      <c r="M10" s="28"/>
    </row>
    <row r="11">
      <c r="A11" s="529"/>
      <c r="F11" s="28"/>
      <c r="H11" s="29" t="s">
        <v>276</v>
      </c>
      <c r="I11" s="30"/>
      <c r="J11" s="30"/>
      <c r="K11" s="30"/>
      <c r="L11" s="30"/>
      <c r="M11" s="31"/>
    </row>
    <row r="12">
      <c r="A12" s="720" t="str">
        <f>'MSW19'!A12</f>
        <v>This Weeks Goals</v>
      </c>
      <c r="B12" s="36"/>
      <c r="C12" s="36"/>
      <c r="D12" s="36"/>
      <c r="E12" s="36"/>
      <c r="F12" s="37"/>
      <c r="G12" s="419"/>
    </row>
    <row r="13">
      <c r="A13" s="721" t="str">
        <f>'MSW19'!A13</f>
        <v>This is what we call percentage week. For the most part we are going to work your body just under it's maximum potential and go for more repititions. There are however a few areas that are excluded from this principle but the general theme of the week is working under your max. </v>
      </c>
      <c r="B13" s="36"/>
      <c r="C13" s="36"/>
      <c r="D13" s="36"/>
      <c r="E13" s="36"/>
      <c r="F13" s="37"/>
    </row>
    <row r="14">
      <c r="A14" s="653" t="str">
        <f>'MSW19'!A14</f>
        <v/>
      </c>
    </row>
    <row r="15">
      <c r="A15" s="50" t="str">
        <f>'MSW19'!A15</f>
        <v>DAY 1 </v>
      </c>
      <c r="B15" s="36"/>
      <c r="C15" s="36"/>
      <c r="D15" s="36"/>
      <c r="E15" s="36"/>
      <c r="F15" s="37"/>
      <c r="G15" s="722" t="str">
        <f>'MSW19'!G15</f>
        <v/>
      </c>
      <c r="H15" s="429" t="str">
        <f>'MSW19'!H15</f>
        <v>ALTERNATE WORKOUTS</v>
      </c>
      <c r="I15" s="36"/>
      <c r="J15" s="36"/>
      <c r="K15" s="36"/>
      <c r="L15" s="36"/>
      <c r="M15" s="37"/>
    </row>
    <row r="16">
      <c r="A16" s="657" t="str">
        <f>'MSW19'!A16</f>
        <v/>
      </c>
      <c r="H16" s="657" t="str">
        <f>'MSW19'!H16</f>
        <v/>
      </c>
    </row>
    <row r="18">
      <c r="A18" s="51" t="str">
        <f>'MSW19'!A18</f>
        <v>CHEST &amp; BACK </v>
      </c>
      <c r="B18" s="36"/>
      <c r="C18" s="36"/>
      <c r="D18" s="36"/>
      <c r="E18" s="36"/>
      <c r="F18" s="37"/>
      <c r="H18" s="51" t="str">
        <f>'MSW19'!H18</f>
        <v>CHEST &amp; BACK </v>
      </c>
      <c r="I18" s="36"/>
      <c r="J18" s="36"/>
      <c r="K18" s="36"/>
      <c r="L18" s="36"/>
      <c r="M18" s="37"/>
    </row>
    <row r="19">
      <c r="A19" s="93" t="str">
        <f>'MSW19'!A19</f>
        <v>1. BENCH PRESS</v>
      </c>
      <c r="B19" s="53"/>
      <c r="C19" s="53"/>
      <c r="D19" s="53"/>
      <c r="E19" s="53"/>
      <c r="F19" s="54"/>
      <c r="H19" s="93" t="str">
        <f>'MSW19'!H19</f>
        <v>1. MACHINE PRESS</v>
      </c>
      <c r="I19" s="53"/>
      <c r="J19" s="53"/>
      <c r="K19" s="53"/>
      <c r="L19" s="53"/>
      <c r="M19" s="54"/>
    </row>
    <row r="20">
      <c r="A20" s="226" t="str">
        <f>'MSW19'!A20</f>
        <v>CURRENT MAX</v>
      </c>
      <c r="B20" s="691" t="str">
        <f>'MSW19'!B20</f>
        <v/>
      </c>
      <c r="C20" s="13"/>
      <c r="D20" s="13"/>
      <c r="E20" s="13"/>
      <c r="F20" s="57"/>
      <c r="H20" s="226" t="str">
        <f>'MSW19'!H20</f>
        <v>CURRENT MAX</v>
      </c>
      <c r="I20" s="691" t="str">
        <f>'MSW19'!I20</f>
        <v/>
      </c>
      <c r="J20" s="13"/>
      <c r="K20" s="13"/>
      <c r="L20" s="13"/>
      <c r="M20" s="57"/>
    </row>
    <row r="21">
      <c r="A21" s="96" t="str">
        <f>'MSW19'!A21</f>
        <v>SET</v>
      </c>
      <c r="B21" s="97" t="str">
        <f>'MSW19'!B21</f>
        <v>WEIGHT</v>
      </c>
      <c r="C21" s="97" t="str">
        <f>'MSW19'!C21</f>
        <v>REPS</v>
      </c>
      <c r="D21" s="97" t="str">
        <f>'MSW19'!D21</f>
        <v>REST</v>
      </c>
      <c r="E21" s="341" t="str">
        <f>'MSW19'!E21</f>
        <v>PREVIOUS</v>
      </c>
      <c r="F21" s="235" t="str">
        <f>'MSW19'!F21</f>
        <v>REP LOG</v>
      </c>
      <c r="H21" s="96" t="str">
        <f>'MSW19'!H21</f>
        <v>SET</v>
      </c>
      <c r="I21" s="97" t="str">
        <f>'MSW19'!I21</f>
        <v>WEIGHT</v>
      </c>
      <c r="J21" s="97" t="str">
        <f>'MSW19'!J21</f>
        <v>REPS</v>
      </c>
      <c r="K21" s="97" t="str">
        <f>'MSW19'!K21</f>
        <v>REST</v>
      </c>
      <c r="L21" s="341" t="str">
        <f>'MSW19'!L21</f>
        <v>PREVIOUS</v>
      </c>
      <c r="M21" s="235" t="str">
        <f>'MSW19'!M21</f>
        <v>REP LOG</v>
      </c>
    </row>
    <row r="22">
      <c r="A22" s="725">
        <f>'MSW19'!A22</f>
        <v>1</v>
      </c>
      <c r="B22" s="344">
        <f>'MSW19'!B22</f>
        <v>0</v>
      </c>
      <c r="C22" s="344">
        <f>'MSW19'!C22</f>
        <v>6</v>
      </c>
      <c r="D22" s="343" t="str">
        <f>'MSW19'!D22</f>
        <v>30 sec</v>
      </c>
      <c r="E22" s="66" t="str">
        <f>'MSW19'!E22</f>
        <v/>
      </c>
      <c r="F22" s="85" t="str">
        <f>'MSW19'!F22</f>
        <v/>
      </c>
      <c r="H22" s="725">
        <f>'MSW19'!H22</f>
        <v>1</v>
      </c>
      <c r="I22" s="344">
        <f>'MSW19'!I22</f>
        <v>0</v>
      </c>
      <c r="J22" s="344">
        <f>'MSW19'!J22</f>
        <v>6</v>
      </c>
      <c r="K22" s="343" t="str">
        <f>'MSW19'!K22</f>
        <v>30 sec</v>
      </c>
      <c r="L22" s="66" t="str">
        <f>'MSW19'!L22</f>
        <v/>
      </c>
      <c r="M22" s="85" t="str">
        <f>'MSW19'!M22</f>
        <v/>
      </c>
    </row>
    <row r="23">
      <c r="A23" s="725">
        <f>'MSW19'!A23</f>
        <v>2</v>
      </c>
      <c r="B23" s="344">
        <f>'MSW19'!B23</f>
        <v>0</v>
      </c>
      <c r="C23" s="344">
        <f>'MSW19'!C23</f>
        <v>1</v>
      </c>
      <c r="D23" s="343" t="str">
        <f>'MSW19'!D23</f>
        <v>45 sec</v>
      </c>
      <c r="E23" s="66" t="str">
        <f>'MSW19'!E23</f>
        <v/>
      </c>
      <c r="F23" s="85" t="str">
        <f>'MSW19'!F23</f>
        <v/>
      </c>
      <c r="H23" s="725">
        <f>'MSW19'!H23</f>
        <v>2</v>
      </c>
      <c r="I23" s="344">
        <f>'MSW19'!I23</f>
        <v>0</v>
      </c>
      <c r="J23" s="344">
        <f>'MSW19'!J23</f>
        <v>1</v>
      </c>
      <c r="K23" s="343" t="str">
        <f>'MSW19'!K23</f>
        <v>45 sec</v>
      </c>
      <c r="L23" s="66" t="str">
        <f>'MSW19'!L23</f>
        <v/>
      </c>
      <c r="M23" s="85" t="str">
        <f>'MSW19'!M23</f>
        <v/>
      </c>
    </row>
    <row r="24">
      <c r="A24" s="725">
        <f>'MSW19'!A24</f>
        <v>3</v>
      </c>
      <c r="B24" s="344">
        <f>'MSW19'!B24</f>
        <v>0</v>
      </c>
      <c r="C24" s="344">
        <f>'MSW19'!C24</f>
        <v>1</v>
      </c>
      <c r="D24" s="343" t="str">
        <f>'MSW19'!D24</f>
        <v>1 MIN</v>
      </c>
      <c r="E24" s="66" t="str">
        <f>'MSW19'!E24</f>
        <v/>
      </c>
      <c r="F24" s="85" t="str">
        <f>'MSW19'!F24</f>
        <v/>
      </c>
      <c r="H24" s="725">
        <f>'MSW19'!H24</f>
        <v>3</v>
      </c>
      <c r="I24" s="344">
        <f>'MSW19'!I24</f>
        <v>0</v>
      </c>
      <c r="J24" s="344">
        <f>'MSW19'!J24</f>
        <v>1</v>
      </c>
      <c r="K24" s="343" t="str">
        <f>'MSW19'!K24</f>
        <v>1 MIN</v>
      </c>
      <c r="L24" s="66" t="str">
        <f>'MSW19'!L24</f>
        <v/>
      </c>
      <c r="M24" s="85" t="str">
        <f>'MSW19'!M24</f>
        <v/>
      </c>
    </row>
    <row r="25">
      <c r="A25" s="730" t="str">
        <f>'MSW19'!A25</f>
        <v>Working Set</v>
      </c>
      <c r="B25" s="13"/>
      <c r="C25" s="13"/>
      <c r="D25" s="13"/>
      <c r="E25" s="13"/>
      <c r="F25" s="57"/>
      <c r="G25" s="731" t="str">
        <f>'MSW19'!G25</f>
        <v>ALTERNATE</v>
      </c>
      <c r="H25" s="730" t="str">
        <f>'MSW19'!H25</f>
        <v>Working Set</v>
      </c>
      <c r="I25" s="13"/>
      <c r="J25" s="13"/>
      <c r="K25" s="13"/>
      <c r="L25" s="13"/>
      <c r="M25" s="57"/>
    </row>
    <row r="26">
      <c r="A26" s="96" t="str">
        <f>'MSW19'!A26</f>
        <v>SET</v>
      </c>
      <c r="B26" s="97" t="str">
        <f>'MSW19'!B26</f>
        <v>WEIGHT</v>
      </c>
      <c r="C26" s="97" t="str">
        <f>'MSW19'!C26</f>
        <v>REPS</v>
      </c>
      <c r="D26" s="97" t="str">
        <f>'MSW19'!D26</f>
        <v>REST</v>
      </c>
      <c r="E26" s="341" t="str">
        <f>'MSW19'!E26</f>
        <v>PREVIOUS</v>
      </c>
      <c r="F26" s="235" t="str">
        <f>'MSW19'!F26</f>
        <v>REP LOG</v>
      </c>
      <c r="H26" s="96" t="str">
        <f>'MSW19'!H26</f>
        <v>SET</v>
      </c>
      <c r="I26" s="97" t="str">
        <f>'MSW19'!I26</f>
        <v>WEIGHT</v>
      </c>
      <c r="J26" s="97" t="str">
        <f>'MSW19'!J26</f>
        <v>REPS</v>
      </c>
      <c r="K26" s="97" t="str">
        <f>'MSW19'!K26</f>
        <v>REST</v>
      </c>
      <c r="L26" s="341" t="str">
        <f>'MSW19'!L26</f>
        <v>PREVIOUS</v>
      </c>
      <c r="M26" s="235" t="str">
        <f>'MSW19'!M26</f>
        <v>REP LOG</v>
      </c>
    </row>
    <row r="27">
      <c r="A27" s="342">
        <f>'MSW19'!A27</f>
        <v>1</v>
      </c>
      <c r="B27" s="348">
        <f>'MSW19'!B27</f>
        <v>0</v>
      </c>
      <c r="C27" s="437" t="str">
        <f>'MSW19'!C27</f>
        <v>REP OUT</v>
      </c>
      <c r="D27" s="343" t="str">
        <f>'MSW19'!D27</f>
        <v>1-5 MIN</v>
      </c>
      <c r="E27" s="66" t="str">
        <f>'MSW19'!E27</f>
        <v/>
      </c>
      <c r="F27" s="85"/>
      <c r="G27" s="423" t="str">
        <f>'MSW19'!G27</f>
        <v/>
      </c>
      <c r="H27" s="725">
        <f>'MSW19'!H27</f>
        <v>1</v>
      </c>
      <c r="I27" s="348">
        <f>'MSW19'!I27</f>
        <v>0</v>
      </c>
      <c r="J27" s="437" t="str">
        <f>'MSW19'!J27</f>
        <v>REP OUT</v>
      </c>
      <c r="K27" s="343" t="str">
        <f>'MSW19'!K27</f>
        <v>1-5 MIN</v>
      </c>
      <c r="L27" s="66" t="str">
        <f>'MSW19'!L27</f>
        <v/>
      </c>
      <c r="M27" s="85" t="str">
        <f>'MSW19'!M27</f>
        <v/>
      </c>
    </row>
    <row r="28">
      <c r="A28" s="725">
        <f>'MSW19'!A28</f>
        <v>2</v>
      </c>
      <c r="B28" s="348">
        <f>'MSW19'!B28</f>
        <v>0</v>
      </c>
      <c r="C28" s="437" t="str">
        <f>'MSW19'!C28</f>
        <v>REP OUT</v>
      </c>
      <c r="D28" s="343" t="str">
        <f>'MSW19'!D28</f>
        <v>1-5 MIN</v>
      </c>
      <c r="E28" s="66" t="str">
        <f>'MSW19'!E28</f>
        <v/>
      </c>
      <c r="F28" s="85"/>
      <c r="H28" s="725">
        <f>'MSW19'!H28</f>
        <v>2</v>
      </c>
      <c r="I28" s="348">
        <f>'MSW19'!I28</f>
        <v>0</v>
      </c>
      <c r="J28" s="437" t="str">
        <f>'MSW19'!J28</f>
        <v>REP OUT</v>
      </c>
      <c r="K28" s="343" t="str">
        <f>'MSW19'!K28</f>
        <v>1-5 MIN</v>
      </c>
      <c r="L28" s="66" t="str">
        <f>'MSW19'!L28</f>
        <v/>
      </c>
      <c r="M28" s="85" t="str">
        <f>'MSW19'!M28</f>
        <v/>
      </c>
    </row>
    <row r="29">
      <c r="A29" s="485">
        <f>'MSW19'!A29</f>
        <v>3</v>
      </c>
      <c r="B29" s="732">
        <f>'MSW19'!B29</f>
        <v>0</v>
      </c>
      <c r="C29" s="733" t="str">
        <f>'MSW19'!C29</f>
        <v>REP OUT</v>
      </c>
      <c r="D29" s="486" t="str">
        <f>'MSW19'!D29</f>
        <v>1-5 MIN</v>
      </c>
      <c r="E29" s="72" t="str">
        <f>'MSW19'!E29</f>
        <v/>
      </c>
      <c r="F29" s="85" t="str">
        <f>'MSW19'!F29</f>
        <v/>
      </c>
      <c r="H29" s="735">
        <f>'MSW19'!H29</f>
        <v>3</v>
      </c>
      <c r="I29" s="736">
        <f>'MSW19'!I29</f>
        <v>0</v>
      </c>
      <c r="J29" s="737" t="str">
        <f>'MSW19'!J29</f>
        <v>REP OUT</v>
      </c>
      <c r="K29" s="738" t="str">
        <f>'MSW19'!K29</f>
        <v>1-5 MIN</v>
      </c>
      <c r="L29" s="66" t="str">
        <f>'MSW19'!L29</f>
        <v/>
      </c>
      <c r="M29" s="330" t="str">
        <f>'MSW19'!M29</f>
        <v/>
      </c>
    </row>
    <row r="30">
      <c r="A30" s="740" t="str">
        <f>'MSW19'!A30</f>
        <v/>
      </c>
      <c r="H30" s="742" t="str">
        <f>'MSW19'!H30</f>
        <v/>
      </c>
      <c r="I30" s="25"/>
      <c r="J30" s="25"/>
      <c r="K30" s="25"/>
      <c r="L30" s="25"/>
      <c r="M30" s="25"/>
    </row>
    <row r="32">
      <c r="A32" s="440" t="str">
        <f>'MSW19'!A32</f>
        <v>2. DB CHEST FLY</v>
      </c>
      <c r="B32" s="53"/>
      <c r="C32" s="53"/>
      <c r="D32" s="53"/>
      <c r="E32" s="53"/>
      <c r="F32" s="54"/>
      <c r="H32" s="504" t="str">
        <f>'MSW19'!H32</f>
        <v>2. MACHINE CHEST FLY</v>
      </c>
      <c r="I32" s="53"/>
      <c r="J32" s="53"/>
      <c r="K32" s="53"/>
      <c r="L32" s="53"/>
      <c r="M32" s="54"/>
    </row>
    <row r="33">
      <c r="A33" s="226" t="str">
        <f>'MSW19'!A33</f>
        <v>DB INCL PRSS MAX</v>
      </c>
      <c r="B33" s="691" t="str">
        <f>'MSW19'!B33</f>
        <v/>
      </c>
      <c r="C33" s="13"/>
      <c r="D33" s="13"/>
      <c r="E33" s="13"/>
      <c r="F33" s="57"/>
      <c r="H33" s="226" t="str">
        <f>'MSW19'!H33</f>
        <v>DB INCL PRSS MAX</v>
      </c>
      <c r="I33" s="548" t="str">
        <f>'MSW19'!I33</f>
        <v/>
      </c>
      <c r="J33" s="13"/>
      <c r="K33" s="13"/>
      <c r="L33" s="13"/>
      <c r="M33" s="57"/>
    </row>
    <row r="34">
      <c r="A34" s="743" t="str">
        <f>'MSW19'!A34</f>
        <v>SET</v>
      </c>
      <c r="B34" s="744" t="str">
        <f>'MSW19'!B34</f>
        <v>WEIGHT</v>
      </c>
      <c r="C34" s="744" t="str">
        <f>'MSW19'!C34</f>
        <v>REPS</v>
      </c>
      <c r="D34" s="744" t="str">
        <f>'MSW19'!D34</f>
        <v>REST</v>
      </c>
      <c r="E34" s="745" t="str">
        <f>'MSW19'!E34</f>
        <v>PREVIOUS</v>
      </c>
      <c r="F34" s="746" t="str">
        <f>'MSW19'!F34</f>
        <v>REP LOG</v>
      </c>
      <c r="H34" s="96" t="str">
        <f>'MSW19'!H34</f>
        <v>SET</v>
      </c>
      <c r="I34" s="97" t="str">
        <f>'MSW19'!I34</f>
        <v>WEIGHT</v>
      </c>
      <c r="J34" s="97" t="str">
        <f>'MSW19'!J34</f>
        <v>REPS</v>
      </c>
      <c r="K34" s="97" t="str">
        <f>'MSW19'!K34</f>
        <v>REST</v>
      </c>
      <c r="L34" s="341" t="str">
        <f>'MSW19'!L34</f>
        <v>PREVIOUS</v>
      </c>
      <c r="M34" s="235" t="str">
        <f>'MSW19'!M34</f>
        <v>REP LOG</v>
      </c>
    </row>
    <row r="35">
      <c r="A35" s="725">
        <f>'MSW19'!A35</f>
        <v>1</v>
      </c>
      <c r="B35" s="254">
        <f>'MSW19'!B35</f>
        <v>0</v>
      </c>
      <c r="C35" s="344">
        <f>'MSW19'!C35</f>
        <v>15</v>
      </c>
      <c r="D35" s="343" t="str">
        <f>'MSW19'!D35</f>
        <v>1 MIN</v>
      </c>
      <c r="E35" s="66" t="str">
        <f>'MSW19'!E35</f>
        <v/>
      </c>
      <c r="F35" s="85" t="str">
        <f>'MSW19'!F35</f>
        <v/>
      </c>
      <c r="H35" s="240">
        <f>'MSW19'!H35</f>
        <v>1</v>
      </c>
      <c r="I35" s="254">
        <f>'MSW19'!I35</f>
        <v>0</v>
      </c>
      <c r="J35" s="241">
        <f>'MSW19'!J35</f>
        <v>15</v>
      </c>
      <c r="K35" s="83" t="str">
        <f>'MSW19'!K35</f>
        <v>1 MIN</v>
      </c>
      <c r="L35" s="66" t="str">
        <f>'MSW19'!L35</f>
        <v/>
      </c>
      <c r="M35" s="85" t="str">
        <f>'MSW19'!M35</f>
        <v/>
      </c>
    </row>
    <row r="36">
      <c r="A36" s="747">
        <f>'MSW19'!A36</f>
        <v>2</v>
      </c>
      <c r="B36" s="662">
        <f>'MSW19'!B36</f>
        <v>0</v>
      </c>
      <c r="C36" s="813">
        <f>'MSW19'!C36</f>
        <v>15</v>
      </c>
      <c r="D36" s="486" t="str">
        <f>'MSW19'!D36</f>
        <v>1 MIN</v>
      </c>
      <c r="E36" s="72" t="str">
        <f>'MSW19'!E36</f>
        <v/>
      </c>
      <c r="F36" s="85" t="str">
        <f>'MSW19'!F36</f>
        <v/>
      </c>
      <c r="H36" s="661">
        <f>'MSW19'!H36</f>
        <v>2</v>
      </c>
      <c r="I36" s="662">
        <f>'MSW19'!I36</f>
        <v>0</v>
      </c>
      <c r="J36" s="662">
        <f>'MSW19'!J36</f>
        <v>15</v>
      </c>
      <c r="K36" s="88" t="str">
        <f>'MSW19'!K36</f>
        <v>1 MIN</v>
      </c>
      <c r="L36" s="72" t="str">
        <f>'MSW19'!L36</f>
        <v/>
      </c>
      <c r="M36" s="85" t="str">
        <f>'MSW19'!M36</f>
        <v/>
      </c>
    </row>
    <row r="37">
      <c r="A37" t="str">
        <f>'MSW19'!A37</f>
        <v/>
      </c>
      <c r="G37" t="str">
        <f>'MSW19'!G37</f>
        <v/>
      </c>
    </row>
    <row r="39">
      <c r="A39" s="73" t="str">
        <f>'MSW19'!A39</f>
        <v>3. MACHINE HIGH ROW</v>
      </c>
      <c r="B39" s="53"/>
      <c r="C39" s="53"/>
      <c r="D39" s="53"/>
      <c r="E39" s="53"/>
      <c r="F39" s="54"/>
    </row>
    <row r="40">
      <c r="A40" s="226" t="str">
        <f>'MSW19'!A40</f>
        <v>CURRENT MAX</v>
      </c>
      <c r="B40" s="227" t="str">
        <f>'MSW19'!B40</f>
        <v/>
      </c>
      <c r="C40" s="20"/>
      <c r="D40" s="20"/>
      <c r="E40" s="20"/>
      <c r="F40" s="95"/>
    </row>
    <row r="41">
      <c r="A41" s="231" t="str">
        <f>'MSW19'!A41</f>
        <v>SET</v>
      </c>
      <c r="B41" s="232" t="str">
        <f>'MSW19'!B41</f>
        <v>WEIGHT</v>
      </c>
      <c r="C41" s="232" t="str">
        <f>'MSW19'!C41</f>
        <v>REPS</v>
      </c>
      <c r="D41" s="232" t="str">
        <f>'MSW19'!D41</f>
        <v>REST</v>
      </c>
      <c r="E41" s="233" t="str">
        <f>'MSW19'!E41</f>
        <v>PREVIOUS</v>
      </c>
      <c r="F41" s="61" t="str">
        <f>'MSW19'!F41</f>
        <v>REP LOG</v>
      </c>
    </row>
    <row r="42">
      <c r="A42" s="236">
        <f>'MSW19'!A42</f>
        <v>1</v>
      </c>
      <c r="B42" s="237">
        <f>'MSW19'!B42</f>
        <v>0</v>
      </c>
      <c r="C42" s="237">
        <f>'MSW19'!C42</f>
        <v>6</v>
      </c>
      <c r="D42" s="1387" t="str">
        <f>'MSW19'!D42</f>
        <v>30s</v>
      </c>
      <c r="E42" s="84" t="str">
        <f>'MSW19'!E42</f>
        <v/>
      </c>
      <c r="F42" s="67" t="str">
        <f>'MSW19'!F42</f>
        <v/>
      </c>
    </row>
    <row r="43">
      <c r="A43" s="236">
        <f>'MSW19'!A43</f>
        <v>2</v>
      </c>
      <c r="B43" s="237">
        <f>'MSW19'!B43</f>
        <v>0</v>
      </c>
      <c r="C43" s="238">
        <f>'MSW19'!C43</f>
        <v>3</v>
      </c>
      <c r="D43" s="1387" t="str">
        <f>'MSW19'!D43</f>
        <v>1-2 MIN</v>
      </c>
      <c r="E43" s="84" t="str">
        <f>'MSW19'!E43</f>
        <v/>
      </c>
      <c r="F43" s="67" t="str">
        <f>'MSW19'!F43</f>
        <v/>
      </c>
    </row>
    <row r="44">
      <c r="A44" s="242">
        <f>'MSW19'!A44</f>
        <v>3</v>
      </c>
      <c r="B44" s="237">
        <f>'MSW19'!B44</f>
        <v>0</v>
      </c>
      <c r="C44" s="63">
        <f>'MSW19'!C44</f>
        <v>2</v>
      </c>
      <c r="D44" s="1387" t="str">
        <f>'MSW19'!D44</f>
        <v>1-2 MIN</v>
      </c>
      <c r="E44" s="84" t="str">
        <f>'MSW19'!E44</f>
        <v/>
      </c>
      <c r="F44" s="67" t="str">
        <f>'MSW19'!F44</f>
        <v/>
      </c>
    </row>
    <row r="45">
      <c r="A45" s="243">
        <f>'MSW19'!A45</f>
        <v>4</v>
      </c>
      <c r="B45" s="237" t="str">
        <f>'MSW19'!B45</f>
        <v/>
      </c>
      <c r="C45" s="257">
        <f>'MSW19'!C45</f>
        <v>3</v>
      </c>
      <c r="D45" s="1387" t="str">
        <f>'MSW19'!D45</f>
        <v>1-5 MIN</v>
      </c>
      <c r="E45" s="84" t="str">
        <f>'MSW19'!E45</f>
        <v/>
      </c>
      <c r="F45" s="67" t="str">
        <f>'MSW19'!F45</f>
        <v/>
      </c>
    </row>
    <row r="46">
      <c r="A46" s="246" t="str">
        <f>'MSW19'!A46</f>
        <v>PROCEED TO DOWN SETS</v>
      </c>
      <c r="B46" s="20"/>
      <c r="C46" s="20"/>
      <c r="D46" s="20"/>
      <c r="E46" s="20"/>
      <c r="F46" s="95"/>
    </row>
    <row r="47">
      <c r="A47" s="249" t="str">
        <f>'MSW19'!A47</f>
        <v/>
      </c>
      <c r="B47" s="175" t="str">
        <f>'MSW19'!B47</f>
        <v/>
      </c>
      <c r="C47" s="238" t="str">
        <f>'MSW19'!C47</f>
        <v/>
      </c>
      <c r="D47" s="1387" t="str">
        <f>'MSW19'!D47</f>
        <v/>
      </c>
      <c r="E47" s="1475" t="str">
        <f>'MSW19'!E47</f>
        <v/>
      </c>
      <c r="F47" s="1389" t="str">
        <f>'MSW19'!F47</f>
        <v/>
      </c>
    </row>
    <row r="48">
      <c r="A48" s="259" t="str">
        <f>'MSW19'!A48</f>
        <v/>
      </c>
      <c r="B48" s="237" t="str">
        <f>'MSW19'!B48</f>
        <v/>
      </c>
      <c r="C48" s="257" t="str">
        <f>'MSW19'!C48</f>
        <v/>
      </c>
      <c r="D48" s="1391" t="str">
        <f>'MSW19'!D48</f>
        <v/>
      </c>
      <c r="E48" s="1475" t="str">
        <f>'MSW19'!E48</f>
        <v/>
      </c>
      <c r="F48" s="1389" t="str">
        <f>'MSW19'!F48</f>
        <v/>
      </c>
    </row>
    <row r="49">
      <c r="A49" s="246" t="str">
        <f>'MSW19'!A49</f>
        <v>DOWN SETS</v>
      </c>
      <c r="B49" s="20"/>
      <c r="C49" s="20"/>
      <c r="D49" s="20"/>
      <c r="E49" s="20"/>
      <c r="F49" s="95"/>
    </row>
    <row r="50">
      <c r="A50" s="264">
        <f>'MSW19'!A50</f>
        <v>5</v>
      </c>
      <c r="B50" s="265">
        <f>'MSW19'!B50</f>
        <v>0</v>
      </c>
      <c r="C50" s="266" t="str">
        <f>'MSW19'!C50</f>
        <v>REP OUT</v>
      </c>
      <c r="D50" s="267" t="str">
        <f>'MSW19'!D50</f>
        <v>1-3 MIN</v>
      </c>
      <c r="E50" s="84" t="str">
        <f>'MSW19'!E50</f>
        <v/>
      </c>
      <c r="F50" s="67" t="str">
        <f>'MSW19'!F50</f>
        <v/>
      </c>
    </row>
    <row r="51">
      <c r="A51" s="243">
        <f>'MSW19'!A51</f>
        <v>6</v>
      </c>
      <c r="B51" s="866">
        <f>'MSW19'!B51</f>
        <v>0</v>
      </c>
      <c r="C51" s="1476" t="str">
        <f>'MSW19'!C51</f>
        <v>REP OUT</v>
      </c>
      <c r="D51" s="631" t="str">
        <f>'MSW19'!D51</f>
        <v>1-3 MIN</v>
      </c>
      <c r="E51" s="632" t="str">
        <f>'MSW19'!E51</f>
        <v/>
      </c>
      <c r="F51" s="271" t="str">
        <f>'MSW19'!F51</f>
        <v/>
      </c>
    </row>
    <row r="52">
      <c r="A52" s="1477" t="str">
        <f>'MSW19'!A52</f>
        <v>FINAL MAX</v>
      </c>
      <c r="B52" s="1478" t="str">
        <f>'MSW19'!B52</f>
        <v/>
      </c>
      <c r="C52" s="36"/>
      <c r="D52" s="36"/>
      <c r="E52" s="36"/>
      <c r="F52" s="37"/>
    </row>
    <row r="53">
      <c r="A53" s="750" t="str">
        <f>'MSW19'!A53</f>
        <v/>
      </c>
      <c r="B53" s="36"/>
      <c r="C53" s="36"/>
      <c r="D53" s="36"/>
      <c r="E53" s="36"/>
      <c r="F53" s="36"/>
    </row>
    <row r="54">
      <c r="A54" s="751" t="str">
        <f>'MSW19'!A54</f>
        <v>4. LAT PULL DOWN</v>
      </c>
      <c r="B54" s="13"/>
      <c r="C54" s="13"/>
      <c r="D54" s="13"/>
      <c r="E54" s="13"/>
      <c r="F54" s="57"/>
    </row>
    <row r="55">
      <c r="A55" s="226" t="str">
        <f>'MSW19'!A55</f>
        <v>CURRENT MAX</v>
      </c>
      <c r="B55" s="691" t="str">
        <f>'MSW19'!B55</f>
        <v/>
      </c>
      <c r="C55" s="13"/>
      <c r="D55" s="13"/>
      <c r="E55" s="13"/>
      <c r="F55" s="57"/>
    </row>
    <row r="56">
      <c r="A56" s="96" t="str">
        <f>'MSW19'!A56</f>
        <v>SET</v>
      </c>
      <c r="B56" s="97" t="str">
        <f>'MSW19'!B56</f>
        <v>WEIGHT</v>
      </c>
      <c r="C56" s="97" t="str">
        <f>'MSW19'!C56</f>
        <v>REPS</v>
      </c>
      <c r="D56" s="97" t="str">
        <f>'MSW19'!D56</f>
        <v>REST</v>
      </c>
      <c r="E56" s="341" t="str">
        <f>'MSW19'!E56</f>
        <v>PREVIOUS</v>
      </c>
      <c r="F56" s="235" t="str">
        <f>'MSW19'!F56</f>
        <v>REP LOG</v>
      </c>
    </row>
    <row r="57">
      <c r="A57" s="725">
        <f>'MSW19'!A57</f>
        <v>1</v>
      </c>
      <c r="B57" s="344">
        <f>'MSW19'!B57</f>
        <v>0</v>
      </c>
      <c r="C57" s="437" t="str">
        <f>'MSW19'!C57</f>
        <v>REP OUT</v>
      </c>
      <c r="D57" s="343" t="str">
        <f>'MSW19'!D57</f>
        <v>1 MIN</v>
      </c>
      <c r="E57" s="1475" t="str">
        <f>'MSW19'!E57</f>
        <v/>
      </c>
      <c r="F57" s="628" t="str">
        <f>'MSW19'!F57</f>
        <v/>
      </c>
    </row>
    <row r="58">
      <c r="A58" s="725">
        <f>'MSW19'!A58</f>
        <v>2</v>
      </c>
      <c r="B58" s="344">
        <f>'MSW19'!B58</f>
        <v>0</v>
      </c>
      <c r="C58" s="437" t="str">
        <f>'MSW19'!C58</f>
        <v>REP OUT</v>
      </c>
      <c r="D58" s="343" t="str">
        <f>'MSW19'!D58</f>
        <v>1 MIN</v>
      </c>
      <c r="E58" s="1475" t="str">
        <f>'MSW19'!E58</f>
        <v/>
      </c>
      <c r="F58" s="628" t="str">
        <f>'MSW19'!F58</f>
        <v/>
      </c>
    </row>
    <row r="59">
      <c r="A59" s="753">
        <f>'MSW19'!A59</f>
        <v>3</v>
      </c>
      <c r="B59" s="754">
        <f>'MSW19'!B59</f>
        <v>0</v>
      </c>
      <c r="C59" s="733" t="str">
        <f>'MSW19'!C59</f>
        <v>REP OUT</v>
      </c>
      <c r="D59" s="486" t="str">
        <f>'MSW19'!D59</f>
        <v>1 MIN</v>
      </c>
      <c r="E59" s="1479" t="str">
        <f>'MSW19'!E59</f>
        <v/>
      </c>
      <c r="F59" s="628" t="str">
        <f>'MSW19'!F59</f>
        <v/>
      </c>
    </row>
    <row r="60">
      <c r="A60" s="756" t="str">
        <f>'MSW19'!A60</f>
        <v/>
      </c>
    </row>
    <row r="62">
      <c r="A62" s="73" t="str">
        <f>'MSW19'!A62</f>
        <v>5. LOW ROW </v>
      </c>
      <c r="B62" s="53"/>
      <c r="C62" s="53"/>
      <c r="D62" s="53"/>
      <c r="E62" s="53"/>
      <c r="F62" s="54"/>
    </row>
    <row r="63">
      <c r="A63" s="226" t="str">
        <f>'MSW19'!A63</f>
        <v>CURRENT MAX</v>
      </c>
      <c r="B63" s="691">
        <f>'MSW19'!B63</f>
        <v>270</v>
      </c>
      <c r="C63" s="13"/>
      <c r="D63" s="13"/>
      <c r="E63" s="13"/>
      <c r="F63" s="57"/>
    </row>
    <row r="64">
      <c r="A64" s="96" t="str">
        <f>'MSW19'!A64</f>
        <v>SET</v>
      </c>
      <c r="B64" s="97" t="str">
        <f>'MSW19'!B64</f>
        <v>WEIGHT</v>
      </c>
      <c r="C64" s="97" t="str">
        <f>'MSW19'!C64</f>
        <v>REPS</v>
      </c>
      <c r="D64" s="97" t="str">
        <f>'MSW19'!D64</f>
        <v>REST</v>
      </c>
      <c r="E64" s="1480" t="str">
        <f>'MSW19'!E64</f>
        <v>PREVIOUS</v>
      </c>
      <c r="F64" s="377" t="str">
        <f>'MSW19'!F64</f>
        <v>REP LOG</v>
      </c>
    </row>
    <row r="65">
      <c r="A65" s="725">
        <f>'MSW19'!A65</f>
        <v>1</v>
      </c>
      <c r="B65" s="344">
        <f>'MSW19'!B65</f>
        <v>215</v>
      </c>
      <c r="C65" s="437" t="str">
        <f>'MSW19'!C65</f>
        <v>REP OUT</v>
      </c>
      <c r="D65" s="345" t="str">
        <f>'MSW19'!D65</f>
        <v>1-3 MIN</v>
      </c>
      <c r="E65" s="84" t="str">
        <f>'MSW19'!E65</f>
        <v/>
      </c>
      <c r="F65" s="85" t="str">
        <f>'MSW19'!F65</f>
        <v/>
      </c>
    </row>
    <row r="66">
      <c r="A66" s="725">
        <f>'MSW19'!A66</f>
        <v>2</v>
      </c>
      <c r="B66" s="344">
        <f>'MSW19'!B66</f>
        <v>205</v>
      </c>
      <c r="C66" s="437" t="str">
        <f>'MSW19'!C66</f>
        <v>REP OUT</v>
      </c>
      <c r="D66" s="345" t="str">
        <f>'MSW19'!D66</f>
        <v>1-3 MIN</v>
      </c>
      <c r="E66" s="84" t="str">
        <f>'MSW19'!E66</f>
        <v/>
      </c>
      <c r="F66" s="85" t="str">
        <f>'MSW19'!F66</f>
        <v/>
      </c>
    </row>
    <row r="67">
      <c r="A67" s="753">
        <f>'MSW19'!A67</f>
        <v>3</v>
      </c>
      <c r="B67" s="754">
        <f>'MSW19'!B67</f>
        <v>165</v>
      </c>
      <c r="C67" s="733" t="str">
        <f>'MSW19'!C67</f>
        <v>REP OUT</v>
      </c>
      <c r="D67" s="488" t="str">
        <f>'MSW19'!D67</f>
        <v>1-3 MIN</v>
      </c>
      <c r="E67" s="89" t="str">
        <f>'MSW19'!E67</f>
        <v/>
      </c>
      <c r="F67" s="85" t="str">
        <f>'MSW19'!F67</f>
        <v/>
      </c>
    </row>
    <row r="68">
      <c r="A68" s="1157" t="str">
        <f>'MSW19'!A68</f>
        <v/>
      </c>
      <c r="F68" s="39"/>
    </row>
    <row r="69">
      <c r="A69" s="310" t="str">
        <f>'MSW19'!A69</f>
        <v>CLICK TO COMPLETE WORKOUT</v>
      </c>
      <c r="B69" s="36"/>
      <c r="C69" s="36"/>
      <c r="D69" s="36"/>
      <c r="E69" s="36"/>
      <c r="F69" s="37"/>
    </row>
    <row r="70">
      <c r="A70" s="763" t="str">
        <f>'MSW19'!A70</f>
        <v/>
      </c>
      <c r="B70" s="11"/>
      <c r="C70" s="11"/>
      <c r="D70" s="11"/>
      <c r="E70" s="11"/>
      <c r="F70" s="11"/>
    </row>
    <row r="71">
      <c r="A71" s="50" t="str">
        <f>'MSW19'!A71</f>
        <v>DAY 2 </v>
      </c>
      <c r="B71" s="36"/>
      <c r="C71" s="36"/>
      <c r="D71" s="36"/>
      <c r="E71" s="36"/>
      <c r="F71" s="37"/>
    </row>
    <row r="72">
      <c r="A72" t="str">
        <f>'MSW19'!A72</f>
        <v/>
      </c>
    </row>
    <row r="74">
      <c r="A74" s="1355" t="str">
        <f>'MSW19'!A74</f>
        <v>1. MACHINE SQUAT</v>
      </c>
      <c r="B74" s="53"/>
      <c r="C74" s="53"/>
      <c r="D74" s="53"/>
      <c r="E74" s="53"/>
      <c r="F74" s="54"/>
    </row>
    <row r="75">
      <c r="A75" s="1268" t="str">
        <f>'MSW19'!A75</f>
        <v>2 REP MAX</v>
      </c>
      <c r="B75" s="1035">
        <f>'MSW19'!B75</f>
        <v>100</v>
      </c>
      <c r="C75" s="13"/>
      <c r="D75" s="13"/>
      <c r="E75" s="13"/>
      <c r="F75" s="57"/>
    </row>
    <row r="76">
      <c r="A76" s="962" t="str">
        <f>'MSW19'!A76</f>
        <v>SET</v>
      </c>
      <c r="B76" s="1481" t="str">
        <f>'MSW19'!B76</f>
        <v>WEIGHT</v>
      </c>
      <c r="C76" s="963" t="str">
        <f>'MSW19'!C76</f>
        <v>REPS</v>
      </c>
      <c r="D76" s="963" t="str">
        <f>'MSW19'!D76</f>
        <v>REST</v>
      </c>
      <c r="E76" s="1073" t="str">
        <f>'MSW19'!E76</f>
        <v>PREVIOUS</v>
      </c>
      <c r="F76" s="1006" t="str">
        <f>'MSW19'!F76</f>
        <v>REP LOG</v>
      </c>
    </row>
    <row r="77">
      <c r="A77" s="1307">
        <f>'MSW19'!A77</f>
        <v>1</v>
      </c>
      <c r="B77" s="1482">
        <f>'MSW19'!B77</f>
        <v>50</v>
      </c>
      <c r="C77" s="1234">
        <f>'MSW19'!C77</f>
        <v>30</v>
      </c>
      <c r="D77" s="1234" t="str">
        <f>'MSW19'!D77</f>
        <v>1-5 MIN</v>
      </c>
      <c r="E77" s="1077" t="str">
        <f>'MSW19'!E77</f>
        <v/>
      </c>
      <c r="F77" s="1131"/>
    </row>
    <row r="78">
      <c r="A78" s="967">
        <f>'MSW19'!A78</f>
        <v>2</v>
      </c>
      <c r="B78" s="1015">
        <f>'MSW19'!B78</f>
        <v>50</v>
      </c>
      <c r="C78" s="1067">
        <f>'MSW19'!C78</f>
        <v>30</v>
      </c>
      <c r="D78" s="1234" t="str">
        <f>'MSW19'!D78</f>
        <v>1-5 MIN</v>
      </c>
      <c r="E78" s="1077" t="str">
        <f>'MSW19'!E78</f>
        <v/>
      </c>
      <c r="F78" s="1131"/>
    </row>
    <row r="79">
      <c r="A79" s="1308">
        <f>'MSW19'!A79</f>
        <v>3</v>
      </c>
      <c r="B79" s="1205">
        <f>'MSW19'!B79</f>
        <v>50</v>
      </c>
      <c r="C79" s="1239">
        <f>'MSW19'!C79</f>
        <v>30</v>
      </c>
      <c r="D79" s="1234" t="str">
        <f>'MSW19'!D79</f>
        <v>1-5 MIN</v>
      </c>
      <c r="E79" s="1077" t="str">
        <f>'MSW19'!E79</f>
        <v/>
      </c>
      <c r="F79" s="1131"/>
    </row>
    <row r="80">
      <c r="A80" s="1308" t="str">
        <f>'MSW19'!A80</f>
        <v/>
      </c>
      <c r="B80" s="1028" t="str">
        <f>'MSW19'!B80</f>
        <v/>
      </c>
      <c r="C80" s="1205" t="str">
        <f>'MSW19'!C80</f>
        <v/>
      </c>
      <c r="D80" s="1234" t="str">
        <f>'MSW19'!D80</f>
        <v/>
      </c>
      <c r="E80" s="1211" t="str">
        <f>'MSW19'!E80</f>
        <v/>
      </c>
      <c r="F80" s="1309"/>
    </row>
    <row r="81">
      <c r="A81" s="1308" t="str">
        <f>'MSW19'!A81</f>
        <v/>
      </c>
      <c r="B81" s="1205" t="str">
        <f>'MSW19'!B81</f>
        <v/>
      </c>
      <c r="C81" s="1234" t="str">
        <f>'MSW19'!C81</f>
        <v/>
      </c>
      <c r="D81" s="1234" t="str">
        <f>'MSW19'!D81</f>
        <v/>
      </c>
      <c r="E81" s="1010" t="str">
        <f>'MSW19'!E81</f>
        <v/>
      </c>
      <c r="F81" s="1131"/>
    </row>
    <row r="82">
      <c r="A82" s="1310" t="str">
        <f>'MSW19'!A82</f>
        <v/>
      </c>
      <c r="B82" s="1205" t="str">
        <f>'MSW19'!B82</f>
        <v/>
      </c>
      <c r="C82" s="1311" t="str">
        <f>'MSW19'!C82</f>
        <v/>
      </c>
      <c r="D82" s="1234" t="str">
        <f>'MSW19'!D82</f>
        <v/>
      </c>
      <c r="E82" s="1010" t="str">
        <f>'MSW19'!E82</f>
        <v/>
      </c>
      <c r="F82" s="1011"/>
    </row>
    <row r="83">
      <c r="A83" s="1310" t="str">
        <f>'MSW19'!A83</f>
        <v/>
      </c>
      <c r="B83" s="1205" t="str">
        <f>'MSW19'!B83</f>
        <v/>
      </c>
      <c r="C83" s="1311" t="str">
        <f>'MSW19'!C83</f>
        <v/>
      </c>
      <c r="D83" s="1234" t="str">
        <f>'MSW19'!D83</f>
        <v/>
      </c>
      <c r="E83" s="1010" t="str">
        <f>'MSW19'!E83</f>
        <v/>
      </c>
      <c r="F83" s="1483"/>
    </row>
    <row r="84">
      <c r="A84" s="1310" t="str">
        <f>'MSW19'!A84</f>
        <v/>
      </c>
      <c r="B84" s="1205" t="str">
        <f>'MSW19'!B84</f>
        <v/>
      </c>
      <c r="C84" s="1311" t="str">
        <f>'MSW19'!C84</f>
        <v/>
      </c>
      <c r="D84" s="1234" t="str">
        <f>'MSW19'!D84</f>
        <v/>
      </c>
      <c r="E84" s="1312" t="str">
        <f>'MSW19'!E84</f>
        <v/>
      </c>
      <c r="F84" s="1484"/>
    </row>
    <row r="85">
      <c r="A85" s="1310" t="str">
        <f>'MSW19'!A85</f>
        <v/>
      </c>
      <c r="B85" s="1205" t="str">
        <f>'MSW19'!B85</f>
        <v/>
      </c>
      <c r="C85" s="1311" t="str">
        <f>'MSW19'!C85</f>
        <v/>
      </c>
      <c r="D85" s="1234" t="str">
        <f>'MSW19'!D85</f>
        <v/>
      </c>
      <c r="E85" s="1010" t="str">
        <f>'MSW19'!E85</f>
        <v/>
      </c>
      <c r="F85" s="1011"/>
    </row>
    <row r="86">
      <c r="A86" s="1326" t="str">
        <f>'MSW19'!A86</f>
        <v/>
      </c>
      <c r="B86" s="1327" t="str">
        <f>'MSW19'!B86</f>
        <v/>
      </c>
      <c r="C86" s="1328" t="str">
        <f>'MSW19'!C86</f>
        <v/>
      </c>
      <c r="D86" s="1329" t="str">
        <f>'MSW19'!D86</f>
        <v/>
      </c>
      <c r="E86" s="1065" t="str">
        <f>'MSW19'!E86</f>
        <v/>
      </c>
      <c r="F86" s="1085" t="str">
        <f>'MSW19'!F86</f>
        <v/>
      </c>
    </row>
    <row r="87">
      <c r="A87" s="1330" t="str">
        <f>'MSW19'!A87</f>
        <v/>
      </c>
      <c r="B87" s="25"/>
      <c r="C87" s="25"/>
      <c r="D87" s="25"/>
      <c r="E87" s="25"/>
      <c r="F87" s="25"/>
    </row>
    <row r="89">
      <c r="A89" s="310" t="str">
        <f>'MSW19'!A89</f>
        <v>CLICK TO COMPLETE WORKOUT</v>
      </c>
      <c r="B89" s="36"/>
      <c r="C89" s="36"/>
      <c r="D89" s="36"/>
      <c r="E89" s="36"/>
      <c r="F89" s="37"/>
    </row>
    <row r="90">
      <c r="A90" t="str">
        <f>'MSW19'!A90</f>
        <v/>
      </c>
    </row>
    <row r="92">
      <c r="A92" s="1120" t="str">
        <f>'MSW19'!A92</f>
        <v>DAY 3</v>
      </c>
      <c r="B92" s="36"/>
      <c r="C92" s="36"/>
      <c r="D92" s="36"/>
      <c r="E92" s="36"/>
      <c r="F92" s="37"/>
    </row>
    <row r="93">
      <c r="A93" t="str">
        <f>'MSW19'!A93</f>
        <v/>
      </c>
    </row>
    <row r="95">
      <c r="A95" s="44" t="str">
        <f>'MSW19'!A95</f>
        <v>SHOULDERS &amp; ARMS</v>
      </c>
      <c r="B95" s="36"/>
      <c r="C95" s="36"/>
      <c r="D95" s="36"/>
      <c r="E95" s="36"/>
      <c r="F95" s="37"/>
      <c r="G95" t="str">
        <f>'MSW19'!G95</f>
        <v/>
      </c>
      <c r="H95" s="44" t="str">
        <f>'MSW19'!H95</f>
        <v>SHOULDERS &amp; ARMS</v>
      </c>
      <c r="I95" s="36"/>
      <c r="J95" s="36"/>
      <c r="K95" s="36"/>
      <c r="L95" s="36"/>
      <c r="M95" s="37"/>
    </row>
    <row r="96">
      <c r="A96" s="112" t="str">
        <f>'MSW19'!A96</f>
        <v>1. SHOULDER PRESS</v>
      </c>
      <c r="B96" s="13"/>
      <c r="C96" s="13"/>
      <c r="D96" s="13"/>
      <c r="E96" s="13"/>
      <c r="F96" s="57"/>
      <c r="H96" s="1139" t="str">
        <f>'MSW19'!H96</f>
        <v>1. MACHINE SHOULDER PRESS</v>
      </c>
      <c r="I96" s="13"/>
      <c r="J96" s="13"/>
      <c r="K96" s="13"/>
      <c r="L96" s="13"/>
      <c r="M96" s="57"/>
    </row>
    <row r="97">
      <c r="A97" s="226" t="str">
        <f>'MSW19'!A97</f>
        <v>CURRENT MAX</v>
      </c>
      <c r="B97" s="227" t="str">
        <f>'MSW19'!B97</f>
        <v/>
      </c>
      <c r="C97" s="20"/>
      <c r="D97" s="20"/>
      <c r="E97" s="20"/>
      <c r="F97" s="95"/>
      <c r="H97" s="226" t="str">
        <f>'MSW19'!H97</f>
        <v>CURRENT MAX</v>
      </c>
      <c r="I97" s="227">
        <f>'MSW19'!I97</f>
        <v>105</v>
      </c>
      <c r="J97" s="20"/>
      <c r="K97" s="20"/>
      <c r="L97" s="20"/>
      <c r="M97" s="95"/>
    </row>
    <row r="98">
      <c r="A98" s="231" t="str">
        <f>'MSW19'!A98</f>
        <v>SET</v>
      </c>
      <c r="B98" s="232" t="str">
        <f>'MSW19'!B98</f>
        <v>WEIGHT</v>
      </c>
      <c r="C98" s="232" t="str">
        <f>'MSW19'!C98</f>
        <v>REPS</v>
      </c>
      <c r="D98" s="232" t="str">
        <f>'MSW19'!D98</f>
        <v>REST</v>
      </c>
      <c r="E98" s="233" t="str">
        <f>'MSW19'!E98</f>
        <v>PREVIOUS</v>
      </c>
      <c r="F98" s="61" t="str">
        <f>'MSW19'!F98</f>
        <v>REP LOG</v>
      </c>
      <c r="H98" s="231" t="str">
        <f>'MSW19'!H98</f>
        <v>SET</v>
      </c>
      <c r="I98" s="232" t="str">
        <f>'MSW19'!I98</f>
        <v>WEIGHT</v>
      </c>
      <c r="J98" s="232" t="str">
        <f>'MSW19'!J98</f>
        <v>REPS</v>
      </c>
      <c r="K98" s="232" t="str">
        <f>'MSW19'!K98</f>
        <v>REST</v>
      </c>
      <c r="L98" s="233" t="str">
        <f>'MSW19'!L98</f>
        <v>PREVIOUS</v>
      </c>
      <c r="M98" s="61" t="str">
        <f>'MSW19'!M98</f>
        <v>REP LOG</v>
      </c>
    </row>
    <row r="99">
      <c r="A99" s="1140">
        <f>'MSW19'!A99</f>
        <v>1</v>
      </c>
      <c r="B99" s="237">
        <f>'MSW19'!B99</f>
        <v>0</v>
      </c>
      <c r="C99" s="237">
        <f>'MSW19'!C99</f>
        <v>6</v>
      </c>
      <c r="D99" s="238" t="str">
        <f>'MSW19'!D99</f>
        <v>30s</v>
      </c>
      <c r="E99" s="84" t="str">
        <f>'MSW19'!E99</f>
        <v/>
      </c>
      <c r="F99" s="67"/>
      <c r="H99" s="1140">
        <f>'MSW19'!H99</f>
        <v>1</v>
      </c>
      <c r="I99" s="237">
        <f>'MSW19'!I99</f>
        <v>35</v>
      </c>
      <c r="J99" s="237">
        <f>'MSW19'!J99</f>
        <v>6</v>
      </c>
      <c r="K99" s="238" t="str">
        <f>'MSW19'!K99</f>
        <v>30s</v>
      </c>
      <c r="L99" s="84" t="str">
        <f>'MSW19'!L99</f>
        <v/>
      </c>
      <c r="M99" s="67"/>
    </row>
    <row r="100">
      <c r="A100" s="236">
        <f>'MSW19'!A100</f>
        <v>2</v>
      </c>
      <c r="B100" s="237">
        <f>'MSW19'!B100</f>
        <v>0</v>
      </c>
      <c r="C100" s="237">
        <f>'MSW19'!C100</f>
        <v>1</v>
      </c>
      <c r="D100" s="238" t="str">
        <f>'MSW19'!D100</f>
        <v>1-2 MIN</v>
      </c>
      <c r="E100" s="84" t="str">
        <f>'MSW19'!E100</f>
        <v/>
      </c>
      <c r="F100" s="67"/>
      <c r="H100" s="236">
        <f>'MSW19'!H100</f>
        <v>2</v>
      </c>
      <c r="I100" s="237">
        <f>'MSW19'!I100</f>
        <v>70</v>
      </c>
      <c r="J100" s="237">
        <f>'MSW19'!J100</f>
        <v>1</v>
      </c>
      <c r="K100" s="238" t="str">
        <f>'MSW19'!K100</f>
        <v>1-2 MIN</v>
      </c>
      <c r="L100" s="84" t="str">
        <f>'MSW19'!L100</f>
        <v/>
      </c>
      <c r="M100" s="67"/>
    </row>
    <row r="101">
      <c r="A101" s="242">
        <f>'MSW19'!A101</f>
        <v>3</v>
      </c>
      <c r="B101" s="237">
        <f>'MSW19'!B101</f>
        <v>10</v>
      </c>
      <c r="C101" s="82">
        <f>'MSW19'!C101</f>
        <v>1</v>
      </c>
      <c r="D101" s="238" t="str">
        <f>'MSW19'!D101</f>
        <v>1-2 MIN</v>
      </c>
      <c r="E101" s="84" t="str">
        <f>'MSW19'!E101</f>
        <v/>
      </c>
      <c r="F101" s="67"/>
      <c r="H101" s="242">
        <f>'MSW19'!H101</f>
        <v>3</v>
      </c>
      <c r="I101" s="237">
        <f>'MSW19'!I101</f>
        <v>95</v>
      </c>
      <c r="J101" s="82">
        <f>'MSW19'!J101</f>
        <v>1</v>
      </c>
      <c r="K101" s="238" t="str">
        <f>'MSW19'!K101</f>
        <v>1-2 MIN</v>
      </c>
      <c r="L101" s="84" t="str">
        <f>'MSW19'!L101</f>
        <v/>
      </c>
      <c r="M101" s="67"/>
    </row>
    <row r="102">
      <c r="A102" s="243">
        <f>'MSW19'!A102</f>
        <v>4</v>
      </c>
      <c r="B102" s="237" t="str">
        <f>'MSW19'!B102</f>
        <v/>
      </c>
      <c r="C102" s="257">
        <f>'MSW19'!C102</f>
        <v>1</v>
      </c>
      <c r="D102" s="238" t="str">
        <f>'MSW19'!D102</f>
        <v>1-5 MIN</v>
      </c>
      <c r="E102" s="84" t="str">
        <f>'MSW19'!E102</f>
        <v/>
      </c>
      <c r="F102" s="67"/>
      <c r="H102" s="243">
        <f>'MSW19'!H102</f>
        <v>4</v>
      </c>
      <c r="I102" s="237">
        <f>'MSW19'!I102</f>
        <v>105</v>
      </c>
      <c r="J102" s="257">
        <f>'MSW19'!J102</f>
        <v>1</v>
      </c>
      <c r="K102" s="238" t="str">
        <f>'MSW19'!K102</f>
        <v>1-5 MIN</v>
      </c>
      <c r="L102" s="84" t="str">
        <f>'MSW19'!L102</f>
        <v/>
      </c>
      <c r="M102" s="67"/>
    </row>
    <row r="103">
      <c r="A103" s="246" t="str">
        <f>'MSW19'!A103</f>
        <v>PROCEED TO DOWN SETS</v>
      </c>
      <c r="B103" s="20"/>
      <c r="C103" s="20"/>
      <c r="D103" s="20"/>
      <c r="E103" s="20"/>
      <c r="F103" s="95"/>
      <c r="H103" s="246" t="str">
        <f>'MSW19'!H103</f>
        <v>PROCEED TO DOWN SETS</v>
      </c>
      <c r="I103" s="20"/>
      <c r="J103" s="20"/>
      <c r="K103" s="20"/>
      <c r="L103" s="20"/>
      <c r="M103" s="95"/>
    </row>
    <row r="104">
      <c r="A104" s="249" t="str">
        <f>'MSW19'!A104</f>
        <v/>
      </c>
      <c r="B104" s="175" t="str">
        <f>'MSW19'!B104</f>
        <v/>
      </c>
      <c r="C104" s="238" t="str">
        <f>'MSW19'!C104</f>
        <v/>
      </c>
      <c r="D104" s="238" t="str">
        <f>'MSW19'!D104</f>
        <v/>
      </c>
      <c r="E104" s="84" t="str">
        <f>'MSW19'!E104</f>
        <v/>
      </c>
      <c r="F104" s="67"/>
      <c r="H104" s="249" t="str">
        <f>'MSW19'!H104</f>
        <v/>
      </c>
      <c r="I104" s="175" t="str">
        <f>'MSW19'!I104</f>
        <v/>
      </c>
      <c r="J104" s="238" t="str">
        <f>'MSW19'!J104</f>
        <v/>
      </c>
      <c r="K104" s="238" t="str">
        <f>'MSW19'!K104</f>
        <v/>
      </c>
      <c r="L104" s="84" t="str">
        <f>'MSW19'!L104</f>
        <v/>
      </c>
      <c r="M104" s="67"/>
    </row>
    <row r="105">
      <c r="A105" s="259" t="str">
        <f>'MSW19'!A105</f>
        <v/>
      </c>
      <c r="B105" s="237" t="str">
        <f>'MSW19'!B105</f>
        <v/>
      </c>
      <c r="C105" s="257" t="str">
        <f>'MSW19'!C105</f>
        <v/>
      </c>
      <c r="D105" s="257" t="str">
        <f>'MSW19'!D105</f>
        <v/>
      </c>
      <c r="E105" s="84" t="str">
        <f>'MSW19'!E105</f>
        <v/>
      </c>
      <c r="F105" s="67"/>
      <c r="H105" s="259" t="str">
        <f>'MSW19'!H105</f>
        <v/>
      </c>
      <c r="I105" s="237" t="str">
        <f>'MSW19'!I105</f>
        <v/>
      </c>
      <c r="J105" s="257" t="str">
        <f>'MSW19'!J105</f>
        <v/>
      </c>
      <c r="K105" s="257" t="str">
        <f>'MSW19'!K105</f>
        <v/>
      </c>
      <c r="L105" s="84" t="str">
        <f>'MSW19'!L105</f>
        <v/>
      </c>
      <c r="M105" s="67"/>
    </row>
    <row r="106">
      <c r="A106" s="246" t="str">
        <f>'MSW19'!A106</f>
        <v>DOWN SETS</v>
      </c>
      <c r="B106" s="20"/>
      <c r="C106" s="20"/>
      <c r="D106" s="20"/>
      <c r="E106" s="20"/>
      <c r="F106" s="95"/>
      <c r="H106" s="246" t="str">
        <f>'MSW19'!H106</f>
        <v>DOWN SETS</v>
      </c>
      <c r="I106" s="20"/>
      <c r="J106" s="20"/>
      <c r="K106" s="20"/>
      <c r="L106" s="20"/>
      <c r="M106" s="95"/>
    </row>
    <row r="107">
      <c r="A107" s="264" t="str">
        <f>'MSW19'!A107</f>
        <v/>
      </c>
      <c r="B107" s="265">
        <f>'MSW19'!B107</f>
        <v>0</v>
      </c>
      <c r="C107" s="266" t="str">
        <f>'MSW19'!C107</f>
        <v>REP OUT</v>
      </c>
      <c r="D107" s="267" t="str">
        <f>'MSW19'!D107</f>
        <v>1-3 MIN</v>
      </c>
      <c r="E107" s="84" t="str">
        <f>'MSW19'!E107</f>
        <v/>
      </c>
      <c r="F107" s="67" t="str">
        <f>'MSW19'!F107</f>
        <v/>
      </c>
      <c r="H107" s="264" t="str">
        <f>'MSW19'!H107</f>
        <v/>
      </c>
      <c r="I107" s="265">
        <f>'MSW19'!I107</f>
        <v>0</v>
      </c>
      <c r="J107" s="266" t="str">
        <f>'MSW19'!J107</f>
        <v>REP OUT</v>
      </c>
      <c r="K107" s="267" t="str">
        <f>'MSW19'!K107</f>
        <v>1-3 MIN</v>
      </c>
      <c r="L107" s="84" t="str">
        <f>'MSW19'!L107</f>
        <v/>
      </c>
      <c r="M107" s="67" t="str">
        <f>'MSW19'!M107</f>
        <v/>
      </c>
    </row>
    <row r="108">
      <c r="A108" s="243" t="str">
        <f>'MSW19'!A108</f>
        <v/>
      </c>
      <c r="B108" s="237">
        <f>'MSW19'!B108</f>
        <v>0</v>
      </c>
      <c r="C108" s="245" t="str">
        <f>'MSW19'!C108</f>
        <v>REP OUT</v>
      </c>
      <c r="D108" s="65" t="str">
        <f>'MSW19'!D108</f>
        <v>1-3 MIN</v>
      </c>
      <c r="E108" s="84" t="str">
        <f>'MSW19'!E108</f>
        <v/>
      </c>
      <c r="F108" s="271" t="str">
        <f>'MSW19'!F108</f>
        <v/>
      </c>
      <c r="H108" s="243" t="str">
        <f>'MSW19'!H108</f>
        <v/>
      </c>
      <c r="I108" s="237">
        <f>'MSW19'!I108</f>
        <v>0</v>
      </c>
      <c r="J108" s="245" t="str">
        <f>'MSW19'!J108</f>
        <v>REP OUT</v>
      </c>
      <c r="K108" s="65" t="str">
        <f>'MSW19'!K108</f>
        <v>1-3 MIN</v>
      </c>
      <c r="L108" s="84" t="str">
        <f>'MSW19'!L108</f>
        <v/>
      </c>
      <c r="M108" s="271" t="str">
        <f>'MSW19'!M108</f>
        <v/>
      </c>
    </row>
    <row r="109">
      <c r="A109" s="272" t="str">
        <f>'MSW19'!A109</f>
        <v>FINAL MAX</v>
      </c>
      <c r="B109" s="273" t="str">
        <f>'MSW19'!B109</f>
        <v/>
      </c>
      <c r="C109" s="11"/>
      <c r="D109" s="11"/>
      <c r="E109" s="11"/>
      <c r="F109" s="46"/>
      <c r="H109" s="272" t="str">
        <f>'MSW19'!H109</f>
        <v>FINAL MAX</v>
      </c>
      <c r="I109" s="273" t="str">
        <f>'MSW19'!I109</f>
        <v/>
      </c>
      <c r="J109" s="11"/>
      <c r="K109" s="11"/>
      <c r="L109" s="11"/>
      <c r="M109" s="46"/>
    </row>
    <row r="110">
      <c r="A110" t="str">
        <f>'MSW19'!A110</f>
        <v/>
      </c>
      <c r="G110" t="str">
        <f>'MSW19'!G110</f>
        <v/>
      </c>
    </row>
    <row r="112">
      <c r="A112" s="361" t="str">
        <f>'MSW19'!A112</f>
        <v>2.  CABLE HIGH PULLEY ROW</v>
      </c>
      <c r="B112" s="53"/>
      <c r="C112" s="53"/>
      <c r="D112" s="53"/>
      <c r="E112" s="53"/>
      <c r="F112" s="54"/>
    </row>
    <row r="113">
      <c r="A113" s="226" t="str">
        <f>'MSW19'!A113</f>
        <v>CURRENT MAX</v>
      </c>
      <c r="B113" s="76">
        <f>'MSW19'!B113</f>
        <v>85</v>
      </c>
      <c r="C113" s="13"/>
      <c r="D113" s="13"/>
      <c r="E113" s="13"/>
      <c r="F113" s="57"/>
    </row>
    <row r="114">
      <c r="A114" s="77" t="str">
        <f>'MSW19'!A114</f>
        <v>SET</v>
      </c>
      <c r="B114" s="78" t="str">
        <f>'MSW19'!B114</f>
        <v>WEIGHT</v>
      </c>
      <c r="C114" s="78" t="str">
        <f>'MSW19'!C114</f>
        <v>REPS</v>
      </c>
      <c r="D114" s="78" t="str">
        <f>'MSW19'!D114</f>
        <v>REST</v>
      </c>
      <c r="E114" s="80" t="str">
        <f>'MSW19'!E114</f>
        <v>PREVIOUS</v>
      </c>
      <c r="F114" s="235" t="str">
        <f>'MSW19'!F114</f>
        <v>REP LOG</v>
      </c>
    </row>
    <row r="115">
      <c r="A115" s="81">
        <f>'MSW19'!A115</f>
        <v>1</v>
      </c>
      <c r="B115" s="82">
        <f>'MSW19'!B115</f>
        <v>85</v>
      </c>
      <c r="C115" s="65" t="str">
        <f>'MSW19'!C115</f>
        <v>10 - 15</v>
      </c>
      <c r="D115" s="83" t="str">
        <f>'MSW19'!D115</f>
        <v>1-2MIN</v>
      </c>
      <c r="E115" s="84" t="str">
        <f>'MSW19'!E115</f>
        <v/>
      </c>
      <c r="F115" s="85"/>
    </row>
    <row r="116">
      <c r="A116" s="81">
        <f>'MSW19'!A116</f>
        <v>2</v>
      </c>
      <c r="B116" s="82">
        <f>'MSW19'!B116</f>
        <v>70</v>
      </c>
      <c r="C116" s="65" t="str">
        <f>'MSW19'!C116</f>
        <v>10 - 15</v>
      </c>
      <c r="D116" s="83" t="str">
        <f>'MSW19'!D116</f>
        <v>1-2MIN</v>
      </c>
      <c r="E116" s="84">
        <f>'MSW19'!E116</f>
        <v>10</v>
      </c>
      <c r="F116" s="85"/>
    </row>
    <row r="117">
      <c r="A117" s="86">
        <f>'MSW19'!A117</f>
        <v>3</v>
      </c>
      <c r="B117" s="87">
        <f>'MSW19'!B117</f>
        <v>55</v>
      </c>
      <c r="C117" s="71" t="str">
        <f>'MSW19'!C117</f>
        <v>10 - 15</v>
      </c>
      <c r="D117" s="88" t="str">
        <f>'MSW19'!D117</f>
        <v>1-2MIN</v>
      </c>
      <c r="E117" s="89" t="str">
        <f>'MSW19'!E117</f>
        <v/>
      </c>
      <c r="F117" s="85" t="str">
        <f>'MSW19'!F117</f>
        <v/>
      </c>
    </row>
    <row r="118">
      <c r="A118" t="str">
        <f>'MSW19'!A118</f>
        <v/>
      </c>
    </row>
    <row r="119">
      <c r="A119" s="513" t="str">
        <f>'MSW19'!A119</f>
        <v>3. DUMBBELL SIDE LATERAL RAISE</v>
      </c>
      <c r="B119" s="53"/>
      <c r="C119" s="53"/>
      <c r="D119" s="53"/>
      <c r="E119" s="53"/>
      <c r="F119" s="54"/>
    </row>
    <row r="120">
      <c r="A120" s="226" t="str">
        <f>'MSW19'!A120</f>
        <v>SHLDR PRSS MAX</v>
      </c>
      <c r="B120" s="90" t="str">
        <f>'MSW19'!B120</f>
        <v/>
      </c>
      <c r="C120" s="13"/>
      <c r="D120" s="13"/>
      <c r="E120" s="13"/>
      <c r="F120" s="57"/>
    </row>
    <row r="121">
      <c r="A121" s="376" t="str">
        <f>'MSW19'!A121</f>
        <v>SET</v>
      </c>
      <c r="B121" s="79" t="str">
        <f>'MSW19'!B121</f>
        <v>WEIGHT</v>
      </c>
      <c r="C121" s="79" t="str">
        <f>'MSW19'!C121</f>
        <v>REPS</v>
      </c>
      <c r="D121" s="79" t="str">
        <f>'MSW19'!D121</f>
        <v>REST</v>
      </c>
      <c r="E121" s="98" t="str">
        <f>'MSW19'!E121</f>
        <v>PREVIOUS</v>
      </c>
      <c r="F121" s="377" t="str">
        <f>'MSW19'!F121</f>
        <v>REP LOG</v>
      </c>
    </row>
    <row r="122">
      <c r="A122" s="81">
        <f>'MSW19'!A122</f>
        <v>1</v>
      </c>
      <c r="B122" s="82">
        <f>'MSW19'!B122</f>
        <v>0</v>
      </c>
      <c r="C122" s="65" t="str">
        <f>'MSW19'!C122</f>
        <v>10 - 15</v>
      </c>
      <c r="D122" s="83" t="str">
        <f>'MSW19'!D122</f>
        <v>1-2MIN</v>
      </c>
      <c r="E122" s="378">
        <f>'MSW19'!E122</f>
        <v>15</v>
      </c>
      <c r="F122" s="796"/>
    </row>
    <row r="123">
      <c r="A123" s="81">
        <f>'MSW19'!A123</f>
        <v>2</v>
      </c>
      <c r="B123" s="82">
        <f>'MSW19'!B123</f>
        <v>0</v>
      </c>
      <c r="C123" s="65" t="str">
        <f>'MSW19'!C123</f>
        <v>10 - 15</v>
      </c>
      <c r="D123" s="83" t="str">
        <f>'MSW19'!D123</f>
        <v>1-2MIN</v>
      </c>
      <c r="E123" s="378">
        <f>'MSW19'!E123</f>
        <v>15</v>
      </c>
      <c r="F123" s="330"/>
    </row>
    <row r="124">
      <c r="A124" s="86">
        <f>'MSW19'!A124</f>
        <v>3</v>
      </c>
      <c r="B124" s="87">
        <f>'MSW19'!B124</f>
        <v>0</v>
      </c>
      <c r="C124" s="71" t="str">
        <f>'MSW19'!C124</f>
        <v>10 - 15</v>
      </c>
      <c r="D124" s="88" t="str">
        <f>'MSW19'!D124</f>
        <v>1-2MIN</v>
      </c>
      <c r="E124" s="379" t="str">
        <f>'MSW19'!E124</f>
        <v/>
      </c>
      <c r="F124" s="85"/>
    </row>
    <row r="125">
      <c r="A125" t="str">
        <f>'MSW19'!A125</f>
        <v/>
      </c>
    </row>
    <row r="127">
      <c r="A127" s="73" t="str">
        <f>'MSW19'!A127</f>
        <v>4. TRICEP PUSH DOWNS</v>
      </c>
      <c r="B127" s="53"/>
      <c r="C127" s="53"/>
      <c r="D127" s="53"/>
      <c r="E127" s="53"/>
      <c r="F127" s="54"/>
    </row>
    <row r="128">
      <c r="A128" s="226" t="str">
        <f>'MSW19'!A128</f>
        <v>CURRENT MAX</v>
      </c>
      <c r="B128" s="90">
        <f>'MSW19'!B128</f>
        <v>30</v>
      </c>
      <c r="C128" s="13"/>
      <c r="D128" s="13"/>
      <c r="E128" s="13"/>
      <c r="F128" s="57"/>
    </row>
    <row r="129">
      <c r="A129" s="77" t="str">
        <f>'MSW19'!A129</f>
        <v>SET</v>
      </c>
      <c r="B129" s="78" t="str">
        <f>'MSW19'!B129</f>
        <v>WEIGHT</v>
      </c>
      <c r="C129" s="78" t="str">
        <f>'MSW19'!C129</f>
        <v>REPS</v>
      </c>
      <c r="D129" s="78" t="str">
        <f>'MSW19'!D129</f>
        <v>REST</v>
      </c>
      <c r="E129" s="80" t="str">
        <f>'MSW19'!E129</f>
        <v>PREVIOUS</v>
      </c>
      <c r="F129" s="235" t="str">
        <f>'MSW19'!F129</f>
        <v>REP LOG</v>
      </c>
    </row>
    <row r="130">
      <c r="A130" s="81">
        <f>'MSW19'!A130</f>
        <v>1</v>
      </c>
      <c r="B130" s="82">
        <f>'MSW19'!B130</f>
        <v>30</v>
      </c>
      <c r="C130" s="65">
        <f>'MSW19'!C130</f>
        <v>20</v>
      </c>
      <c r="D130" s="83" t="str">
        <f>'MSW19'!D130</f>
        <v>1MIN</v>
      </c>
      <c r="E130" s="84" t="str">
        <f>'MSW19'!E130</f>
        <v/>
      </c>
      <c r="F130" s="85" t="str">
        <f>'MSW19'!F130</f>
        <v/>
      </c>
    </row>
    <row r="131">
      <c r="A131" s="81">
        <f>'MSW19'!A131</f>
        <v>2</v>
      </c>
      <c r="B131" s="82">
        <f>'MSW19'!B131</f>
        <v>25</v>
      </c>
      <c r="C131" s="65">
        <f>'MSW19'!C131</f>
        <v>20</v>
      </c>
      <c r="D131" s="83" t="str">
        <f>'MSW19'!D131</f>
        <v>1MIN</v>
      </c>
      <c r="E131" s="84" t="str">
        <f>'MSW19'!E131</f>
        <v/>
      </c>
      <c r="F131" s="85" t="str">
        <f>'MSW19'!F131</f>
        <v/>
      </c>
    </row>
    <row r="132">
      <c r="A132" s="86">
        <f>'MSW19'!A132</f>
        <v>3</v>
      </c>
      <c r="B132" s="87">
        <f>'MSW19'!B132</f>
        <v>0</v>
      </c>
      <c r="C132" s="71">
        <f>'MSW19'!C132</f>
        <v>20</v>
      </c>
      <c r="D132" s="88" t="str">
        <f>'MSW19'!D132</f>
        <v>1MIN</v>
      </c>
      <c r="E132" s="89" t="str">
        <f>'MSW19'!E132</f>
        <v/>
      </c>
      <c r="F132" s="85" t="str">
        <f>'MSW19'!F132</f>
        <v/>
      </c>
    </row>
    <row r="133">
      <c r="A133" t="str">
        <f>'MSW19'!A133</f>
        <v/>
      </c>
    </row>
    <row r="135">
      <c r="A135" s="75" t="str">
        <f>'MSW19'!A135</f>
        <v>5. BICEP CABLE CURL</v>
      </c>
      <c r="B135" s="53"/>
      <c r="C135" s="53"/>
      <c r="D135" s="53"/>
      <c r="E135" s="53"/>
      <c r="F135" s="54"/>
      <c r="G135" s="141" t="str">
        <f>'MSW19'!G135</f>
        <v/>
      </c>
      <c r="H135" s="75" t="str">
        <f>'MSW19'!H135</f>
        <v>5. BICEP EZ BAR CURL</v>
      </c>
      <c r="I135" s="53"/>
      <c r="J135" s="53"/>
      <c r="K135" s="53"/>
      <c r="L135" s="53"/>
      <c r="M135" s="54"/>
    </row>
    <row r="136">
      <c r="A136" s="226" t="str">
        <f>'MSW19'!A136</f>
        <v>CURRENT MAX</v>
      </c>
      <c r="B136" s="90">
        <f>'MSW19'!B136</f>
        <v>30</v>
      </c>
      <c r="C136" s="13"/>
      <c r="D136" s="13"/>
      <c r="E136" s="13"/>
      <c r="F136" s="57"/>
      <c r="H136" s="226" t="str">
        <f>'MSW19'!H136</f>
        <v>CURRENT MAX</v>
      </c>
      <c r="I136" s="90">
        <f>'MSW19'!I136</f>
        <v>10</v>
      </c>
      <c r="J136" s="13"/>
      <c r="K136" s="13"/>
      <c r="L136" s="13"/>
      <c r="M136" s="57"/>
    </row>
    <row r="137">
      <c r="A137" s="77" t="str">
        <f>'MSW19'!A137</f>
        <v>SET</v>
      </c>
      <c r="B137" s="78" t="str">
        <f>'MSW19'!B137</f>
        <v>WEIGHT</v>
      </c>
      <c r="C137" s="78" t="str">
        <f>'MSW19'!C137</f>
        <v>REPS</v>
      </c>
      <c r="D137" s="78" t="str">
        <f>'MSW19'!D137</f>
        <v>REST</v>
      </c>
      <c r="E137" s="80" t="str">
        <f>'MSW19'!E137</f>
        <v>PREVIOUS</v>
      </c>
      <c r="F137" s="235" t="str">
        <f>'MSW19'!F137</f>
        <v>REP LOG</v>
      </c>
      <c r="H137" s="77" t="str">
        <f>'MSW19'!H137</f>
        <v>SET</v>
      </c>
      <c r="I137" s="78" t="str">
        <f>'MSW19'!I137</f>
        <v>WEIGHT</v>
      </c>
      <c r="J137" s="78" t="str">
        <f>'MSW19'!J137</f>
        <v>REPS</v>
      </c>
      <c r="K137" s="78" t="str">
        <f>'MSW19'!K137</f>
        <v>REST</v>
      </c>
      <c r="L137" s="80" t="str">
        <f>'MSW19'!L137</f>
        <v>PREVIOUS</v>
      </c>
      <c r="M137" s="235" t="str">
        <f>'MSW19'!M137</f>
        <v>REP LOG</v>
      </c>
    </row>
    <row r="138">
      <c r="A138" s="81">
        <f>'MSW19'!A138</f>
        <v>1</v>
      </c>
      <c r="B138" s="82">
        <f>'MSW19'!B138</f>
        <v>30</v>
      </c>
      <c r="C138" s="65" t="str">
        <f>'MSW19'!C138</f>
        <v>10 - 15</v>
      </c>
      <c r="D138" s="83" t="str">
        <f>'MSW19'!D138</f>
        <v>1-2MIN</v>
      </c>
      <c r="E138" s="84" t="str">
        <f>'MSW19'!E138</f>
        <v/>
      </c>
      <c r="F138" s="85" t="str">
        <f>'MSW19'!F138</f>
        <v/>
      </c>
      <c r="H138" s="81">
        <f>'MSW19'!H138</f>
        <v>1</v>
      </c>
      <c r="I138" s="82">
        <f>'MSW19'!I138</f>
        <v>10</v>
      </c>
      <c r="J138" s="65" t="str">
        <f>'MSW19'!J138</f>
        <v>10 - 15</v>
      </c>
      <c r="K138" s="83" t="str">
        <f>'MSW19'!K138</f>
        <v>1-2MIN</v>
      </c>
      <c r="L138" s="84" t="str">
        <f>'MSW19'!L138</f>
        <v/>
      </c>
      <c r="M138" s="85" t="str">
        <f>'MSW19'!M138</f>
        <v/>
      </c>
    </row>
    <row r="139">
      <c r="A139" s="81">
        <f>'MSW19'!A139</f>
        <v>2</v>
      </c>
      <c r="B139" s="82">
        <f>'MSW19'!B139</f>
        <v>25</v>
      </c>
      <c r="C139" s="65" t="str">
        <f>'MSW19'!C139</f>
        <v>10 - 15</v>
      </c>
      <c r="D139" s="83" t="str">
        <f>'MSW19'!D139</f>
        <v>1-2MIN</v>
      </c>
      <c r="E139" s="84" t="str">
        <f>'MSW19'!E139</f>
        <v/>
      </c>
      <c r="F139" s="85" t="str">
        <f>'MSW19'!F139</f>
        <v/>
      </c>
      <c r="H139" s="81">
        <f>'MSW19'!H139</f>
        <v>2</v>
      </c>
      <c r="I139" s="82">
        <f>'MSW19'!I139</f>
        <v>10</v>
      </c>
      <c r="J139" s="65" t="str">
        <f>'MSW19'!J139</f>
        <v>10 - 15</v>
      </c>
      <c r="K139" s="83" t="str">
        <f>'MSW19'!K139</f>
        <v>1-2MIN</v>
      </c>
      <c r="L139" s="84" t="str">
        <f>'MSW19'!L139</f>
        <v/>
      </c>
      <c r="M139" s="85" t="str">
        <f>'MSW19'!M139</f>
        <v/>
      </c>
    </row>
    <row r="140">
      <c r="A140" s="86">
        <f>'MSW19'!A140</f>
        <v>3</v>
      </c>
      <c r="B140" s="87">
        <f>'MSW19'!B140</f>
        <v>20</v>
      </c>
      <c r="C140" s="71" t="str">
        <f>'MSW19'!C140</f>
        <v>10 - 15</v>
      </c>
      <c r="D140" s="88" t="str">
        <f>'MSW19'!D140</f>
        <v>1-2MIN</v>
      </c>
      <c r="E140" s="89" t="str">
        <f>'MSW19'!E140</f>
        <v/>
      </c>
      <c r="F140" s="85" t="str">
        <f>'MSW19'!F140</f>
        <v/>
      </c>
      <c r="H140" s="86">
        <f>'MSW19'!H140</f>
        <v>3</v>
      </c>
      <c r="I140" s="87">
        <f>'MSW19'!I140</f>
        <v>10</v>
      </c>
      <c r="J140" s="71" t="str">
        <f>'MSW19'!J140</f>
        <v>10 - 15</v>
      </c>
      <c r="K140" s="88" t="str">
        <f>'MSW19'!K140</f>
        <v>1-2MIN</v>
      </c>
      <c r="L140" s="89" t="str">
        <f>'MSW19'!L140</f>
        <v/>
      </c>
      <c r="M140" s="85" t="str">
        <f>'MSW19'!M140</f>
        <v/>
      </c>
    </row>
    <row r="141">
      <c r="A141" t="str">
        <f>'MSW19'!A141</f>
        <v/>
      </c>
      <c r="G141" t="str">
        <f>'MSW19'!G141</f>
        <v/>
      </c>
    </row>
    <row r="143">
      <c r="A143" s="1149" t="str">
        <f>'MSW19'!A143</f>
        <v>WORKOUT COMPLETE!</v>
      </c>
      <c r="B143" s="36"/>
      <c r="C143" s="36"/>
      <c r="D143" s="36"/>
      <c r="E143" s="36"/>
      <c r="F143" s="37"/>
    </row>
    <row r="144">
      <c r="A144" s="623" t="str">
        <f>'MSW19'!A144</f>
        <v/>
      </c>
    </row>
    <row r="145">
      <c r="A145" s="1275" t="str">
        <f>'MSW19'!A145</f>
        <v>WANT TO LEARN MORE?</v>
      </c>
      <c r="B145" s="25"/>
      <c r="C145" s="25"/>
      <c r="D145" s="25"/>
      <c r="E145" s="25"/>
      <c r="F145" s="26"/>
    </row>
    <row r="146">
      <c r="A146" s="529"/>
      <c r="F146" s="28"/>
    </row>
    <row r="147">
      <c r="A147" s="1276" t="str">
        <f>'MSW19'!A147</f>
        <v/>
      </c>
      <c r="B147" s="999" t="str">
        <f>'MSW19'!B147</f>
        <v/>
      </c>
      <c r="C147" s="1150" t="str">
        <f>'MSW19'!C147</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47" s="28"/>
    </row>
    <row r="148">
      <c r="A148" s="1276" t="str">
        <f>'MSW19'!A148</f>
        <v/>
      </c>
      <c r="B148" s="999" t="str">
        <f>'MSW19'!B148</f>
        <v/>
      </c>
      <c r="F148" s="28"/>
    </row>
    <row r="149">
      <c r="A149" s="1276" t="str">
        <f>'MSW19'!A149</f>
        <v/>
      </c>
      <c r="B149" s="999" t="str">
        <f>'MSW19'!B149</f>
        <v/>
      </c>
      <c r="F149" s="28"/>
    </row>
    <row r="150">
      <c r="A150" s="1276" t="str">
        <f>'MSW19'!A150</f>
        <v/>
      </c>
      <c r="B150" s="999" t="str">
        <f>'MSW19'!B150</f>
        <v/>
      </c>
      <c r="F150" s="28"/>
    </row>
    <row r="151">
      <c r="A151" s="1276" t="str">
        <f>'MSW19'!A151</f>
        <v/>
      </c>
      <c r="B151" s="999" t="str">
        <f>'MSW19'!B151</f>
        <v/>
      </c>
      <c r="F151" s="28"/>
    </row>
    <row r="152">
      <c r="A152" s="1276" t="str">
        <f>'MSW19'!A152</f>
        <v/>
      </c>
      <c r="B152" s="999" t="str">
        <f>'MSW19'!B152</f>
        <v/>
      </c>
      <c r="F152" s="28"/>
    </row>
    <row r="153">
      <c r="A153" s="1277" t="str">
        <f>'MSW19'!A153</f>
        <v/>
      </c>
      <c r="B153" s="999" t="str">
        <f>'MSW19'!B153</f>
        <v/>
      </c>
      <c r="F153" s="28"/>
    </row>
    <row r="154">
      <c r="A154" s="1276" t="str">
        <f>'MSW19'!A154</f>
        <v/>
      </c>
      <c r="B154" s="999" t="str">
        <f>'MSW19'!B154</f>
        <v/>
      </c>
      <c r="F154" s="28"/>
    </row>
    <row r="155">
      <c r="A155" s="1276" t="str">
        <f>'MSW19'!A155</f>
        <v/>
      </c>
      <c r="B155" s="999" t="str">
        <f>'MSW19'!B155</f>
        <v/>
      </c>
      <c r="F155" s="28"/>
    </row>
    <row r="156">
      <c r="A156" s="1278" t="str">
        <f>'MSW19'!A156</f>
        <v/>
      </c>
      <c r="B156" s="999" t="str">
        <f>'MSW19'!B156</f>
        <v/>
      </c>
      <c r="F156" s="28"/>
    </row>
    <row r="157">
      <c r="A157" s="1276" t="str">
        <f>'MSW19'!A157</f>
        <v/>
      </c>
      <c r="B157" s="999" t="str">
        <f>'MSW19'!B157</f>
        <v/>
      </c>
      <c r="F157" s="28"/>
    </row>
    <row r="158">
      <c r="A158" s="1276" t="str">
        <f>'MSW19'!A158</f>
        <v/>
      </c>
      <c r="B158" s="999" t="str">
        <f>'MSW19'!B158</f>
        <v/>
      </c>
      <c r="F158" s="28"/>
    </row>
    <row r="159">
      <c r="A159" s="1276" t="str">
        <f>'MSW19'!A159</f>
        <v/>
      </c>
      <c r="B159" s="999" t="str">
        <f>'MSW19'!B159</f>
        <v/>
      </c>
      <c r="F159" s="28"/>
    </row>
    <row r="160">
      <c r="A160" s="1276" t="str">
        <f>'MSW19'!A160</f>
        <v/>
      </c>
      <c r="B160" s="999" t="str">
        <f>'MSW19'!B160</f>
        <v/>
      </c>
      <c r="F160" s="28"/>
    </row>
    <row r="161">
      <c r="A161" s="1279" t="str">
        <f>'MSW19'!A161</f>
        <v/>
      </c>
      <c r="B161" s="1280" t="str">
        <f>'MSW19'!B161</f>
        <v/>
      </c>
      <c r="C161" s="11"/>
      <c r="D161" s="11"/>
      <c r="E161" s="11"/>
      <c r="F161" s="46"/>
    </row>
    <row r="162">
      <c r="A162" t="str">
        <f>'MSW19'!A162</f>
        <v/>
      </c>
    </row>
  </sheetData>
  <mergeCells count="92">
    <mergeCell ref="A70:F70"/>
    <mergeCell ref="A71:F71"/>
    <mergeCell ref="A72:F73"/>
    <mergeCell ref="A74:F74"/>
    <mergeCell ref="B75:F75"/>
    <mergeCell ref="A87:F88"/>
    <mergeCell ref="A89:F89"/>
    <mergeCell ref="A90:F91"/>
    <mergeCell ref="A92:F92"/>
    <mergeCell ref="G95:G109"/>
    <mergeCell ref="A96:F96"/>
    <mergeCell ref="B97:F97"/>
    <mergeCell ref="A103:F103"/>
    <mergeCell ref="A106:F106"/>
    <mergeCell ref="B109:F109"/>
    <mergeCell ref="A110:F111"/>
    <mergeCell ref="A112:F112"/>
    <mergeCell ref="B113:F113"/>
    <mergeCell ref="A118:F118"/>
    <mergeCell ref="A119:F119"/>
    <mergeCell ref="B120:F120"/>
    <mergeCell ref="A141:F142"/>
    <mergeCell ref="A143:F143"/>
    <mergeCell ref="A144:F144"/>
    <mergeCell ref="A145:F146"/>
    <mergeCell ref="C147:F161"/>
    <mergeCell ref="A162:F162"/>
    <mergeCell ref="A125:F126"/>
    <mergeCell ref="A127:F127"/>
    <mergeCell ref="B128:F128"/>
    <mergeCell ref="A133:F134"/>
    <mergeCell ref="A135:F135"/>
    <mergeCell ref="G135:G140"/>
    <mergeCell ref="B136:F136"/>
    <mergeCell ref="G12:M14"/>
    <mergeCell ref="H15:M15"/>
    <mergeCell ref="H16:M17"/>
    <mergeCell ref="H18:M18"/>
    <mergeCell ref="H19:M19"/>
    <mergeCell ref="I20:M20"/>
    <mergeCell ref="H25:M25"/>
    <mergeCell ref="G110:M134"/>
    <mergeCell ref="H135:M135"/>
    <mergeCell ref="I136:M136"/>
    <mergeCell ref="G141:M162"/>
    <mergeCell ref="H30:M31"/>
    <mergeCell ref="H32:M32"/>
    <mergeCell ref="I33:M33"/>
    <mergeCell ref="G37:M94"/>
    <mergeCell ref="H95:M95"/>
    <mergeCell ref="H96:M96"/>
    <mergeCell ref="I97:M97"/>
    <mergeCell ref="A1:M8"/>
    <mergeCell ref="A9:F9"/>
    <mergeCell ref="G9:G11"/>
    <mergeCell ref="H9:M9"/>
    <mergeCell ref="A10:F11"/>
    <mergeCell ref="H10:M10"/>
    <mergeCell ref="A14:F14"/>
    <mergeCell ref="A12:F12"/>
    <mergeCell ref="A13:F13"/>
    <mergeCell ref="A15:F15"/>
    <mergeCell ref="G15:G24"/>
    <mergeCell ref="A16:F17"/>
    <mergeCell ref="A18:F18"/>
    <mergeCell ref="A19:F19"/>
    <mergeCell ref="B20:F20"/>
    <mergeCell ref="A25:F25"/>
    <mergeCell ref="G25:G26"/>
    <mergeCell ref="G27:G36"/>
    <mergeCell ref="A30:F31"/>
    <mergeCell ref="A32:F32"/>
    <mergeCell ref="B33:F33"/>
    <mergeCell ref="A37:F38"/>
    <mergeCell ref="A39:F39"/>
    <mergeCell ref="B40:F40"/>
    <mergeCell ref="A46:F46"/>
    <mergeCell ref="A49:F49"/>
    <mergeCell ref="B52:F52"/>
    <mergeCell ref="A53:F53"/>
    <mergeCell ref="A93:F94"/>
    <mergeCell ref="A95:F95"/>
    <mergeCell ref="A54:F54"/>
    <mergeCell ref="B55:F55"/>
    <mergeCell ref="A60:F61"/>
    <mergeCell ref="A62:F62"/>
    <mergeCell ref="B63:F63"/>
    <mergeCell ref="A68:F68"/>
    <mergeCell ref="A69:F69"/>
    <mergeCell ref="H103:M103"/>
    <mergeCell ref="H106:M106"/>
    <mergeCell ref="I109:M109"/>
  </mergeCells>
  <dataValidations>
    <dataValidation type="decimal" allowBlank="1" showDropDown="1" showInputMessage="1" showErrorMessage="1" prompt="Enter a number between 0 and 30" sqref="F21:F24 M21:M24 F26:F29 M26:M29 F34:F36 M34:M36 F41:F45 F47:F48 F50:F51 F56:F59 F64:F67 F76:F86 F98:F102 M98:M102 F104:F105 M104:M105 F107:F108 M107:M108 F114:F117 F121:F124 F129:F132 F137:F140 M137:M140">
      <formula1>0.0</formula1>
      <formula2>30.0</formula2>
    </dataValidation>
    <dataValidation type="decimal" operator="greaterThan" allowBlank="1" showDropDown="1" showErrorMessage="1" sqref="M11">
      <formula1>0.0</formula1>
    </dataValidation>
  </dataValidation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305" t="s">
        <v>277</v>
      </c>
      <c r="B9" s="36"/>
      <c r="C9" s="36"/>
      <c r="D9" s="36"/>
      <c r="E9" s="36"/>
      <c r="F9" s="37"/>
      <c r="G9" s="987"/>
      <c r="H9" s="24" t="s">
        <v>35</v>
      </c>
      <c r="I9" s="25"/>
      <c r="J9" s="25"/>
      <c r="K9" s="25"/>
      <c r="L9" s="25"/>
      <c r="M9" s="26"/>
    </row>
    <row r="10">
      <c r="A10" s="991" t="str">
        <f>HYPERLINK("https://goo.gl/forms/3ibooB993Hi7SS2d2","PRESS TO RECORD BODY WEIGHT")</f>
        <v>PRESS TO RECORD BODY WEIGHT</v>
      </c>
      <c r="F10" s="28"/>
      <c r="G10" s="987"/>
      <c r="H10" s="147" t="s">
        <v>278</v>
      </c>
      <c r="M10" s="28"/>
    </row>
    <row r="11">
      <c r="A11" s="336"/>
      <c r="B11" s="11"/>
      <c r="C11" s="11"/>
      <c r="D11" s="11"/>
      <c r="E11" s="11"/>
      <c r="F11" s="46"/>
      <c r="G11" s="987"/>
      <c r="H11" s="29" t="s">
        <v>279</v>
      </c>
      <c r="I11" s="30"/>
      <c r="J11" s="30"/>
      <c r="K11" s="30"/>
      <c r="L11" s="30"/>
      <c r="M11" s="31"/>
    </row>
    <row r="12">
      <c r="A12" s="992" t="s">
        <v>69</v>
      </c>
      <c r="B12" s="11"/>
      <c r="C12" s="11"/>
      <c r="D12" s="11"/>
      <c r="E12" s="11"/>
      <c r="F12" s="46"/>
      <c r="G12" s="987"/>
      <c r="H12" s="987"/>
      <c r="I12" s="987"/>
      <c r="J12" s="987"/>
      <c r="K12" s="987"/>
      <c r="L12" s="987"/>
      <c r="M12" s="987"/>
    </row>
    <row r="13">
      <c r="A13" s="1128" t="s">
        <v>190</v>
      </c>
      <c r="B13" s="11"/>
      <c r="C13" s="11"/>
      <c r="D13" s="11"/>
      <c r="E13" s="11"/>
      <c r="F13" s="46"/>
      <c r="G13" s="987"/>
      <c r="H13" s="987"/>
      <c r="I13" s="987"/>
      <c r="J13" s="987"/>
      <c r="K13" s="987"/>
      <c r="L13" s="987"/>
      <c r="M13" s="987"/>
    </row>
    <row r="14">
      <c r="A14" s="994"/>
      <c r="B14" s="994"/>
      <c r="C14" s="994"/>
      <c r="D14" s="994"/>
      <c r="E14" s="994"/>
      <c r="F14" s="995"/>
      <c r="G14" s="987"/>
      <c r="H14" s="989"/>
      <c r="I14" s="989"/>
      <c r="J14" s="989"/>
      <c r="K14" s="989"/>
      <c r="L14" s="989"/>
      <c r="M14" s="989"/>
    </row>
    <row r="15">
      <c r="A15" s="996" t="s">
        <v>47</v>
      </c>
      <c r="B15" s="11"/>
      <c r="C15" s="11"/>
      <c r="D15" s="11"/>
      <c r="E15" s="11"/>
      <c r="F15" s="46"/>
      <c r="G15" s="997"/>
      <c r="H15" s="998" t="s">
        <v>118</v>
      </c>
      <c r="I15" s="11"/>
      <c r="J15" s="11"/>
      <c r="K15" s="11"/>
      <c r="L15" s="11"/>
      <c r="M15" s="46"/>
    </row>
    <row r="16">
      <c r="A16" s="987"/>
      <c r="B16" s="987"/>
      <c r="C16" s="987"/>
      <c r="D16" s="987"/>
      <c r="E16" s="987"/>
      <c r="F16" s="987"/>
      <c r="G16" s="623"/>
      <c r="H16" s="987"/>
      <c r="I16" s="987"/>
      <c r="J16" s="987"/>
      <c r="K16" s="987"/>
      <c r="L16" s="987"/>
      <c r="M16" s="987"/>
    </row>
    <row r="19">
      <c r="A19" s="51" t="s">
        <v>48</v>
      </c>
      <c r="B19" s="36"/>
      <c r="C19" s="36"/>
      <c r="D19" s="36"/>
      <c r="E19" s="36"/>
      <c r="F19" s="37"/>
      <c r="H19" s="51" t="s">
        <v>48</v>
      </c>
      <c r="I19" s="36"/>
      <c r="J19" s="36"/>
      <c r="K19" s="36"/>
      <c r="L19" s="36"/>
      <c r="M19" s="37"/>
      <c r="N19" s="141"/>
      <c r="O19" s="51" t="s">
        <v>48</v>
      </c>
      <c r="P19" s="36"/>
      <c r="Q19" s="36"/>
      <c r="R19" s="36"/>
      <c r="S19" s="36"/>
      <c r="T19" s="37"/>
    </row>
    <row r="20">
      <c r="A20" s="225" t="str">
        <f>HYPERLINK("https://www.youtube.com/watch?v=iLgUDezDMbU","1. BENCH PRESS")</f>
        <v>1. BENCH PRESS</v>
      </c>
      <c r="B20" s="13"/>
      <c r="C20" s="13"/>
      <c r="D20" s="13"/>
      <c r="E20" s="13"/>
      <c r="F20" s="57"/>
      <c r="H20" s="52" t="str">
        <f>HYPERLINK("https://youtu.be/ujVN-A0Z-ic","1. DUMBBELL INCLINE PRESS")</f>
        <v>1. DUMBBELL INCLINE PRESS</v>
      </c>
      <c r="I20" s="53"/>
      <c r="J20" s="53"/>
      <c r="K20" s="53"/>
      <c r="L20" s="53"/>
      <c r="M20" s="54"/>
      <c r="O20" s="52" t="str">
        <f>HYPERLINK("https://youtu.be/75e_H9Vq_Lw","1. MACHINE PRESS")</f>
        <v>1. MACHINE PRESS</v>
      </c>
      <c r="P20" s="53"/>
      <c r="Q20" s="53"/>
      <c r="R20" s="53"/>
      <c r="S20" s="53"/>
      <c r="T20" s="54"/>
    </row>
    <row r="21">
      <c r="A21" s="226" t="s">
        <v>119</v>
      </c>
      <c r="B21" s="227" t="str">
        <f>'MSW19'!B20</f>
        <v/>
      </c>
      <c r="C21" s="20"/>
      <c r="D21" s="20"/>
      <c r="E21" s="20"/>
      <c r="F21" s="95"/>
      <c r="H21" s="228" t="s">
        <v>119</v>
      </c>
      <c r="I21" s="229" t="str">
        <f>IF('WEEK 15'!B34="",'WEEK 15'!B21,'WEEK 15'!B34)</f>
        <v/>
      </c>
      <c r="J21" s="16"/>
      <c r="K21" s="16"/>
      <c r="L21" s="16"/>
      <c r="M21" s="230"/>
      <c r="O21" s="228" t="s">
        <v>119</v>
      </c>
      <c r="P21" s="229" t="str">
        <f>'WEEK 16'!I20</f>
        <v/>
      </c>
      <c r="Q21" s="16"/>
      <c r="R21" s="16"/>
      <c r="S21" s="16"/>
      <c r="T21" s="230"/>
    </row>
    <row r="22">
      <c r="A22" s="231" t="s">
        <v>50</v>
      </c>
      <c r="B22" s="232" t="s">
        <v>51</v>
      </c>
      <c r="C22" s="232" t="s">
        <v>52</v>
      </c>
      <c r="D22" s="232" t="s">
        <v>53</v>
      </c>
      <c r="E22" s="233" t="s">
        <v>54</v>
      </c>
      <c r="F22" s="61" t="s">
        <v>55</v>
      </c>
      <c r="H22" s="96" t="s">
        <v>50</v>
      </c>
      <c r="I22" s="97" t="s">
        <v>51</v>
      </c>
      <c r="J22" s="97" t="s">
        <v>52</v>
      </c>
      <c r="K22" s="97" t="s">
        <v>53</v>
      </c>
      <c r="L22" s="98" t="s">
        <v>54</v>
      </c>
      <c r="M22" s="235" t="s">
        <v>55</v>
      </c>
      <c r="O22" s="96" t="s">
        <v>50</v>
      </c>
      <c r="P22" s="97" t="s">
        <v>51</v>
      </c>
      <c r="Q22" s="97" t="s">
        <v>52</v>
      </c>
      <c r="R22" s="97" t="s">
        <v>53</v>
      </c>
      <c r="S22" s="98" t="s">
        <v>54</v>
      </c>
      <c r="T22" s="235" t="s">
        <v>55</v>
      </c>
    </row>
    <row r="23">
      <c r="A23" s="236">
        <v>1.0</v>
      </c>
      <c r="B23" s="237">
        <f>IF( 'WEEK 20'!B21&lt;125,45,mround('WEEK 20'!B21*0.35,5))</f>
        <v>0</v>
      </c>
      <c r="C23" s="237">
        <v>6.0</v>
      </c>
      <c r="D23" s="238" t="s">
        <v>120</v>
      </c>
      <c r="E23" s="66" t="str">
        <f>IF('WEEK 20'!B23='WEEK 17'!B23,'WEEK 17'!F23,"")</f>
        <v/>
      </c>
      <c r="F23" s="67">
        <v>6.0</v>
      </c>
      <c r="H23" s="244">
        <v>1.0</v>
      </c>
      <c r="I23" s="241">
        <f>mround('WEEK 20'!I21*0.35,5)</f>
        <v>0</v>
      </c>
      <c r="J23" s="63">
        <v>6.0</v>
      </c>
      <c r="K23" s="83" t="s">
        <v>127</v>
      </c>
      <c r="L23" s="66" t="str">
        <f>IF('WEEK 20'!I23='WEEK 17'!I23,'WEEK 17'!M23,"")</f>
        <v/>
      </c>
      <c r="M23" s="85"/>
      <c r="O23" s="244">
        <v>1.0</v>
      </c>
      <c r="P23" s="241">
        <f>mround('WEEK 20'!P21*0.35,5)</f>
        <v>0</v>
      </c>
      <c r="Q23" s="63">
        <v>6.0</v>
      </c>
      <c r="R23" s="83" t="s">
        <v>127</v>
      </c>
      <c r="S23" s="66" t="str">
        <f>IF('WEEK 20'!P23='WEEK 17'!P23,'WEEK 17'!T23,"")</f>
        <v/>
      </c>
      <c r="T23" s="85">
        <v>6.0</v>
      </c>
    </row>
    <row r="24">
      <c r="A24" s="236">
        <v>2.0</v>
      </c>
      <c r="B24" s="237">
        <f>mround('WEEK 20'!B21*0.8,5)</f>
        <v>0</v>
      </c>
      <c r="C24" s="237">
        <v>1.0</v>
      </c>
      <c r="D24" s="238" t="s">
        <v>121</v>
      </c>
      <c r="E24" s="66" t="str">
        <f>IF('WEEK 20'!B24='WEEK 17'!B24,'WEEK 17'!F24,"")</f>
        <v/>
      </c>
      <c r="F24" s="67">
        <v>1.0</v>
      </c>
      <c r="G24" s="1129" t="s">
        <v>191</v>
      </c>
      <c r="H24" s="240">
        <v>2.0</v>
      </c>
      <c r="I24" s="241">
        <f>mround('WEEK 20'!I21*0.65,5)</f>
        <v>0</v>
      </c>
      <c r="J24" s="241">
        <v>1.0</v>
      </c>
      <c r="K24" s="83" t="s">
        <v>127</v>
      </c>
      <c r="L24" s="66" t="str">
        <f>IF('WEEK 20'!I24='WEEK 17'!I24,'WEEK 17'!M24,"")</f>
        <v/>
      </c>
      <c r="M24" s="85"/>
      <c r="O24" s="240">
        <v>2.0</v>
      </c>
      <c r="P24" s="241">
        <f>mround('WEEK 20'!P21*0.65,5)</f>
        <v>0</v>
      </c>
      <c r="Q24" s="241">
        <v>1.0</v>
      </c>
      <c r="R24" s="83" t="s">
        <v>127</v>
      </c>
      <c r="S24" s="66" t="str">
        <f>IF('WEEK 20'!P24='WEEK 17'!P24,'WEEK 17'!T24,"")</f>
        <v/>
      </c>
      <c r="T24" s="85">
        <v>1.0</v>
      </c>
    </row>
    <row r="25">
      <c r="A25" s="242">
        <v>3.0</v>
      </c>
      <c r="B25" s="237">
        <f>mround('WEEK 20'!B21*0.9,5)</f>
        <v>0</v>
      </c>
      <c r="C25" s="82">
        <v>1.0</v>
      </c>
      <c r="D25" s="238" t="s">
        <v>121</v>
      </c>
      <c r="E25" s="66" t="str">
        <f>IF('WEEK 20'!B25='WEEK 17'!B25,'WEEK 17'!F25,"")</f>
        <v/>
      </c>
      <c r="F25" s="67">
        <v>1.0</v>
      </c>
      <c r="H25" s="240">
        <v>3.0</v>
      </c>
      <c r="I25" s="241">
        <f>mround('WEEK 20'!I21*0.85,5)</f>
        <v>0</v>
      </c>
      <c r="J25" s="63">
        <v>1.0</v>
      </c>
      <c r="K25" s="83" t="s">
        <v>127</v>
      </c>
      <c r="L25" s="66" t="str">
        <f>IF('WEEK 20'!I25='WEEK 17'!I25,'WEEK 17'!M25,"")</f>
        <v/>
      </c>
      <c r="M25" s="85"/>
      <c r="O25" s="240">
        <v>3.0</v>
      </c>
      <c r="P25" s="241">
        <f>mround('WEEK 20'!P21*0.85,5)</f>
        <v>0</v>
      </c>
      <c r="Q25" s="241">
        <v>1.0</v>
      </c>
      <c r="R25" s="83" t="s">
        <v>127</v>
      </c>
      <c r="S25" s="66" t="str">
        <f>IF('WEEK 20'!P25='WEEK 17'!P25,'WEEK 17'!T25,"")</f>
        <v/>
      </c>
      <c r="T25" s="85">
        <v>1.0</v>
      </c>
    </row>
    <row r="26">
      <c r="A26" s="243">
        <v>4.0</v>
      </c>
      <c r="B26" s="237" t="str">
        <f>'WEEK 20'!B21</f>
        <v/>
      </c>
      <c r="C26" s="175">
        <v>1.0</v>
      </c>
      <c r="D26" s="238" t="s">
        <v>122</v>
      </c>
      <c r="E26" s="66" t="str">
        <f>IF('WEEK 20'!B26='WEEK 17'!B26,'WEEK 17'!F26,"")</f>
        <v/>
      </c>
      <c r="F26" s="67">
        <v>1.0</v>
      </c>
      <c r="H26" s="240">
        <v>4.0</v>
      </c>
      <c r="I26" s="241">
        <f>mround('WEEK 20'!I21*1,5)</f>
        <v>0</v>
      </c>
      <c r="J26" s="245" t="s">
        <v>65</v>
      </c>
      <c r="K26" s="83" t="s">
        <v>127</v>
      </c>
      <c r="L26" s="66" t="str">
        <f>IF('WEEK 20'!I26='WEEK 17'!I26,'WEEK 17'!M26,"")</f>
        <v/>
      </c>
      <c r="M26" s="85"/>
      <c r="O26" s="240">
        <v>4.0</v>
      </c>
      <c r="P26" s="241">
        <f>mround('WEEK 20'!P21*1,5)</f>
        <v>0</v>
      </c>
      <c r="Q26" s="245" t="s">
        <v>65</v>
      </c>
      <c r="R26" s="83" t="s">
        <v>127</v>
      </c>
      <c r="S26" s="66" t="str">
        <f>IF('WEEK 20'!P26='WEEK 17'!P26,'WEEK 17'!T26,"")</f>
        <v/>
      </c>
      <c r="T26" s="85">
        <v>8.0</v>
      </c>
    </row>
    <row r="27">
      <c r="A27" s="246" t="str">
        <f>IF('WEEK 20'!F26&lt;1,"PROCEED TO DOWN SETS","NEW 1 REP MAX ATTEMPT")</f>
        <v>PROCEED TO DOWN SETS</v>
      </c>
      <c r="B27" s="20"/>
      <c r="C27" s="20"/>
      <c r="D27" s="20"/>
      <c r="E27" s="20"/>
      <c r="F27" s="95"/>
      <c r="H27" s="248" t="str">
        <f>IF(OR(ISBLANK('WEEK 20'!M26),ISBLANK('WEEK 20'!M25),ISBLANK('WEEK 20'!M24)),"PROCEED TO DOWNSETS",if('WEEK 20'!M26&gt;=6,"NEW 4 REP MAX ATTEMPT","PROCEED TO DOWN SETS"))</f>
        <v>PROCEED TO DOWNSETS</v>
      </c>
      <c r="M27" s="28"/>
      <c r="N27" s="247" t="s">
        <v>123</v>
      </c>
      <c r="O27" s="248" t="str">
        <f>IF(OR(ISBLANK('WEEK 20'!T26),ISBLANK('WEEK 20'!T25),ISBLANK('WEEK 20'!T24)),"PROCEED TO DOWNSETS",if('WEEK 20'!T26&gt;=6,"NEW 4 REP MAX ATTEMPT","PROCEED TO DOWN SETS"))</f>
        <v>PROCEED TO DOWNSETS</v>
      </c>
      <c r="T27" s="28"/>
    </row>
    <row r="28">
      <c r="A28" s="249" t="str">
        <f>if('WEEK 20'!F26&lt;1,"",5)</f>
        <v/>
      </c>
      <c r="B28" s="175" t="str">
        <f>IF('WEEK 20'!F26&lt;1,"",'WEEK 20'!B26+5)</f>
        <v/>
      </c>
      <c r="C28" s="238" t="str">
        <f>if('WEEK 20'!F26&lt;1,"",1)</f>
        <v/>
      </c>
      <c r="D28" s="238" t="str">
        <f>if('WEEK 20'!F26&lt;1,"","1-5 MIN")</f>
        <v/>
      </c>
      <c r="E28" s="66" t="str">
        <f>IF('WEEK 20'!B28='WEEK 17'!B28,'WEEK 17'!F28,"")</f>
        <v/>
      </c>
      <c r="F28" s="67"/>
      <c r="H28" s="251" t="str">
        <f>IF(OR(ISBLANK('WEEK 20'!M26),ISBLANK('WEEK 20'!M25),ISBLANK('WEEK 20'!M24)),"",IF('WEEK 20'!M26&gt;=6,5,""))</f>
        <v/>
      </c>
      <c r="I28" s="252" t="str">
        <f>IF(OR(ISBLANK('WEEK 20'!M26),ISBLANK('WEEK 20'!M25),ISBLANK('WEEK 20'!M24)),"",IF('WEEK 20'!M26&gt;=6,'WEEK 20'!I21+5,""))</f>
        <v/>
      </c>
      <c r="J28" s="253" t="str">
        <f>IF(OR(ISBLANK('WEEK 20'!M26),ISBLANK('WEEK 20'!M25),ISBLANK('WEEK 20'!M24)),"",IF('WEEK 20'!M26&gt;=6,"REP OUT",""))</f>
        <v/>
      </c>
      <c r="K28" s="254" t="str">
        <f>IF(OR(ISBLANK('WEEK 20'!M26),ISBLANK('WEEK 20'!M25),ISBLANK('WEEK 20'!M24)),"",IF('WEEK 20'!M26&gt;5,"1-3 MIN",""))</f>
        <v/>
      </c>
      <c r="L28" s="66" t="str">
        <f>IF('WEEK 20'!I28='WEEK 17'!I28,'WEEK 17'!M28,"")</f>
        <v/>
      </c>
      <c r="M28" s="67"/>
      <c r="O28" s="251" t="str">
        <f>IF(OR(ISBLANK('WEEK 20'!T26),ISBLANK('WEEK 20'!T25),ISBLANK('WEEK 20'!T24)),"",IF('WEEK 20'!T26&gt;=6,5,""))</f>
        <v/>
      </c>
      <c r="P28" s="252" t="str">
        <f>IF(OR(ISBLANK('WEEK 20'!T26),ISBLANK('WEEK 20'!T25),ISBLANK('WEEK 20'!T24)),"",IF('WEEK 20'!T26&gt;=6,'WEEK 20'!P21+5,""))</f>
        <v/>
      </c>
      <c r="Q28" s="253" t="str">
        <f>IF(OR(ISBLANK('WEEK 20'!T26),ISBLANK('WEEK 20'!T25),ISBLANK('WEEK 20'!T24)),"",IF('WEEK 20'!T26&gt;=6,"REP OUT",""))</f>
        <v/>
      </c>
      <c r="R28" s="254" t="str">
        <f>IF(OR(ISBLANK('WEEK 20'!T26),ISBLANK('WEEK 20'!T25),ISBLANK('WEEK 20'!T24)),"",IF('WEEK 20'!T26&gt;5,"1-3 MIN",""))</f>
        <v/>
      </c>
      <c r="S28" s="66" t="str">
        <f>IF('WEEK 20'!P28='WEEK 17'!P28,'WEEK 17'!T28,"")</f>
        <v/>
      </c>
      <c r="T28" s="665">
        <v>4.0</v>
      </c>
    </row>
    <row r="29">
      <c r="A29" s="256" t="str">
        <f>IF('WEEK 20'!F28&lt;1,"","6")</f>
        <v/>
      </c>
      <c r="B29" s="237" t="str">
        <f>IF('WEEK 20'!F28&lt;1,"",'WEEK 20'!B28+5)</f>
        <v/>
      </c>
      <c r="C29" s="257" t="str">
        <f>IF('WEEK 20'!F28&lt;1,"","1")</f>
        <v/>
      </c>
      <c r="D29" s="257" t="str">
        <f>IF('WEEK 20'!F28&lt;1,"","1-5 MIN")</f>
        <v/>
      </c>
      <c r="E29" s="66" t="str">
        <f>IF('WEEK 20'!B29='WEEK 17'!B29,'WEEK 17'!F29,"")</f>
        <v/>
      </c>
      <c r="F29" s="67"/>
      <c r="H29" s="260" t="str">
        <f>IF(OR(ISBLANK('WEEK 20'!M26),ISBLANK('WEEK 20'!M25),ISBLANK('WEEK 20'!M24)),"FILL OUT REP LOG FIRST","DOWN SETS")</f>
        <v>FILL OUT REP LOG FIRST</v>
      </c>
      <c r="I29" s="16"/>
      <c r="J29" s="16"/>
      <c r="K29" s="16"/>
      <c r="L29" s="16"/>
      <c r="M29" s="230"/>
      <c r="N29" s="141"/>
      <c r="O29" s="260" t="str">
        <f>IF(OR(ISBLANK('WEEK 20'!T26),ISBLANK('WEEK 20'!T25),ISBLANK('WEEK 20'!T24)),"FILL OUT REP LOG FIRST","DOWN SETS")</f>
        <v>FILL OUT REP LOG FIRST</v>
      </c>
      <c r="P29" s="16"/>
      <c r="Q29" s="16"/>
      <c r="R29" s="16"/>
      <c r="S29" s="16"/>
      <c r="T29" s="230"/>
    </row>
    <row r="30">
      <c r="A30" s="246" t="str">
        <f>IF(OR(ISBLANK('WEEK 20'!F26),ISBLANK('WEEK 20'!F25),ISBLANK('WEEK 20'!F24)),"FILL OUT REP LOG FOR DOWN SETS","DOWN SETS")</f>
        <v>FILL OUT REP LOG FOR DOWN SETS</v>
      </c>
      <c r="B30" s="20"/>
      <c r="C30" s="20"/>
      <c r="D30" s="20"/>
      <c r="E30" s="20"/>
      <c r="F30" s="95"/>
      <c r="H30" s="91" t="str">
        <f>IF('WEEK 20'!M28&gt;=4,"",IF(OR(ISBLANK('WEEK 20'!M26),ISBLANK('WEEK 20'!M25),ISBLANK('WEEK 20'!M24)),"",IF('WEEK 20'!M26&gt;5,6,5)))</f>
        <v/>
      </c>
      <c r="I30" s="261" t="str">
        <f>IF('WEEK 20'!M28&gt;=4,"",IF(OR(ISBLANK('WEEK 20'!M26),ISBLANK('WEEK 20'!M25),ISBLANK('WEEK 20'!M24)),"",IF('WEEK 20'!M26&lt;6,mround('WEEK 20'!I21*0.8,5),IF('WEEK 20'!M26&lt;10,mround('WEEK 20'!I21*0.93,5),mround('WEEK 20'!I21*0.7,5)))))</f>
        <v/>
      </c>
      <c r="J30" s="262" t="str">
        <f>IF('WEEK 20'!M28&gt;=4,"",IF(OR(ISBLANK('WEEK 20'!M26),ISBLANK('WEEK 20'!M25),ISBLANK('WEEK 20'!M24)),"","REP OUT"))</f>
        <v/>
      </c>
      <c r="K30" s="65" t="str">
        <f>IF('WEEK 20'!M28&gt;=4,"",IF(OR(ISBLANK('WEEK 20'!M26),ISBLANK('WEEK 20'!M25),ISBLANK('WEEK 20'!M24)),"","1-3 MIN"))</f>
        <v/>
      </c>
      <c r="L30" s="66" t="str">
        <f>IF('WEEK 20'!I30='WEEK 17'!I30,'WEEK 17'!M30,"")</f>
        <v/>
      </c>
      <c r="M30" s="263"/>
      <c r="O30" s="91" t="str">
        <f>IF('WEEK 20'!T28&gt;=4,"",IF(OR(ISBLANK('WEEK 20'!T26),ISBLANK('WEEK 20'!T25),ISBLANK('WEEK 20'!T24)),"",IF('WEEK 20'!T26&gt;5,6,5)))</f>
        <v/>
      </c>
      <c r="P30" s="261" t="str">
        <f>IF('WEEK 20'!T28&gt;=4,"",IF(OR(ISBLANK('WEEK 20'!T26),ISBLANK('WEEK 20'!T25),ISBLANK('WEEK 20'!T24)),"",IF('WEEK 20'!T26&lt;6,mround('WEEK 20'!P21*0.8,5),IF('WEEK 20'!T26&lt;10,mround('WEEK 20'!P21*0.93,5),mround('WEEK 20'!P21*0.7,5)))))</f>
        <v/>
      </c>
      <c r="Q30" s="262" t="str">
        <f>IF('WEEK 20'!T28&gt;=4,"",IF(OR(ISBLANK('WEEK 20'!T26),ISBLANK('WEEK 20'!T25),ISBLANK('WEEK 20'!T24)),"","REP OUT"))</f>
        <v/>
      </c>
      <c r="R30" s="65" t="str">
        <f>IF('WEEK 20'!T28&gt;=4,"",IF(OR(ISBLANK('WEEK 20'!T26),ISBLANK('WEEK 20'!T25),ISBLANK('WEEK 20'!T24)),"","1-3 MIN"))</f>
        <v/>
      </c>
      <c r="S30" s="66" t="str">
        <f>IF('WEEK 20'!P30='WEEK 17'!P30,'WEEK 17'!T30,"")</f>
        <v/>
      </c>
      <c r="T30" s="263"/>
    </row>
    <row r="31">
      <c r="A31" s="264" t="str">
        <f>IF(OR(ISBLANK('WEEK 20'!F26),ISBLANK('WEEK 20'!F25),ISBLANK('WEEK 20'!F24)),"",IF((AND('WEEK 20'!A28="",'WEEK 20'!A29="")),5,IF((AND('WEEK 20'!A28&gt;1,'WEEK 20'!A29="")),6,7)))</f>
        <v/>
      </c>
      <c r="B31" s="265" t="str">
        <f>IF(OR(ISBLANK('WEEK 20'!F26),ISBLANK('WEEK 20'!F25),ISBLANK('WEEK 20'!F24)),"",MROUND('WEEK 20'!B33*0.9,5))</f>
        <v/>
      </c>
      <c r="C31" s="266" t="str">
        <f>IF(OR(ISBLANK('WEEK 20'!F26),ISBLANK('WEEK 20'!F25),ISBLANK('WEEK 20'!F24)),"","REP OUT")</f>
        <v/>
      </c>
      <c r="D31" s="267" t="str">
        <f>IF(OR(ISBLANK('WEEK 20'!F26),ISBLANK('WEEK 20'!F25),ISBLANK('WEEK 20'!F24)),"","1-3 MIN")</f>
        <v/>
      </c>
      <c r="E31" s="66" t="str">
        <f>IF('WEEK 20'!B31='WEEK 17'!B31,'WEEK 17'!F31,"")</f>
        <v/>
      </c>
      <c r="F31" s="67"/>
      <c r="H31" s="269" t="str">
        <f>IF('WEEK 20'!M28&gt;=4,"",IF(OR(ISBLANK('WEEK 20'!M26),ISBLANK('WEEK 20'!M25),ISBLANK('WEEK 20'!M24)),"",IF('WEEK 20'!M26&gt;5,7,6)))</f>
        <v/>
      </c>
      <c r="I31" s="254" t="str">
        <f>IF('WEEK 20'!M28&gt;=4,"",IF(OR(ISBLANK('WEEK 20'!M26),ISBLANK('WEEK 20'!M25),ISBLANK('WEEK 20'!M24)),"",IF('WEEK 20'!M26&lt;6,mround('WEEK 20'!I21*0.65,5),IF('WEEK 20'!M26&lt;10,mround('WEEK 20'!I21*0.7,5),mround('WEEK 20'!I21*0.65,5)))))</f>
        <v/>
      </c>
      <c r="J31" s="253" t="str">
        <f>IF('WEEK 20'!M28&gt;=4,"",IF(OR(ISBLANK('WEEK 20'!M26),ISBLANK('WEEK 20'!M25),ISBLANK('WEEK 20'!M24)),"","REP OUT"))</f>
        <v/>
      </c>
      <c r="K31" s="65" t="str">
        <f>IF('WEEK 20'!M28&gt;=4,"",IF(OR(ISBLANK('WEEK 20'!M26),ISBLANK('WEEK 20'!M25),ISBLANK('WEEK 20'!M24)),"","1-3 MIN"))</f>
        <v/>
      </c>
      <c r="L31" s="66" t="str">
        <f>IF('WEEK 20'!I31='WEEK 17'!I31,'WEEK 17'!M31,"")</f>
        <v/>
      </c>
      <c r="M31" s="270"/>
      <c r="O31" s="269" t="str">
        <f>IF('WEEK 20'!T28&gt;=4,"",IF(OR(ISBLANK('WEEK 20'!T26),ISBLANK('WEEK 20'!T25),ISBLANK('WEEK 20'!T24)),"",IF('WEEK 20'!T26&gt;5,7,6)))</f>
        <v/>
      </c>
      <c r="P31" s="254" t="str">
        <f>IF('WEEK 20'!T28&gt;=4,"",IF(OR(ISBLANK('WEEK 20'!T26),ISBLANK('WEEK 20'!T25),ISBLANK('WEEK 20'!T24)),"",IF('WEEK 20'!T26&lt;6,mround('WEEK 20'!P21*0.65,5),IF('WEEK 20'!T26&lt;10,mround('WEEK 20'!P21*0.7,5),mround('WEEK 20'!P21*0.65,5)))))</f>
        <v/>
      </c>
      <c r="Q31" s="253" t="str">
        <f>IF('WEEK 20'!T28&gt;=4,"",IF(OR(ISBLANK('WEEK 20'!T26),ISBLANK('WEEK 20'!T25),ISBLANK('WEEK 20'!T24)),"","REP OUT"))</f>
        <v/>
      </c>
      <c r="R31" s="65" t="str">
        <f>IF('WEEK 20'!T28&gt;=4,"",IF(OR(ISBLANK('WEEK 20'!T26),ISBLANK('WEEK 20'!T25),ISBLANK('WEEK 20'!T24)),"","1 MIN"))</f>
        <v/>
      </c>
      <c r="S31" s="66" t="str">
        <f>IF('WEEK 20'!P31='WEEK 17'!P31,'WEEK 17'!T31,"")</f>
        <v/>
      </c>
      <c r="T31" s="270"/>
    </row>
    <row r="32">
      <c r="A32" s="243" t="str">
        <f>IF(OR(ISBLANK('WEEK 20'!F26),ISBLANK('WEEK 20'!F25),ISBLANK('WEEK 20'!F24)),"",IF((AND('WEEK 20'!A28="",'WEEK 20'!A29="")),6,IF((AND('WEEK 20'!A28&gt;1,'WEEK 20'!A29="")),7,8)))</f>
        <v/>
      </c>
      <c r="B32" s="237" t="str">
        <f>IF(OR(ISBLANK('WEEK 20'!F26),ISBLANK('WEEK 20'!F25),ISBLANK('WEEK 20'!F24)),"",mround('WEEK 20'!B33*0.78,5))</f>
        <v/>
      </c>
      <c r="C32" s="245" t="str">
        <f>IF(OR(ISBLANK('WEEK 20'!F26),ISBLANK('WEEK 20'!F25),ISBLANK('WEEK 20'!F24)),"","REP OUT")</f>
        <v/>
      </c>
      <c r="D32" s="65" t="str">
        <f>IF(OR(ISBLANK('WEEK 20'!F26),ISBLANK('WEEK 20'!F25),ISBLANK('WEEK 20'!F24)),"","1-3 MIN")</f>
        <v/>
      </c>
      <c r="E32" s="66" t="str">
        <f>IF('WEEK 20'!B32='WEEK 17'!B32,'WEEK 17'!F32,"")</f>
        <v/>
      </c>
      <c r="F32" s="271"/>
      <c r="H32" s="269" t="str">
        <f>IF('WEEK 20'!M28&lt;4,"",IF(OR(ISBLANK('WEEK 20'!M26),ISBLANK('WEEK 20'!M25),ISBLANK('WEEK 20'!M24)),"",IF('WEEK 20'!M28&gt;3,6,5)))</f>
        <v/>
      </c>
      <c r="I32" s="254" t="str">
        <f>IF('WEEK 20'!M28&lt;4,"",IF(OR(ISBLANK('WEEK 20'!M26),ISBLANK('WEEK 20'!M25),ISBLANK('WEEK 20'!M24)),"",IF('WEEK 20'!M28&lt;6,mround('WEEK 20'!I34*0.7,5),IF('WEEK 20'!M28&lt;10,mround('WEEK 20'!I34*0.8,5),mround(I34*0.93,5)))))</f>
        <v/>
      </c>
      <c r="J32" s="253" t="str">
        <f>IF('WEEK 20'!M28&lt;4,"",IF(OR(ISBLANK('WEEK 20'!M26),ISBLANK('WEEK 20'!M25),ISBLANK('WEEK 20'!M24)),"","REP OUT"))</f>
        <v/>
      </c>
      <c r="K32" s="65" t="str">
        <f>IF('WEEK 20'!M28&lt;4,"",IF(OR(ISBLANK('WEEK 20'!M26),ISBLANK('WEEK 20'!M25),ISBLANK('WEEK 20'!M24)),"","1-3 MIN"))</f>
        <v/>
      </c>
      <c r="L32" s="66" t="str">
        <f>IF('WEEK 20'!I32='WEEK 17'!I32,'WEEK 17'!M32,"")</f>
        <v/>
      </c>
      <c r="M32" s="270"/>
      <c r="N32" s="141"/>
      <c r="O32" s="269" t="str">
        <f>IF('WEEK 20'!T28&lt;4,"",IF(OR(ISBLANK('WEEK 20'!T26),ISBLANK('WEEK 20'!T25),ISBLANK('WEEK 20'!T24)),"",IF('WEEK 20'!T28&gt;3,6,5)))</f>
        <v/>
      </c>
      <c r="P32" s="254" t="str">
        <f>IF('WEEK 20'!T28&lt;4,"",IF(OR(ISBLANK('WEEK 20'!T26),ISBLANK('WEEK 20'!T25),ISBLANK('WEEK 20'!T24)),"",IF('WEEK 20'!T28&lt;6,mround('WEEK 20'!P34*0.7,5),IF('WEEK 20'!T28&lt;10,mround('WEEK 20'!P34*0.8,5),mround(P34*0.93,5)))))</f>
        <v/>
      </c>
      <c r="Q32" s="253" t="str">
        <f>IF('WEEK 20'!T28&lt;4,"",IF(OR(ISBLANK('WEEK 20'!T26),ISBLANK('WEEK 20'!T25),ISBLANK('WEEK 20'!T24)),"","REP OUT"))</f>
        <v/>
      </c>
      <c r="R32" s="65" t="str">
        <f>IF('WEEK 20'!T28&lt;4,"",IF(OR(ISBLANK('WEEK 20'!T26),ISBLANK('WEEK 20'!T25),ISBLANK('WEEK 20'!T24)),"","1-3 MIN"))</f>
        <v/>
      </c>
      <c r="S32" s="66" t="str">
        <f>IF('WEEK 20'!P32='WEEK 17'!P32,'WEEK 17'!T32,"")</f>
        <v/>
      </c>
      <c r="T32" s="263"/>
    </row>
    <row r="33">
      <c r="A33" s="272" t="s">
        <v>124</v>
      </c>
      <c r="B33" s="273" t="str">
        <f>IF(OR(ISBLANK('WEEK 20'!F26),ISBLANK('WEEK 20'!F25),ISBLANK('WEEK 20'!F24)),"",IF('WEEK 20'!F29&gt;=1,'WEEK 20'!B29,IF('WEEK 20'!F28&gt;=1,'WEEK 20'!B28,IF('WEEK 20'!F26&lt;1,'WEEK 20'!B26-5,'WEEK 20'!B26))))</f>
        <v/>
      </c>
      <c r="C33" s="11"/>
      <c r="D33" s="11"/>
      <c r="E33" s="11"/>
      <c r="F33" s="46"/>
      <c r="H33" s="269" t="str">
        <f>IF('WEEK 20'!M28&lt;4,"",IF(OR(ISBLANK('WEEK 20'!M26),ISBLANK('WEEK 20'!M25),ISBLANK('WEEK 20'!M24)),"",IF('WEEK 20'!M28&gt;3,7,"")))</f>
        <v/>
      </c>
      <c r="I33" s="254" t="str">
        <f>IF('WEEK 20'!M28&lt;4,"",IF(OR(ISBLANK('WEEK 20'!M26),ISBLANK('WEEK 20'!M25),ISBLANK('WEEK 20'!M24)),"",IF('WEEK 20'!M28&lt;6,mround('WEEK 20'!I34*0.65,5),IF('WEEK 20'!M28&lt;10,mround('WEEK 20'!I34*0.7,5),mround(I34*0.75,5)))))</f>
        <v/>
      </c>
      <c r="J33" s="253" t="str">
        <f>IF('WEEK 20'!M28&lt;4,"",IF(OR(ISBLANK('WEEK 20'!M26),ISBLANK('WEEK 20'!M25),ISBLANK('WEEK 20'!M24)),"","REP OUT"))</f>
        <v/>
      </c>
      <c r="K33" s="65" t="str">
        <f>IF('WEEK 20'!M28&lt;4,"",IF(OR(ISBLANK('WEEK 20'!M26),ISBLANK('WEEK 20'!M25),ISBLANK('WEEK 20'!M24)),"","1-3 MIN"))</f>
        <v/>
      </c>
      <c r="L33" s="66" t="str">
        <f>IF('WEEK 20'!I33='WEEK 17'!I33,'WEEK 17'!M33,"")</f>
        <v/>
      </c>
      <c r="M33" s="270"/>
      <c r="N33" s="141"/>
      <c r="O33" s="269" t="str">
        <f>IF('WEEK 20'!T28&lt;4,"",IF(OR(ISBLANK('WEEK 20'!T26),ISBLANK('WEEK 20'!T25),ISBLANK('WEEK 20'!T24)),"",IF('WEEK 20'!T28&gt;3,7,"")))</f>
        <v/>
      </c>
      <c r="P33" s="254" t="str">
        <f>IF('WEEK 20'!T28&lt;4,"",IF(OR(ISBLANK('WEEK 20'!T26),ISBLANK('WEEK 20'!T25),ISBLANK('WEEK 20'!T24)),"",IF('WEEK 20'!T28&lt;6,mround('WEEK 20'!P34*0.65,5),IF('WEEK 20'!T28&lt;10,mround('WEEK 20'!P34*0.7,5),mround(P34*0.75,5)))))</f>
        <v/>
      </c>
      <c r="Q33" s="253" t="str">
        <f>IF('WEEK 20'!T28&lt;4,"",IF(OR(ISBLANK('WEEK 20'!T26),ISBLANK('WEEK 20'!T25),ISBLANK('WEEK 20'!T24)),"","REP OUT"))</f>
        <v/>
      </c>
      <c r="R33" s="65" t="str">
        <f>IF('WEEK 20'!T28&lt;4,"",IF(OR(ISBLANK('WEEK 20'!T26),ISBLANK('WEEK 20'!T25),ISBLANK('WEEK 20'!T24)),"","1-3 MIN"))</f>
        <v/>
      </c>
      <c r="S33" s="66" t="str">
        <f>IF('WEEK 20'!P33='WEEK 17'!P33,'WEEK 17'!T33,"")</f>
        <v/>
      </c>
      <c r="T33" s="263"/>
    </row>
    <row r="34">
      <c r="H34" s="280" t="s">
        <v>124</v>
      </c>
      <c r="I34" s="273" t="str">
        <f>IF(OR(ISBLANK('WEEK 20'!M24),ISBLANK('WEEK 20'!M25),ISBLANK('WEEK 20'!M26)),"",IF('WEEK 20'!M28&gt;=4,'WEEK 20'!I28,IF('WEEK 20'!M26&lt;=3,'WEEK 20'!I26-5,'WEEK 20'!I26)))</f>
        <v/>
      </c>
      <c r="J34" s="11"/>
      <c r="K34" s="11"/>
      <c r="L34" s="11"/>
      <c r="M34" s="46"/>
      <c r="N34" s="141"/>
      <c r="O34" s="280" t="s">
        <v>124</v>
      </c>
      <c r="P34" s="273" t="str">
        <f>IF(OR(ISBLANK('WEEK 20'!T24),ISBLANK('WEEK 20'!T25),ISBLANK('WEEK 20'!T26)),"",IF('WEEK 20'!T28&gt;=4,'WEEK 20'!P28,IF('WEEK 20'!T26&lt;=3,'WEEK 20'!P26-5,'WEEK 20'!P26)))</f>
        <v/>
      </c>
      <c r="Q34" s="11"/>
      <c r="R34" s="11"/>
      <c r="S34" s="11"/>
      <c r="T34" s="46"/>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228</v>
      </c>
      <c r="B38" s="548" t="str">
        <f>IF('WEEK 20'!I34="",'WEEK 20'!I21,'WEEK 20'!I34)</f>
        <v/>
      </c>
      <c r="C38" s="13"/>
      <c r="D38" s="13"/>
      <c r="E38" s="13"/>
      <c r="F38" s="57"/>
      <c r="H38" s="226" t="s">
        <v>228</v>
      </c>
      <c r="I38" s="548" t="str">
        <f>'WEEK 20'!B38</f>
        <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14'!B38*0.29,2.5)</f>
        <v>0</v>
      </c>
      <c r="C40" s="241">
        <v>15.0</v>
      </c>
      <c r="D40" s="83" t="s">
        <v>127</v>
      </c>
      <c r="E40" s="84" t="str">
        <f>IF('WEEK 19'!B35='WEEK 20'!B40,'WEEK 19'!F35,"")</f>
        <v/>
      </c>
      <c r="F40" s="85"/>
      <c r="H40" s="240">
        <v>1.0</v>
      </c>
      <c r="I40" s="254">
        <f>mround('WEEK 20'!I38*2*0.75,10)</f>
        <v>0</v>
      </c>
      <c r="J40" s="241">
        <v>15.0</v>
      </c>
      <c r="K40" s="83" t="s">
        <v>127</v>
      </c>
      <c r="L40" s="84" t="str">
        <f>IF('WEEK 19'!I35='WEEK 20'!I40,'WEEK 19'!M35,"")</f>
        <v/>
      </c>
      <c r="M40" s="85"/>
    </row>
    <row r="41">
      <c r="A41" s="661">
        <v>2.0</v>
      </c>
      <c r="B41" s="662">
        <f>mround('WEEK 20'!B38*0.29,2.5)</f>
        <v>0</v>
      </c>
      <c r="C41" s="662">
        <v>15.0</v>
      </c>
      <c r="D41" s="88" t="s">
        <v>127</v>
      </c>
      <c r="E41" s="89" t="str">
        <f>IF('WEEK 19'!B36='WEEK 20'!B41,'WEEK 19'!F36,"")</f>
        <v/>
      </c>
      <c r="F41" s="85"/>
      <c r="H41" s="661">
        <v>2.0</v>
      </c>
      <c r="I41" s="662">
        <f>mround('WEEK 20'!I38*2*0.75,10)</f>
        <v>0</v>
      </c>
      <c r="J41" s="662">
        <v>15.0</v>
      </c>
      <c r="K41" s="88" t="s">
        <v>127</v>
      </c>
      <c r="L41" s="89" t="str">
        <f>IF('WEEK 19'!I36='WEEK 20'!I41,'WEEK 19'!M36,"")</f>
        <v/>
      </c>
      <c r="M41" s="85"/>
    </row>
    <row r="44">
      <c r="A44" s="1176" t="str">
        <f>HYPERLINK("https://www.youtube.com/watch?v=JDPkRuVBZ90","3. SUPER SET")</f>
        <v>3. SUPER SET</v>
      </c>
      <c r="B44" s="36"/>
      <c r="C44" s="36"/>
      <c r="D44" s="36"/>
      <c r="E44" s="36"/>
      <c r="F44" s="37"/>
    </row>
    <row r="45">
      <c r="A45" s="1177" t="s">
        <v>119</v>
      </c>
      <c r="B45" s="1178" t="str">
        <f>'WEEK 19'!B55</f>
        <v/>
      </c>
      <c r="C45" s="46"/>
      <c r="D45" s="1178">
        <f>'WEEK 19'!B63</f>
        <v>270</v>
      </c>
      <c r="E45" s="11"/>
      <c r="F45" s="46"/>
    </row>
    <row r="46">
      <c r="A46" s="1179" t="s">
        <v>50</v>
      </c>
      <c r="B46" s="1180" t="s">
        <v>200</v>
      </c>
      <c r="C46" s="1181" t="s">
        <v>51</v>
      </c>
      <c r="D46" s="1181" t="s">
        <v>52</v>
      </c>
      <c r="E46" s="1182" t="s">
        <v>54</v>
      </c>
      <c r="F46" s="1006" t="s">
        <v>55</v>
      </c>
    </row>
    <row r="47">
      <c r="A47" s="1183">
        <v>1.0</v>
      </c>
      <c r="B47" s="1184" t="str">
        <f>HYPERLINK("https://www.youtube.com/watch?v=PnaDzYh2axA","LAT PULL DOWN")</f>
        <v>LAT PULL DOWN</v>
      </c>
      <c r="C47" s="1185">
        <f>MROUND('WEEK 8'!B45*0.45,5)</f>
        <v>50</v>
      </c>
      <c r="D47" s="1186">
        <v>20.0</v>
      </c>
      <c r="E47" s="1187"/>
      <c r="F47" s="1188"/>
    </row>
    <row r="48">
      <c r="A48" s="1189"/>
      <c r="B48" s="1190" t="str">
        <f>HYPERLINK("https://www.youtube.com/watch?v=9YH1YvZbiY0","LOW ROW")</f>
        <v>LOW ROW</v>
      </c>
      <c r="C48" s="1191">
        <f>MROUND('WEEK 20'!D45*0.45,5)</f>
        <v>120</v>
      </c>
      <c r="D48" s="1192">
        <v>20.0</v>
      </c>
      <c r="E48" s="1193"/>
      <c r="F48" s="1188"/>
    </row>
    <row r="49">
      <c r="A49" s="1194" t="s">
        <v>201</v>
      </c>
      <c r="B49" s="11"/>
      <c r="C49" s="11"/>
      <c r="D49" s="11"/>
      <c r="E49" s="11"/>
      <c r="F49" s="46"/>
    </row>
    <row r="50">
      <c r="A50" s="1195">
        <v>2.0</v>
      </c>
      <c r="B50" s="1184" t="str">
        <f>HYPERLINK("https://www.youtube.com/watch?v=PnaDzYh2axA","LAT PULL DOWN")</f>
        <v>LAT PULL DOWN</v>
      </c>
      <c r="C50" s="1185">
        <f>IF('WEEK 20'!F47&gt;=15,'WEEK 20'!C47,MROUND('WEEK 20'!C47*0.9,5))</f>
        <v>45</v>
      </c>
      <c r="D50" s="1186">
        <v>20.0</v>
      </c>
      <c r="E50" s="1187"/>
      <c r="F50" s="1188"/>
    </row>
    <row r="51">
      <c r="A51" s="1196"/>
      <c r="B51" s="1190" t="str">
        <f>HYPERLINK("https://www.youtube.com/watch?v=9YH1YvZbiY0","LOW ROW")</f>
        <v>LOW ROW</v>
      </c>
      <c r="C51" s="1191">
        <f>IF('WEEK 20'!F48&gt;=15,'WEEK 20'!C48,MROUND('WEEK 20'!C48*0.9,5))</f>
        <v>110</v>
      </c>
      <c r="D51" s="1192">
        <v>20.0</v>
      </c>
      <c r="E51" s="1193"/>
      <c r="F51" s="1188"/>
    </row>
    <row r="52">
      <c r="A52" s="1194" t="s">
        <v>201</v>
      </c>
      <c r="B52" s="11"/>
      <c r="C52" s="11"/>
      <c r="D52" s="11"/>
      <c r="E52" s="11"/>
      <c r="F52" s="46"/>
    </row>
    <row r="53">
      <c r="A53" s="1195">
        <v>3.0</v>
      </c>
      <c r="B53" s="1184" t="str">
        <f>HYPERLINK("https://www.youtube.com/watch?v=PnaDzYh2axA","LAT PULL DOWN")</f>
        <v>LAT PULL DOWN</v>
      </c>
      <c r="C53" s="1185">
        <f>IF('WEEK 20'!F50&gt;=15,'WEEK 20'!C50,MROUND('WEEK 20'!C50*0.9,5))</f>
        <v>40</v>
      </c>
      <c r="D53" s="1186">
        <v>20.0</v>
      </c>
      <c r="E53" s="1187"/>
      <c r="F53" s="1133"/>
    </row>
    <row r="54">
      <c r="A54" s="1196"/>
      <c r="B54" s="1190" t="str">
        <f>HYPERLINK("https://www.youtube.com/watch?v=9YH1YvZbiY0","LOW ROW")</f>
        <v>LOW ROW</v>
      </c>
      <c r="C54" s="1191">
        <f>IF('WEEK 20'!F51&gt;=15,'WEEK 20'!C51,MROUND('WEEK 20'!C51*0.9,5))</f>
        <v>100</v>
      </c>
      <c r="D54" s="1192">
        <v>20.0</v>
      </c>
      <c r="E54" s="1193"/>
      <c r="F54" s="1133"/>
    </row>
    <row r="55">
      <c r="A55" s="1194" t="s">
        <v>201</v>
      </c>
      <c r="B55" s="11"/>
      <c r="C55" s="11"/>
      <c r="D55" s="11"/>
      <c r="E55" s="11"/>
      <c r="F55" s="46"/>
    </row>
    <row r="56">
      <c r="A56" s="1197">
        <v>4.0</v>
      </c>
      <c r="B56" s="1184" t="str">
        <f>HYPERLINK("https://www.youtube.com/watch?v=PnaDzYh2axA","LAT PULL DOWN")</f>
        <v>LAT PULL DOWN</v>
      </c>
      <c r="C56" s="1185">
        <f>IF('WEEK 20'!F53&gt;=15,'WEEK 20'!C53,MROUND('WEEK 20'!C53*0.9,5))</f>
        <v>35</v>
      </c>
      <c r="D56" s="1186">
        <v>20.0</v>
      </c>
      <c r="E56" s="1187"/>
      <c r="F56" s="1133"/>
    </row>
    <row r="57">
      <c r="A57" s="1196"/>
      <c r="B57" s="1190" t="str">
        <f>HYPERLINK("https://www.youtube.com/watch?v=9YH1YvZbiY0","LOW ROW")</f>
        <v>LOW ROW</v>
      </c>
      <c r="C57" s="1191">
        <f>IF('WEEK 20'!F54&gt;=15,'WEEK 20'!C54,MROUND('WEEK 20'!C54*0.9,5))</f>
        <v>90</v>
      </c>
      <c r="D57" s="1192">
        <v>20.0</v>
      </c>
      <c r="E57" s="1193"/>
      <c r="F57" s="1133"/>
    </row>
    <row r="59">
      <c r="A59" s="103"/>
      <c r="B59" s="103"/>
      <c r="C59" s="103"/>
      <c r="D59" s="103"/>
      <c r="E59" s="222"/>
      <c r="F59" s="103"/>
    </row>
    <row r="60">
      <c r="A60" s="310" t="str">
        <f>HYPERLINK("https://docs.google.com/a/fitnessresults.com/forms/d/e/1FAIpQLSd7MoczESe8Yjv6BKpmwAZGn9Aiymrs9-UdgfYIUpbr9t5NXg/viewform?usp=pp_url&amp;entry.93370101","CLICK TO COMPLETE WORKOUT")</f>
        <v>CLICK TO COMPLETE WORKOUT</v>
      </c>
      <c r="B60" s="36"/>
      <c r="C60" s="36"/>
      <c r="D60" s="36"/>
      <c r="E60" s="36"/>
      <c r="F60" s="37"/>
    </row>
    <row r="62">
      <c r="A62" s="224" t="s">
        <v>128</v>
      </c>
      <c r="B62" s="36"/>
      <c r="C62" s="36"/>
      <c r="D62" s="36"/>
      <c r="E62" s="36"/>
      <c r="F62" s="37"/>
    </row>
    <row r="65">
      <c r="A65" s="960" t="str">
        <f>HYPERLINK("https://www.youtube.com/watch?v=dVterVQksD4","1. LEG PRESS")</f>
        <v>1. LEG PRESS</v>
      </c>
      <c r="B65" s="53"/>
      <c r="C65" s="53"/>
      <c r="D65" s="53"/>
      <c r="E65" s="53"/>
      <c r="F65" s="53"/>
    </row>
    <row r="66">
      <c r="A66" s="1262" t="s">
        <v>119</v>
      </c>
      <c r="B66" s="1463">
        <f>'WEEK 6 MASTER SHEET'!B85</f>
        <v>250</v>
      </c>
      <c r="F66" s="28"/>
    </row>
    <row r="67">
      <c r="A67" s="231" t="s">
        <v>50</v>
      </c>
      <c r="B67" s="232" t="s">
        <v>51</v>
      </c>
      <c r="C67" s="232" t="s">
        <v>52</v>
      </c>
      <c r="D67" s="232" t="s">
        <v>53</v>
      </c>
      <c r="E67" s="233" t="s">
        <v>54</v>
      </c>
      <c r="F67" s="61" t="s">
        <v>55</v>
      </c>
    </row>
    <row r="68">
      <c r="A68" s="236">
        <v>1.0</v>
      </c>
      <c r="B68" s="237">
        <f>mround('WEEK 20'!B66*0.35,5)</f>
        <v>90</v>
      </c>
      <c r="C68" s="238">
        <v>10.0</v>
      </c>
      <c r="D68" s="238" t="s">
        <v>120</v>
      </c>
      <c r="E68" s="66" t="str">
        <f>IF('WEEK 6'!B77='WEEK 20'!B68,'WEEK 6'!F77,"")</f>
        <v/>
      </c>
      <c r="F68" s="1485"/>
      <c r="G68" s="1486"/>
    </row>
    <row r="69">
      <c r="A69" s="236">
        <v>2.0</v>
      </c>
      <c r="B69" s="237">
        <f>mround('WEEK 20'!B66*0.65,5)</f>
        <v>165</v>
      </c>
      <c r="C69" s="238">
        <v>10.0</v>
      </c>
      <c r="D69" s="238" t="s">
        <v>121</v>
      </c>
      <c r="E69" s="66" t="str">
        <f>IF('WEEK 6'!B78='WEEK 20'!B69,'WEEK 6'!F78,"")</f>
        <v/>
      </c>
      <c r="F69" s="67"/>
    </row>
    <row r="70">
      <c r="A70" s="242">
        <v>3.0</v>
      </c>
      <c r="B70" s="237">
        <f>mround('WEEK 20'!B66*0.9,5)</f>
        <v>225</v>
      </c>
      <c r="C70" s="238">
        <v>10.0</v>
      </c>
      <c r="D70" s="238" t="s">
        <v>121</v>
      </c>
      <c r="E70" s="66" t="str">
        <f>IF('WEEK 6'!B79='WEEK 20'!B70,'WEEK 6'!F79,"")</f>
        <v/>
      </c>
      <c r="F70" s="67"/>
    </row>
    <row r="71">
      <c r="A71" s="249">
        <v>4.0</v>
      </c>
      <c r="B71" s="175">
        <f>if('WEEK 20'!F70&lt;20,MROUND('WEEK 20'!B70-('WEEK 20'!B70*3%),5),'WEEK 20'!B66)</f>
        <v>220</v>
      </c>
      <c r="C71" s="238">
        <v>10.0</v>
      </c>
      <c r="D71" s="238" t="s">
        <v>122</v>
      </c>
      <c r="E71" s="66" t="str">
        <f>IF('WEEK 6'!B80='WEEK 20'!B71,'WEEK 6'!F80,"")</f>
        <v/>
      </c>
      <c r="F71" s="67"/>
    </row>
    <row r="72">
      <c r="A72" s="249">
        <v>5.0</v>
      </c>
      <c r="B72" s="175">
        <f>IF((AND('WEEK 20'!B71&lt;='WEEK 20'!B70,'WEEK 20'!F71&gt;=20)),'WEEK 20'!B71,IF('WEEK 20'!F71&lt;20,MROUND('WEEK 20'!B71-('WEEK 20'!B71*20%),5),if( 'WEEK 20'!F71&lt;20,,MROUND('WEEK 20'!B71-('WEEK 20'!B71*1.5%),5),MROUND('WEEK 20'!B71+('WEEK 20'!B71*1.5%),5))))</f>
        <v>175</v>
      </c>
      <c r="C72" s="238">
        <v>10.0</v>
      </c>
      <c r="D72" s="238" t="s">
        <v>122</v>
      </c>
      <c r="E72" s="66" t="str">
        <f>IF('WEEK 6'!B81='WEEK 20'!B72,'WEEK 6'!F81,"")</f>
        <v/>
      </c>
      <c r="F72" s="1037"/>
    </row>
    <row r="73">
      <c r="A73" s="249">
        <f>if('WEEK 20'!F71&lt;20,6,6)</f>
        <v>6</v>
      </c>
      <c r="B73" s="175">
        <f>IF((AND('WEEK 20'!B72&lt;='WEEK 20'!B71,'WEEK 20'!F72&gt;=20)),'WEEK 20'!B72,IF('WEEK 20'!F72&lt;20,MROUND('WEEK 20'!B72-('WEEK 20'!B72*20%),5),if( 'WEEK 20'!F72&lt;20,,MROUND('WEEK 20'!B72-('WEEK 20'!B72*1.5%),5),MROUND('WEEK 20'!B72+('WEEK 20'!B72*1.5%),5))))</f>
        <v>140</v>
      </c>
      <c r="C73" s="238">
        <v>10.0</v>
      </c>
      <c r="D73" s="238" t="s">
        <v>122</v>
      </c>
      <c r="E73" s="66" t="str">
        <f>IF('WEEK 6'!B82='WEEK 20'!B73,'WEEK 6'!F82,"")</f>
        <v/>
      </c>
      <c r="F73" s="67"/>
    </row>
    <row r="74">
      <c r="A74" s="1038">
        <f>IF('WEEK 20'!F73&lt;20,7,"7")</f>
        <v>7</v>
      </c>
      <c r="B74" s="175">
        <f>IF((AND('WEEK 20'!B73&lt;='WEEK 20'!B72,'WEEK 20'!F73&gt;=20)),'WEEK 20'!B73,IF('WEEK 20'!F73&lt;20,MROUND('WEEK 20'!B73-('WEEK 20'!B73*20%),5),if( 'WEEK 20'!F73&lt;20,,MROUND('WEEK 20'!B73-('WEEK 20'!B73*1.5%),5),MROUND('WEEK 20'!B73+('WEEK 20'!B73*1.5%),5))))</f>
        <v>110</v>
      </c>
      <c r="C74" s="238">
        <v>10.0</v>
      </c>
      <c r="D74" s="238" t="s">
        <v>122</v>
      </c>
      <c r="E74" s="66" t="str">
        <f>IF('WEEK 6'!B83='WEEK 20'!B74,'WEEK 6'!F83,"")</f>
        <v/>
      </c>
      <c r="F74" s="67"/>
    </row>
    <row r="75">
      <c r="A75" s="249">
        <f>IF('WEEK 20'!F74&lt;20,8,"8")</f>
        <v>8</v>
      </c>
      <c r="B75" s="175">
        <f>IF((AND('WEEK 20'!B74&lt;='WEEK 20'!B73,'WEEK 20'!F74&gt;=20)),'WEEK 20'!B74,IF('WEEK 20'!F74&lt;20,MROUND('WEEK 20'!B74-('WEEK 20'!B74*20%),5),if( 'WEEK 20'!F74&lt;20,,MROUND('WEEK 20'!B74-('WEEK 20'!B74*1.5%),5),MROUND('WEEK 20'!B74+('WEEK 20'!B74*1.5%),5))))</f>
        <v>90</v>
      </c>
      <c r="C75" s="238">
        <v>10.0</v>
      </c>
      <c r="D75" s="238" t="s">
        <v>122</v>
      </c>
      <c r="E75" s="66" t="str">
        <f>IF('WEEK 6'!B84='WEEK 20'!B75,'WEEK 6'!F84,"")</f>
        <v/>
      </c>
      <c r="F75" s="67"/>
    </row>
    <row r="76">
      <c r="A76" s="1038">
        <f>IF('WEEK 20'!F75&lt;20,9,"9")</f>
        <v>9</v>
      </c>
      <c r="B76" s="175">
        <f>IF((AND('WEEK 20'!B75&lt;='WEEK 20'!B74,'WEEK 20'!F75&gt;=20)),'WEEK 20'!B75,IF('WEEK 20'!F75&lt;20,MROUND('WEEK 20'!B75-('WEEK 20'!B75*20%),5),if( 'WEEK 20'!F75&lt;20,,MROUND('WEEK 20'!B75-('WEEK 20'!B75*1.5%),5),MROUND('WEEK 20'!B75+('WEEK 20'!B75*1.5%),5))))</f>
        <v>70</v>
      </c>
      <c r="C76" s="238">
        <v>10.0</v>
      </c>
      <c r="D76" s="238" t="s">
        <v>122</v>
      </c>
      <c r="E76" s="66"/>
      <c r="F76" s="67"/>
    </row>
    <row r="77">
      <c r="A77" s="1038" t="str">
        <f>IF('WEEK 20'!F76&lt;20,"10","10")</f>
        <v>10</v>
      </c>
      <c r="B77" s="175">
        <f>IF((AND('WEEK 20'!B76&lt;='WEEK 20'!B75,'WEEK 20'!F76&gt;=20)),'WEEK 20'!B76,IF('WEEK 20'!F76&lt;20,MROUND('WEEK 20'!B76-('WEEK 20'!B76*20%),5),if( 'WEEK 20'!F76&lt;20,,MROUND('WEEK 20'!B76-('WEEK 20'!B76*1.5%),5),MROUND('WEEK 20'!B76+('WEEK 20'!B76*1.5%),5))))</f>
        <v>55</v>
      </c>
      <c r="C77" s="238">
        <v>10.0</v>
      </c>
      <c r="D77" s="238" t="s">
        <v>122</v>
      </c>
      <c r="E77" s="66"/>
      <c r="F77" s="67"/>
    </row>
    <row r="78">
      <c r="A78" s="272" t="s">
        <v>183</v>
      </c>
      <c r="B78" s="1109">
        <f>IF(OR(ISBLANK('WEEK 20'!F68),ISBLANK('WEEK 20'!F69)),'WEEK 20'!B66,IF((AND('WEEK 20'!F77&gt;=20,'WEEK 20'!B77&gt;'WEEK 20'!B76)),'WEEK 20'!B77,IF((AND('WEEK 20'!F76&gt;=20,'WEEK 20'!B76&gt;'WEEK 20'!B75)),'WEEK 20'!B76,IF((AND('WEEK 20'!F75&gt;=20,'WEEK 20'!B75&gt;'WEEK 20'!B74)),'WEEK 20'!B75,IF((AND('WEEK 20'!F74&gt;=20,'WEEK 20'!B74&gt;'WEEK 20'!B73)),'WEEK 20'!B74,IF((AND('WEEK 20'!F73&gt;=20,'WEEK 20'!B73&gt;'WEEK 20'!B72)),'WEEK 20'!B73,IF((AND('WEEK 20'!F72&gt;=20,'WEEK 20'!B72&gt;'WEEK 20'!B71)),'WEEK 20'!B72,IF((AND('WEEK 20'!F71&gt;=20,'WEEK 20'!B71&gt;'WEEK 20'!B70)),'WEEK 20'!B71,IF((AND('WEEK 20'!F70&gt;=20,'WEEK 20'!B70&gt;'WEEK 20'!B69)),'WEEK 20'!B70,IF((AND('WEEK 20'!F69&gt;=20,'WEEK 20'!B69&gt;'WEEK 20'!B68)),'WEEK 20'!B69))))))))))</f>
        <v>250</v>
      </c>
      <c r="C78" s="11"/>
      <c r="D78" s="11"/>
      <c r="E78" s="11"/>
      <c r="F78" s="46"/>
    </row>
    <row r="81">
      <c r="A81" s="1285" t="str">
        <f>HYPERLINK("https://www.youtube.com/watch?v=NZ9KiFtbiMs","2. LEG EXTENSION")</f>
        <v>2. LEG EXTENSION</v>
      </c>
      <c r="B81" s="53"/>
      <c r="C81" s="53"/>
      <c r="D81" s="53"/>
      <c r="E81" s="53"/>
      <c r="F81" s="54"/>
    </row>
    <row r="82">
      <c r="A82" s="1045" t="s">
        <v>119</v>
      </c>
      <c r="B82" s="1367">
        <f>IF('WEEK 18'!B81='WEEK 18'!B83,'WEEK 18'!B81+5,IF('WEEK 18'!F81&lt;=9,MROUND('WEEK 18'!B79*0.95,5),'WEEK 18'!B81))</f>
        <v>50</v>
      </c>
      <c r="C82" s="20"/>
      <c r="D82" s="20"/>
      <c r="E82" s="20"/>
      <c r="F82" s="95"/>
    </row>
    <row r="83">
      <c r="A83" s="567" t="s">
        <v>50</v>
      </c>
      <c r="B83" s="568" t="s">
        <v>51</v>
      </c>
      <c r="C83" s="568" t="s">
        <v>52</v>
      </c>
      <c r="D83" s="568" t="s">
        <v>53</v>
      </c>
      <c r="E83" s="1047" t="s">
        <v>54</v>
      </c>
      <c r="F83" s="1048" t="s">
        <v>55</v>
      </c>
    </row>
    <row r="84">
      <c r="A84" s="1049">
        <v>1.0</v>
      </c>
      <c r="B84" s="1050">
        <f>'WEEK 20'!B82</f>
        <v>50</v>
      </c>
      <c r="C84" s="1051" t="s">
        <v>61</v>
      </c>
      <c r="D84" s="1430" t="s">
        <v>121</v>
      </c>
      <c r="E84" s="1130" t="str">
        <f>IF('WEEK 18'!B81='WEEK 20'!B84,'WEEK 18'!F81,"")</f>
        <v/>
      </c>
      <c r="F84" s="1017"/>
    </row>
    <row r="85">
      <c r="A85" s="1049">
        <v>2.0</v>
      </c>
      <c r="B85" s="1050">
        <f>if('WEEK 20'!F84&lt;12,mround('WEEK 20'!B84*0.8,5),IF('WEEK 20'!F84&lt;=14,MROUND('WEEK 20'!B84*0.95,5),'WEEK 20'!B84))</f>
        <v>40</v>
      </c>
      <c r="C85" s="1051" t="s">
        <v>61</v>
      </c>
      <c r="D85" s="1430" t="s">
        <v>121</v>
      </c>
      <c r="E85" s="1130" t="str">
        <f>IF('WEEK 18'!B82='WEEK 20'!B85,'WEEK 18'!F82,"")</f>
        <v/>
      </c>
      <c r="F85" s="1017"/>
    </row>
    <row r="86">
      <c r="A86" s="1053">
        <v>3.0</v>
      </c>
      <c r="B86" s="1054">
        <f>if('WEEK 20'!F85&lt;12,mround('WEEK 20'!B85*0.8,5),IF('WEEK 20'!F85&lt;=14,MROUND('WEEK 20'!B85*0.95,5),'WEEK 20'!B85))</f>
        <v>30</v>
      </c>
      <c r="C86" s="1055" t="s">
        <v>61</v>
      </c>
      <c r="D86" s="1453" t="s">
        <v>121</v>
      </c>
      <c r="E86" s="1348" t="str">
        <f>IF('WEEK 18'!B83='WEEK 20'!B86,'WEEK 18'!F83,"")</f>
        <v/>
      </c>
      <c r="F86" s="1017"/>
    </row>
    <row r="89">
      <c r="A89" s="323" t="str">
        <f>HYPERLINK("https://www.youtube.com/watch?v=XepOfsnGFJg","3. MACHINE LEG CURL")</f>
        <v>3. MACHINE LEG CURL</v>
      </c>
      <c r="B89" s="53"/>
      <c r="C89" s="53"/>
      <c r="D89" s="53"/>
      <c r="E89" s="53"/>
      <c r="F89" s="54"/>
      <c r="G89" s="141"/>
      <c r="H89" s="323" t="str">
        <f>HYPERLINK("https://youtu.be/kmN9cJ79PDE","3. PRONE LEG CURL")</f>
        <v>3. PRONE LEG CURL</v>
      </c>
      <c r="I89" s="53"/>
      <c r="J89" s="53"/>
      <c r="K89" s="53"/>
      <c r="L89" s="53"/>
      <c r="M89" s="54"/>
    </row>
    <row r="90">
      <c r="A90" s="1045" t="s">
        <v>119</v>
      </c>
      <c r="B90" s="1367">
        <f>IF('WEEK 18'!B89='WEEK 18'!B91,'WEEK 18'!B89+5,IF('WEEK 18'!F89&lt;=9,MROUND('WEEK 18'!B87*0.95,5),'WEEK 18'!B89))</f>
        <v>10</v>
      </c>
      <c r="C90" s="20"/>
      <c r="D90" s="20"/>
      <c r="E90" s="20"/>
      <c r="F90" s="95"/>
      <c r="H90" s="1045" t="s">
        <v>119</v>
      </c>
      <c r="I90" s="1046">
        <f>'WEEK 20'!B90</f>
        <v>10</v>
      </c>
      <c r="J90" s="13"/>
      <c r="K90" s="13"/>
      <c r="L90" s="13"/>
      <c r="M90" s="57"/>
    </row>
    <row r="91">
      <c r="A91" s="567" t="s">
        <v>50</v>
      </c>
      <c r="B91" s="568" t="s">
        <v>51</v>
      </c>
      <c r="C91" s="568" t="s">
        <v>52</v>
      </c>
      <c r="D91" s="568" t="s">
        <v>53</v>
      </c>
      <c r="E91" s="1047" t="s">
        <v>54</v>
      </c>
      <c r="F91" s="1048" t="s">
        <v>55</v>
      </c>
      <c r="H91" s="567" t="s">
        <v>50</v>
      </c>
      <c r="I91" s="568" t="s">
        <v>51</v>
      </c>
      <c r="J91" s="568" t="s">
        <v>52</v>
      </c>
      <c r="K91" s="568" t="s">
        <v>53</v>
      </c>
      <c r="L91" s="1047" t="s">
        <v>54</v>
      </c>
      <c r="M91" s="1048" t="s">
        <v>55</v>
      </c>
    </row>
    <row r="92">
      <c r="A92" s="1049">
        <v>1.0</v>
      </c>
      <c r="B92" s="1050">
        <f>'WEEK 20'!B90</f>
        <v>10</v>
      </c>
      <c r="C92" s="1051" t="s">
        <v>61</v>
      </c>
      <c r="D92" s="1430" t="s">
        <v>121</v>
      </c>
      <c r="E92" s="1130" t="str">
        <f>IF('WEEK 18'!B89='WEEK 20'!B92,'WEEK 18'!F89,"")</f>
        <v/>
      </c>
      <c r="F92" s="1017"/>
      <c r="G92" s="434" t="s">
        <v>123</v>
      </c>
      <c r="H92" s="1049">
        <v>1.0</v>
      </c>
      <c r="I92" s="1050">
        <f>'WEEK 20'!I90</f>
        <v>10</v>
      </c>
      <c r="J92" s="1051" t="s">
        <v>61</v>
      </c>
      <c r="K92" s="1430" t="s">
        <v>121</v>
      </c>
      <c r="L92" s="1130" t="str">
        <f>IF('WEEK 18'!I89='WEEK 20'!I92,'WEEK 18'!M89,"")</f>
        <v/>
      </c>
      <c r="M92" s="1017"/>
    </row>
    <row r="93">
      <c r="A93" s="1049">
        <v>2.0</v>
      </c>
      <c r="B93" s="1050">
        <f>if('WEEK 20'!F92&lt;12,mround('WEEK 20'!B92*0.8,5),IF('WEEK 20'!F92&lt;=14,MROUND('WEEK 20'!B92*0.95,5),'WEEK 20'!B92))</f>
        <v>10</v>
      </c>
      <c r="C93" s="1051" t="s">
        <v>61</v>
      </c>
      <c r="D93" s="1430" t="s">
        <v>121</v>
      </c>
      <c r="E93" s="1130" t="str">
        <f>IF('WEEK 18'!B90='WEEK 20'!B93,'WEEK 18'!F90,"")</f>
        <v/>
      </c>
      <c r="F93" s="1017"/>
      <c r="H93" s="1049">
        <v>2.0</v>
      </c>
      <c r="I93" s="1050">
        <f>if('WEEK 20'!M92&lt;12,mround('WEEK 20'!I92*0.8,5),IF('WEEK 20'!M92&lt;=14,MROUND('WEEK 20'!I92*0.95,5),'WEEK 20'!I92))</f>
        <v>10</v>
      </c>
      <c r="J93" s="1051" t="s">
        <v>61</v>
      </c>
      <c r="K93" s="1430" t="s">
        <v>121</v>
      </c>
      <c r="L93" s="1130" t="str">
        <f>IF('WEEK 18'!I90='WEEK 20'!I93,'WEEK 18'!M90,"")</f>
        <v/>
      </c>
      <c r="M93" s="1017"/>
    </row>
    <row r="94">
      <c r="A94" s="1053">
        <v>3.0</v>
      </c>
      <c r="B94" s="1054">
        <f>if('WEEK 20'!F93&lt;12,mround('WEEK 20'!B93*0.8,5),IF('WEEK 20'!F93&lt;=14,MROUND('WEEK 20'!B93*0.95,5),'WEEK 20'!B93))</f>
        <v>10</v>
      </c>
      <c r="C94" s="1055" t="s">
        <v>61</v>
      </c>
      <c r="D94" s="1453" t="s">
        <v>121</v>
      </c>
      <c r="E94" s="1348" t="str">
        <f>IF('WEEK 18'!B91='WEEK 20'!B94,'WEEK 18'!F91,"")</f>
        <v/>
      </c>
      <c r="F94" s="1017"/>
      <c r="G94" s="682"/>
      <c r="H94" s="1053">
        <v>3.0</v>
      </c>
      <c r="I94" s="1054">
        <f>if('WEEK 20'!M93&lt;12,mround('WEEK 20'!I93*0.8,5),IF('WEEK 20'!M93&lt;=14,MROUND('WEEK 20'!I93*0.95,5),'WEEK 20'!I93))</f>
        <v>10</v>
      </c>
      <c r="J94" s="1055" t="s">
        <v>61</v>
      </c>
      <c r="K94" s="1453" t="s">
        <v>121</v>
      </c>
      <c r="L94" s="1348" t="str">
        <f>IF('WEEK 18'!I91='WEEK 20'!I94,'WEEK 18'!M91,"")</f>
        <v/>
      </c>
      <c r="M94" s="1017"/>
    </row>
    <row r="95">
      <c r="A95" s="849"/>
      <c r="B95" s="849"/>
      <c r="C95" s="849"/>
      <c r="D95" s="849"/>
      <c r="E95" s="849"/>
      <c r="F95" s="849"/>
      <c r="H95" s="849"/>
      <c r="I95" s="850"/>
      <c r="J95" s="850"/>
      <c r="K95" s="850"/>
      <c r="L95" s="850"/>
      <c r="M95" s="850"/>
    </row>
    <row r="97">
      <c r="A97" s="1120" t="s">
        <v>62</v>
      </c>
      <c r="B97" s="36"/>
      <c r="C97" s="36"/>
      <c r="D97" s="36"/>
      <c r="E97" s="36"/>
      <c r="F97" s="37"/>
    </row>
    <row r="100">
      <c r="A100" s="51" t="s">
        <v>131</v>
      </c>
      <c r="B100" s="36"/>
      <c r="C100" s="36"/>
      <c r="D100" s="36"/>
      <c r="E100" s="36"/>
      <c r="F100" s="37"/>
    </row>
    <row r="101">
      <c r="A101" s="960" t="str">
        <f>HYPERLINK("https://youtu.be/ZhZ733bUA9Q","1. SHOULDER CLEANS")</f>
        <v>1. SHOULDER CLEANS</v>
      </c>
      <c r="B101" s="53"/>
      <c r="C101" s="53"/>
      <c r="D101" s="53"/>
      <c r="E101" s="53"/>
      <c r="F101" s="54"/>
    </row>
    <row r="102">
      <c r="A102" s="961" t="s">
        <v>119</v>
      </c>
      <c r="B102" s="76">
        <f>IF('WEEK 14'!B118='WEEK 14'!B120,'WEEK 14'!B118+5,IF('WEEK 14'!F118&lt;=15,MROUND('WEEK 14'!B116*0.85,5),'WEEK 14'!B118))</f>
        <v>50</v>
      </c>
      <c r="C102" s="13"/>
      <c r="D102" s="13"/>
      <c r="E102" s="13"/>
      <c r="F102" s="57"/>
    </row>
    <row r="103">
      <c r="A103" s="962" t="s">
        <v>50</v>
      </c>
      <c r="B103" s="963" t="s">
        <v>51</v>
      </c>
      <c r="C103" s="963" t="s">
        <v>52</v>
      </c>
      <c r="D103" s="981" t="s">
        <v>53</v>
      </c>
      <c r="E103" s="965" t="s">
        <v>54</v>
      </c>
      <c r="F103" s="966" t="s">
        <v>55</v>
      </c>
    </row>
    <row r="104">
      <c r="A104" s="967">
        <v>1.0</v>
      </c>
      <c r="B104" s="968">
        <f>MROUND('WEEK 20'!B102,2.5)</f>
        <v>50</v>
      </c>
      <c r="C104" s="968">
        <v>20.0</v>
      </c>
      <c r="D104" s="969" t="s">
        <v>57</v>
      </c>
      <c r="E104" s="1130" t="str">
        <f>IF('WEEK 14'!B118='WEEK 20'!B104,'WEEK 14'!F118,"")</f>
        <v/>
      </c>
      <c r="F104" s="982"/>
    </row>
    <row r="105">
      <c r="A105" s="967">
        <v>2.0</v>
      </c>
      <c r="B105" s="968">
        <f>if('WEEK 20'!F104&lt;20,mround('WEEK 20'!B104*0.75,5),'WEEK 20'!B104)</f>
        <v>40</v>
      </c>
      <c r="C105" s="968">
        <v>20.0</v>
      </c>
      <c r="D105" s="969" t="s">
        <v>57</v>
      </c>
      <c r="E105" s="1130" t="str">
        <f>IF('WEEK 14'!B119='WEEK 20'!B105,'WEEK 14'!F119,"")</f>
        <v/>
      </c>
      <c r="F105" s="983"/>
    </row>
    <row r="106">
      <c r="A106" s="971">
        <v>3.0</v>
      </c>
      <c r="B106" s="972">
        <f>if('WEEK 20'!F105&lt;20,mround('WEEK 20'!B105*0.6,5),'WEEK 20'!B105)</f>
        <v>25</v>
      </c>
      <c r="C106" s="972">
        <v>20.0</v>
      </c>
      <c r="D106" s="973" t="s">
        <v>57</v>
      </c>
      <c r="E106" s="1348" t="str">
        <f>IF('WEEK 14'!B120='WEEK 20'!B106,'WEEK 14'!F120,"")</f>
        <v/>
      </c>
      <c r="F106" s="984"/>
    </row>
    <row r="107">
      <c r="A107" s="212"/>
    </row>
    <row r="109">
      <c r="A109" s="687" t="str">
        <f>HYPERLINK("https://www.youtube.com/watch?v=XDLQt1j3qUU","2. DUMBBELL REAR DELT FLY ")</f>
        <v>2. DUMBBELL REAR DELT FLY </v>
      </c>
      <c r="B109" s="53"/>
      <c r="C109" s="53"/>
      <c r="D109" s="53"/>
      <c r="E109" s="53"/>
      <c r="F109" s="54"/>
    </row>
    <row r="110">
      <c r="A110" s="226" t="s">
        <v>145</v>
      </c>
      <c r="B110" s="691" t="str">
        <f>IF('WEEK 19'!B109="",'WEEK 19'!B97,'WEEK 19'!B109)</f>
        <v/>
      </c>
      <c r="C110" s="13"/>
      <c r="D110" s="13"/>
      <c r="E110" s="13"/>
      <c r="F110" s="57"/>
    </row>
    <row r="111">
      <c r="A111" s="96" t="s">
        <v>50</v>
      </c>
      <c r="B111" s="97" t="s">
        <v>51</v>
      </c>
      <c r="C111" s="97" t="s">
        <v>52</v>
      </c>
      <c r="D111" s="97" t="s">
        <v>53</v>
      </c>
      <c r="E111" s="341" t="s">
        <v>54</v>
      </c>
      <c r="F111" s="235" t="s">
        <v>55</v>
      </c>
    </row>
    <row r="112">
      <c r="A112" s="556">
        <v>1.0</v>
      </c>
      <c r="B112" s="237">
        <f>MROUND('WEEK 20'!B110*0.2,2.5)</f>
        <v>0</v>
      </c>
      <c r="C112" s="65">
        <v>20.0</v>
      </c>
      <c r="D112" s="693" t="s">
        <v>146</v>
      </c>
      <c r="E112" s="1130">
        <f>IF('WEEK 18'!B111='WEEK 20'!B112,'WEEK 18'!F111,"")</f>
        <v>10</v>
      </c>
      <c r="F112" s="694"/>
    </row>
    <row r="113">
      <c r="A113" s="556">
        <v>2.0</v>
      </c>
      <c r="B113" s="237">
        <f>if('WEEK 20'!F112&lt;10,mround('WEEK 20'!B112*0.8,5),IF('WEEK 20'!F112&lt;=15,MROUND('WEEK 20'!B112*0.95,5),'WEEK 20'!B112))</f>
        <v>0</v>
      </c>
      <c r="C113" s="65">
        <v>20.0</v>
      </c>
      <c r="D113" s="693" t="s">
        <v>146</v>
      </c>
      <c r="E113" s="1130">
        <f>IF('WEEK 18'!B112='WEEK 20'!B113,'WEEK 18'!F112,"")</f>
        <v>5</v>
      </c>
      <c r="F113" s="694"/>
    </row>
    <row r="114">
      <c r="A114" s="561">
        <v>3.0</v>
      </c>
      <c r="B114" s="371">
        <f>if('WEEK 20'!F113&lt;10,mround('WEEK 20'!B113*0.8,5),IF('WEEK 20'!F113&lt;=15,MROUND('WEEK 20'!B113*0.95,5),'WEEK 20'!B113))</f>
        <v>0</v>
      </c>
      <c r="C114" s="71">
        <v>20.0</v>
      </c>
      <c r="D114" s="794" t="s">
        <v>146</v>
      </c>
      <c r="E114" s="1348" t="str">
        <f>IF('WEEK 18'!B113='WEEK 20'!B114,'WEEK 18'!F113,"")</f>
        <v/>
      </c>
      <c r="F114" s="694"/>
    </row>
    <row r="115">
      <c r="A115" s="292"/>
      <c r="B115" s="292"/>
      <c r="C115" s="292"/>
      <c r="D115" s="292"/>
      <c r="E115" s="292"/>
      <c r="F115" s="292"/>
    </row>
    <row r="116">
      <c r="A116" s="292"/>
      <c r="B116" s="292"/>
      <c r="C116" s="292"/>
      <c r="D116" s="292"/>
      <c r="E116" s="292"/>
      <c r="F116" s="292"/>
    </row>
    <row r="117">
      <c r="A117" s="513" t="str">
        <f>HYPERLINK("https://youtu.be/QUNZvtb6mnY","3. DUMBBELL SIDE LATERAL RAISE")</f>
        <v>3. DUMBBELL SIDE LATERAL RAISE</v>
      </c>
      <c r="B117" s="53"/>
      <c r="C117" s="53"/>
      <c r="D117" s="53"/>
      <c r="E117" s="53"/>
      <c r="F117" s="54"/>
    </row>
    <row r="118">
      <c r="A118" s="226" t="s">
        <v>134</v>
      </c>
      <c r="B118" s="90" t="str">
        <f>IF('WEEK 19'!B109="",'WEEK 19'!B97,'WEEK 19'!B109)</f>
        <v/>
      </c>
      <c r="C118" s="13"/>
      <c r="D118" s="13"/>
      <c r="E118" s="13"/>
      <c r="F118" s="57"/>
    </row>
    <row r="119">
      <c r="A119" s="376" t="s">
        <v>50</v>
      </c>
      <c r="B119" s="79" t="s">
        <v>51</v>
      </c>
      <c r="C119" s="79" t="s">
        <v>52</v>
      </c>
      <c r="D119" s="79" t="s">
        <v>53</v>
      </c>
      <c r="E119" s="98" t="s">
        <v>54</v>
      </c>
      <c r="F119" s="377" t="s">
        <v>55</v>
      </c>
    </row>
    <row r="120">
      <c r="A120" s="81">
        <v>1.0</v>
      </c>
      <c r="B120" s="82">
        <f> mround('WEEK 20'!B118*0.2,5)</f>
        <v>0</v>
      </c>
      <c r="C120" s="65">
        <v>20.0</v>
      </c>
      <c r="D120" s="83" t="s">
        <v>57</v>
      </c>
      <c r="E120" s="84" t="str">
        <f>IF('WEEK 19'!B122='WEEK 20'!B120,'WEEK 19'!F122,"")</f>
        <v/>
      </c>
      <c r="F120" s="330"/>
    </row>
    <row r="121">
      <c r="A121" s="81">
        <v>2.0</v>
      </c>
      <c r="B121" s="82">
        <f>if('WEEK 20'!F120&lt;15,mround('WEEK 20'!B118*0.15,2.5),'WEEK 20'!B120)</f>
        <v>0</v>
      </c>
      <c r="C121" s="65">
        <v>20.0</v>
      </c>
      <c r="D121" s="83" t="s">
        <v>57</v>
      </c>
      <c r="E121" s="84" t="str">
        <f>IF('WEEK 19'!B123='WEEK 20'!B121,'WEEK 19'!F123,"")</f>
        <v/>
      </c>
      <c r="F121" s="330"/>
    </row>
    <row r="122">
      <c r="A122" s="86">
        <v>3.0</v>
      </c>
      <c r="B122" s="87">
        <f>if('WEEK 20'!F121&lt;15,mround('WEEK 20'!B118*0.1,2.5),'WEEK 20'!B121)</f>
        <v>0</v>
      </c>
      <c r="C122" s="71">
        <v>20.0</v>
      </c>
      <c r="D122" s="88" t="s">
        <v>57</v>
      </c>
      <c r="E122" s="89" t="str">
        <f>IF('WEEK 19'!B124='WEEK 20'!B122,'WEEK 19'!F124,"")</f>
        <v/>
      </c>
      <c r="F122" s="85"/>
    </row>
    <row r="123">
      <c r="A123" s="696"/>
    </row>
    <row r="125">
      <c r="A125" s="73" t="str">
        <f>HYPERLINK("https://youtu.be/Yke__29qVfo","4. TRICEP PUSH DOWNS")</f>
        <v>4. TRICEP PUSH DOWNS</v>
      </c>
      <c r="B125" s="53"/>
      <c r="C125" s="53"/>
      <c r="D125" s="53"/>
      <c r="E125" s="53"/>
      <c r="F125" s="54"/>
    </row>
    <row r="126">
      <c r="A126" s="226" t="s">
        <v>119</v>
      </c>
      <c r="B126" s="90">
        <f>IF('WEEK 19'!B130='WEEK 19'!B132,'WEEK 19'!B130+5,IF('WEEK 19'!F130&lt;=9,MROUND('WEEK 19'!B128*0.95,5),'WEEK 19'!B130))</f>
        <v>30</v>
      </c>
      <c r="C126" s="13"/>
      <c r="D126" s="13"/>
      <c r="E126" s="13"/>
      <c r="F126" s="57"/>
    </row>
    <row r="127">
      <c r="A127" s="77" t="s">
        <v>50</v>
      </c>
      <c r="B127" s="78" t="s">
        <v>51</v>
      </c>
      <c r="C127" s="78" t="s">
        <v>52</v>
      </c>
      <c r="D127" s="78" t="s">
        <v>53</v>
      </c>
      <c r="E127" s="80" t="s">
        <v>54</v>
      </c>
      <c r="F127" s="235" t="s">
        <v>55</v>
      </c>
    </row>
    <row r="128">
      <c r="A128" s="81">
        <v>1.0</v>
      </c>
      <c r="B128" s="82">
        <f>'WEEK 20'!B126</f>
        <v>30</v>
      </c>
      <c r="C128" s="65">
        <v>20.0</v>
      </c>
      <c r="D128" s="83" t="s">
        <v>58</v>
      </c>
      <c r="E128" s="84" t="str">
        <f>IF('WEEK 19'!B130='WEEK 20'!B128,'WEEK 19'!F130,"")</f>
        <v/>
      </c>
      <c r="F128" s="85"/>
    </row>
    <row r="129">
      <c r="A129" s="81">
        <v>2.0</v>
      </c>
      <c r="B129" s="82">
        <f>if('WEEK 20'!F128&lt;10,mround('WEEK 20'!B128*0.8,5),IF('WEEK 20'!F128&lt;=14,MROUND('WEEK 20'!B126*0.95,5),'WEEK 20'!B128))</f>
        <v>25</v>
      </c>
      <c r="C129" s="65">
        <v>20.0</v>
      </c>
      <c r="D129" s="83" t="s">
        <v>58</v>
      </c>
      <c r="E129" s="84" t="str">
        <f>IF('WEEK 19'!B131='WEEK 20'!B129,'WEEK 19'!F131,"")</f>
        <v/>
      </c>
      <c r="F129" s="85"/>
    </row>
    <row r="130">
      <c r="A130" s="86">
        <v>3.0</v>
      </c>
      <c r="B130" s="87">
        <f>if('WEEK 20'!F129&lt;10,mround('WEEK 20'!B129*0.8,5),IF('WEEK 20'!F129&lt;=14,MROUND('WEEK 20'!B129*0.95,5),'WEEK 20'!B129))</f>
        <v>20</v>
      </c>
      <c r="C130" s="71">
        <v>20.0</v>
      </c>
      <c r="D130" s="88" t="s">
        <v>58</v>
      </c>
      <c r="E130" s="89" t="str">
        <f>IF('WEEK 19'!B132='WEEK 20'!B130,'WEEK 19'!F132,"")</f>
        <v/>
      </c>
      <c r="F130" s="85"/>
    </row>
    <row r="133">
      <c r="A133" s="75" t="str">
        <f>HYPERLINK("https://www.youtube.com/watch?v=9IqvmIhFxtY","5. BICEP CABLE CURL")</f>
        <v>5. BICEP CABLE CURL</v>
      </c>
      <c r="B133" s="53"/>
      <c r="C133" s="53"/>
      <c r="D133" s="53"/>
      <c r="E133" s="53"/>
      <c r="F133" s="54"/>
      <c r="H133" s="75" t="str">
        <f>HYPERLINK("https://www.youtube.com/watch?v=Bi6Do6QIlpQ","5. BICEP EZ BAR CURL")</f>
        <v>5. BICEP EZ BAR CURL</v>
      </c>
      <c r="I133" s="53"/>
      <c r="J133" s="53"/>
      <c r="K133" s="53"/>
      <c r="L133" s="53"/>
      <c r="M133" s="54"/>
    </row>
    <row r="134">
      <c r="A134" s="226" t="s">
        <v>119</v>
      </c>
      <c r="B134" s="90">
        <f>IF('WEEK 19'!B138='WEEK 19'!B140,'WEEK 19'!B138+5,IF('WEEK 19'!F138&lt;=9,MROUND('WEEK 19'!B136*0.95,5),'WEEK 19'!B138))</f>
        <v>30</v>
      </c>
      <c r="C134" s="13"/>
      <c r="D134" s="13"/>
      <c r="E134" s="13"/>
      <c r="F134" s="57"/>
      <c r="H134" s="226" t="s">
        <v>119</v>
      </c>
      <c r="I134" s="90">
        <f>IF('WEEK 19'!I138='WEEK 19'!I140,'WEEK 19'!I138+5,IF('WEEK 19'!M138&lt;=9,MROUND('WEEK 19'!I136*0.95,5),'WEEK 19'!I138))</f>
        <v>15</v>
      </c>
      <c r="J134" s="13"/>
      <c r="K134" s="13"/>
      <c r="L134" s="13"/>
      <c r="M134" s="57"/>
    </row>
    <row r="135">
      <c r="A135" s="77" t="s">
        <v>50</v>
      </c>
      <c r="B135" s="78" t="s">
        <v>51</v>
      </c>
      <c r="C135" s="78" t="s">
        <v>52</v>
      </c>
      <c r="D135" s="78" t="s">
        <v>53</v>
      </c>
      <c r="E135" s="80" t="s">
        <v>54</v>
      </c>
      <c r="F135" s="235" t="s">
        <v>55</v>
      </c>
      <c r="H135" s="77" t="s">
        <v>50</v>
      </c>
      <c r="I135" s="78" t="s">
        <v>51</v>
      </c>
      <c r="J135" s="78" t="s">
        <v>52</v>
      </c>
      <c r="K135" s="78" t="s">
        <v>53</v>
      </c>
      <c r="L135" s="80" t="s">
        <v>54</v>
      </c>
      <c r="M135" s="235" t="s">
        <v>55</v>
      </c>
    </row>
    <row r="136">
      <c r="A136" s="81">
        <v>1.0</v>
      </c>
      <c r="B136" s="82">
        <f>'WEEK 20'!B134</f>
        <v>30</v>
      </c>
      <c r="C136" s="65">
        <v>20.0</v>
      </c>
      <c r="D136" s="83" t="s">
        <v>58</v>
      </c>
      <c r="E136" s="84" t="str">
        <f>IF('WEEK 19'!B138='WEEK 20'!B136,'WEEK 19'!F138,"")</f>
        <v/>
      </c>
      <c r="F136" s="85"/>
      <c r="H136" s="81">
        <v>1.0</v>
      </c>
      <c r="I136" s="82">
        <f>MROUND('WEEK 20'!I134,5)</f>
        <v>15</v>
      </c>
      <c r="J136" s="65" t="s">
        <v>61</v>
      </c>
      <c r="K136" s="83" t="s">
        <v>274</v>
      </c>
      <c r="L136" s="84" t="str">
        <f>IF('WEEK 19'!I138='WEEK 20'!I136,'WEEK 19'!M138,"")</f>
        <v/>
      </c>
      <c r="M136" s="85"/>
    </row>
    <row r="137">
      <c r="A137" s="81">
        <v>2.0</v>
      </c>
      <c r="B137" s="82">
        <f>if('WEEK 20'!F136&lt;10,mround('WEEK 20'!B136*0.8,5),IF('WEEK 20'!F136&lt;=14,MROUND('WEEK 20'!B134*0.95,5),'WEEK 20'!B136))</f>
        <v>25</v>
      </c>
      <c r="C137" s="65">
        <v>20.0</v>
      </c>
      <c r="D137" s="83" t="s">
        <v>58</v>
      </c>
      <c r="E137" s="84" t="str">
        <f>IF('WEEK 19'!B139='WEEK 20'!B137,'WEEK 19'!F139,"")</f>
        <v/>
      </c>
      <c r="F137" s="85"/>
      <c r="H137" s="81">
        <v>2.0</v>
      </c>
      <c r="I137" s="82">
        <f>if('WEEK 20'!M136&lt;10,mround('WEEK 20'!I136*0.8,5),IF('WEEK 20'!M136&lt;=15,MROUND('WEEK 20'!I134*0.95,5),'WEEK 20'!I136))</f>
        <v>10</v>
      </c>
      <c r="J137" s="65" t="s">
        <v>61</v>
      </c>
      <c r="K137" s="83" t="s">
        <v>274</v>
      </c>
      <c r="L137" s="84" t="str">
        <f>IF('WEEK 19'!I139='WEEK 20'!I137,'WEEK 19'!M139,"")</f>
        <v/>
      </c>
      <c r="M137" s="85"/>
    </row>
    <row r="138">
      <c r="A138" s="629">
        <v>3.0</v>
      </c>
      <c r="B138" s="630">
        <f>if('WEEK 20'!F137&lt;10,mround('WEEK 20'!B137*0.8,5),IF('WEEK 20'!F137&lt;=14,MROUND('WEEK 20'!B137*0.95,5),'WEEK 20'!B137))</f>
        <v>20</v>
      </c>
      <c r="C138" s="631">
        <v>20.0</v>
      </c>
      <c r="D138" s="328" t="s">
        <v>58</v>
      </c>
      <c r="E138" s="84" t="str">
        <f>IF('WEEK 19'!B140='WEEK 20'!B138,'WEEK 19'!F140,"")</f>
        <v/>
      </c>
      <c r="F138" s="330"/>
      <c r="H138" s="86">
        <v>3.0</v>
      </c>
      <c r="I138" s="87">
        <f>if('WEEK 20'!M137&lt;10,mround('WEEK 20'!I137*0.8,5),IF('WEEK 20'!M137&lt;=15,MROUND('WEEK 20'!I135*0.95,5),'WEEK 20'!I137))</f>
        <v>10</v>
      </c>
      <c r="J138" s="71" t="s">
        <v>61</v>
      </c>
      <c r="K138" s="88" t="s">
        <v>274</v>
      </c>
      <c r="L138" s="89" t="str">
        <f>IF('WEEK 19'!I140='WEEK 20'!I138,'WEEK 19'!M140,"")</f>
        <v/>
      </c>
      <c r="M138" s="85"/>
    </row>
    <row r="139">
      <c r="A139" s="633"/>
      <c r="B139" s="633"/>
      <c r="C139" s="633"/>
      <c r="D139" s="633"/>
      <c r="E139" s="633"/>
      <c r="F139" s="633"/>
    </row>
    <row r="140">
      <c r="A140" s="945"/>
      <c r="B140" s="945"/>
      <c r="C140" s="945"/>
      <c r="D140" s="945"/>
      <c r="E140" s="945"/>
      <c r="F140" s="945"/>
    </row>
    <row r="141">
      <c r="A141" s="581" t="str">
        <f>HYPERLINK("https://docs.google.com/a/fitnessresults.com/forms/d/e/1FAIpQLSd7MoczESe8Yjv6BKpmwAZGn9Aiymrs9-UdgfYIUpbr9t5NXg/viewform?usp=pp_url&amp;entry.93370101","CLICK TO COMPLETE WORKOUT")</f>
        <v>CLICK TO COMPLETE WORKOUT</v>
      </c>
      <c r="B141" s="25"/>
      <c r="C141" s="25"/>
      <c r="D141" s="25"/>
      <c r="E141" s="25"/>
      <c r="F141" s="26"/>
    </row>
    <row r="142">
      <c r="A142" s="336"/>
      <c r="B142" s="11"/>
      <c r="C142" s="11"/>
      <c r="D142" s="11"/>
      <c r="E142" s="11"/>
      <c r="F142" s="46"/>
    </row>
    <row r="143">
      <c r="A143" s="683"/>
    </row>
    <row r="144">
      <c r="A144" s="1487" t="str">
        <f>HYPERLINK("https://www.amazon.com/30-Minute-Body-Investment-Champion/dp/0692791892/ref=sr_1_1?ie=UTF8&amp;qid=1490447969&amp;sr=8-1&amp;keywords=30+minute+body","WANT TO LEARN MORE?")</f>
        <v>WANT TO LEARN MORE?</v>
      </c>
      <c r="B144" s="25"/>
      <c r="C144" s="25"/>
      <c r="D144" s="25"/>
      <c r="E144" s="25"/>
      <c r="F144" s="26"/>
    </row>
    <row r="145">
      <c r="A145" s="529"/>
      <c r="F145" s="28"/>
    </row>
    <row r="146">
      <c r="A146" s="645"/>
      <c r="B146" s="646"/>
      <c r="C146" s="1488" t="s">
        <v>67</v>
      </c>
      <c r="F146" s="28"/>
    </row>
    <row r="147">
      <c r="A147" s="645"/>
      <c r="B147" s="646"/>
      <c r="C147" s="529"/>
      <c r="F147" s="28"/>
    </row>
    <row r="148">
      <c r="A148" s="645"/>
      <c r="B148" s="646"/>
      <c r="C148" s="529"/>
      <c r="F148" s="28"/>
    </row>
    <row r="149">
      <c r="A149" s="645"/>
      <c r="B149" s="646"/>
      <c r="C149" s="529"/>
      <c r="F149" s="28"/>
    </row>
    <row r="150">
      <c r="A150" s="645"/>
      <c r="B150" s="646"/>
      <c r="C150" s="529"/>
      <c r="F150" s="28"/>
    </row>
    <row r="151">
      <c r="A151" s="645"/>
      <c r="B151" s="646"/>
      <c r="C151" s="529"/>
      <c r="F151" s="28"/>
    </row>
    <row r="152">
      <c r="A152" s="647"/>
      <c r="B152" s="646"/>
      <c r="C152" s="529"/>
      <c r="F152" s="28"/>
    </row>
    <row r="153">
      <c r="A153" s="645"/>
      <c r="B153" s="646"/>
      <c r="C153" s="529"/>
      <c r="F153" s="28"/>
    </row>
    <row r="154">
      <c r="A154" s="645"/>
      <c r="B154" s="646"/>
      <c r="C154" s="529"/>
      <c r="F154" s="28"/>
    </row>
    <row r="155">
      <c r="A155" s="648"/>
      <c r="B155" s="646"/>
      <c r="C155" s="529"/>
      <c r="F155" s="28"/>
    </row>
    <row r="156">
      <c r="A156" s="645"/>
      <c r="B156" s="646"/>
      <c r="C156" s="529"/>
      <c r="F156" s="28"/>
    </row>
    <row r="157">
      <c r="A157" s="645"/>
      <c r="B157" s="646"/>
      <c r="C157" s="529"/>
      <c r="F157" s="28"/>
    </row>
    <row r="158">
      <c r="A158" s="645"/>
      <c r="B158" s="646"/>
      <c r="C158" s="529"/>
      <c r="F158" s="28"/>
    </row>
    <row r="159">
      <c r="A159" s="645"/>
      <c r="B159" s="646"/>
      <c r="C159" s="529"/>
      <c r="F159" s="28"/>
    </row>
    <row r="160">
      <c r="A160" s="645"/>
      <c r="B160" s="642"/>
      <c r="C160" s="336"/>
      <c r="D160" s="11"/>
      <c r="E160" s="11"/>
      <c r="F160" s="46"/>
    </row>
    <row r="161">
      <c r="A161" s="1489"/>
      <c r="B161" s="1489"/>
      <c r="C161" s="807"/>
      <c r="D161" s="807"/>
      <c r="E161" s="807"/>
      <c r="F161" s="807"/>
    </row>
  </sheetData>
  <mergeCells count="82">
    <mergeCell ref="G24:G25"/>
    <mergeCell ref="A27:F27"/>
    <mergeCell ref="A30:F30"/>
    <mergeCell ref="B33:F33"/>
    <mergeCell ref="G37:G41"/>
    <mergeCell ref="B38:F38"/>
    <mergeCell ref="A44:F44"/>
    <mergeCell ref="A53:A54"/>
    <mergeCell ref="A56:A57"/>
    <mergeCell ref="B45:C45"/>
    <mergeCell ref="D45:F45"/>
    <mergeCell ref="A47:A48"/>
    <mergeCell ref="A49:F49"/>
    <mergeCell ref="A50:A51"/>
    <mergeCell ref="A52:F52"/>
    <mergeCell ref="A55:F55"/>
    <mergeCell ref="A60:F60"/>
    <mergeCell ref="A62:F62"/>
    <mergeCell ref="A65:F65"/>
    <mergeCell ref="B66:F66"/>
    <mergeCell ref="B78:F78"/>
    <mergeCell ref="A81:F81"/>
    <mergeCell ref="B82:F82"/>
    <mergeCell ref="A89:F89"/>
    <mergeCell ref="G89:G91"/>
    <mergeCell ref="H89:M89"/>
    <mergeCell ref="B90:F90"/>
    <mergeCell ref="I90:M90"/>
    <mergeCell ref="G92:G93"/>
    <mergeCell ref="G94:G95"/>
    <mergeCell ref="A97:F97"/>
    <mergeCell ref="A100:F100"/>
    <mergeCell ref="A101:F101"/>
    <mergeCell ref="B102:F102"/>
    <mergeCell ref="A107:F108"/>
    <mergeCell ref="A109:F109"/>
    <mergeCell ref="B110:F110"/>
    <mergeCell ref="A133:F133"/>
    <mergeCell ref="B134:F134"/>
    <mergeCell ref="A141:F142"/>
    <mergeCell ref="A143:F143"/>
    <mergeCell ref="A144:F145"/>
    <mergeCell ref="C146:F160"/>
    <mergeCell ref="A117:F117"/>
    <mergeCell ref="B118:F118"/>
    <mergeCell ref="A123:F124"/>
    <mergeCell ref="A125:F125"/>
    <mergeCell ref="B126:F126"/>
    <mergeCell ref="A131:F132"/>
    <mergeCell ref="H133:M133"/>
    <mergeCell ref="I134:M134"/>
    <mergeCell ref="A9:F9"/>
    <mergeCell ref="H9:M9"/>
    <mergeCell ref="A10:F11"/>
    <mergeCell ref="H10:M10"/>
    <mergeCell ref="A12:F12"/>
    <mergeCell ref="A13:F13"/>
    <mergeCell ref="H15:M15"/>
    <mergeCell ref="A20:F20"/>
    <mergeCell ref="B21:F21"/>
    <mergeCell ref="O20:T20"/>
    <mergeCell ref="P21:T21"/>
    <mergeCell ref="N19:N26"/>
    <mergeCell ref="N27:N28"/>
    <mergeCell ref="N29:N31"/>
    <mergeCell ref="N38:N41"/>
    <mergeCell ref="A15:F15"/>
    <mergeCell ref="A19:F19"/>
    <mergeCell ref="H19:M19"/>
    <mergeCell ref="O19:T19"/>
    <mergeCell ref="H20:M20"/>
    <mergeCell ref="I21:M21"/>
    <mergeCell ref="O27:T27"/>
    <mergeCell ref="H37:M37"/>
    <mergeCell ref="I38:M38"/>
    <mergeCell ref="H27:M27"/>
    <mergeCell ref="H29:M29"/>
    <mergeCell ref="O29:T29"/>
    <mergeCell ref="I34:M34"/>
    <mergeCell ref="P34:T34"/>
    <mergeCell ref="A35:N36"/>
    <mergeCell ref="A37:F37"/>
  </mergeCells>
  <dataValidations>
    <dataValidation type="decimal" operator="greaterThanOrEqual" allowBlank="1" showDropDown="1" showErrorMessage="1" sqref="M22:M26 F39:F41 F119:F122">
      <formula1>0.0</formula1>
    </dataValidation>
    <dataValidation type="decimal" operator="greaterThanOrEqual" allowBlank="1" showDropDown="1" sqref="F22:F26 F28 F31 F59 F67:F71 F73">
      <formula1>0.0</formula1>
    </dataValidation>
  </dataValidations>
  <drawing r:id="rId2"/>
  <legacy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'MSW20'!A1</f>
        <v/>
      </c>
    </row>
    <row r="8">
      <c r="A8" s="11"/>
      <c r="B8" s="11"/>
      <c r="C8" s="11"/>
      <c r="D8" s="11"/>
      <c r="E8" s="11"/>
      <c r="F8" s="11"/>
      <c r="G8" s="11"/>
      <c r="H8" s="11"/>
      <c r="I8" s="11"/>
      <c r="J8" s="11"/>
      <c r="K8" s="11"/>
      <c r="L8" s="11"/>
      <c r="M8" s="11"/>
      <c r="N8" s="11"/>
      <c r="O8" s="11"/>
      <c r="P8" s="11"/>
      <c r="Q8" s="11"/>
      <c r="R8" s="11"/>
      <c r="S8" s="11"/>
      <c r="T8" s="11"/>
    </row>
    <row r="9">
      <c r="A9" s="1305" t="str">
        <f>'MSW20'!A9</f>
        <v>Week 20</v>
      </c>
      <c r="B9" s="36"/>
      <c r="C9" s="36"/>
      <c r="D9" s="36"/>
      <c r="E9" s="36"/>
      <c r="F9" s="37"/>
      <c r="G9" s="987" t="str">
        <f>'MSW20'!G9</f>
        <v/>
      </c>
      <c r="H9" s="24" t="s">
        <v>35</v>
      </c>
      <c r="I9" s="25"/>
      <c r="J9" s="25"/>
      <c r="K9" s="25"/>
      <c r="L9" s="25"/>
      <c r="M9" s="26"/>
      <c r="N9" t="str">
        <f>'MSW20'!N15</f>
        <v/>
      </c>
    </row>
    <row r="10">
      <c r="A10" s="991" t="str">
        <f>'MSW20'!A10</f>
        <v>PRESS TO RECORD BODY WEIGHT</v>
      </c>
      <c r="F10" s="28"/>
      <c r="H10" s="27" t="s">
        <v>280</v>
      </c>
      <c r="M10" s="28"/>
    </row>
    <row r="11">
      <c r="A11" s="336"/>
      <c r="B11" s="11"/>
      <c r="C11" s="11"/>
      <c r="D11" s="11"/>
      <c r="E11" s="11"/>
      <c r="F11" s="46"/>
      <c r="H11" s="29" t="s">
        <v>281</v>
      </c>
      <c r="I11" s="30"/>
      <c r="J11" s="30"/>
      <c r="K11" s="30"/>
      <c r="L11" s="30"/>
      <c r="M11" s="31"/>
    </row>
    <row r="12">
      <c r="A12" s="992" t="str">
        <f>'MSW20'!A12</f>
        <v>This Weeks Goals</v>
      </c>
      <c r="B12" s="11"/>
      <c r="C12" s="11"/>
      <c r="D12" s="11"/>
      <c r="E12" s="11"/>
      <c r="F12" s="46"/>
      <c r="G12" s="987"/>
    </row>
    <row r="13">
      <c r="A13" s="1128" t="str">
        <f>'MSW20'!A13</f>
        <v>This week you will be attempting new max weights as well as experiencing high reps on leg day. Stay focused and remember rest and recovery are key to your results. Good luck!</v>
      </c>
      <c r="B13" s="11"/>
      <c r="C13" s="11"/>
      <c r="D13" s="11"/>
      <c r="E13" s="11"/>
      <c r="F13" s="46"/>
    </row>
    <row r="14">
      <c r="A14" s="994" t="str">
        <f>'MSW20'!A14</f>
        <v/>
      </c>
      <c r="B14" s="11"/>
      <c r="C14" s="11"/>
      <c r="D14" s="11"/>
      <c r="E14" s="11"/>
      <c r="F14" s="11"/>
    </row>
    <row r="15">
      <c r="A15" s="996" t="str">
        <f>'MSW20'!A15</f>
        <v>DAY 1 </v>
      </c>
      <c r="B15" s="11"/>
      <c r="C15" s="11"/>
      <c r="D15" s="11"/>
      <c r="E15" s="11"/>
      <c r="F15" s="46"/>
      <c r="G15" s="997" t="str">
        <f>'MSW20'!G15</f>
        <v/>
      </c>
      <c r="H15" s="1466" t="str">
        <f>'MSW20'!H15</f>
        <v>ALTERNATE WORKOUTS</v>
      </c>
      <c r="I15" s="36"/>
      <c r="J15" s="36"/>
      <c r="K15" s="36"/>
      <c r="L15" s="36"/>
      <c r="M15" s="37"/>
    </row>
    <row r="16">
      <c r="A16" s="987" t="str">
        <f>'MSW20'!A16</f>
        <v/>
      </c>
    </row>
    <row r="19">
      <c r="A19" s="51" t="str">
        <f>'MSW20'!A19</f>
        <v>CHEST &amp; BACK </v>
      </c>
      <c r="B19" s="36"/>
      <c r="C19" s="36"/>
      <c r="D19" s="36"/>
      <c r="E19" s="36"/>
      <c r="F19" s="37"/>
      <c r="G19" t="str">
        <f>'MSW20'!G19</f>
        <v/>
      </c>
      <c r="H19" s="51" t="str">
        <f>'MSW20'!H19</f>
        <v>CHEST &amp; BACK </v>
      </c>
      <c r="I19" s="36"/>
      <c r="J19" s="36"/>
      <c r="K19" s="36"/>
      <c r="L19" s="36"/>
      <c r="M19" s="37"/>
      <c r="N19" s="141" t="str">
        <f>'MSW20'!N19</f>
        <v/>
      </c>
      <c r="O19" s="51" t="str">
        <f>'MSW20'!O19</f>
        <v>CHEST &amp; BACK </v>
      </c>
      <c r="P19" s="36"/>
      <c r="Q19" s="36"/>
      <c r="R19" s="36"/>
      <c r="S19" s="36"/>
      <c r="T19" s="37"/>
    </row>
    <row r="20">
      <c r="A20" s="225" t="str">
        <f>'MSW20'!A20</f>
        <v>1. BENCH PRESS</v>
      </c>
      <c r="B20" s="13"/>
      <c r="C20" s="13"/>
      <c r="D20" s="13"/>
      <c r="E20" s="13"/>
      <c r="F20" s="57"/>
      <c r="H20" s="52" t="str">
        <f>'MSW20'!H20</f>
        <v>1. DUMBBELL INCLINE PRESS</v>
      </c>
      <c r="I20" s="53"/>
      <c r="J20" s="53"/>
      <c r="K20" s="53"/>
      <c r="L20" s="53"/>
      <c r="M20" s="54"/>
      <c r="O20" s="52" t="str">
        <f>'MSW20'!O20</f>
        <v>1. MACHINE PRESS</v>
      </c>
      <c r="P20" s="53"/>
      <c r="Q20" s="53"/>
      <c r="R20" s="53"/>
      <c r="S20" s="53"/>
      <c r="T20" s="54"/>
    </row>
    <row r="21">
      <c r="A21" s="226" t="str">
        <f>'MSW20'!A21</f>
        <v>CURRENT MAX</v>
      </c>
      <c r="B21" s="227" t="str">
        <f>'MSW20'!B21</f>
        <v/>
      </c>
      <c r="C21" s="20"/>
      <c r="D21" s="20"/>
      <c r="E21" s="20"/>
      <c r="F21" s="95"/>
      <c r="H21" s="228" t="str">
        <f>'MSW20'!H21</f>
        <v>CURRENT MAX</v>
      </c>
      <c r="I21" s="229" t="str">
        <f>'MSW20'!I21</f>
        <v/>
      </c>
      <c r="J21" s="16"/>
      <c r="K21" s="16"/>
      <c r="L21" s="16"/>
      <c r="M21" s="230"/>
      <c r="O21" s="228" t="str">
        <f>'MSW20'!O21</f>
        <v>CURRENT MAX</v>
      </c>
      <c r="P21" s="229" t="str">
        <f>'MSW20'!P21</f>
        <v/>
      </c>
      <c r="Q21" s="16"/>
      <c r="R21" s="16"/>
      <c r="S21" s="16"/>
      <c r="T21" s="230"/>
    </row>
    <row r="22">
      <c r="A22" s="231" t="str">
        <f>'MSW20'!A22</f>
        <v>SET</v>
      </c>
      <c r="B22" s="232" t="str">
        <f>'MSW20'!B22</f>
        <v>WEIGHT</v>
      </c>
      <c r="C22" s="232" t="str">
        <f>'MSW20'!C22</f>
        <v>REPS</v>
      </c>
      <c r="D22" s="232" t="str">
        <f>'MSW20'!D22</f>
        <v>REST</v>
      </c>
      <c r="E22" s="233" t="str">
        <f>'MSW20'!E22</f>
        <v>PREVIOUS</v>
      </c>
      <c r="F22" s="61" t="str">
        <f>'MSW20'!F22</f>
        <v>REP LOG</v>
      </c>
      <c r="H22" s="96" t="str">
        <f>'MSW20'!H22</f>
        <v>SET</v>
      </c>
      <c r="I22" s="97" t="str">
        <f>'MSW20'!I22</f>
        <v>WEIGHT</v>
      </c>
      <c r="J22" s="97" t="str">
        <f>'MSW20'!J22</f>
        <v>REPS</v>
      </c>
      <c r="K22" s="97" t="str">
        <f>'MSW20'!K22</f>
        <v>REST</v>
      </c>
      <c r="L22" s="98" t="str">
        <f>'MSW20'!L22</f>
        <v>PREVIOUS</v>
      </c>
      <c r="M22" s="235" t="str">
        <f>'MSW20'!M22</f>
        <v>REP LOG</v>
      </c>
      <c r="O22" s="96" t="str">
        <f>'MSW20'!O22</f>
        <v>SET</v>
      </c>
      <c r="P22" s="97" t="str">
        <f>'MSW20'!P22</f>
        <v>WEIGHT</v>
      </c>
      <c r="Q22" s="97" t="str">
        <f>'MSW20'!Q22</f>
        <v>REPS</v>
      </c>
      <c r="R22" s="97" t="str">
        <f>'MSW20'!R22</f>
        <v>REST</v>
      </c>
      <c r="S22" s="98" t="str">
        <f>'MSW20'!S22</f>
        <v>PREVIOUS</v>
      </c>
      <c r="T22" s="235" t="str">
        <f>'MSW20'!T22</f>
        <v>REP LOG</v>
      </c>
    </row>
    <row r="23">
      <c r="A23" s="236">
        <f>'MSW20'!A23</f>
        <v>1</v>
      </c>
      <c r="B23" s="237">
        <f>'MSW20'!B23</f>
        <v>0</v>
      </c>
      <c r="C23" s="237">
        <f>'MSW20'!C23</f>
        <v>6</v>
      </c>
      <c r="D23" s="238" t="str">
        <f>'MSW20'!D23</f>
        <v>30s</v>
      </c>
      <c r="E23" s="66" t="str">
        <f>'MSW20'!E23</f>
        <v/>
      </c>
      <c r="F23" s="67"/>
      <c r="H23" s="244">
        <f>'MSW20'!H23</f>
        <v>1</v>
      </c>
      <c r="I23" s="241">
        <f>'MSW20'!I23</f>
        <v>0</v>
      </c>
      <c r="J23" s="63">
        <f>'MSW20'!J23</f>
        <v>6</v>
      </c>
      <c r="K23" s="83" t="str">
        <f>'MSW20'!K23</f>
        <v>1-3 MIN</v>
      </c>
      <c r="L23" s="66" t="str">
        <f>'MSW20'!L23</f>
        <v/>
      </c>
      <c r="M23" s="85" t="str">
        <f>'MSW20'!M23</f>
        <v/>
      </c>
      <c r="O23" s="244">
        <f>'MSW20'!O23</f>
        <v>1</v>
      </c>
      <c r="P23" s="241">
        <f>'MSW20'!P23</f>
        <v>0</v>
      </c>
      <c r="Q23" s="63">
        <f>'MSW20'!Q23</f>
        <v>6</v>
      </c>
      <c r="R23" s="83" t="str">
        <f>'MSW20'!R23</f>
        <v>1-3 MIN</v>
      </c>
      <c r="S23" s="66" t="str">
        <f>'MSW20'!S23</f>
        <v/>
      </c>
      <c r="T23" s="85"/>
    </row>
    <row r="24">
      <c r="A24" s="236">
        <f>'MSW20'!A24</f>
        <v>2</v>
      </c>
      <c r="B24" s="237">
        <f>'MSW20'!B24</f>
        <v>0</v>
      </c>
      <c r="C24" s="237">
        <f>'MSW20'!C24</f>
        <v>1</v>
      </c>
      <c r="D24" s="238" t="str">
        <f>'MSW20'!D24</f>
        <v>1-2 MIN</v>
      </c>
      <c r="E24" s="66" t="str">
        <f>'MSW20'!E24</f>
        <v/>
      </c>
      <c r="F24" s="67"/>
      <c r="G24" s="1129" t="str">
        <f>'MSW20'!G24</f>
        <v>Alternate</v>
      </c>
      <c r="H24" s="240">
        <f>'MSW20'!H24</f>
        <v>2</v>
      </c>
      <c r="I24" s="241">
        <f>'MSW20'!I24</f>
        <v>0</v>
      </c>
      <c r="J24" s="241">
        <f>'MSW20'!J24</f>
        <v>1</v>
      </c>
      <c r="K24" s="83" t="str">
        <f>'MSW20'!K24</f>
        <v>1-3 MIN</v>
      </c>
      <c r="L24" s="66" t="str">
        <f>'MSW20'!L24</f>
        <v/>
      </c>
      <c r="M24" s="85" t="str">
        <f>'MSW20'!M24</f>
        <v/>
      </c>
      <c r="O24" s="240">
        <f>'MSW20'!O24</f>
        <v>2</v>
      </c>
      <c r="P24" s="241">
        <f>'MSW20'!P24</f>
        <v>0</v>
      </c>
      <c r="Q24" s="241">
        <f>'MSW20'!Q24</f>
        <v>1</v>
      </c>
      <c r="R24" s="83" t="str">
        <f>'MSW20'!R24</f>
        <v>1-3 MIN</v>
      </c>
      <c r="S24" s="66" t="str">
        <f>'MSW20'!S24</f>
        <v/>
      </c>
      <c r="T24" s="85"/>
    </row>
    <row r="25">
      <c r="A25" s="242">
        <f>'MSW20'!A25</f>
        <v>3</v>
      </c>
      <c r="B25" s="237">
        <f>'MSW20'!B25</f>
        <v>0</v>
      </c>
      <c r="C25" s="82">
        <f>'MSW20'!C25</f>
        <v>1</v>
      </c>
      <c r="D25" s="238" t="str">
        <f>'MSW20'!D25</f>
        <v>1-2 MIN</v>
      </c>
      <c r="E25" s="66" t="str">
        <f>'MSW20'!E25</f>
        <v/>
      </c>
      <c r="F25" s="67"/>
      <c r="H25" s="240">
        <f>'MSW20'!H25</f>
        <v>3</v>
      </c>
      <c r="I25" s="241">
        <f>'MSW20'!I25</f>
        <v>0</v>
      </c>
      <c r="J25" s="63">
        <f>'MSW20'!J25</f>
        <v>1</v>
      </c>
      <c r="K25" s="83" t="str">
        <f>'MSW20'!K25</f>
        <v>1-3 MIN</v>
      </c>
      <c r="L25" s="66" t="str">
        <f>'MSW20'!L25</f>
        <v/>
      </c>
      <c r="M25" s="85" t="str">
        <f>'MSW20'!M25</f>
        <v/>
      </c>
      <c r="O25" s="240">
        <f>'MSW20'!O25</f>
        <v>3</v>
      </c>
      <c r="P25" s="241">
        <f>'MSW20'!P25</f>
        <v>0</v>
      </c>
      <c r="Q25" s="241">
        <f>'MSW20'!Q25</f>
        <v>1</v>
      </c>
      <c r="R25" s="83" t="str">
        <f>'MSW20'!R25</f>
        <v>1-3 MIN</v>
      </c>
      <c r="S25" s="66" t="str">
        <f>'MSW20'!S25</f>
        <v/>
      </c>
      <c r="T25" s="85"/>
    </row>
    <row r="26">
      <c r="A26" s="243">
        <f>'MSW20'!A26</f>
        <v>4</v>
      </c>
      <c r="B26" s="237" t="str">
        <f>'MSW20'!B26</f>
        <v/>
      </c>
      <c r="C26" s="175">
        <f>'MSW20'!C26</f>
        <v>1</v>
      </c>
      <c r="D26" s="238" t="str">
        <f>'MSW20'!D26</f>
        <v>1-5 MIN</v>
      </c>
      <c r="E26" s="66" t="str">
        <f>'MSW20'!E26</f>
        <v/>
      </c>
      <c r="F26" s="67"/>
      <c r="G26" t="str">
        <f>'MSW20'!G26</f>
        <v/>
      </c>
      <c r="H26" s="240">
        <f>'MSW20'!H26</f>
        <v>4</v>
      </c>
      <c r="I26" s="241">
        <f>'MSW20'!I26</f>
        <v>0</v>
      </c>
      <c r="J26" s="245" t="str">
        <f>'MSW20'!J26</f>
        <v>REP OUT</v>
      </c>
      <c r="K26" s="83" t="str">
        <f>'MSW20'!K26</f>
        <v>1-3 MIN</v>
      </c>
      <c r="L26" s="66" t="str">
        <f>'MSW20'!L26</f>
        <v/>
      </c>
      <c r="M26" s="85" t="str">
        <f>'MSW20'!M26</f>
        <v/>
      </c>
      <c r="O26" s="240">
        <f>'MSW20'!O26</f>
        <v>4</v>
      </c>
      <c r="P26" s="241">
        <f>'MSW20'!P26</f>
        <v>0</v>
      </c>
      <c r="Q26" s="245" t="str">
        <f>'MSW20'!Q26</f>
        <v>REP OUT</v>
      </c>
      <c r="R26" s="83" t="str">
        <f>'MSW20'!R26</f>
        <v>1-3 MIN</v>
      </c>
      <c r="S26" s="66" t="str">
        <f>'MSW20'!S26</f>
        <v/>
      </c>
      <c r="T26" s="85"/>
    </row>
    <row r="27">
      <c r="A27" s="246" t="str">
        <f>'MSW20'!A27</f>
        <v>PROCEED TO DOWN SETS</v>
      </c>
      <c r="B27" s="20"/>
      <c r="C27" s="20"/>
      <c r="D27" s="20"/>
      <c r="E27" s="20"/>
      <c r="F27" s="95"/>
      <c r="H27" s="248" t="str">
        <f>'MSW20'!H27</f>
        <v>PROCEED TO DOWNSETS</v>
      </c>
      <c r="M27" s="28"/>
      <c r="N27" s="247" t="str">
        <f>'MSW20'!N27</f>
        <v>ALTERNATE</v>
      </c>
      <c r="O27" s="248" t="str">
        <f>'MSW20'!O27</f>
        <v>PROCEED TO DOWNSETS</v>
      </c>
      <c r="T27" s="28"/>
    </row>
    <row r="28">
      <c r="A28" s="249" t="str">
        <f>'MSW20'!A28</f>
        <v/>
      </c>
      <c r="B28" s="175" t="str">
        <f>'MSW20'!B28</f>
        <v/>
      </c>
      <c r="C28" s="238" t="str">
        <f>'MSW20'!C28</f>
        <v/>
      </c>
      <c r="D28" s="238" t="str">
        <f>'MSW20'!D28</f>
        <v/>
      </c>
      <c r="E28" s="66" t="str">
        <f>'MSW20'!E28</f>
        <v/>
      </c>
      <c r="F28" s="67" t="str">
        <f>'MSW20'!F28</f>
        <v/>
      </c>
      <c r="H28" s="251" t="str">
        <f>'MSW20'!H28</f>
        <v/>
      </c>
      <c r="I28" s="252" t="str">
        <f>'MSW20'!I28</f>
        <v/>
      </c>
      <c r="J28" s="253" t="str">
        <f>'MSW20'!J28</f>
        <v/>
      </c>
      <c r="K28" s="254" t="str">
        <f>'MSW20'!K28</f>
        <v/>
      </c>
      <c r="L28" s="66" t="str">
        <f>'MSW20'!L28</f>
        <v/>
      </c>
      <c r="M28" s="67" t="str">
        <f>'MSW20'!M28</f>
        <v/>
      </c>
      <c r="O28" s="251" t="str">
        <f>'MSW20'!O28</f>
        <v/>
      </c>
      <c r="P28" s="252" t="str">
        <f>'MSW20'!P28</f>
        <v/>
      </c>
      <c r="Q28" s="253" t="str">
        <f>'MSW20'!Q28</f>
        <v/>
      </c>
      <c r="R28" s="254" t="str">
        <f>'MSW20'!R28</f>
        <v/>
      </c>
      <c r="S28" s="66" t="str">
        <f>'MSW20'!S28</f>
        <v/>
      </c>
      <c r="T28" s="665"/>
    </row>
    <row r="29">
      <c r="A29" s="256" t="str">
        <f>'MSW20'!A29</f>
        <v/>
      </c>
      <c r="B29" s="237" t="str">
        <f>'MSW20'!B29</f>
        <v/>
      </c>
      <c r="C29" s="257" t="str">
        <f>'MSW20'!C29</f>
        <v/>
      </c>
      <c r="D29" s="257" t="str">
        <f>'MSW20'!D29</f>
        <v/>
      </c>
      <c r="E29" s="66" t="str">
        <f>'MSW20'!E29</f>
        <v/>
      </c>
      <c r="F29" s="67" t="str">
        <f>'MSW20'!F29</f>
        <v/>
      </c>
      <c r="H29" s="260" t="str">
        <f>'MSW20'!H29</f>
        <v>FILL OUT REP LOG FIRST</v>
      </c>
      <c r="I29" s="16"/>
      <c r="J29" s="16"/>
      <c r="K29" s="16"/>
      <c r="L29" s="16"/>
      <c r="M29" s="230"/>
      <c r="N29" s="141" t="str">
        <f>'MSW20'!N29</f>
        <v/>
      </c>
      <c r="O29" s="260" t="str">
        <f>'MSW20'!O29</f>
        <v>FILL OUT REP LOG FIRST</v>
      </c>
      <c r="P29" s="16"/>
      <c r="Q29" s="16"/>
      <c r="R29" s="16"/>
      <c r="S29" s="16"/>
      <c r="T29" s="230"/>
    </row>
    <row r="30">
      <c r="A30" s="246" t="str">
        <f>'MSW20'!A30</f>
        <v>FILL OUT REP LOG FOR DOWN SETS</v>
      </c>
      <c r="B30" s="20"/>
      <c r="C30" s="20"/>
      <c r="D30" s="20"/>
      <c r="E30" s="20"/>
      <c r="F30" s="95"/>
      <c r="H30" s="91" t="str">
        <f>'MSW20'!H30</f>
        <v/>
      </c>
      <c r="I30" s="261" t="str">
        <f>'MSW20'!I30</f>
        <v/>
      </c>
      <c r="J30" s="262" t="str">
        <f>'MSW20'!J30</f>
        <v/>
      </c>
      <c r="K30" s="65" t="str">
        <f>'MSW20'!K30</f>
        <v/>
      </c>
      <c r="L30" s="66" t="str">
        <f>'MSW20'!L30</f>
        <v/>
      </c>
      <c r="M30" s="263" t="str">
        <f>'MSW20'!M30</f>
        <v/>
      </c>
      <c r="O30" s="91" t="str">
        <f>'MSW20'!O30</f>
        <v/>
      </c>
      <c r="P30" s="261" t="str">
        <f>'MSW20'!P30</f>
        <v/>
      </c>
      <c r="Q30" s="262" t="str">
        <f>'MSW20'!Q30</f>
        <v/>
      </c>
      <c r="R30" s="65" t="str">
        <f>'MSW20'!R30</f>
        <v/>
      </c>
      <c r="S30" s="66" t="str">
        <f>'MSW20'!S30</f>
        <v/>
      </c>
      <c r="T30" s="263" t="str">
        <f>'MSW20'!T30</f>
        <v/>
      </c>
    </row>
    <row r="31">
      <c r="A31" s="264" t="str">
        <f>'MSW20'!A31</f>
        <v/>
      </c>
      <c r="B31" s="265" t="str">
        <f>'MSW20'!B31</f>
        <v/>
      </c>
      <c r="C31" s="266" t="str">
        <f>'MSW20'!C31</f>
        <v/>
      </c>
      <c r="D31" s="267" t="str">
        <f>'MSW20'!D31</f>
        <v/>
      </c>
      <c r="E31" s="66" t="str">
        <f>'MSW20'!E31</f>
        <v/>
      </c>
      <c r="F31" s="67" t="str">
        <f>'MSW20'!F31</f>
        <v/>
      </c>
      <c r="H31" s="269" t="str">
        <f>'MSW20'!H31</f>
        <v/>
      </c>
      <c r="I31" s="254" t="str">
        <f>'MSW20'!I31</f>
        <v/>
      </c>
      <c r="J31" s="253" t="str">
        <f>'MSW20'!J31</f>
        <v/>
      </c>
      <c r="K31" s="65" t="str">
        <f>'MSW20'!K31</f>
        <v/>
      </c>
      <c r="L31" s="66" t="str">
        <f>'MSW20'!L31</f>
        <v/>
      </c>
      <c r="M31" s="270" t="str">
        <f>'MSW20'!M31</f>
        <v/>
      </c>
      <c r="O31" s="269" t="str">
        <f>'MSW20'!O31</f>
        <v/>
      </c>
      <c r="P31" s="254" t="str">
        <f>'MSW20'!P31</f>
        <v/>
      </c>
      <c r="Q31" s="253" t="str">
        <f>'MSW20'!Q31</f>
        <v/>
      </c>
      <c r="R31" s="65" t="str">
        <f>'MSW20'!R31</f>
        <v/>
      </c>
      <c r="S31" s="66" t="str">
        <f>'MSW20'!S31</f>
        <v/>
      </c>
      <c r="T31" s="270" t="str">
        <f>'MSW20'!T31</f>
        <v/>
      </c>
    </row>
    <row r="32">
      <c r="A32" s="243" t="str">
        <f>'MSW20'!A32</f>
        <v/>
      </c>
      <c r="B32" s="237" t="str">
        <f>'MSW20'!B32</f>
        <v/>
      </c>
      <c r="C32" s="245" t="str">
        <f>'MSW20'!C32</f>
        <v/>
      </c>
      <c r="D32" s="65" t="str">
        <f>'MSW20'!D32</f>
        <v/>
      </c>
      <c r="E32" s="66" t="str">
        <f>'MSW20'!E32</f>
        <v/>
      </c>
      <c r="F32" s="271" t="str">
        <f>'MSW20'!F32</f>
        <v/>
      </c>
      <c r="H32" s="269" t="str">
        <f>'MSW20'!H32</f>
        <v/>
      </c>
      <c r="I32" s="254" t="str">
        <f>'MSW20'!I32</f>
        <v/>
      </c>
      <c r="J32" s="253" t="str">
        <f>'MSW20'!J32</f>
        <v/>
      </c>
      <c r="K32" s="65" t="str">
        <f>'MSW20'!K32</f>
        <v/>
      </c>
      <c r="L32" s="66" t="str">
        <f>'MSW20'!L32</f>
        <v/>
      </c>
      <c r="M32" s="270" t="str">
        <f>'MSW20'!M32</f>
        <v/>
      </c>
      <c r="O32" s="269" t="str">
        <f>'MSW20'!O32</f>
        <v/>
      </c>
      <c r="P32" s="254" t="str">
        <f>'MSW20'!P32</f>
        <v/>
      </c>
      <c r="Q32" s="253" t="str">
        <f>'MSW20'!Q32</f>
        <v/>
      </c>
      <c r="R32" s="65" t="str">
        <f>'MSW20'!R32</f>
        <v/>
      </c>
      <c r="S32" s="66" t="str">
        <f>'MSW20'!S32</f>
        <v/>
      </c>
      <c r="T32" s="263" t="str">
        <f>'MSW20'!T32</f>
        <v/>
      </c>
    </row>
    <row r="33">
      <c r="A33" s="272" t="str">
        <f>'MSW20'!A33</f>
        <v>FINAL MAX</v>
      </c>
      <c r="B33" s="273" t="str">
        <f>'MSW20'!B33</f>
        <v/>
      </c>
      <c r="C33" s="11"/>
      <c r="D33" s="11"/>
      <c r="E33" s="11"/>
      <c r="F33" s="46"/>
      <c r="H33" s="269" t="str">
        <f>'MSW20'!H33</f>
        <v/>
      </c>
      <c r="I33" s="254" t="str">
        <f>'MSW20'!I33</f>
        <v/>
      </c>
      <c r="J33" s="253" t="str">
        <f>'MSW20'!J33</f>
        <v/>
      </c>
      <c r="K33" s="65" t="str">
        <f>'MSW20'!K33</f>
        <v/>
      </c>
      <c r="L33" s="66" t="str">
        <f>'MSW20'!L33</f>
        <v/>
      </c>
      <c r="M33" s="270" t="str">
        <f>'MSW20'!M33</f>
        <v/>
      </c>
      <c r="O33" s="269" t="str">
        <f>'MSW20'!O33</f>
        <v/>
      </c>
      <c r="P33" s="254" t="str">
        <f>'MSW20'!P33</f>
        <v/>
      </c>
      <c r="Q33" s="253" t="str">
        <f>'MSW20'!Q33</f>
        <v/>
      </c>
      <c r="R33" s="65" t="str">
        <f>'MSW20'!R33</f>
        <v/>
      </c>
      <c r="S33" s="66" t="str">
        <f>'MSW20'!S33</f>
        <v/>
      </c>
      <c r="T33" s="263" t="str">
        <f>'MSW20'!T33</f>
        <v/>
      </c>
    </row>
    <row r="34">
      <c r="A34" t="str">
        <f>'MSW20'!A34</f>
        <v/>
      </c>
      <c r="H34" s="280" t="str">
        <f>'MSW20'!H34</f>
        <v>FINAL MAX</v>
      </c>
      <c r="I34" s="273" t="str">
        <f>'MSW20'!I34</f>
        <v/>
      </c>
      <c r="J34" s="11"/>
      <c r="K34" s="11"/>
      <c r="L34" s="11"/>
      <c r="M34" s="46"/>
      <c r="O34" s="280" t="str">
        <f>'MSW20'!O34</f>
        <v>FINAL MAX</v>
      </c>
      <c r="P34" s="273" t="str">
        <f>'MSW20'!P34</f>
        <v/>
      </c>
      <c r="Q34" s="11"/>
      <c r="R34" s="11"/>
      <c r="S34" s="11"/>
      <c r="T34" s="46"/>
    </row>
    <row r="35">
      <c r="A35" s="658" t="str">
        <f>'MSW20'!A35</f>
        <v/>
      </c>
      <c r="O35" t="str">
        <f>'MSW20'!O35</f>
        <v/>
      </c>
    </row>
    <row r="37">
      <c r="A37" s="440" t="str">
        <f>'MSW20'!A37</f>
        <v>2. DUMBBELL CHEST FLY</v>
      </c>
      <c r="B37" s="53"/>
      <c r="C37" s="53"/>
      <c r="D37" s="53"/>
      <c r="E37" s="53"/>
      <c r="F37" s="54"/>
      <c r="G37" s="659" t="str">
        <f>'MSW20'!G37</f>
        <v/>
      </c>
      <c r="H37" s="504" t="str">
        <f>'MSW20'!H37</f>
        <v>2. MACHINE CHEST FLY</v>
      </c>
      <c r="I37" s="53"/>
      <c r="J37" s="53"/>
      <c r="K37" s="53"/>
      <c r="L37" s="53"/>
      <c r="M37" s="54"/>
      <c r="N37" s="660" t="str">
        <f>'MSW20'!N37</f>
        <v/>
      </c>
    </row>
    <row r="38">
      <c r="A38" s="226" t="str">
        <f>'MSW20'!A38</f>
        <v>DB INCL PRSS MAX</v>
      </c>
      <c r="B38" s="548" t="str">
        <f>'MSW20'!B38</f>
        <v/>
      </c>
      <c r="C38" s="13"/>
      <c r="D38" s="13"/>
      <c r="E38" s="13"/>
      <c r="F38" s="57"/>
      <c r="H38" s="226" t="str">
        <f>'MSW20'!H38</f>
        <v>DB INCL PRSS MAX</v>
      </c>
      <c r="I38" s="548" t="str">
        <f>'MSW20'!I38</f>
        <v/>
      </c>
      <c r="J38" s="13"/>
      <c r="K38" s="13"/>
      <c r="L38" s="13"/>
      <c r="M38" s="57"/>
    </row>
    <row r="39">
      <c r="A39" s="96" t="str">
        <f>'MSW20'!A39</f>
        <v>SET</v>
      </c>
      <c r="B39" s="97" t="str">
        <f>'MSW20'!B39</f>
        <v>WEIGHT</v>
      </c>
      <c r="C39" s="97" t="str">
        <f>'MSW20'!C39</f>
        <v>REPS</v>
      </c>
      <c r="D39" s="97" t="str">
        <f>'MSW20'!D39</f>
        <v>REST</v>
      </c>
      <c r="E39" s="98" t="str">
        <f>'MSW20'!E39</f>
        <v>PREVIOUS</v>
      </c>
      <c r="F39" s="235" t="str">
        <f>'MSW20'!F39</f>
        <v>REP LOG</v>
      </c>
      <c r="H39" s="96" t="str">
        <f>'MSW20'!H39</f>
        <v>SET</v>
      </c>
      <c r="I39" s="97" t="str">
        <f>'MSW20'!I39</f>
        <v>WEIGHT</v>
      </c>
      <c r="J39" s="97" t="str">
        <f>'MSW20'!J39</f>
        <v>REPS</v>
      </c>
      <c r="K39" s="97" t="str">
        <f>'MSW20'!K39</f>
        <v>REST</v>
      </c>
      <c r="L39" s="341" t="str">
        <f>'MSW20'!L39</f>
        <v>PREVIOUS</v>
      </c>
      <c r="M39" s="235" t="str">
        <f>'MSW20'!M39</f>
        <v>REP LOG</v>
      </c>
    </row>
    <row r="40">
      <c r="A40" s="240">
        <f>'MSW20'!A40</f>
        <v>1</v>
      </c>
      <c r="B40" s="254">
        <f>'MSW20'!B40</f>
        <v>0</v>
      </c>
      <c r="C40" s="241">
        <f>'MSW20'!C40</f>
        <v>15</v>
      </c>
      <c r="D40" s="83" t="str">
        <f>'MSW20'!D40</f>
        <v>1-3 MIN</v>
      </c>
      <c r="E40" s="84" t="str">
        <f>'MSW20'!E40</f>
        <v/>
      </c>
      <c r="F40" s="85" t="str">
        <f>'MSW20'!F40</f>
        <v/>
      </c>
      <c r="H40" s="240">
        <f>'MSW20'!H40</f>
        <v>1</v>
      </c>
      <c r="I40" s="254">
        <f>'MSW20'!I40</f>
        <v>0</v>
      </c>
      <c r="J40" s="241">
        <f>'MSW20'!J40</f>
        <v>15</v>
      </c>
      <c r="K40" s="83" t="str">
        <f>'MSW20'!K40</f>
        <v>1-3 MIN</v>
      </c>
      <c r="L40" s="84" t="str">
        <f>'MSW20'!L40</f>
        <v/>
      </c>
      <c r="M40" s="85" t="str">
        <f>'MSW20'!M40</f>
        <v/>
      </c>
    </row>
    <row r="41">
      <c r="A41" s="661">
        <f>'MSW20'!A41</f>
        <v>2</v>
      </c>
      <c r="B41" s="662">
        <f>'MSW20'!B41</f>
        <v>0</v>
      </c>
      <c r="C41" s="662">
        <f>'MSW20'!C41</f>
        <v>15</v>
      </c>
      <c r="D41" s="88" t="str">
        <f>'MSW20'!D41</f>
        <v>1-3 MIN</v>
      </c>
      <c r="E41" s="89" t="str">
        <f>'MSW20'!E41</f>
        <v/>
      </c>
      <c r="F41" s="85" t="str">
        <f>'MSW20'!F41</f>
        <v/>
      </c>
      <c r="H41" s="661">
        <f>'MSW20'!H41</f>
        <v>2</v>
      </c>
      <c r="I41" s="662">
        <f>'MSW20'!I41</f>
        <v>0</v>
      </c>
      <c r="J41" s="662">
        <f>'MSW20'!J41</f>
        <v>15</v>
      </c>
      <c r="K41" s="88" t="str">
        <f>'MSW20'!K41</f>
        <v>1-3 MIN</v>
      </c>
      <c r="L41" s="89" t="str">
        <f>'MSW20'!L41</f>
        <v/>
      </c>
      <c r="M41" s="85" t="str">
        <f>'MSW20'!M41</f>
        <v/>
      </c>
    </row>
    <row r="42">
      <c r="A42" t="str">
        <f>'MSW20'!A42</f>
        <v/>
      </c>
    </row>
    <row r="44">
      <c r="A44" s="1176" t="str">
        <f>'MSW20'!A44</f>
        <v>3. SUPER SET</v>
      </c>
      <c r="B44" s="36"/>
      <c r="C44" s="36"/>
      <c r="D44" s="36"/>
      <c r="E44" s="36"/>
      <c r="F44" s="37"/>
      <c r="G44" t="str">
        <f>'MSW20'!G44</f>
        <v/>
      </c>
    </row>
    <row r="45">
      <c r="A45" s="1177" t="str">
        <f>'MSW20'!A45</f>
        <v>CURRENT MAX</v>
      </c>
      <c r="B45" s="1178" t="str">
        <f>'MSW20'!B45</f>
        <v/>
      </c>
      <c r="C45" s="46"/>
      <c r="D45" s="1178">
        <f>'MSW20'!D45</f>
        <v>270</v>
      </c>
      <c r="E45" s="11"/>
      <c r="F45" s="46"/>
    </row>
    <row r="46">
      <c r="A46" s="1179" t="str">
        <f>'MSW20'!A46</f>
        <v>SET</v>
      </c>
      <c r="B46" s="1180" t="str">
        <f>'MSW20'!B46</f>
        <v>EXERCISE</v>
      </c>
      <c r="C46" s="1181" t="str">
        <f>'MSW20'!C46</f>
        <v>WEIGHT</v>
      </c>
      <c r="D46" s="1181" t="str">
        <f>'MSW20'!D46</f>
        <v>REPS</v>
      </c>
      <c r="E46" s="1182" t="str">
        <f>'MSW20'!E46</f>
        <v>PREVIOUS</v>
      </c>
      <c r="F46" s="1006" t="str">
        <f>'MSW20'!F46</f>
        <v>REP LOG</v>
      </c>
    </row>
    <row r="47">
      <c r="A47" s="1183">
        <f>'MSW20'!A47</f>
        <v>1</v>
      </c>
      <c r="B47" s="1184" t="str">
        <f>'MSW20'!B47</f>
        <v>LAT PULL DOWN</v>
      </c>
      <c r="C47" s="1185">
        <f>'MSW20'!C47</f>
        <v>50</v>
      </c>
      <c r="D47" s="1186">
        <f>'MSW20'!D47</f>
        <v>20</v>
      </c>
      <c r="E47" s="1187" t="str">
        <f>'MSW20'!E47</f>
        <v/>
      </c>
      <c r="F47" s="1490"/>
    </row>
    <row r="48">
      <c r="A48" s="1189"/>
      <c r="B48" s="1190" t="str">
        <f>'MSW20'!B48</f>
        <v>LOW ROW</v>
      </c>
      <c r="C48" s="1191">
        <f>'MSW20'!C48</f>
        <v>120</v>
      </c>
      <c r="D48" s="1192">
        <f>'MSW20'!D48</f>
        <v>20</v>
      </c>
      <c r="E48" s="1193" t="str">
        <f>'MSW20'!E48</f>
        <v/>
      </c>
      <c r="F48" s="1188" t="str">
        <f>'MSW20'!F48</f>
        <v/>
      </c>
    </row>
    <row r="49">
      <c r="A49" s="1194" t="str">
        <f>'MSW20'!A49</f>
        <v>REST 1 MIN</v>
      </c>
      <c r="B49" s="11"/>
      <c r="C49" s="11"/>
      <c r="D49" s="11"/>
      <c r="E49" s="11"/>
      <c r="F49" s="46"/>
    </row>
    <row r="50">
      <c r="A50" s="1195">
        <f>'MSW20'!A50</f>
        <v>2</v>
      </c>
      <c r="B50" s="1184" t="str">
        <f>'MSW20'!B50</f>
        <v>LAT PULL DOWN</v>
      </c>
      <c r="C50" s="1185">
        <f>'MSW20'!C50</f>
        <v>45</v>
      </c>
      <c r="D50" s="1186">
        <f>'MSW20'!D50</f>
        <v>20</v>
      </c>
      <c r="E50" s="1187" t="str">
        <f>'MSW20'!E50</f>
        <v/>
      </c>
      <c r="F50" s="1490"/>
    </row>
    <row r="51">
      <c r="A51" s="1196"/>
      <c r="B51" s="1190" t="str">
        <f>'MSW20'!B51</f>
        <v>LOW ROW</v>
      </c>
      <c r="C51" s="1191">
        <f>'MSW20'!C51</f>
        <v>110</v>
      </c>
      <c r="D51" s="1192">
        <f>'MSW20'!D51</f>
        <v>20</v>
      </c>
      <c r="E51" s="1193" t="str">
        <f>'MSW20'!E51</f>
        <v/>
      </c>
      <c r="F51" s="1188" t="str">
        <f>'MSW20'!F51</f>
        <v/>
      </c>
    </row>
    <row r="52">
      <c r="A52" s="1194" t="str">
        <f>'MSW20'!A52</f>
        <v>REST 1 MIN</v>
      </c>
      <c r="B52" s="11"/>
      <c r="C52" s="11"/>
      <c r="D52" s="11"/>
      <c r="E52" s="11"/>
      <c r="F52" s="46"/>
    </row>
    <row r="53">
      <c r="A53" s="1195">
        <f>'MSW20'!A53</f>
        <v>3</v>
      </c>
      <c r="B53" s="1184" t="str">
        <f>'MSW20'!B53</f>
        <v>LAT PULL DOWN</v>
      </c>
      <c r="C53" s="1185">
        <f>'MSW20'!C53</f>
        <v>40</v>
      </c>
      <c r="D53" s="1186">
        <f>'MSW20'!D53</f>
        <v>20</v>
      </c>
      <c r="E53" s="1187" t="str">
        <f>'MSW20'!E53</f>
        <v/>
      </c>
      <c r="F53" s="1340"/>
    </row>
    <row r="54">
      <c r="A54" s="1196"/>
      <c r="B54" s="1190" t="str">
        <f>'MSW20'!B54</f>
        <v>LOW ROW</v>
      </c>
      <c r="C54" s="1191">
        <f>'MSW20'!C54</f>
        <v>100</v>
      </c>
      <c r="D54" s="1192">
        <f>'MSW20'!D54</f>
        <v>20</v>
      </c>
      <c r="E54" s="1193" t="str">
        <f>'MSW20'!E54</f>
        <v/>
      </c>
      <c r="F54" s="1133" t="str">
        <f>'MSW20'!F54</f>
        <v/>
      </c>
    </row>
    <row r="55">
      <c r="A55" s="1194" t="str">
        <f>'MSW20'!A55</f>
        <v>REST 1 MIN</v>
      </c>
      <c r="B55" s="11"/>
      <c r="C55" s="11"/>
      <c r="D55" s="11"/>
      <c r="E55" s="11"/>
      <c r="F55" s="46"/>
    </row>
    <row r="56">
      <c r="A56" s="1197">
        <f>'MSW20'!A56</f>
        <v>4</v>
      </c>
      <c r="B56" s="1184" t="str">
        <f>'MSW20'!B56</f>
        <v>LAT PULL DOWN</v>
      </c>
      <c r="C56" s="1185">
        <f>'MSW20'!C56</f>
        <v>35</v>
      </c>
      <c r="D56" s="1186">
        <f>'MSW20'!D56</f>
        <v>20</v>
      </c>
      <c r="E56" s="1187" t="str">
        <f>'MSW20'!E56</f>
        <v/>
      </c>
      <c r="F56" s="1133" t="str">
        <f>'MSW20'!F56</f>
        <v/>
      </c>
    </row>
    <row r="57">
      <c r="A57" s="1196"/>
      <c r="B57" s="1190" t="str">
        <f>'MSW20'!B57</f>
        <v>LOW ROW</v>
      </c>
      <c r="C57" s="1191">
        <f>'MSW20'!C57</f>
        <v>90</v>
      </c>
      <c r="D57" s="1192">
        <f>'MSW20'!D57</f>
        <v>20</v>
      </c>
      <c r="E57" s="1193" t="str">
        <f>'MSW20'!E57</f>
        <v/>
      </c>
      <c r="F57" s="1133" t="str">
        <f>'MSW20'!F57</f>
        <v/>
      </c>
    </row>
    <row r="58">
      <c r="A58" t="str">
        <f>'MSW20'!A58</f>
        <v/>
      </c>
    </row>
    <row r="60">
      <c r="A60" s="310" t="str">
        <f>'MSW20'!A60</f>
        <v>CLICK TO COMPLETE WORKOUT</v>
      </c>
      <c r="B60" s="36"/>
      <c r="C60" s="36"/>
      <c r="D60" s="36"/>
      <c r="E60" s="36"/>
      <c r="F60" s="37"/>
    </row>
    <row r="61">
      <c r="A61" t="str">
        <f>'MSW20'!A61</f>
        <v/>
      </c>
    </row>
    <row r="62">
      <c r="A62" s="224" t="str">
        <f>'MSW20'!A62</f>
        <v>DAY 2 </v>
      </c>
      <c r="B62" s="36"/>
      <c r="C62" s="36"/>
      <c r="D62" s="36"/>
      <c r="E62" s="36"/>
      <c r="F62" s="37"/>
    </row>
    <row r="63">
      <c r="A63" t="str">
        <f>'MSW20'!A63</f>
        <v/>
      </c>
    </row>
    <row r="65">
      <c r="A65" s="1355" t="str">
        <f>'MSW20'!A65</f>
        <v>1. LEG PRESS</v>
      </c>
      <c r="B65" s="53"/>
      <c r="C65" s="53"/>
      <c r="D65" s="53"/>
      <c r="E65" s="53"/>
      <c r="F65" s="54"/>
    </row>
    <row r="66">
      <c r="A66" s="1262" t="str">
        <f>'MSW20'!A66</f>
        <v>CURRENT MAX</v>
      </c>
      <c r="B66" s="1463">
        <f>'MSW20'!B66</f>
        <v>250</v>
      </c>
      <c r="F66" s="28"/>
    </row>
    <row r="67">
      <c r="A67" s="231" t="str">
        <f>'MSW20'!A67</f>
        <v>SET</v>
      </c>
      <c r="B67" s="232" t="str">
        <f>'MSW20'!B67</f>
        <v>WEIGHT</v>
      </c>
      <c r="C67" s="232" t="str">
        <f>'MSW20'!C67</f>
        <v>REPS</v>
      </c>
      <c r="D67" s="232" t="str">
        <f>'MSW20'!D67</f>
        <v>REST</v>
      </c>
      <c r="E67" s="233" t="str">
        <f>'MSW20'!E67</f>
        <v>PREVIOUS</v>
      </c>
      <c r="F67" s="61" t="str">
        <f>'MSW20'!F67</f>
        <v>REP LOG</v>
      </c>
    </row>
    <row r="68">
      <c r="A68" s="236">
        <f>'MSW20'!A68</f>
        <v>1</v>
      </c>
      <c r="B68" s="237">
        <f>'MSW20'!B68</f>
        <v>90</v>
      </c>
      <c r="C68" s="238">
        <f>'MSW20'!C68</f>
        <v>10</v>
      </c>
      <c r="D68" s="238" t="str">
        <f>'MSW20'!D68</f>
        <v>30s</v>
      </c>
      <c r="E68" s="66" t="str">
        <f>'MSW20'!E68</f>
        <v/>
      </c>
      <c r="F68" s="67"/>
    </row>
    <row r="69">
      <c r="A69" s="236">
        <f>'MSW20'!A69</f>
        <v>2</v>
      </c>
      <c r="B69" s="237">
        <f>'MSW20'!B69</f>
        <v>165</v>
      </c>
      <c r="C69" s="238">
        <f>'MSW20'!C69</f>
        <v>10</v>
      </c>
      <c r="D69" s="238" t="str">
        <f>'MSW20'!D69</f>
        <v>1-2 MIN</v>
      </c>
      <c r="E69" s="66" t="str">
        <f>'MSW20'!E69</f>
        <v/>
      </c>
      <c r="F69" s="67"/>
    </row>
    <row r="70">
      <c r="A70" s="242">
        <f>'MSW20'!A70</f>
        <v>3</v>
      </c>
      <c r="B70" s="237">
        <f>'MSW20'!B70</f>
        <v>225</v>
      </c>
      <c r="C70" s="238">
        <f>'MSW20'!C70</f>
        <v>10</v>
      </c>
      <c r="D70" s="238" t="str">
        <f>'MSW20'!D70</f>
        <v>1-2 MIN</v>
      </c>
      <c r="E70" s="66" t="str">
        <f>'MSW20'!E70</f>
        <v/>
      </c>
      <c r="F70" s="67"/>
    </row>
    <row r="71">
      <c r="A71" s="249">
        <f>'MSW20'!A71</f>
        <v>4</v>
      </c>
      <c r="B71" s="175">
        <f>'MSW20'!B71</f>
        <v>220</v>
      </c>
      <c r="C71" s="238">
        <f>'MSW20'!C71</f>
        <v>10</v>
      </c>
      <c r="D71" s="238" t="str">
        <f>'MSW20'!D71</f>
        <v>1-5 MIN</v>
      </c>
      <c r="E71" s="66" t="str">
        <f>'MSW20'!E71</f>
        <v/>
      </c>
      <c r="F71" s="67"/>
    </row>
    <row r="72">
      <c r="A72" s="249">
        <f>'MSW20'!A72</f>
        <v>5</v>
      </c>
      <c r="B72" s="175">
        <f>'MSW20'!B72</f>
        <v>175</v>
      </c>
      <c r="C72" s="238">
        <f>'MSW20'!C72</f>
        <v>10</v>
      </c>
      <c r="D72" s="238" t="str">
        <f>'MSW20'!D72</f>
        <v>1-5 MIN</v>
      </c>
      <c r="E72" s="66" t="str">
        <f>'MSW20'!E72</f>
        <v/>
      </c>
      <c r="F72" s="1037" t="str">
        <f>'MSW20'!F72</f>
        <v/>
      </c>
    </row>
    <row r="73">
      <c r="A73" s="249">
        <f>'MSW20'!A73</f>
        <v>6</v>
      </c>
      <c r="B73" s="175">
        <f>'MSW20'!B73</f>
        <v>140</v>
      </c>
      <c r="C73" s="238">
        <f>'MSW20'!C73</f>
        <v>10</v>
      </c>
      <c r="D73" s="238" t="str">
        <f>'MSW20'!D73</f>
        <v>1-5 MIN</v>
      </c>
      <c r="E73" s="66" t="str">
        <f>'MSW20'!E73</f>
        <v/>
      </c>
      <c r="F73" s="67" t="str">
        <f>'MSW20'!F73</f>
        <v/>
      </c>
    </row>
    <row r="74">
      <c r="A74" s="1038">
        <f>'MSW20'!A74</f>
        <v>7</v>
      </c>
      <c r="B74" s="175">
        <f>'MSW20'!B74</f>
        <v>110</v>
      </c>
      <c r="C74" s="238">
        <f>'MSW20'!C74</f>
        <v>10</v>
      </c>
      <c r="D74" s="238" t="str">
        <f>'MSW20'!D74</f>
        <v>1-5 MIN</v>
      </c>
      <c r="E74" s="66" t="str">
        <f>'MSW20'!E74</f>
        <v/>
      </c>
      <c r="F74" s="67" t="str">
        <f>'MSW20'!F74</f>
        <v/>
      </c>
    </row>
    <row r="75">
      <c r="A75" s="249">
        <f>'MSW20'!A75</f>
        <v>8</v>
      </c>
      <c r="B75" s="175">
        <f>'MSW20'!B75</f>
        <v>90</v>
      </c>
      <c r="C75" s="238">
        <f>'MSW20'!C75</f>
        <v>10</v>
      </c>
      <c r="D75" s="238" t="str">
        <f>'MSW20'!D75</f>
        <v>1-5 MIN</v>
      </c>
      <c r="E75" s="66" t="str">
        <f>'MSW20'!E75</f>
        <v/>
      </c>
      <c r="F75" s="67" t="str">
        <f>'MSW20'!F75</f>
        <v/>
      </c>
    </row>
    <row r="76">
      <c r="A76" s="1038">
        <f>'MSW20'!A76</f>
        <v>9</v>
      </c>
      <c r="B76" s="175">
        <f>'MSW20'!B76</f>
        <v>70</v>
      </c>
      <c r="C76" s="238">
        <f>'MSW20'!C76</f>
        <v>10</v>
      </c>
      <c r="D76" s="238" t="str">
        <f>'MSW20'!D76</f>
        <v>1-5 MIN</v>
      </c>
      <c r="E76" s="66" t="str">
        <f>'MSW20'!E76</f>
        <v/>
      </c>
      <c r="F76" s="67" t="str">
        <f>'MSW20'!F76</f>
        <v/>
      </c>
    </row>
    <row r="77">
      <c r="A77" s="1038" t="str">
        <f>'MSW20'!A77</f>
        <v>10</v>
      </c>
      <c r="B77" s="175">
        <f>'MSW20'!B77</f>
        <v>55</v>
      </c>
      <c r="C77" s="238">
        <f>'MSW20'!C77</f>
        <v>10</v>
      </c>
      <c r="D77" s="238" t="str">
        <f>'MSW20'!D77</f>
        <v>1-5 MIN</v>
      </c>
      <c r="E77" s="66" t="str">
        <f>'MSW20'!E77</f>
        <v/>
      </c>
      <c r="F77" s="67" t="str">
        <f>'MSW20'!F77</f>
        <v/>
      </c>
    </row>
    <row r="78">
      <c r="A78" s="272" t="str">
        <f>'MSW20'!A78</f>
        <v>20 REP MAX</v>
      </c>
      <c r="B78" s="1039">
        <f>'MSW20'!B78</f>
        <v>250</v>
      </c>
      <c r="C78" s="11"/>
      <c r="D78" s="11"/>
      <c r="E78" s="11"/>
      <c r="F78" s="46"/>
    </row>
    <row r="79">
      <c r="A79" t="str">
        <f>'MSW20'!A79</f>
        <v/>
      </c>
    </row>
    <row r="81">
      <c r="A81" s="1285" t="str">
        <f>'MSW20'!A81</f>
        <v>2. LEG EXTENSION</v>
      </c>
      <c r="B81" s="53"/>
      <c r="C81" s="53"/>
      <c r="D81" s="53"/>
      <c r="E81" s="53"/>
      <c r="F81" s="54"/>
    </row>
    <row r="82">
      <c r="A82" s="1045" t="str">
        <f>'MSW20'!A82</f>
        <v>CURRENT MAX</v>
      </c>
      <c r="B82" s="1367">
        <f>'MSW20'!B82</f>
        <v>50</v>
      </c>
      <c r="C82" s="20"/>
      <c r="D82" s="20"/>
      <c r="E82" s="20"/>
      <c r="F82" s="95"/>
    </row>
    <row r="83">
      <c r="A83" s="567" t="str">
        <f>'MSW20'!A83</f>
        <v>SET</v>
      </c>
      <c r="B83" s="568" t="str">
        <f>'MSW20'!B83</f>
        <v>WEIGHT</v>
      </c>
      <c r="C83" s="568" t="str">
        <f>'MSW20'!C83</f>
        <v>REPS</v>
      </c>
      <c r="D83" s="568" t="str">
        <f>'MSW20'!D83</f>
        <v>REST</v>
      </c>
      <c r="E83" s="1047" t="str">
        <f>'MSW20'!E83</f>
        <v>PREVIOUS</v>
      </c>
      <c r="F83" s="1048" t="str">
        <f>'MSW20'!F83</f>
        <v>REP LOG</v>
      </c>
    </row>
    <row r="84">
      <c r="A84" s="1049">
        <f>'MSW20'!A84</f>
        <v>1</v>
      </c>
      <c r="B84" s="1050">
        <f>'MSW20'!B84</f>
        <v>50</v>
      </c>
      <c r="C84" s="1051" t="str">
        <f>'MSW20'!C84</f>
        <v>10 - 15</v>
      </c>
      <c r="D84" s="1430" t="str">
        <f>'MSW20'!D84</f>
        <v>1-2 MIN</v>
      </c>
      <c r="E84" s="1130" t="str">
        <f>'MSW20'!E84</f>
        <v/>
      </c>
      <c r="F84" s="1017" t="str">
        <f>'MSW20'!F84</f>
        <v/>
      </c>
    </row>
    <row r="85">
      <c r="A85" s="1049">
        <f>'MSW20'!A85</f>
        <v>2</v>
      </c>
      <c r="B85" s="1050">
        <f>'MSW20'!B85</f>
        <v>40</v>
      </c>
      <c r="C85" s="1051" t="str">
        <f>'MSW20'!C85</f>
        <v>10 - 15</v>
      </c>
      <c r="D85" s="1430" t="str">
        <f>'MSW20'!D85</f>
        <v>1-2 MIN</v>
      </c>
      <c r="E85" s="1130" t="str">
        <f>'MSW20'!E85</f>
        <v/>
      </c>
      <c r="F85" s="1017" t="str">
        <f>'MSW20'!F85</f>
        <v/>
      </c>
    </row>
    <row r="86">
      <c r="A86" s="1053">
        <f>'MSW20'!A86</f>
        <v>3</v>
      </c>
      <c r="B86" s="1054">
        <f>'MSW20'!B86</f>
        <v>30</v>
      </c>
      <c r="C86" s="1055" t="str">
        <f>'MSW20'!C86</f>
        <v>10 - 15</v>
      </c>
      <c r="D86" s="1453" t="str">
        <f>'MSW20'!D86</f>
        <v>1-2 MIN</v>
      </c>
      <c r="E86" s="1348" t="str">
        <f>'MSW20'!E86</f>
        <v/>
      </c>
      <c r="F86" s="1017" t="str">
        <f>'MSW20'!F86</f>
        <v/>
      </c>
    </row>
    <row r="87">
      <c r="A87" t="str">
        <f>'MSW20'!A87</f>
        <v/>
      </c>
    </row>
    <row r="89">
      <c r="A89" s="323" t="str">
        <f>'MSW20'!A89</f>
        <v>3. MACHINE LEG CURL</v>
      </c>
      <c r="B89" s="53"/>
      <c r="C89" s="53"/>
      <c r="D89" s="53"/>
      <c r="E89" s="53"/>
      <c r="F89" s="54"/>
      <c r="G89" s="141" t="str">
        <f>'MSW20'!G89</f>
        <v/>
      </c>
      <c r="H89" s="323" t="str">
        <f>'MSW20'!H89</f>
        <v>3. PRONE LEG CURL</v>
      </c>
      <c r="I89" s="53"/>
      <c r="J89" s="53"/>
      <c r="K89" s="53"/>
      <c r="L89" s="53"/>
      <c r="M89" s="54"/>
      <c r="N89" t="str">
        <f>'MSW20'!N89</f>
        <v/>
      </c>
    </row>
    <row r="90">
      <c r="A90" s="1045" t="str">
        <f>'MSW20'!A90</f>
        <v>CURRENT MAX</v>
      </c>
      <c r="B90" s="1367">
        <f>'MSW20'!B90</f>
        <v>10</v>
      </c>
      <c r="C90" s="20"/>
      <c r="D90" s="20"/>
      <c r="E90" s="20"/>
      <c r="F90" s="95"/>
      <c r="H90" s="1045" t="str">
        <f>'MSW20'!H90</f>
        <v>CURRENT MAX</v>
      </c>
      <c r="I90" s="1046">
        <f>'MSW20'!I90</f>
        <v>10</v>
      </c>
      <c r="J90" s="13"/>
      <c r="K90" s="13"/>
      <c r="L90" s="13"/>
      <c r="M90" s="57"/>
    </row>
    <row r="91">
      <c r="A91" s="567" t="str">
        <f>'MSW20'!A91</f>
        <v>SET</v>
      </c>
      <c r="B91" s="568" t="str">
        <f>'MSW20'!B91</f>
        <v>WEIGHT</v>
      </c>
      <c r="C91" s="568" t="str">
        <f>'MSW20'!C91</f>
        <v>REPS</v>
      </c>
      <c r="D91" s="568" t="str">
        <f>'MSW20'!D91</f>
        <v>REST</v>
      </c>
      <c r="E91" s="1047" t="str">
        <f>'MSW20'!E91</f>
        <v>PREVIOUS</v>
      </c>
      <c r="F91" s="1048" t="str">
        <f>'MSW20'!F91</f>
        <v>REP LOG</v>
      </c>
      <c r="H91" s="567" t="str">
        <f>'MSW20'!H91</f>
        <v>SET</v>
      </c>
      <c r="I91" s="568" t="str">
        <f>'MSW20'!I91</f>
        <v>WEIGHT</v>
      </c>
      <c r="J91" s="568" t="str">
        <f>'MSW20'!J91</f>
        <v>REPS</v>
      </c>
      <c r="K91" s="568" t="str">
        <f>'MSW20'!K91</f>
        <v>REST</v>
      </c>
      <c r="L91" s="1047" t="str">
        <f>'MSW20'!L91</f>
        <v>PREVIOUS</v>
      </c>
      <c r="M91" s="1048" t="str">
        <f>'MSW20'!M91</f>
        <v>REP LOG</v>
      </c>
    </row>
    <row r="92">
      <c r="A92" s="1049">
        <f>'MSW20'!A92</f>
        <v>1</v>
      </c>
      <c r="B92" s="1050">
        <f>'MSW20'!B92</f>
        <v>10</v>
      </c>
      <c r="C92" s="1051" t="str">
        <f>'MSW20'!C92</f>
        <v>10 - 15</v>
      </c>
      <c r="D92" s="1430" t="str">
        <f>'MSW20'!D92</f>
        <v>1-2 MIN</v>
      </c>
      <c r="E92" s="1130" t="str">
        <f>'MSW20'!E92</f>
        <v/>
      </c>
      <c r="F92" s="1017" t="str">
        <f>'MSW20'!F92</f>
        <v/>
      </c>
      <c r="G92" s="434" t="str">
        <f>'MSW20'!G92</f>
        <v>ALTERNATE</v>
      </c>
      <c r="H92" s="1049">
        <f>'MSW20'!H92</f>
        <v>1</v>
      </c>
      <c r="I92" s="1050">
        <f>'MSW20'!I92</f>
        <v>10</v>
      </c>
      <c r="J92" s="1051" t="str">
        <f>'MSW20'!J92</f>
        <v>10 - 15</v>
      </c>
      <c r="K92" s="1430" t="str">
        <f>'MSW20'!K92</f>
        <v>1-2 MIN</v>
      </c>
      <c r="L92" s="1130" t="str">
        <f>'MSW20'!L92</f>
        <v/>
      </c>
      <c r="M92" s="1017" t="str">
        <f>'MSW20'!M92</f>
        <v/>
      </c>
    </row>
    <row r="93">
      <c r="A93" s="1049">
        <f>'MSW20'!A93</f>
        <v>2</v>
      </c>
      <c r="B93" s="1050">
        <f>'MSW20'!B93</f>
        <v>10</v>
      </c>
      <c r="C93" s="1051" t="str">
        <f>'MSW20'!C93</f>
        <v>10 - 15</v>
      </c>
      <c r="D93" s="1430" t="str">
        <f>'MSW20'!D93</f>
        <v>1-2 MIN</v>
      </c>
      <c r="E93" s="1130" t="str">
        <f>'MSW20'!E93</f>
        <v/>
      </c>
      <c r="F93" s="1017" t="str">
        <f>'MSW20'!F93</f>
        <v/>
      </c>
      <c r="H93" s="1049">
        <f>'MSW20'!H93</f>
        <v>2</v>
      </c>
      <c r="I93" s="1050">
        <f>'MSW20'!I93</f>
        <v>10</v>
      </c>
      <c r="J93" s="1051" t="str">
        <f>'MSW20'!J93</f>
        <v>10 - 15</v>
      </c>
      <c r="K93" s="1430" t="str">
        <f>'MSW20'!K93</f>
        <v>1-2 MIN</v>
      </c>
      <c r="L93" s="1130" t="str">
        <f>'MSW20'!L93</f>
        <v/>
      </c>
      <c r="M93" s="1017" t="str">
        <f>'MSW20'!M93</f>
        <v/>
      </c>
    </row>
    <row r="94">
      <c r="A94" s="1053">
        <f>'MSW20'!A94</f>
        <v>3</v>
      </c>
      <c r="B94" s="1054">
        <f>'MSW20'!B94</f>
        <v>10</v>
      </c>
      <c r="C94" s="1055" t="str">
        <f>'MSW20'!C94</f>
        <v>10 - 15</v>
      </c>
      <c r="D94" s="1453" t="str">
        <f>'MSW20'!D94</f>
        <v>1-2 MIN</v>
      </c>
      <c r="E94" s="1348" t="str">
        <f>'MSW20'!E94</f>
        <v/>
      </c>
      <c r="F94" s="1017" t="str">
        <f>'MSW20'!F94</f>
        <v/>
      </c>
      <c r="G94" s="682" t="str">
        <f>'MSW20'!G94</f>
        <v/>
      </c>
      <c r="H94" s="1053">
        <f>'MSW20'!H94</f>
        <v>3</v>
      </c>
      <c r="I94" s="1054">
        <f>'MSW20'!I94</f>
        <v>10</v>
      </c>
      <c r="J94" s="1055" t="str">
        <f>'MSW20'!J94</f>
        <v>10 - 15</v>
      </c>
      <c r="K94" s="1453" t="str">
        <f>'MSW20'!K94</f>
        <v>1-2 MIN</v>
      </c>
      <c r="L94" s="1348" t="str">
        <f>'MSW20'!L94</f>
        <v/>
      </c>
      <c r="M94" s="1017" t="str">
        <f>'MSW20'!M94</f>
        <v/>
      </c>
    </row>
    <row r="95">
      <c r="A95" s="849" t="str">
        <f>'MSW20'!A95</f>
        <v/>
      </c>
    </row>
    <row r="97">
      <c r="A97" s="1120" t="str">
        <f>'MSW20'!A97</f>
        <v>DAY 3</v>
      </c>
      <c r="B97" s="36"/>
      <c r="C97" s="36"/>
      <c r="D97" s="36"/>
      <c r="E97" s="36"/>
      <c r="F97" s="37"/>
      <c r="G97" t="str">
        <f>'MSW20'!G97</f>
        <v/>
      </c>
    </row>
    <row r="98">
      <c r="A98" t="str">
        <f>'MSW20'!A98</f>
        <v/>
      </c>
    </row>
    <row r="100">
      <c r="A100" s="51" t="str">
        <f>'MSW20'!A100</f>
        <v>SHOULDERS &amp; ARMS</v>
      </c>
      <c r="B100" s="36"/>
      <c r="C100" s="36"/>
      <c r="D100" s="36"/>
      <c r="E100" s="36"/>
      <c r="F100" s="37"/>
      <c r="G100" t="str">
        <f>'MSW20'!G100</f>
        <v/>
      </c>
    </row>
    <row r="101">
      <c r="A101" s="960" t="str">
        <f>'MSW20'!A101</f>
        <v>1. SHOULDER CLEANS</v>
      </c>
      <c r="B101" s="53"/>
      <c r="C101" s="53"/>
      <c r="D101" s="53"/>
      <c r="E101" s="53"/>
      <c r="F101" s="54"/>
    </row>
    <row r="102">
      <c r="A102" s="961" t="str">
        <f>'MSW20'!A102</f>
        <v>CURRENT MAX</v>
      </c>
      <c r="B102" s="1294">
        <f>'MSW20'!B102</f>
        <v>50</v>
      </c>
      <c r="C102" s="13"/>
      <c r="D102" s="13"/>
      <c r="E102" s="13"/>
      <c r="F102" s="57"/>
    </row>
    <row r="103">
      <c r="A103" s="962" t="str">
        <f>'MSW20'!A103</f>
        <v>SET</v>
      </c>
      <c r="B103" s="963" t="str">
        <f>'MSW20'!B103</f>
        <v>WEIGHT</v>
      </c>
      <c r="C103" s="963" t="str">
        <f>'MSW20'!C103</f>
        <v>REPS</v>
      </c>
      <c r="D103" s="981" t="str">
        <f>'MSW20'!D103</f>
        <v>REST</v>
      </c>
      <c r="E103" s="965" t="str">
        <f>'MSW20'!E103</f>
        <v>PREVIOUS</v>
      </c>
      <c r="F103" s="966" t="str">
        <f>'MSW20'!F103</f>
        <v>REP LOG</v>
      </c>
    </row>
    <row r="104">
      <c r="A104" s="967">
        <f>'MSW20'!A104</f>
        <v>1</v>
      </c>
      <c r="B104" s="968">
        <f>'MSW20'!B104</f>
        <v>50</v>
      </c>
      <c r="C104" s="968">
        <f>'MSW20'!C104</f>
        <v>20</v>
      </c>
      <c r="D104" s="969" t="str">
        <f>'MSW20'!D104</f>
        <v>1 MIN</v>
      </c>
      <c r="E104" s="1130" t="str">
        <f>'MSW20'!E104</f>
        <v/>
      </c>
      <c r="F104" s="982"/>
    </row>
    <row r="105">
      <c r="A105" s="967">
        <f>'MSW20'!A105</f>
        <v>2</v>
      </c>
      <c r="B105" s="968">
        <f>'MSW20'!B105</f>
        <v>40</v>
      </c>
      <c r="C105" s="968">
        <f>'MSW20'!C105</f>
        <v>20</v>
      </c>
      <c r="D105" s="969" t="str">
        <f>'MSW20'!D105</f>
        <v>1 MIN</v>
      </c>
      <c r="E105" s="1130" t="str">
        <f>'MSW20'!E105</f>
        <v/>
      </c>
      <c r="F105" s="982"/>
    </row>
    <row r="106">
      <c r="A106" s="971">
        <f>'MSW20'!A106</f>
        <v>3</v>
      </c>
      <c r="B106" s="972">
        <f>'MSW20'!B106</f>
        <v>25</v>
      </c>
      <c r="C106" s="972">
        <f>'MSW20'!C106</f>
        <v>20</v>
      </c>
      <c r="D106" s="973" t="str">
        <f>'MSW20'!D106</f>
        <v>1 MIN</v>
      </c>
      <c r="E106" s="1348" t="str">
        <f>'MSW20'!E106</f>
        <v/>
      </c>
      <c r="F106" s="1131"/>
    </row>
    <row r="107">
      <c r="A107" s="212" t="str">
        <f>'MSW20'!A107</f>
        <v/>
      </c>
    </row>
    <row r="109">
      <c r="A109" s="687" t="str">
        <f>'MSW20'!A109</f>
        <v>2. DUMBBELL REAR DELT FLY </v>
      </c>
      <c r="B109" s="53"/>
      <c r="C109" s="53"/>
      <c r="D109" s="53"/>
      <c r="E109" s="53"/>
      <c r="F109" s="54"/>
    </row>
    <row r="110">
      <c r="A110" s="226" t="str">
        <f>'MSW20'!A110</f>
        <v>SHLDR PRESS MAX</v>
      </c>
      <c r="B110" s="691" t="str">
        <f>'MSW20'!B110</f>
        <v/>
      </c>
      <c r="C110" s="13"/>
      <c r="D110" s="13"/>
      <c r="E110" s="13"/>
      <c r="F110" s="57"/>
    </row>
    <row r="111">
      <c r="A111" s="96" t="str">
        <f>'MSW20'!A111</f>
        <v>SET</v>
      </c>
      <c r="B111" s="97" t="str">
        <f>'MSW20'!B111</f>
        <v>WEIGHT</v>
      </c>
      <c r="C111" s="97" t="str">
        <f>'MSW20'!C111</f>
        <v>REPS</v>
      </c>
      <c r="D111" s="97" t="str">
        <f>'MSW20'!D111</f>
        <v>REST</v>
      </c>
      <c r="E111" s="341" t="str">
        <f>'MSW20'!E111</f>
        <v>PREVIOUS</v>
      </c>
      <c r="F111" s="235" t="str">
        <f>'MSW20'!F111</f>
        <v>REP LOG</v>
      </c>
    </row>
    <row r="112">
      <c r="A112" s="556">
        <f>'MSW20'!A112</f>
        <v>1</v>
      </c>
      <c r="B112" s="237">
        <f>'MSW20'!B112</f>
        <v>0</v>
      </c>
      <c r="C112" s="65">
        <f>'MSW20'!C112</f>
        <v>20</v>
      </c>
      <c r="D112" s="693" t="str">
        <f>'MSW20'!D112</f>
        <v>1 - MIN</v>
      </c>
      <c r="E112" s="1130">
        <f>'MSW20'!E112</f>
        <v>10</v>
      </c>
      <c r="F112" s="85"/>
    </row>
    <row r="113">
      <c r="A113" s="556">
        <f>'MSW20'!A113</f>
        <v>2</v>
      </c>
      <c r="B113" s="237">
        <f>'MSW20'!B113</f>
        <v>0</v>
      </c>
      <c r="C113" s="65">
        <f>'MSW20'!C113</f>
        <v>20</v>
      </c>
      <c r="D113" s="693" t="str">
        <f>'MSW20'!D113</f>
        <v>1 - MIN</v>
      </c>
      <c r="E113" s="1130">
        <f>'MSW20'!E113</f>
        <v>5</v>
      </c>
      <c r="F113" s="85"/>
    </row>
    <row r="114">
      <c r="A114" s="561">
        <f>'MSW20'!A114</f>
        <v>3</v>
      </c>
      <c r="B114" s="371">
        <f>'MSW20'!B114</f>
        <v>0</v>
      </c>
      <c r="C114" s="71">
        <f>'MSW20'!C114</f>
        <v>20</v>
      </c>
      <c r="D114" s="794" t="str">
        <f>'MSW20'!D114</f>
        <v>1 - MIN</v>
      </c>
      <c r="E114" s="1348" t="str">
        <f>'MSW20'!E114</f>
        <v/>
      </c>
      <c r="F114" s="694" t="str">
        <f>'MSW20'!F114</f>
        <v/>
      </c>
    </row>
    <row r="115">
      <c r="A115" s="292" t="str">
        <f>'MSW20'!A115</f>
        <v/>
      </c>
    </row>
    <row r="117">
      <c r="A117" s="513" t="str">
        <f>'MSW20'!A117</f>
        <v>3. DUMBBELL SIDE LATERAL RAISE</v>
      </c>
      <c r="B117" s="53"/>
      <c r="C117" s="53"/>
      <c r="D117" s="53"/>
      <c r="E117" s="53"/>
      <c r="F117" s="54"/>
    </row>
    <row r="118">
      <c r="A118" s="226" t="str">
        <f>'MSW20'!A118</f>
        <v>SHLDR PRSS MAX</v>
      </c>
      <c r="B118" s="90" t="str">
        <f>'MSW20'!B118</f>
        <v/>
      </c>
      <c r="C118" s="13"/>
      <c r="D118" s="13"/>
      <c r="E118" s="13"/>
      <c r="F118" s="57"/>
    </row>
    <row r="119">
      <c r="A119" s="376" t="str">
        <f>'MSW20'!A119</f>
        <v>SET</v>
      </c>
      <c r="B119" s="79" t="str">
        <f>'MSW20'!B119</f>
        <v>WEIGHT</v>
      </c>
      <c r="C119" s="79" t="str">
        <f>'MSW20'!C119</f>
        <v>REPS</v>
      </c>
      <c r="D119" s="79" t="str">
        <f>'MSW20'!D119</f>
        <v>REST</v>
      </c>
      <c r="E119" s="98" t="str">
        <f>'MSW20'!E119</f>
        <v>PREVIOUS</v>
      </c>
      <c r="F119" s="377" t="str">
        <f>'MSW20'!F119</f>
        <v>REP LOG</v>
      </c>
    </row>
    <row r="120">
      <c r="A120" s="81">
        <f>'MSW20'!A120</f>
        <v>1</v>
      </c>
      <c r="B120" s="82">
        <f>'MSW20'!B120</f>
        <v>0</v>
      </c>
      <c r="C120" s="65">
        <f>'MSW20'!C120</f>
        <v>20</v>
      </c>
      <c r="D120" s="83" t="str">
        <f>'MSW20'!D120</f>
        <v>1 MIN</v>
      </c>
      <c r="E120" s="84" t="str">
        <f>'MSW20'!E120</f>
        <v/>
      </c>
      <c r="F120" s="330"/>
    </row>
    <row r="121">
      <c r="A121" s="81">
        <f>'MSW20'!A121</f>
        <v>2</v>
      </c>
      <c r="B121" s="82">
        <f>'MSW20'!B121</f>
        <v>0</v>
      </c>
      <c r="C121" s="65">
        <f>'MSW20'!C121</f>
        <v>20</v>
      </c>
      <c r="D121" s="83" t="str">
        <f>'MSW20'!D121</f>
        <v>1 MIN</v>
      </c>
      <c r="E121" s="84" t="str">
        <f>'MSW20'!E121</f>
        <v/>
      </c>
      <c r="F121" s="330"/>
    </row>
    <row r="122">
      <c r="A122" s="86">
        <f>'MSW20'!A122</f>
        <v>3</v>
      </c>
      <c r="B122" s="87">
        <f>'MSW20'!B122</f>
        <v>0</v>
      </c>
      <c r="C122" s="71">
        <f>'MSW20'!C122</f>
        <v>20</v>
      </c>
      <c r="D122" s="88" t="str">
        <f>'MSW20'!D122</f>
        <v>1 MIN</v>
      </c>
      <c r="E122" s="89" t="str">
        <f>'MSW20'!E122</f>
        <v/>
      </c>
      <c r="F122" s="85" t="str">
        <f>'MSW20'!F122</f>
        <v/>
      </c>
    </row>
    <row r="123">
      <c r="A123" s="696" t="str">
        <f>'MSW20'!A123</f>
        <v/>
      </c>
    </row>
    <row r="125">
      <c r="A125" s="73" t="str">
        <f>'MSW20'!A125</f>
        <v>4. TRICEP PUSH DOWNS</v>
      </c>
      <c r="B125" s="53"/>
      <c r="C125" s="53"/>
      <c r="D125" s="53"/>
      <c r="E125" s="53"/>
      <c r="F125" s="54"/>
    </row>
    <row r="126">
      <c r="A126" s="226" t="str">
        <f>'MSW20'!A126</f>
        <v>CURRENT MAX</v>
      </c>
      <c r="B126" s="90">
        <f>'MSW20'!B126</f>
        <v>30</v>
      </c>
      <c r="C126" s="13"/>
      <c r="D126" s="13"/>
      <c r="E126" s="13"/>
      <c r="F126" s="57"/>
    </row>
    <row r="127">
      <c r="A127" s="77" t="str">
        <f>'MSW20'!A127</f>
        <v>SET</v>
      </c>
      <c r="B127" s="78" t="str">
        <f>'MSW20'!B127</f>
        <v>WEIGHT</v>
      </c>
      <c r="C127" s="78" t="str">
        <f>'MSW20'!C127</f>
        <v>REPS</v>
      </c>
      <c r="D127" s="78" t="str">
        <f>'MSW20'!D127</f>
        <v>REST</v>
      </c>
      <c r="E127" s="80" t="str">
        <f>'MSW20'!E127</f>
        <v>PREVIOUS</v>
      </c>
      <c r="F127" s="235" t="str">
        <f>'MSW20'!F127</f>
        <v>REP LOG</v>
      </c>
    </row>
    <row r="128">
      <c r="A128" s="81">
        <f>'MSW20'!A128</f>
        <v>1</v>
      </c>
      <c r="B128" s="82">
        <f>'MSW20'!B128</f>
        <v>30</v>
      </c>
      <c r="C128" s="65">
        <f>'MSW20'!C128</f>
        <v>20</v>
      </c>
      <c r="D128" s="83" t="str">
        <f>'MSW20'!D128</f>
        <v>1MIN</v>
      </c>
      <c r="E128" s="84" t="str">
        <f>'MSW20'!E128</f>
        <v/>
      </c>
      <c r="F128" s="85" t="str">
        <f>'MSW20'!F128</f>
        <v/>
      </c>
    </row>
    <row r="129">
      <c r="A129" s="81">
        <f>'MSW20'!A129</f>
        <v>2</v>
      </c>
      <c r="B129" s="82">
        <f>'MSW20'!B129</f>
        <v>25</v>
      </c>
      <c r="C129" s="65">
        <f>'MSW20'!C129</f>
        <v>20</v>
      </c>
      <c r="D129" s="83" t="str">
        <f>'MSW20'!D129</f>
        <v>1MIN</v>
      </c>
      <c r="E129" s="84" t="str">
        <f>'MSW20'!E129</f>
        <v/>
      </c>
      <c r="F129" s="85" t="str">
        <f>'MSW20'!F129</f>
        <v/>
      </c>
    </row>
    <row r="130">
      <c r="A130" s="86">
        <f>'MSW20'!A130</f>
        <v>3</v>
      </c>
      <c r="B130" s="87">
        <f>'MSW20'!B130</f>
        <v>20</v>
      </c>
      <c r="C130" s="71">
        <f>'MSW20'!C130</f>
        <v>20</v>
      </c>
      <c r="D130" s="88" t="str">
        <f>'MSW20'!D130</f>
        <v>1MIN</v>
      </c>
      <c r="E130" s="89" t="str">
        <f>'MSW20'!E130</f>
        <v/>
      </c>
      <c r="F130" s="85" t="str">
        <f>'MSW20'!F130</f>
        <v/>
      </c>
    </row>
    <row r="131">
      <c r="A131" t="str">
        <f>'MSW20'!A131</f>
        <v/>
      </c>
    </row>
    <row r="133">
      <c r="A133" s="75" t="str">
        <f>'MSW20'!A133</f>
        <v>5. BICEP CABLE CURL</v>
      </c>
      <c r="B133" s="53"/>
      <c r="C133" s="53"/>
      <c r="D133" s="53"/>
      <c r="E133" s="53"/>
      <c r="F133" s="54"/>
      <c r="G133" t="str">
        <f>'MSW20'!G133</f>
        <v/>
      </c>
      <c r="H133" s="75" t="str">
        <f>'MSW20'!H133</f>
        <v>5. BICEP EZ BAR CURL</v>
      </c>
      <c r="I133" s="53"/>
      <c r="J133" s="53"/>
      <c r="K133" s="53"/>
      <c r="L133" s="53"/>
      <c r="M133" s="54"/>
      <c r="N133" t="str">
        <f>'MSW20'!N133</f>
        <v/>
      </c>
    </row>
    <row r="134">
      <c r="A134" s="226" t="str">
        <f>'MSW20'!A134</f>
        <v>CURRENT MAX</v>
      </c>
      <c r="B134" s="90">
        <f>'MSW20'!B134</f>
        <v>30</v>
      </c>
      <c r="C134" s="13"/>
      <c r="D134" s="13"/>
      <c r="E134" s="13"/>
      <c r="F134" s="57"/>
      <c r="H134" s="226" t="str">
        <f>'MSW20'!H134</f>
        <v>CURRENT MAX</v>
      </c>
      <c r="I134" s="90">
        <f>'MSW20'!I134</f>
        <v>15</v>
      </c>
      <c r="J134" s="13"/>
      <c r="K134" s="13"/>
      <c r="L134" s="13"/>
      <c r="M134" s="57"/>
    </row>
    <row r="135">
      <c r="A135" s="77" t="str">
        <f>'MSW20'!A135</f>
        <v>SET</v>
      </c>
      <c r="B135" s="78" t="str">
        <f>'MSW20'!B135</f>
        <v>WEIGHT</v>
      </c>
      <c r="C135" s="78" t="str">
        <f>'MSW20'!C135</f>
        <v>REPS</v>
      </c>
      <c r="D135" s="78" t="str">
        <f>'MSW20'!D135</f>
        <v>REST</v>
      </c>
      <c r="E135" s="80" t="str">
        <f>'MSW20'!E135</f>
        <v>PREVIOUS</v>
      </c>
      <c r="F135" s="235" t="str">
        <f>'MSW20'!F135</f>
        <v>REP LOG</v>
      </c>
      <c r="H135" s="77" t="str">
        <f>'MSW20'!H135</f>
        <v>SET</v>
      </c>
      <c r="I135" s="78" t="str">
        <f>'MSW20'!I135</f>
        <v>WEIGHT</v>
      </c>
      <c r="J135" s="78" t="str">
        <f>'MSW20'!J135</f>
        <v>REPS</v>
      </c>
      <c r="K135" s="78" t="str">
        <f>'MSW20'!K135</f>
        <v>REST</v>
      </c>
      <c r="L135" s="80" t="str">
        <f>'MSW20'!L135</f>
        <v>PREVIOUS</v>
      </c>
      <c r="M135" s="235" t="str">
        <f>'MSW20'!M135</f>
        <v>REP LOG</v>
      </c>
    </row>
    <row r="136">
      <c r="A136" s="81">
        <f>'MSW20'!A136</f>
        <v>1</v>
      </c>
      <c r="B136" s="82">
        <f>'MSW20'!B136</f>
        <v>30</v>
      </c>
      <c r="C136" s="65">
        <f>'MSW20'!C136</f>
        <v>20</v>
      </c>
      <c r="D136" s="83" t="str">
        <f>'MSW20'!D136</f>
        <v>1MIN</v>
      </c>
      <c r="E136" s="84" t="str">
        <f>'MSW20'!E136</f>
        <v/>
      </c>
      <c r="F136" s="85" t="str">
        <f>'MSW20'!F136</f>
        <v/>
      </c>
      <c r="H136" s="81">
        <f>'MSW20'!H136</f>
        <v>1</v>
      </c>
      <c r="I136" s="82">
        <f>'MSW20'!I136</f>
        <v>15</v>
      </c>
      <c r="J136" s="65" t="str">
        <f>'MSW20'!J136</f>
        <v>10 - 15</v>
      </c>
      <c r="K136" s="83" t="str">
        <f>'MSW20'!K136</f>
        <v>1-2MIN</v>
      </c>
      <c r="L136" s="84" t="str">
        <f>'MSW20'!L136</f>
        <v/>
      </c>
      <c r="M136" s="85" t="str">
        <f>'MSW20'!M136</f>
        <v/>
      </c>
    </row>
    <row r="137">
      <c r="A137" s="81">
        <f>'MSW20'!A137</f>
        <v>2</v>
      </c>
      <c r="B137" s="82">
        <f>'MSW20'!B137</f>
        <v>25</v>
      </c>
      <c r="C137" s="65">
        <f>'MSW20'!C137</f>
        <v>20</v>
      </c>
      <c r="D137" s="83" t="str">
        <f>'MSW20'!D137</f>
        <v>1MIN</v>
      </c>
      <c r="E137" s="84" t="str">
        <f>'MSW20'!E137</f>
        <v/>
      </c>
      <c r="F137" s="85" t="str">
        <f>'MSW20'!F137</f>
        <v/>
      </c>
      <c r="H137" s="81">
        <f>'MSW20'!H137</f>
        <v>2</v>
      </c>
      <c r="I137" s="82">
        <f>'MSW20'!I137</f>
        <v>10</v>
      </c>
      <c r="J137" s="65" t="str">
        <f>'MSW20'!J137</f>
        <v>10 - 15</v>
      </c>
      <c r="K137" s="83" t="str">
        <f>'MSW20'!K137</f>
        <v>1-2MIN</v>
      </c>
      <c r="L137" s="84" t="str">
        <f>'MSW20'!L137</f>
        <v/>
      </c>
      <c r="M137" s="85" t="str">
        <f>'MSW20'!M137</f>
        <v/>
      </c>
    </row>
    <row r="138">
      <c r="A138" s="629">
        <f>'MSW20'!A138</f>
        <v>3</v>
      </c>
      <c r="B138" s="630">
        <f>'MSW20'!B138</f>
        <v>20</v>
      </c>
      <c r="C138" s="631">
        <f>'MSW20'!C138</f>
        <v>20</v>
      </c>
      <c r="D138" s="328" t="str">
        <f>'MSW20'!D138</f>
        <v>1MIN</v>
      </c>
      <c r="E138" s="84" t="str">
        <f>'MSW20'!E138</f>
        <v/>
      </c>
      <c r="F138" s="330" t="str">
        <f>'MSW20'!F138</f>
        <v/>
      </c>
      <c r="H138" s="86">
        <f>'MSW20'!H138</f>
        <v>3</v>
      </c>
      <c r="I138" s="87">
        <f>'MSW20'!I138</f>
        <v>10</v>
      </c>
      <c r="J138" s="71" t="str">
        <f>'MSW20'!J138</f>
        <v>10 - 15</v>
      </c>
      <c r="K138" s="88" t="str">
        <f>'MSW20'!K138</f>
        <v>1-2MIN</v>
      </c>
      <c r="L138" s="89" t="str">
        <f>'MSW20'!L138</f>
        <v/>
      </c>
      <c r="M138" s="85" t="str">
        <f>'MSW20'!M138</f>
        <v/>
      </c>
    </row>
    <row r="139">
      <c r="A139" s="633" t="str">
        <f>'MSW20'!A139</f>
        <v/>
      </c>
      <c r="B139" s="25"/>
      <c r="C139" s="25"/>
      <c r="D139" s="25"/>
      <c r="E139" s="25"/>
      <c r="F139" s="25"/>
      <c r="G139" s="25"/>
      <c r="H139" s="25"/>
      <c r="I139" s="25"/>
      <c r="J139" s="25"/>
      <c r="K139" s="25"/>
      <c r="L139" s="25"/>
      <c r="M139" s="25"/>
      <c r="N139" s="25"/>
      <c r="O139" s="25"/>
      <c r="P139" s="25"/>
      <c r="Q139" s="25"/>
      <c r="R139" s="25"/>
      <c r="S139" s="25"/>
      <c r="T139" s="25"/>
    </row>
    <row r="141">
      <c r="A141" s="581" t="str">
        <f>'MSW20'!A141</f>
        <v>CLICK TO COMPLETE WORKOUT</v>
      </c>
      <c r="B141" s="25"/>
      <c r="C141" s="25"/>
      <c r="D141" s="25"/>
      <c r="E141" s="25"/>
      <c r="F141" s="26"/>
      <c r="G141" t="str">
        <f>'MSW20'!G141</f>
        <v/>
      </c>
    </row>
    <row r="142">
      <c r="A142" s="336"/>
      <c r="B142" s="11"/>
      <c r="C142" s="11"/>
      <c r="D142" s="11"/>
      <c r="E142" s="11"/>
      <c r="F142" s="46"/>
    </row>
    <row r="143">
      <c r="A143" s="683" t="str">
        <f>'MSW20'!A143</f>
        <v/>
      </c>
    </row>
    <row r="144">
      <c r="A144" s="1487" t="str">
        <f>'MSW20'!A144</f>
        <v>WANT TO LEARN MORE?</v>
      </c>
      <c r="B144" s="25"/>
      <c r="C144" s="25"/>
      <c r="D144" s="25"/>
      <c r="E144" s="25"/>
      <c r="F144" s="26"/>
      <c r="G144" t="str">
        <f>'MSW20'!G144</f>
        <v/>
      </c>
      <c r="Q144" t="str">
        <f>'MSW20'!Q144</f>
        <v/>
      </c>
      <c r="R144" t="str">
        <f>'MSW20'!R144</f>
        <v/>
      </c>
      <c r="S144" t="str">
        <f>'MSW20'!S144</f>
        <v/>
      </c>
      <c r="T144" t="str">
        <f>'MSW20'!T144</f>
        <v/>
      </c>
    </row>
    <row r="145">
      <c r="A145" s="336"/>
      <c r="B145" s="11"/>
      <c r="C145" s="11"/>
      <c r="D145" s="11"/>
      <c r="E145" s="11"/>
      <c r="F145" s="46"/>
      <c r="Q145" t="str">
        <f>'MSW20'!Q145</f>
        <v/>
      </c>
      <c r="R145" t="str">
        <f>'MSW20'!R145</f>
        <v/>
      </c>
      <c r="S145" t="str">
        <f>'MSW20'!S145</f>
        <v/>
      </c>
      <c r="T145" t="str">
        <f>'MSW20'!T145</f>
        <v/>
      </c>
    </row>
    <row r="146">
      <c r="A146" s="645" t="str">
        <f>'MSW20'!A146</f>
        <v/>
      </c>
      <c r="B146" s="646" t="str">
        <f>'MSW20'!B146</f>
        <v/>
      </c>
      <c r="C146" s="1488" t="str">
        <f>'MSW20'!C146</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46" s="28"/>
      <c r="Q146" t="str">
        <f>'MSW20'!Q146</f>
        <v/>
      </c>
      <c r="R146" t="str">
        <f>'MSW20'!R146</f>
        <v/>
      </c>
      <c r="S146" t="str">
        <f>'MSW20'!S146</f>
        <v/>
      </c>
      <c r="T146" t="str">
        <f>'MSW20'!T146</f>
        <v/>
      </c>
    </row>
    <row r="147">
      <c r="A147" s="645" t="str">
        <f>'MSW20'!A147</f>
        <v/>
      </c>
      <c r="B147" s="646" t="str">
        <f>'MSW20'!B147</f>
        <v/>
      </c>
      <c r="C147" s="529"/>
      <c r="F147" s="28"/>
      <c r="Q147" t="str">
        <f>'MSW20'!Q147</f>
        <v/>
      </c>
      <c r="R147" t="str">
        <f>'MSW20'!R147</f>
        <v/>
      </c>
      <c r="S147" t="str">
        <f>'MSW20'!S147</f>
        <v/>
      </c>
      <c r="T147" t="str">
        <f>'MSW20'!T147</f>
        <v/>
      </c>
    </row>
    <row r="148">
      <c r="A148" s="645" t="str">
        <f>'MSW20'!A148</f>
        <v/>
      </c>
      <c r="B148" s="646" t="str">
        <f>'MSW20'!B148</f>
        <v/>
      </c>
      <c r="C148" s="529"/>
      <c r="F148" s="28"/>
      <c r="Q148" t="str">
        <f>'MSW20'!Q148</f>
        <v/>
      </c>
      <c r="R148" t="str">
        <f>'MSW20'!R148</f>
        <v/>
      </c>
      <c r="S148" t="str">
        <f>'MSW20'!S148</f>
        <v/>
      </c>
      <c r="T148" t="str">
        <f>'MSW20'!T148</f>
        <v/>
      </c>
    </row>
    <row r="149">
      <c r="A149" s="645" t="str">
        <f>'MSW20'!A149</f>
        <v/>
      </c>
      <c r="B149" s="646" t="str">
        <f>'MSW20'!B149</f>
        <v/>
      </c>
      <c r="C149" s="529"/>
      <c r="F149" s="28"/>
      <c r="Q149" t="str">
        <f>'MSW20'!Q149</f>
        <v/>
      </c>
      <c r="R149" t="str">
        <f>'MSW20'!R149</f>
        <v/>
      </c>
      <c r="S149" t="str">
        <f>'MSW20'!S149</f>
        <v/>
      </c>
      <c r="T149" t="str">
        <f>'MSW20'!T149</f>
        <v/>
      </c>
    </row>
    <row r="150">
      <c r="A150" s="645" t="str">
        <f>'MSW20'!A150</f>
        <v/>
      </c>
      <c r="B150" s="646" t="str">
        <f>'MSW20'!B150</f>
        <v/>
      </c>
      <c r="C150" s="529"/>
      <c r="F150" s="28"/>
      <c r="Q150" t="str">
        <f>'MSW20'!Q150</f>
        <v/>
      </c>
      <c r="R150" t="str">
        <f>'MSW20'!R150</f>
        <v/>
      </c>
      <c r="S150" t="str">
        <f>'MSW20'!S150</f>
        <v/>
      </c>
      <c r="T150" t="str">
        <f>'MSW20'!T150</f>
        <v/>
      </c>
    </row>
    <row r="151">
      <c r="A151" s="645" t="str">
        <f>'MSW20'!A151</f>
        <v/>
      </c>
      <c r="B151" s="646" t="str">
        <f>'MSW20'!B151</f>
        <v/>
      </c>
      <c r="C151" s="529"/>
      <c r="F151" s="28"/>
      <c r="Q151" t="str">
        <f>'MSW20'!Q151</f>
        <v/>
      </c>
      <c r="R151" t="str">
        <f>'MSW20'!R151</f>
        <v/>
      </c>
      <c r="S151" t="str">
        <f>'MSW20'!S151</f>
        <v/>
      </c>
      <c r="T151" t="str">
        <f>'MSW20'!T151</f>
        <v/>
      </c>
    </row>
    <row r="152">
      <c r="A152" s="647" t="str">
        <f>'MSW20'!A152</f>
        <v/>
      </c>
      <c r="B152" s="646" t="str">
        <f>'MSW20'!B152</f>
        <v/>
      </c>
      <c r="C152" s="529"/>
      <c r="F152" s="28"/>
      <c r="Q152" t="str">
        <f>'MSW20'!Q152</f>
        <v/>
      </c>
      <c r="R152" t="str">
        <f>'MSW20'!R152</f>
        <v/>
      </c>
      <c r="S152" t="str">
        <f>'MSW20'!S152</f>
        <v/>
      </c>
      <c r="T152" t="str">
        <f>'MSW20'!T152</f>
        <v/>
      </c>
    </row>
    <row r="153">
      <c r="A153" s="645" t="str">
        <f>'MSW20'!A153</f>
        <v/>
      </c>
      <c r="B153" s="646" t="str">
        <f>'MSW20'!B153</f>
        <v/>
      </c>
      <c r="C153" s="529"/>
      <c r="F153" s="28"/>
      <c r="Q153" t="str">
        <f>'MSW20'!Q153</f>
        <v/>
      </c>
      <c r="R153" t="str">
        <f>'MSW20'!R153</f>
        <v/>
      </c>
      <c r="S153" t="str">
        <f>'MSW20'!S153</f>
        <v/>
      </c>
      <c r="T153" t="str">
        <f>'MSW20'!T153</f>
        <v/>
      </c>
    </row>
    <row r="154">
      <c r="A154" s="645" t="str">
        <f>'MSW20'!A154</f>
        <v/>
      </c>
      <c r="B154" s="646" t="str">
        <f>'MSW20'!B154</f>
        <v/>
      </c>
      <c r="C154" s="529"/>
      <c r="F154" s="28"/>
      <c r="Q154" t="str">
        <f>'MSW20'!Q154</f>
        <v/>
      </c>
      <c r="R154" t="str">
        <f>'MSW20'!R154</f>
        <v/>
      </c>
      <c r="S154" t="str">
        <f>'MSW20'!S154</f>
        <v/>
      </c>
      <c r="T154" t="str">
        <f>'MSW20'!T154</f>
        <v/>
      </c>
    </row>
    <row r="155">
      <c r="A155" s="648" t="str">
        <f>'MSW20'!A155</f>
        <v/>
      </c>
      <c r="B155" s="646" t="str">
        <f>'MSW20'!B155</f>
        <v/>
      </c>
      <c r="C155" s="529"/>
      <c r="F155" s="28"/>
      <c r="Q155" t="str">
        <f>'MSW20'!Q155</f>
        <v/>
      </c>
      <c r="R155" t="str">
        <f>'MSW20'!R155</f>
        <v/>
      </c>
      <c r="S155" t="str">
        <f>'MSW20'!S155</f>
        <v/>
      </c>
      <c r="T155" t="str">
        <f>'MSW20'!T155</f>
        <v/>
      </c>
    </row>
    <row r="156">
      <c r="A156" s="645" t="str">
        <f>'MSW20'!A156</f>
        <v/>
      </c>
      <c r="B156" s="646" t="str">
        <f>'MSW20'!B156</f>
        <v/>
      </c>
      <c r="C156" s="529"/>
      <c r="F156" s="28"/>
      <c r="Q156" t="str">
        <f>'MSW20'!Q156</f>
        <v/>
      </c>
      <c r="R156" t="str">
        <f>'MSW20'!R156</f>
        <v/>
      </c>
      <c r="S156" t="str">
        <f>'MSW20'!S156</f>
        <v/>
      </c>
      <c r="T156" t="str">
        <f>'MSW20'!T156</f>
        <v/>
      </c>
    </row>
    <row r="157">
      <c r="A157" s="645" t="str">
        <f>'MSW20'!A157</f>
        <v/>
      </c>
      <c r="B157" s="646" t="str">
        <f>'MSW20'!B157</f>
        <v/>
      </c>
      <c r="C157" s="529"/>
      <c r="F157" s="28"/>
      <c r="Q157" t="str">
        <f>'MSW20'!Q157</f>
        <v/>
      </c>
      <c r="R157" t="str">
        <f>'MSW20'!R157</f>
        <v/>
      </c>
      <c r="S157" t="str">
        <f>'MSW20'!S157</f>
        <v/>
      </c>
      <c r="T157" t="str">
        <f>'MSW20'!T157</f>
        <v/>
      </c>
    </row>
    <row r="158">
      <c r="A158" s="645" t="str">
        <f>'MSW20'!A158</f>
        <v/>
      </c>
      <c r="B158" s="646" t="str">
        <f>'MSW20'!B158</f>
        <v/>
      </c>
      <c r="C158" s="529"/>
      <c r="F158" s="28"/>
      <c r="Q158" t="str">
        <f>'MSW20'!Q158</f>
        <v/>
      </c>
      <c r="R158" t="str">
        <f>'MSW20'!R158</f>
        <v/>
      </c>
      <c r="S158" t="str">
        <f>'MSW20'!S158</f>
        <v/>
      </c>
      <c r="T158" t="str">
        <f>'MSW20'!T158</f>
        <v/>
      </c>
    </row>
    <row r="159">
      <c r="A159" s="645" t="str">
        <f>'MSW20'!A159</f>
        <v/>
      </c>
      <c r="B159" s="646" t="str">
        <f>'MSW20'!B159</f>
        <v/>
      </c>
      <c r="C159" s="529"/>
      <c r="F159" s="28"/>
      <c r="Q159" t="str">
        <f>'MSW20'!Q159</f>
        <v/>
      </c>
      <c r="R159" t="str">
        <f>'MSW20'!R159</f>
        <v/>
      </c>
      <c r="S159" t="str">
        <f>'MSW20'!S159</f>
        <v/>
      </c>
      <c r="T159" t="str">
        <f>'MSW20'!T159</f>
        <v/>
      </c>
    </row>
    <row r="160">
      <c r="A160" s="645" t="str">
        <f>'MSW20'!A160</f>
        <v/>
      </c>
      <c r="B160" s="642" t="str">
        <f>'MSW20'!B160</f>
        <v/>
      </c>
      <c r="C160" s="336"/>
      <c r="D160" s="11"/>
      <c r="E160" s="11"/>
      <c r="F160" s="46"/>
      <c r="Q160" t="str">
        <f>'MSW20'!Q160</f>
        <v/>
      </c>
      <c r="R160" t="str">
        <f>'MSW20'!R160</f>
        <v/>
      </c>
      <c r="S160" t="str">
        <f>'MSW20'!S160</f>
        <v/>
      </c>
      <c r="T160" t="str">
        <f>'MSW20'!T160</f>
        <v/>
      </c>
    </row>
    <row r="161">
      <c r="A161" s="1489" t="str">
        <f>'MSW20'!A161</f>
        <v/>
      </c>
      <c r="B161" s="25"/>
      <c r="C161" s="25"/>
      <c r="D161" s="25"/>
      <c r="E161" s="25"/>
      <c r="F161" s="25"/>
      <c r="Q161" t="str">
        <f>'MSW20'!Q161</f>
        <v/>
      </c>
      <c r="R161" t="str">
        <f>'MSW20'!R161</f>
        <v/>
      </c>
      <c r="S161" t="str">
        <f>'MSW20'!S161</f>
        <v/>
      </c>
      <c r="T161" t="str">
        <f>'MSW20'!T161</f>
        <v/>
      </c>
    </row>
  </sheetData>
  <mergeCells count="110">
    <mergeCell ref="H20:M20"/>
    <mergeCell ref="I21:M21"/>
    <mergeCell ref="G26:G34"/>
    <mergeCell ref="H27:M27"/>
    <mergeCell ref="N27:N28"/>
    <mergeCell ref="H29:M29"/>
    <mergeCell ref="N29:N34"/>
    <mergeCell ref="I34:M34"/>
    <mergeCell ref="B38:F38"/>
    <mergeCell ref="I38:M38"/>
    <mergeCell ref="G24:G25"/>
    <mergeCell ref="A27:F27"/>
    <mergeCell ref="A30:F30"/>
    <mergeCell ref="B33:F33"/>
    <mergeCell ref="A34:F34"/>
    <mergeCell ref="A35:N36"/>
    <mergeCell ref="G37:G41"/>
    <mergeCell ref="A47:A48"/>
    <mergeCell ref="A50:A51"/>
    <mergeCell ref="A37:F37"/>
    <mergeCell ref="H37:M37"/>
    <mergeCell ref="A42:T43"/>
    <mergeCell ref="A44:F44"/>
    <mergeCell ref="B45:C45"/>
    <mergeCell ref="D45:F45"/>
    <mergeCell ref="A49:F49"/>
    <mergeCell ref="A79:F80"/>
    <mergeCell ref="A81:F81"/>
    <mergeCell ref="A60:F60"/>
    <mergeCell ref="A61:F61"/>
    <mergeCell ref="A62:F62"/>
    <mergeCell ref="A63:F64"/>
    <mergeCell ref="A65:F65"/>
    <mergeCell ref="B66:F66"/>
    <mergeCell ref="B78:F78"/>
    <mergeCell ref="H10:M10"/>
    <mergeCell ref="G12:M14"/>
    <mergeCell ref="A15:F15"/>
    <mergeCell ref="H15:M15"/>
    <mergeCell ref="A1:T8"/>
    <mergeCell ref="A9:F9"/>
    <mergeCell ref="G9:G11"/>
    <mergeCell ref="H9:M9"/>
    <mergeCell ref="N9:T18"/>
    <mergeCell ref="A10:F11"/>
    <mergeCell ref="A12:F12"/>
    <mergeCell ref="A16:M18"/>
    <mergeCell ref="A19:F19"/>
    <mergeCell ref="G19:G23"/>
    <mergeCell ref="H19:M19"/>
    <mergeCell ref="N19:N26"/>
    <mergeCell ref="A20:F20"/>
    <mergeCell ref="B21:F21"/>
    <mergeCell ref="N37:T41"/>
    <mergeCell ref="G44:T88"/>
    <mergeCell ref="H89:M89"/>
    <mergeCell ref="N89:T94"/>
    <mergeCell ref="I90:M90"/>
    <mergeCell ref="G92:G93"/>
    <mergeCell ref="O19:T19"/>
    <mergeCell ref="O20:T20"/>
    <mergeCell ref="P21:T21"/>
    <mergeCell ref="O27:T27"/>
    <mergeCell ref="O29:T29"/>
    <mergeCell ref="P34:T34"/>
    <mergeCell ref="O35:T36"/>
    <mergeCell ref="A13:F13"/>
    <mergeCell ref="A14:F14"/>
    <mergeCell ref="A52:F52"/>
    <mergeCell ref="A53:A54"/>
    <mergeCell ref="A55:F55"/>
    <mergeCell ref="A56:A57"/>
    <mergeCell ref="A58:F59"/>
    <mergeCell ref="C146:F160"/>
    <mergeCell ref="A161:F161"/>
    <mergeCell ref="H133:M133"/>
    <mergeCell ref="N133:T138"/>
    <mergeCell ref="I134:M134"/>
    <mergeCell ref="A139:T140"/>
    <mergeCell ref="G141:T142"/>
    <mergeCell ref="A143:T143"/>
    <mergeCell ref="G144:P161"/>
    <mergeCell ref="B82:F82"/>
    <mergeCell ref="A87:F88"/>
    <mergeCell ref="A89:F89"/>
    <mergeCell ref="G89:G91"/>
    <mergeCell ref="B90:F90"/>
    <mergeCell ref="A95:T96"/>
    <mergeCell ref="A97:F97"/>
    <mergeCell ref="A109:F109"/>
    <mergeCell ref="B110:F110"/>
    <mergeCell ref="A115:F116"/>
    <mergeCell ref="A117:F117"/>
    <mergeCell ref="B118:F118"/>
    <mergeCell ref="A123:F124"/>
    <mergeCell ref="A125:F125"/>
    <mergeCell ref="B126:F126"/>
    <mergeCell ref="A131:F132"/>
    <mergeCell ref="A133:F133"/>
    <mergeCell ref="G133:G138"/>
    <mergeCell ref="B134:F134"/>
    <mergeCell ref="A141:F142"/>
    <mergeCell ref="A144:F145"/>
    <mergeCell ref="G97:T97"/>
    <mergeCell ref="A98:T99"/>
    <mergeCell ref="A100:F100"/>
    <mergeCell ref="G100:T132"/>
    <mergeCell ref="A101:F101"/>
    <mergeCell ref="B102:F102"/>
    <mergeCell ref="A107:F108"/>
  </mergeCells>
  <dataValidations>
    <dataValidation type="decimal" allowBlank="1" showDropDown="1" showInputMessage="1" showErrorMessage="1" prompt="Enter a number between 0 and 30" sqref="F22:F26 M22:M26 T22:T26 M28 T28 F28:F29 F31:F32 M30:M33 T30:T33 F39:F41 M39:M41 F46:F48 F50:F51 F53:F54 F56:F57 F67:F77 F83:F86 F91:F94 M91:M94 F103:F106 F111:F114 F119:F122 F127:F130 F135:F138 M135:M138 T144:T161">
      <formula1>0.0</formula1>
      <formula2>30.0</formula2>
    </dataValidation>
    <dataValidation type="decimal" operator="greaterThan" allowBlank="1" showDropDown="1" showErrorMessage="1" sqref="M11">
      <formula1>0.0</formula1>
    </dataValidation>
  </dataValidation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282</v>
      </c>
      <c r="B9" s="20"/>
      <c r="C9" s="20"/>
      <c r="D9" s="20"/>
      <c r="E9" s="20"/>
      <c r="F9" s="21"/>
      <c r="G9" s="103"/>
      <c r="H9" s="24" t="s">
        <v>35</v>
      </c>
      <c r="I9" s="25"/>
      <c r="J9" s="25"/>
      <c r="K9" s="25"/>
      <c r="L9" s="25"/>
      <c r="M9" s="26"/>
    </row>
    <row r="10">
      <c r="A10" s="15" t="str">
        <f>HYPERLINK("https://goo.gl/forms/3ibooB993Hi7SS2d2","PRESS TO RECORD BODY WEIGHT")</f>
        <v>PRESS TO RECORD BODY WEIGHT</v>
      </c>
      <c r="B10" s="16"/>
      <c r="C10" s="16"/>
      <c r="D10" s="16"/>
      <c r="E10" s="16"/>
      <c r="F10" s="17"/>
      <c r="G10" s="103"/>
      <c r="H10" s="147" t="s">
        <v>283</v>
      </c>
      <c r="M10" s="28"/>
    </row>
    <row r="11">
      <c r="A11" s="18"/>
      <c r="B11" s="13"/>
      <c r="C11" s="13"/>
      <c r="D11" s="13"/>
      <c r="E11" s="13"/>
      <c r="F11" s="14"/>
      <c r="G11" s="103"/>
      <c r="H11" s="29" t="s">
        <v>284</v>
      </c>
      <c r="I11" s="30"/>
      <c r="J11" s="30"/>
      <c r="K11" s="30"/>
      <c r="L11" s="30"/>
      <c r="M11" s="31"/>
    </row>
    <row r="12">
      <c r="A12" s="19" t="s">
        <v>69</v>
      </c>
      <c r="B12" s="20"/>
      <c r="C12" s="20"/>
      <c r="D12" s="20"/>
      <c r="E12" s="20"/>
      <c r="F12" s="21"/>
      <c r="G12" s="103"/>
      <c r="H12" s="219"/>
      <c r="I12" s="220"/>
      <c r="J12" s="221"/>
      <c r="K12" s="219"/>
      <c r="L12" s="222"/>
      <c r="M12" s="103"/>
    </row>
    <row r="13">
      <c r="A13" s="22" t="s">
        <v>177</v>
      </c>
      <c r="B13" s="20"/>
      <c r="C13" s="20"/>
      <c r="D13" s="20"/>
      <c r="E13" s="20"/>
      <c r="F13" s="21"/>
      <c r="G13" s="103"/>
      <c r="H13" s="103"/>
      <c r="I13" s="103"/>
      <c r="J13" s="103"/>
      <c r="K13" s="103"/>
      <c r="L13" s="222"/>
      <c r="M13" s="103"/>
    </row>
    <row r="14">
      <c r="A14" s="219"/>
      <c r="B14" s="219"/>
      <c r="C14" s="219"/>
      <c r="D14" s="219"/>
      <c r="E14" s="223"/>
      <c r="F14" s="103"/>
      <c r="G14" s="103"/>
      <c r="H14" s="219"/>
      <c r="I14" s="219"/>
      <c r="J14" s="219"/>
      <c r="K14" s="103"/>
      <c r="L14" s="222"/>
      <c r="M14" s="103"/>
    </row>
    <row r="15">
      <c r="A15" s="209"/>
      <c r="G15" s="277"/>
      <c r="H15" s="850"/>
    </row>
    <row r="16">
      <c r="A16" s="50" t="s">
        <v>79</v>
      </c>
      <c r="B16" s="36"/>
      <c r="C16" s="36"/>
      <c r="D16" s="36"/>
      <c r="E16" s="36"/>
      <c r="F16" s="37"/>
      <c r="G16" s="141"/>
      <c r="H16" s="50" t="s">
        <v>118</v>
      </c>
      <c r="I16" s="36"/>
      <c r="J16" s="36"/>
      <c r="K16" s="36"/>
      <c r="L16" s="36"/>
      <c r="M16" s="37"/>
    </row>
    <row r="17">
      <c r="A17" s="657"/>
    </row>
    <row r="19">
      <c r="A19" s="1344" t="s">
        <v>48</v>
      </c>
      <c r="B19" s="36"/>
      <c r="C19" s="36"/>
      <c r="D19" s="36"/>
      <c r="E19" s="36"/>
      <c r="F19" s="37"/>
      <c r="G19" s="141"/>
      <c r="H19" s="51" t="s">
        <v>48</v>
      </c>
      <c r="I19" s="36"/>
      <c r="J19" s="36"/>
      <c r="K19" s="36"/>
      <c r="L19" s="36"/>
      <c r="M19" s="37"/>
    </row>
    <row r="20">
      <c r="A20" s="52" t="str">
        <f>HYPERLINK("https://youtu.be/ujVN-A0Z-ic","1. DUMBBELL INCLINE PRESS")</f>
        <v>1. DUMBBELL INCLINE PRESS</v>
      </c>
      <c r="B20" s="53"/>
      <c r="C20" s="53"/>
      <c r="D20" s="53"/>
      <c r="E20" s="53"/>
      <c r="F20" s="54"/>
      <c r="H20" s="52" t="str">
        <f>HYPERLINK("https://youtu.be/75e_H9Vq_Lw","1. MACHINE PRESS")</f>
        <v>1. MACHINE PRESS</v>
      </c>
      <c r="I20" s="53"/>
      <c r="J20" s="53"/>
      <c r="K20" s="53"/>
      <c r="L20" s="53"/>
      <c r="M20" s="54"/>
    </row>
    <row r="21">
      <c r="A21" s="228" t="s">
        <v>119</v>
      </c>
      <c r="B21" s="229" t="str">
        <f>IF('WEEK 20'!I34="",'WEEK 20'!I21,'WEEK 20'!I34)</f>
        <v/>
      </c>
      <c r="C21" s="16"/>
      <c r="D21" s="16"/>
      <c r="E21" s="16"/>
      <c r="F21" s="230"/>
      <c r="H21" s="228" t="s">
        <v>119</v>
      </c>
      <c r="I21" s="229" t="str">
        <f>if('WEEK 20'!P34="",'WEEK 20'!P21,'WEEK 20'!P34)</f>
        <v/>
      </c>
      <c r="J21" s="16"/>
      <c r="K21" s="16"/>
      <c r="L21" s="16"/>
      <c r="M21" s="230"/>
    </row>
    <row r="22">
      <c r="A22" s="96" t="s">
        <v>50</v>
      </c>
      <c r="B22" s="97" t="s">
        <v>51</v>
      </c>
      <c r="C22" s="97" t="s">
        <v>52</v>
      </c>
      <c r="D22" s="97" t="s">
        <v>53</v>
      </c>
      <c r="E22" s="98" t="s">
        <v>54</v>
      </c>
      <c r="F22" s="235" t="s">
        <v>55</v>
      </c>
      <c r="H22" s="96" t="s">
        <v>50</v>
      </c>
      <c r="I22" s="97" t="s">
        <v>51</v>
      </c>
      <c r="J22" s="97" t="s">
        <v>52</v>
      </c>
      <c r="K22" s="97" t="s">
        <v>53</v>
      </c>
      <c r="L22" s="98" t="s">
        <v>54</v>
      </c>
      <c r="M22" s="235" t="s">
        <v>55</v>
      </c>
    </row>
    <row r="23">
      <c r="A23" s="244">
        <v>1.0</v>
      </c>
      <c r="B23" s="241">
        <f>mround('WEEK 21'!B21*0.35,5)</f>
        <v>0</v>
      </c>
      <c r="C23" s="63">
        <v>6.0</v>
      </c>
      <c r="D23" s="83" t="s">
        <v>57</v>
      </c>
      <c r="E23" s="84" t="str">
        <f>IF('WEEK 15'!B23='WEEK 21'!B23,'WEEK 15'!F23,"")</f>
        <v/>
      </c>
      <c r="F23" s="85"/>
      <c r="H23" s="244">
        <v>1.0</v>
      </c>
      <c r="I23" s="241">
        <f>mround('WEEK 21'!I21*0.35,5)</f>
        <v>0</v>
      </c>
      <c r="J23" s="63">
        <v>6.0</v>
      </c>
      <c r="K23" s="83" t="s">
        <v>57</v>
      </c>
      <c r="L23" s="84" t="str">
        <f>IF('WEEK 15'!I23='WEEK 21'!I23,'WEEK 15'!M23,"")</f>
        <v/>
      </c>
      <c r="M23" s="85"/>
    </row>
    <row r="24">
      <c r="A24" s="240">
        <v>2.0</v>
      </c>
      <c r="B24" s="241">
        <f>mround('WEEK 21'!B21*0.65,5)</f>
        <v>0</v>
      </c>
      <c r="C24" s="241">
        <v>1.0</v>
      </c>
      <c r="D24" s="83" t="s">
        <v>57</v>
      </c>
      <c r="E24" s="84" t="str">
        <f>IF('WEEK 15'!B24='WEEK 21'!B24,'WEEK 15'!F24,"")</f>
        <v/>
      </c>
      <c r="F24" s="85"/>
      <c r="H24" s="240">
        <v>2.0</v>
      </c>
      <c r="I24" s="241">
        <f>mround('WEEK 21'!I21*0.65,5)</f>
        <v>0</v>
      </c>
      <c r="J24" s="241">
        <v>1.0</v>
      </c>
      <c r="K24" s="83" t="s">
        <v>57</v>
      </c>
      <c r="L24" s="84" t="str">
        <f>IF('WEEK 15'!I24='WEEK 21'!I24,'WEEK 15'!M24,"")</f>
        <v/>
      </c>
      <c r="M24" s="85"/>
    </row>
    <row r="25">
      <c r="A25" s="240">
        <v>3.0</v>
      </c>
      <c r="B25" s="241">
        <f>mround('WEEK 21'!B21*0.85,5)</f>
        <v>0</v>
      </c>
      <c r="C25" s="63">
        <v>1.0</v>
      </c>
      <c r="D25" s="83" t="s">
        <v>57</v>
      </c>
      <c r="E25" s="84" t="str">
        <f>IF('WEEK 15'!B25='WEEK 21'!B25,'WEEK 15'!F25,"")</f>
        <v/>
      </c>
      <c r="F25" s="85"/>
      <c r="H25" s="240">
        <v>3.0</v>
      </c>
      <c r="I25" s="241">
        <f>mround('WEEK 21'!I21*0.85,5)</f>
        <v>0</v>
      </c>
      <c r="J25" s="241">
        <v>1.0</v>
      </c>
      <c r="K25" s="83" t="s">
        <v>57</v>
      </c>
      <c r="L25" s="84" t="str">
        <f>IF('WEEK 15'!I25='WEEK 21'!I25,'WEEK 15'!M25,"")</f>
        <v/>
      </c>
      <c r="M25" s="85"/>
    </row>
    <row r="26">
      <c r="A26" s="240">
        <v>4.0</v>
      </c>
      <c r="B26" s="241">
        <f>mround('WEEK 21'!B21*1,5)</f>
        <v>0</v>
      </c>
      <c r="C26" s="245" t="s">
        <v>65</v>
      </c>
      <c r="D26" s="83" t="s">
        <v>57</v>
      </c>
      <c r="E26" s="84" t="str">
        <f>IF('WEEK 15'!B26='WEEK 21'!B26,'WEEK 15'!F26,"")</f>
        <v/>
      </c>
      <c r="F26" s="85"/>
      <c r="H26" s="240">
        <v>4.0</v>
      </c>
      <c r="I26" s="241">
        <f>mround('WEEK 21'!I21*1,5)</f>
        <v>0</v>
      </c>
      <c r="J26" s="245" t="s">
        <v>65</v>
      </c>
      <c r="K26" s="83" t="s">
        <v>57</v>
      </c>
      <c r="L26" s="84" t="str">
        <f>IF('WEEK 15'!I26='WEEK 21'!I26,'WEEK 15'!M26,"")</f>
        <v/>
      </c>
      <c r="M26" s="85"/>
    </row>
    <row r="27">
      <c r="A27" s="248" t="str">
        <f>IF(OR(ISBLANK('WEEK 21'!F26),ISBLANK('WEEK 21'!F25),ISBLANK('WEEK 21'!F24)),"PROCEED TO DOWNSETS",if('WEEK 21'!F26&gt;=6,"NEW 4 REP MAX ATTEMPT","PROCEED TO DOWN SETS"))</f>
        <v>PROCEED TO DOWNSETS</v>
      </c>
      <c r="F27" s="28"/>
      <c r="G27" s="247" t="s">
        <v>123</v>
      </c>
      <c r="H27" s="248" t="str">
        <f>IF(OR(ISBLANK('WEEK 21'!M26),ISBLANK('WEEK 21'!M25),ISBLANK('WEEK 21'!M24)),"PROCEED TO DOWNSETS",if('WEEK 21'!M26&gt;=6,"NEW 4 REP MAX ATTEMPT","PROCEED TO DOWN SETS"))</f>
        <v>PROCEED TO DOWNSETS</v>
      </c>
      <c r="M27" s="28"/>
    </row>
    <row r="28">
      <c r="A28" s="251" t="str">
        <f>IF(OR(ISBLANK('WEEK 21'!F26),ISBLANK('WEEK 21'!F25),ISBLANK('WEEK 21'!F24)),"",IF('WEEK 21'!F26&gt;=6,5,""))</f>
        <v/>
      </c>
      <c r="B28" s="252" t="str">
        <f>IF(OR(ISBLANK('WEEK 21'!F26),ISBLANK('WEEK 21'!F25),ISBLANK('WEEK 21'!F24)),"",IF('WEEK 21'!F26&gt;=6,'WEEK 21'!B21+5,""))</f>
        <v/>
      </c>
      <c r="C28" s="253" t="str">
        <f>IF(OR(ISBLANK('WEEK 21'!F26),ISBLANK('WEEK 21'!F25),ISBLANK('WEEK 21'!F24)),"",IF('WEEK 21'!F26&gt;=6,"REP OUT",""))</f>
        <v/>
      </c>
      <c r="D28" s="254" t="str">
        <f>IF(OR(ISBLANK('WEEK 21'!F26),ISBLANK('WEEK 21'!F25),ISBLANK('WEEK 21'!F24)),"",IF('WEEK 21'!F26&gt;5,"1 MIN",""))</f>
        <v/>
      </c>
      <c r="E28" s="84" t="str">
        <f>IF('WEEK 15'!B28='WEEK 21'!B28,'WEEK 15'!F28,"")</f>
        <v/>
      </c>
      <c r="F28" s="67"/>
      <c r="H28" s="251" t="str">
        <f>IF(OR(ISBLANK('WEEK 21'!M26),ISBLANK('WEEK 21'!M25),ISBLANK('WEEK 21'!M24)),"",IF('WEEK 21'!M26&gt;=6,5,""))</f>
        <v/>
      </c>
      <c r="I28" s="252" t="str">
        <f>IF(OR(ISBLANK('WEEK 21'!M26),ISBLANK('WEEK 21'!M25),ISBLANK('WEEK 21'!M24)),"",IF('WEEK 21'!M26&gt;=6,'WEEK 21'!I21+5,""))</f>
        <v/>
      </c>
      <c r="J28" s="253" t="str">
        <f>IF(OR(ISBLANK('WEEK 21'!M26),ISBLANK('WEEK 21'!M25),ISBLANK('WEEK 21'!M24)),"",IF('WEEK 21'!M26&gt;=6,"REP OUT",""))</f>
        <v/>
      </c>
      <c r="K28" s="254" t="str">
        <f>IF(OR(ISBLANK('WEEK 21'!M26),ISBLANK('WEEK 21'!M25),ISBLANK('WEEK 21'!M24)),"",IF('WEEK 21'!M26&gt;5,"1 MIN",""))</f>
        <v/>
      </c>
      <c r="L28" s="84" t="str">
        <f>IF('WEEK 15'!I28='WEEK 21'!I28,'WEEK 15'!M28,"")</f>
        <v/>
      </c>
      <c r="M28" s="67"/>
    </row>
    <row r="29">
      <c r="A29" s="260" t="str">
        <f>IF(OR(ISBLANK('WEEK 21'!F26),ISBLANK('WEEK 21'!F25),ISBLANK('WEEK 21'!F24)),"FILL OUT REP LOG FIRST","DOWN SETS")</f>
        <v>FILL OUT REP LOG FIRST</v>
      </c>
      <c r="B29" s="16"/>
      <c r="C29" s="16"/>
      <c r="D29" s="16"/>
      <c r="E29" s="16"/>
      <c r="F29" s="230"/>
      <c r="G29" s="141"/>
      <c r="H29" s="260" t="str">
        <f>IF(OR(ISBLANK('WEEK 21'!M26),ISBLANK('WEEK 21'!M25),ISBLANK('WEEK 21'!M24)),"FILL OUT REP LOG FIRST","DOWN SETS")</f>
        <v>FILL OUT REP LOG FIRST</v>
      </c>
      <c r="I29" s="16"/>
      <c r="J29" s="16"/>
      <c r="K29" s="16"/>
      <c r="L29" s="16"/>
      <c r="M29" s="230"/>
    </row>
    <row r="30">
      <c r="A30" s="545" t="str">
        <f>IF('WEEK 21'!F28&gt;=4,"",IF(OR(ISBLANK('WEEK 21'!F26),ISBLANK('WEEK 21'!F25),ISBLANK('WEEK 21'!F24)),"",IF('WEEK 21'!F26&gt;5,6,5)))</f>
        <v/>
      </c>
      <c r="B30" s="261" t="str">
        <f>IF('WEEK 21'!F28&gt;=4,"",IF(OR(ISBLANK('WEEK 21'!F26),ISBLANK('WEEK 21'!F25),ISBLANK('WEEK 21'!F24)),"",IF('WEEK 21'!F26&lt;6,mround('WEEK 21'!B21*0.8,5),IF('WEEK 21'!F26&lt;10,mround('WEEK 21'!B21*0.93,5),mround('WEEK 21'!B21*0.7,5)))))</f>
        <v/>
      </c>
      <c r="C30" s="262" t="str">
        <f>IF('WEEK 21'!F28&gt;=4,"",IF(OR(ISBLANK('WEEK 21'!F26),ISBLANK('WEEK 21'!F25),ISBLANK('WEEK 21'!F24)),"","REP OUT"))</f>
        <v/>
      </c>
      <c r="D30" s="65" t="str">
        <f>IF('WEEK 21'!F28&gt;=4,"",IF(OR(ISBLANK('WEEK 21'!F26),ISBLANK('WEEK 21'!F25),ISBLANK('WEEK 21'!F24)),"","1 MIN"))</f>
        <v/>
      </c>
      <c r="E30" s="84" t="str">
        <f>IF('WEEK 15'!B30='WEEK 21'!B30,'WEEK 15'!F30,"")</f>
        <v/>
      </c>
      <c r="F30" s="263"/>
      <c r="H30" s="91" t="str">
        <f>IF('WEEK 21'!M28&gt;=4,"",IF(OR(ISBLANK('WEEK 21'!M26),ISBLANK('WEEK 21'!M25),ISBLANK('WEEK 21'!M24)),"",IF('WEEK 21'!M26&gt;5,6,5)))</f>
        <v/>
      </c>
      <c r="I30" s="261" t="str">
        <f>IF('WEEK 21'!M28&gt;=4,"",IF(OR(ISBLANK('WEEK 21'!M26),ISBLANK('WEEK 21'!M25),ISBLANK('WEEK 21'!M24)),"",IF('WEEK 21'!M26&lt;6,mround('WEEK 21'!I21*0.8,5),IF('WEEK 21'!M26&lt;10,mround('WEEK 21'!I21*0.93,5),mround('WEEK 21'!I21*0.7,5)))))</f>
        <v/>
      </c>
      <c r="J30" s="262" t="str">
        <f>IF('WEEK 21'!M28&gt;=4,"",IF(OR(ISBLANK('WEEK 21'!M26),ISBLANK('WEEK 21'!M25),ISBLANK('WEEK 21'!M24)),"","REP OUT"))</f>
        <v/>
      </c>
      <c r="K30" s="65" t="str">
        <f>IF('WEEK 21'!M28&gt;=4,"",IF(OR(ISBLANK('WEEK 21'!M26),ISBLANK('WEEK 21'!M25),ISBLANK('WEEK 21'!M24)),"","1 MIN"))</f>
        <v/>
      </c>
      <c r="L30" s="84" t="str">
        <f>IF('WEEK 15'!I30='WEEK 21'!I30,'WEEK 15'!M30,"")</f>
        <v/>
      </c>
      <c r="M30" s="263"/>
    </row>
    <row r="31">
      <c r="A31" s="546" t="str">
        <f>IF('WEEK 21'!F28&gt;=4,"",IF(OR(ISBLANK('WEEK 21'!F26),ISBLANK('WEEK 21'!F25),ISBLANK('WEEK 21'!F24)),"",IF('WEEK 21'!F26&gt;5,7,6)))</f>
        <v/>
      </c>
      <c r="B31" s="254" t="str">
        <f>IF('WEEK 21'!F28&gt;=4,"",IF(OR(ISBLANK('WEEK 21'!F26),ISBLANK('WEEK 21'!F25),ISBLANK('WEEK 21'!F24)),"",IF('WEEK 21'!F26&lt;6,mround('WEEK 21'!B21*0.65,5),IF('WEEK 21'!F26&lt;10,mround('WEEK 21'!B21*0.7,5),mround('WEEK 21'!B21*0.65,5)))))</f>
        <v/>
      </c>
      <c r="C31" s="253" t="str">
        <f>IF('WEEK 21'!F28&gt;=4,"",IF(OR(ISBLANK('WEEK 21'!F26),ISBLANK('WEEK 21'!F25),ISBLANK('WEEK 21'!F24)),"","REP OUT"))</f>
        <v/>
      </c>
      <c r="D31" s="65" t="str">
        <f>IF('WEEK 21'!F28&gt;=4,"",IF(OR(ISBLANK('WEEK 21'!F26),ISBLANK('WEEK 21'!F25),ISBLANK('WEEK 21'!F24)),"","1 MIN"))</f>
        <v/>
      </c>
      <c r="E31" s="84" t="str">
        <f>IF('WEEK 15'!B31='WEEK 21'!B31,'WEEK 15'!F31,"")</f>
        <v/>
      </c>
      <c r="F31" s="270"/>
      <c r="H31" s="269" t="str">
        <f>IF('WEEK 21'!M28&gt;=4,"",IF(OR(ISBLANK('WEEK 21'!M26),ISBLANK('WEEK 21'!M25),ISBLANK('WEEK 21'!M24)),"",IF('WEEK 21'!M26&gt;5,7,6)))</f>
        <v/>
      </c>
      <c r="I31" s="254" t="str">
        <f>IF('WEEK 21'!M28&gt;=4,"",IF(OR(ISBLANK('WEEK 21'!M26),ISBLANK('WEEK 21'!M25),ISBLANK('WEEK 21'!M24)),"",IF('WEEK 21'!M26&lt;6,mround('WEEK 21'!I21*0.65,5),IF('WEEK 21'!M26&lt;10,mround('WEEK 21'!I21*0.7,5),mround('WEEK 21'!I21*0.65,5)))))</f>
        <v/>
      </c>
      <c r="J31" s="253" t="str">
        <f>IF('WEEK 21'!M28&gt;=4,"",IF(OR(ISBLANK('WEEK 21'!M26),ISBLANK('WEEK 21'!M25),ISBLANK('WEEK 21'!M24)),"","REP OUT"))</f>
        <v/>
      </c>
      <c r="K31" s="65" t="str">
        <f>IF('WEEK 21'!M28&gt;=4,"",IF(OR(ISBLANK('WEEK 21'!M26),ISBLANK('WEEK 21'!M25),ISBLANK('WEEK 21'!M24)),"","1 MIN"))</f>
        <v/>
      </c>
      <c r="L31" s="84" t="str">
        <f>IF('WEEK 15'!I31='WEEK 21'!I31,'WEEK 15'!M31,"")</f>
        <v/>
      </c>
      <c r="M31" s="270"/>
    </row>
    <row r="32">
      <c r="A32" s="546" t="str">
        <f>IF('WEEK 21'!F28&lt;4,"",IF(OR(ISBLANK('WEEK 21'!F26),ISBLANK('WEEK 21'!F25),ISBLANK('WEEK 21'!F24)),"",IF('WEEK 21'!F28&gt;3,6,5)))</f>
        <v/>
      </c>
      <c r="B32" s="254" t="str">
        <f>IF('WEEK 21'!F28&lt;4,"",IF(OR(ISBLANK('WEEK 21'!F26),ISBLANK('WEEK 21'!F25),ISBLANK('WEEK 21'!F24)),"",IF('WEEK 21'!F28&lt;6,mround('WEEK 21'!B34*0.8,5),IF('WEEK 21'!F28&lt;10,mround('WEEK 21'!B34*0.93,5),mround(B34*0.7,5)))))</f>
        <v/>
      </c>
      <c r="C32" s="253" t="str">
        <f>IF('WEEK 21'!F28&lt;4,"",IF(OR(ISBLANK('WEEK 21'!F26),ISBLANK('WEEK 21'!F25),ISBLANK('WEEK 21'!F24)),"","REP OUT"))</f>
        <v/>
      </c>
      <c r="D32" s="65" t="str">
        <f>IF('WEEK 21'!F28&lt;4,"",IF(OR(ISBLANK('WEEK 21'!F26),ISBLANK('WEEK 21'!F25),ISBLANK('WEEK 21'!F24)),"","1 MIN"))</f>
        <v/>
      </c>
      <c r="E32" s="84" t="str">
        <f>IF('WEEK 15'!B32='WEEK 21'!B32,'WEEK 15'!F32,"")</f>
        <v/>
      </c>
      <c r="F32" s="270"/>
      <c r="G32" s="141"/>
      <c r="H32" s="269" t="str">
        <f>IF('WEEK 21'!M28&lt;4,"",IF(OR(ISBLANK('WEEK 21'!M26),ISBLANK('WEEK 21'!M25),ISBLANK('WEEK 21'!M24)),"",IF('WEEK 21'!M28&gt;3,6,5)))</f>
        <v/>
      </c>
      <c r="I32" s="254" t="str">
        <f>IF('WEEK 21'!M28&lt;4,"",IF(OR(ISBLANK('WEEK 21'!M26),ISBLANK('WEEK 21'!M25),ISBLANK('WEEK 21'!M24)),"",IF('WEEK 21'!M28&lt;6,mround('WEEK 21'!I34*0.7,5),IF('WEEK 21'!M28&lt;10,mround('WEEK 21'!I34*0.8,5),mround(I34*0.93,5)))))</f>
        <v/>
      </c>
      <c r="J32" s="253" t="str">
        <f>IF('WEEK 21'!M28&lt;4,"",IF(OR(ISBLANK('WEEK 21'!M26),ISBLANK('WEEK 21'!M25),ISBLANK('WEEK 21'!M24)),"","REP OUT"))</f>
        <v/>
      </c>
      <c r="K32" s="65" t="str">
        <f>IF('WEEK 21'!M28&lt;4,"",IF(OR(ISBLANK('WEEK 21'!M26),ISBLANK('WEEK 21'!M25),ISBLANK('WEEK 21'!M24)),"","1 MIN"))</f>
        <v/>
      </c>
      <c r="L32" s="84" t="str">
        <f>IF('WEEK 15'!I32='WEEK 21'!I32,'WEEK 15'!M32,"")</f>
        <v/>
      </c>
      <c r="M32" s="270"/>
    </row>
    <row r="33">
      <c r="A33" s="546" t="str">
        <f>IF('WEEK 21'!F28&lt;4,"",IF(OR(ISBLANK('WEEK 21'!F26),ISBLANK('WEEK 21'!F25),ISBLANK('WEEK 21'!F24)),"",IF('WEEK 21'!F28&gt;3,7,"")))</f>
        <v/>
      </c>
      <c r="B33" s="254" t="str">
        <f>IF('WEEK 21'!F28&lt;4,"",IF(OR(ISBLANK('WEEK 21'!F26),ISBLANK('WEEK 21'!F25),ISBLANK('WEEK 21'!F24)),"",IF('WEEK 21'!F28&lt;6,mround('WEEK 21'!B34*0.65,5),IF('WEEK 21'!F28&lt;10,mround('WEEK 21'!B34*0.7,5),mround(B34*0.65,5)))))</f>
        <v/>
      </c>
      <c r="C33" s="253" t="str">
        <f>IF('WEEK 21'!F28&lt;4,"",IF(OR(ISBLANK('WEEK 21'!F26),ISBLANK('WEEK 21'!F25),ISBLANK('WEEK 21'!F24)),"","REP OUT"))</f>
        <v/>
      </c>
      <c r="D33" s="65" t="str">
        <f>IF('WEEK 21'!F28&lt;4,"",IF(OR(ISBLANK('WEEK 21'!F26),ISBLANK('WEEK 21'!F25),ISBLANK('WEEK 21'!F24)),"","1 MIN"))</f>
        <v/>
      </c>
      <c r="E33" s="84" t="str">
        <f>IF('WEEK 15'!B33='WEEK 21'!B33,'WEEK 15'!F33,"")</f>
        <v/>
      </c>
      <c r="F33" s="270"/>
      <c r="G33" s="141"/>
      <c r="H33" s="269" t="str">
        <f>IF('WEEK 21'!M28&lt;4,"",IF(OR(ISBLANK('WEEK 21'!M26),ISBLANK('WEEK 21'!M25),ISBLANK('WEEK 21'!M24)),"",IF('WEEK 21'!M28&gt;3,7,"")))</f>
        <v/>
      </c>
      <c r="I33" s="254" t="str">
        <f>IF('WEEK 21'!M28&lt;4,"",IF(OR(ISBLANK('WEEK 21'!M26),ISBLANK('WEEK 21'!M25),ISBLANK('WEEK 21'!M24)),"",IF('WEEK 21'!M28&lt;6,mround('WEEK 21'!I34*0.65,5),IF('WEEK 21'!M28&lt;10,mround('WEEK 21'!I34*0.7,5),mround(I34*0.75,5)))))</f>
        <v/>
      </c>
      <c r="J33" s="253" t="str">
        <f>IF('WEEK 21'!M28&lt;4,"",IF(OR(ISBLANK('WEEK 21'!M26),ISBLANK('WEEK 21'!M25),ISBLANK('WEEK 21'!M24)),"","REP OUT"))</f>
        <v/>
      </c>
      <c r="K33" s="65" t="str">
        <f>IF('WEEK 21'!M28&lt;4,"",IF(OR(ISBLANK('WEEK 21'!M26),ISBLANK('WEEK 21'!M25),ISBLANK('WEEK 21'!M24)),"","1 MIN"))</f>
        <v/>
      </c>
      <c r="L33" s="84" t="str">
        <f>IF('WEEK 15'!I33='WEEK 21'!I33,'WEEK 15'!M33,"")</f>
        <v/>
      </c>
      <c r="M33" s="270"/>
    </row>
    <row r="34">
      <c r="A34" s="280" t="s">
        <v>124</v>
      </c>
      <c r="B34" s="273" t="str">
        <f>IF(OR(ISBLANK('WEEK 21'!F24),ISBLANK('WEEK 21'!F25),ISBLANK('WEEK 21'!F26)),"",IF('WEEK 21'!F28&gt;=4,'WEEK 21'!B28,IF('WEEK 21'!F26&lt;=3,'WEEK 21'!B26-5,'WEEK 21'!B26)))</f>
        <v/>
      </c>
      <c r="C34" s="11"/>
      <c r="D34" s="11"/>
      <c r="E34" s="11"/>
      <c r="F34" s="46"/>
      <c r="G34" s="141"/>
      <c r="H34" s="280" t="s">
        <v>124</v>
      </c>
      <c r="I34" s="273" t="str">
        <f>IF(OR(ISBLANK('WEEK 12'!M24),ISBLANK('WEEK 12'!M25),ISBLANK('WEEK 12'!M26)),"",IF('WEEK 12'!M28&gt;=4,'WEEK 12'!I28,IF('WEEK 12'!M26&lt;=3,'WEEK 12'!I26-5,'WEEK 12'!I26)))</f>
        <v/>
      </c>
      <c r="J34" s="11"/>
      <c r="K34" s="11"/>
      <c r="L34" s="11"/>
      <c r="M34" s="46"/>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row>
    <row r="38">
      <c r="A38" s="226" t="s">
        <v>228</v>
      </c>
      <c r="B38" s="548" t="str">
        <f>if('WEEK 21'!B34="",'WEEK 21'!B21,'WEEK 21'!B34)</f>
        <v/>
      </c>
      <c r="C38" s="13"/>
      <c r="D38" s="13"/>
      <c r="E38" s="13"/>
      <c r="F38" s="57"/>
      <c r="G38" s="247" t="s">
        <v>123</v>
      </c>
      <c r="H38" s="226" t="s">
        <v>228</v>
      </c>
      <c r="I38" s="548" t="str">
        <f>'WEEK 21'!B38</f>
        <v/>
      </c>
      <c r="J38" s="13"/>
      <c r="K38" s="13"/>
      <c r="L38" s="13"/>
      <c r="M38" s="57"/>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15'!B38*0.29,2.5)</f>
        <v>0</v>
      </c>
      <c r="C40" s="241">
        <v>15.0</v>
      </c>
      <c r="D40" s="83" t="s">
        <v>57</v>
      </c>
      <c r="E40" s="84" t="str">
        <f>IF('WEEK 20'!B40='WEEK 21'!B40,'WEEK 20'!F40,"")</f>
        <v/>
      </c>
      <c r="F40" s="85"/>
      <c r="G40" s="659"/>
      <c r="H40" s="240">
        <v>1.0</v>
      </c>
      <c r="I40" s="254">
        <f>mround('WEEK 21'!I38*2*0.75,10)</f>
        <v>0</v>
      </c>
      <c r="J40" s="241">
        <v>15.0</v>
      </c>
      <c r="K40" s="83" t="s">
        <v>57</v>
      </c>
      <c r="L40" s="84" t="str">
        <f>IF('WEEK 20'!I40='WEEK 21'!I40,'WEEK 20'!M40,"")</f>
        <v/>
      </c>
      <c r="M40" s="85"/>
    </row>
    <row r="41">
      <c r="A41" s="661">
        <v>2.0</v>
      </c>
      <c r="B41" s="662">
        <f>mround('WEEK 21'!B38*0.29,2.5)</f>
        <v>0</v>
      </c>
      <c r="C41" s="69">
        <v>15.0</v>
      </c>
      <c r="D41" s="88" t="s">
        <v>57</v>
      </c>
      <c r="E41" s="89" t="str">
        <f>IF('WEEK 20'!B41='WEEK 21'!B41,'WEEK 20'!F41,"")</f>
        <v/>
      </c>
      <c r="F41" s="85"/>
      <c r="H41" s="661">
        <v>2.0</v>
      </c>
      <c r="I41" s="662">
        <f>mround('WEEK 21'!I38*2*0.75,10)</f>
        <v>0</v>
      </c>
      <c r="J41" s="662">
        <v>15.0</v>
      </c>
      <c r="K41" s="88" t="s">
        <v>57</v>
      </c>
      <c r="L41" s="89" t="str">
        <f>IF('WEEK 20'!I41='WEEK 21'!I41,'WEEK 20'!M41,"")</f>
        <v/>
      </c>
      <c r="M41" s="85"/>
    </row>
    <row r="44">
      <c r="A44" s="73" t="str">
        <f>HYPERLINK("https://www.youtube.com/watch?v=PnaDzYh2axA","3. LAT PULL DOWN")</f>
        <v>3. LAT PULL DOWN</v>
      </c>
      <c r="B44" s="53"/>
      <c r="C44" s="53"/>
      <c r="D44" s="53"/>
      <c r="E44" s="53"/>
      <c r="F44" s="53"/>
    </row>
    <row r="45">
      <c r="A45" s="226" t="s">
        <v>119</v>
      </c>
      <c r="B45" s="227" t="str">
        <f>'WEEK 20'!B45</f>
        <v/>
      </c>
      <c r="C45" s="20"/>
      <c r="D45" s="20"/>
      <c r="E45" s="20"/>
      <c r="F45" s="20"/>
    </row>
    <row r="46">
      <c r="A46" s="231" t="s">
        <v>50</v>
      </c>
      <c r="B46" s="232" t="s">
        <v>51</v>
      </c>
      <c r="C46" s="232" t="s">
        <v>52</v>
      </c>
      <c r="D46" s="232" t="s">
        <v>53</v>
      </c>
      <c r="E46" s="233" t="s">
        <v>54</v>
      </c>
      <c r="F46" s="286" t="s">
        <v>55</v>
      </c>
    </row>
    <row r="47">
      <c r="A47" s="236">
        <v>1.0</v>
      </c>
      <c r="B47" s="237">
        <f>mround('WEEK 21'!B45*0.35,5)</f>
        <v>0</v>
      </c>
      <c r="C47" s="238">
        <v>6.0</v>
      </c>
      <c r="D47" s="238" t="s">
        <v>120</v>
      </c>
      <c r="E47" s="84" t="str">
        <f>IF('WEEK 17'!B47='WEEK 21'!B47,'WEEK 17'!F47,"")</f>
        <v/>
      </c>
      <c r="F47" s="67"/>
    </row>
    <row r="48">
      <c r="A48" s="236">
        <v>2.0</v>
      </c>
      <c r="B48" s="237">
        <f>mround('WEEK 21'!B45*0.65,5)</f>
        <v>0</v>
      </c>
      <c r="C48" s="238">
        <v>3.0</v>
      </c>
      <c r="D48" s="238" t="s">
        <v>121</v>
      </c>
      <c r="E48" s="84" t="str">
        <f>IF('WEEK 17'!B48='WEEK 21'!B48,'WEEK 17'!F48,"")</f>
        <v/>
      </c>
      <c r="F48" s="67"/>
    </row>
    <row r="49">
      <c r="A49" s="242">
        <v>3.0</v>
      </c>
      <c r="B49" s="237">
        <f>mround('WEEK 21'!B45*0.9,5)</f>
        <v>0</v>
      </c>
      <c r="C49" s="63">
        <v>2.0</v>
      </c>
      <c r="D49" s="238" t="s">
        <v>121</v>
      </c>
      <c r="E49" s="84" t="str">
        <f>IF('WEEK 17'!B49='WEEK 21'!B49,'WEEK 17'!F49,"")</f>
        <v/>
      </c>
      <c r="F49" s="67"/>
    </row>
    <row r="50">
      <c r="A50" s="243">
        <v>4.0</v>
      </c>
      <c r="B50" s="237" t="str">
        <f>'WEEK 21'!B45</f>
        <v/>
      </c>
      <c r="C50" s="257">
        <v>3.0</v>
      </c>
      <c r="D50" s="238" t="s">
        <v>122</v>
      </c>
      <c r="E50" s="84" t="str">
        <f>IF('WEEK 17'!B50='WEEK 21'!B50,'WEEK 17'!F50,"")</f>
        <v/>
      </c>
      <c r="F50" s="665"/>
    </row>
    <row r="51">
      <c r="A51" s="246" t="str">
        <f>IF('WEEK 21'!F50&lt;3,"PROCEED TO DOWN SETS","NEW 4 REP MAX ATTEMPT")</f>
        <v>PROCEED TO DOWN SETS</v>
      </c>
      <c r="B51" s="20"/>
      <c r="C51" s="20"/>
      <c r="D51" s="20"/>
      <c r="E51" s="20"/>
      <c r="F51" s="20"/>
    </row>
    <row r="52">
      <c r="A52" s="249" t="str">
        <f>if('WEEK 21'!F50&lt;=2,"",5)</f>
        <v/>
      </c>
      <c r="B52" s="175" t="str">
        <f>IF('WEEK 21'!F50&lt;=2,"",B50+5)</f>
        <v/>
      </c>
      <c r="C52" s="238" t="str">
        <f>if('WEEK 21'!F50&lt;=2,"",4)</f>
        <v/>
      </c>
      <c r="D52" s="238" t="str">
        <f>if('WEEK 21'!F50&lt;=2,"","1-5 MIN")</f>
        <v/>
      </c>
      <c r="E52" s="84" t="str">
        <f>IF('WEEK 17'!B52='WEEK 21'!B52,'WEEK 17'!F52,"")</f>
        <v/>
      </c>
      <c r="F52" s="271"/>
    </row>
    <row r="53">
      <c r="A53" s="256" t="str">
        <f>IF('WEEK 21'!F52&lt;4,"","6")</f>
        <v/>
      </c>
      <c r="B53" s="237" t="str">
        <f>IF('WEEK 21'!F52&lt;4,"",B52+5)</f>
        <v/>
      </c>
      <c r="C53" s="257" t="str">
        <f>IF('WEEK 21'!F52&lt;4,"","4")</f>
        <v/>
      </c>
      <c r="D53" s="257" t="str">
        <f>IF('WEEK 21'!F52&lt;4,"","1-5 MIN")</f>
        <v/>
      </c>
      <c r="E53" s="84" t="str">
        <f>IF('WEEK 17'!B53='WEEK 21'!B53,'WEEK 17'!F53,"")</f>
        <v/>
      </c>
      <c r="F53" s="665"/>
    </row>
    <row r="54">
      <c r="A54" s="246" t="str">
        <f>IF(OR(ISBLANK('WEEK 21'!F50),ISBLANK('WEEK 21'!F49),ISBLANK('WEEK 21'!F48)),"FILL OUT REP LOG FOR DOWN SETS","DOWN SETS")</f>
        <v>FILL OUT REP LOG FOR DOWN SETS</v>
      </c>
      <c r="B54" s="20"/>
      <c r="C54" s="20"/>
      <c r="D54" s="20"/>
      <c r="E54" s="20"/>
      <c r="F54" s="20"/>
    </row>
    <row r="55">
      <c r="A55" s="264" t="str">
        <f>IF(OR(ISBLANK('WEEK 21'!F50),ISBLANK('WEEK 21'!F49),ISBLANK('WEEK 21'!F48)),"",IF((AND(A52="",A53="")),5,IF((AND(A52&gt;1,A53="")),6,7)))</f>
        <v/>
      </c>
      <c r="B55" s="265">
        <f>MROUND('WEEK 21'!B57*0.8,5)</f>
        <v>0</v>
      </c>
      <c r="C55" s="266" t="s">
        <v>65</v>
      </c>
      <c r="D55" s="267" t="s">
        <v>127</v>
      </c>
      <c r="E55" s="84" t="str">
        <f>IF('WEEK 17'!B55='WEEK 21'!B55,'WEEK 17'!F55,"")</f>
        <v/>
      </c>
      <c r="F55" s="271"/>
    </row>
    <row r="56">
      <c r="A56" s="243" t="str">
        <f>IF(OR(ISBLANK('WEEK 21'!F50),ISBLANK('WEEK 21'!F49),ISBLANK('WEEK 21'!F48)),"",IF((AND(A52="",A53="")),6,IF((AND(A52&gt;1,A53="")),7,8)))</f>
        <v/>
      </c>
      <c r="B56" s="237">
        <f>mround('WEEK 21'!B57*0.7,5)</f>
        <v>0</v>
      </c>
      <c r="C56" s="245" t="s">
        <v>65</v>
      </c>
      <c r="D56" s="65" t="s">
        <v>127</v>
      </c>
      <c r="E56" s="84" t="str">
        <f>IF('WEEK 17'!B56='WEEK 21'!B56,'WEEK 17'!F56,"")</f>
        <v/>
      </c>
      <c r="F56" s="271"/>
    </row>
    <row r="57">
      <c r="A57" s="272" t="s">
        <v>124</v>
      </c>
      <c r="B57" s="273" t="str">
        <f>IF(OR(ISBLANK('WEEK 21'!F50),ISBLANK('WEEK 21'!F49),ISBLANK('WEEK 21'!F48)),"",IF('WEEK 21'!F53&gt;=4,'WEEK 21'!B53,IF('WEEK 21'!F52&gt;=1,'WEEK 21'!B52,IF('WEEK 21'!F50&lt;3,'WEEK 21'!B50-5,'WEEK 21'!B50))))</f>
        <v/>
      </c>
      <c r="C57" s="11"/>
      <c r="D57" s="11"/>
      <c r="E57" s="11"/>
      <c r="F57" s="46"/>
    </row>
    <row r="58">
      <c r="A58" s="302"/>
      <c r="B58" s="302"/>
      <c r="C58" s="302"/>
      <c r="D58" s="302"/>
      <c r="E58" s="303"/>
      <c r="F58" s="103"/>
    </row>
    <row r="59">
      <c r="A59" s="302"/>
      <c r="B59" s="302"/>
      <c r="C59" s="302"/>
      <c r="D59" s="302"/>
      <c r="E59" s="303"/>
      <c r="F59" s="103"/>
    </row>
    <row r="60">
      <c r="A60" s="73" t="str">
        <f>HYPERLINK("https://www.youtube.com/watch?v=9YH1YvZbiY0","4. MACHINE LOW ROW")</f>
        <v>4. MACHINE LOW ROW</v>
      </c>
      <c r="B60" s="53"/>
      <c r="C60" s="53"/>
      <c r="D60" s="53"/>
      <c r="E60" s="53"/>
      <c r="F60" s="53"/>
    </row>
    <row r="61">
      <c r="A61" s="282" t="s">
        <v>119</v>
      </c>
      <c r="B61" s="56">
        <f>'WEEK 20'!D45</f>
        <v>270</v>
      </c>
      <c r="C61" s="13"/>
      <c r="D61" s="13"/>
      <c r="E61" s="13"/>
      <c r="F61" s="13"/>
    </row>
    <row r="62">
      <c r="A62" s="58" t="s">
        <v>50</v>
      </c>
      <c r="B62" s="59" t="s">
        <v>51</v>
      </c>
      <c r="C62" s="59" t="s">
        <v>52</v>
      </c>
      <c r="D62" s="59" t="s">
        <v>53</v>
      </c>
      <c r="E62" s="584" t="s">
        <v>54</v>
      </c>
      <c r="F62" s="286" t="s">
        <v>55</v>
      </c>
    </row>
    <row r="63">
      <c r="A63" s="62">
        <v>1.0</v>
      </c>
      <c r="B63" s="63">
        <f> mround('WEEK 21'!B61*0.9,5)</f>
        <v>245</v>
      </c>
      <c r="C63" s="104" t="s">
        <v>65</v>
      </c>
      <c r="D63" s="65" t="s">
        <v>57</v>
      </c>
      <c r="E63" s="84" t="str">
        <f>IF('WEEK 19'!B65='WEEK 21'!B63,'WEEK 19'!F65,"")</f>
        <v/>
      </c>
      <c r="F63" s="67"/>
    </row>
    <row r="64">
      <c r="A64" s="62">
        <v>2.0</v>
      </c>
      <c r="B64" s="63">
        <f>IF('WEEK 21'!F63&lt;6,MROUND('WEEK 21'!B63*0.87,5),IF('WEEK 21'!F63&lt;=11,MROUND('WEEK 21'!B63*0.95,5),'WEEK 21'!B63))</f>
        <v>215</v>
      </c>
      <c r="C64" s="104" t="s">
        <v>65</v>
      </c>
      <c r="D64" s="65" t="s">
        <v>57</v>
      </c>
      <c r="E64" s="84" t="str">
        <f>IF('WEEK 19'!B66='WEEK 21'!B64,'WEEK 19'!F66,"")</f>
        <v/>
      </c>
      <c r="F64" s="67"/>
    </row>
    <row r="65">
      <c r="A65" s="68">
        <v>3.0</v>
      </c>
      <c r="B65" s="69">
        <f>IF('WEEK 21'!F64&lt;6,MROUND('WEEK 21'!B64*0.87,5),IF('WEEK 21'!F64&lt;=11,MROUND('WEEK 21'!B64*0.95,5),'WEEK 21'!B64))</f>
        <v>185</v>
      </c>
      <c r="C65" s="105" t="s">
        <v>65</v>
      </c>
      <c r="D65" s="71" t="s">
        <v>57</v>
      </c>
      <c r="E65" s="89" t="str">
        <f>IF('WEEK 19'!B67='WEEK 21'!B65,'WEEK 19'!F67,"")</f>
        <v/>
      </c>
      <c r="F65" s="67"/>
    </row>
    <row r="66">
      <c r="A66" s="103"/>
      <c r="B66" s="103"/>
      <c r="C66" s="103"/>
      <c r="D66" s="103"/>
      <c r="E66" s="222"/>
      <c r="F66" s="103"/>
    </row>
    <row r="67">
      <c r="A67" s="103"/>
      <c r="B67" s="103"/>
      <c r="C67" s="103"/>
      <c r="D67" s="103"/>
      <c r="E67" s="222"/>
      <c r="F67" s="103"/>
    </row>
    <row r="68">
      <c r="A68" s="73" t="str">
        <f>HYPERLINK("https://youtu.be/5-SUS-OVULY","5. MACHINE HIGH ROW")</f>
        <v>5. MACHINE HIGH ROW</v>
      </c>
      <c r="B68" s="53"/>
      <c r="C68" s="53"/>
      <c r="D68" s="53"/>
      <c r="E68" s="53"/>
      <c r="F68" s="53"/>
    </row>
    <row r="69">
      <c r="A69" s="282" t="s">
        <v>119</v>
      </c>
      <c r="B69" s="56" t="str">
        <f>IF('WEEK 19'!B52="",'WEEK 19'!B40,'WEEK 19'!B52)</f>
        <v/>
      </c>
      <c r="C69" s="13"/>
      <c r="D69" s="13"/>
      <c r="E69" s="13"/>
      <c r="F69" s="13"/>
    </row>
    <row r="70">
      <c r="A70" s="58" t="s">
        <v>50</v>
      </c>
      <c r="B70" s="59" t="s">
        <v>51</v>
      </c>
      <c r="C70" s="59" t="s">
        <v>52</v>
      </c>
      <c r="D70" s="59" t="s">
        <v>53</v>
      </c>
      <c r="E70" s="584" t="s">
        <v>54</v>
      </c>
      <c r="F70" s="286" t="s">
        <v>55</v>
      </c>
    </row>
    <row r="71">
      <c r="A71" s="62">
        <v>1.0</v>
      </c>
      <c r="B71" s="63">
        <f> mround('WEEK 21'!B69*0.85,5)</f>
        <v>0</v>
      </c>
      <c r="C71" s="104" t="s">
        <v>65</v>
      </c>
      <c r="D71" s="65" t="s">
        <v>57</v>
      </c>
      <c r="E71" s="84">
        <f>IF('WEEK 18'!B45='WEEK 21'!B71,'WEEK 18'!F45,"")</f>
        <v>15</v>
      </c>
      <c r="F71" s="67"/>
    </row>
    <row r="72">
      <c r="A72" s="62">
        <v>2.0</v>
      </c>
      <c r="B72" s="63">
        <f>IF('WEEK 21'!F71&lt;6,MROUND('WEEK 21'!B69*0.7,5),IF('WEEK 21'!F71&lt;=11,MROUND('WEEK 21'!B69*0.75,5),'WEEK 21'!B71))</f>
        <v>0</v>
      </c>
      <c r="C72" s="104" t="s">
        <v>65</v>
      </c>
      <c r="D72" s="65" t="s">
        <v>57</v>
      </c>
      <c r="E72" s="84">
        <f>IF('WEEK 18'!B46='WEEK 21'!B72,'WEEK 18'!F46,"")</f>
        <v>15</v>
      </c>
      <c r="F72" s="67"/>
    </row>
    <row r="73">
      <c r="A73" s="68">
        <v>3.0</v>
      </c>
      <c r="B73" s="87">
        <f>IF('WEEK 21'!F72&lt;6,MROUND('WEEK 21'!B72*0.8,5),IF('WEEK 21'!F72&lt;=11,MROUND('WEEK 21'!B72*0.85,5),'WEEK 21'!B72))</f>
        <v>0</v>
      </c>
      <c r="C73" s="105" t="s">
        <v>65</v>
      </c>
      <c r="D73" s="309" t="s">
        <v>57</v>
      </c>
      <c r="E73" s="89">
        <f>IF('WEEK 18'!B47='WEEK 21'!B73,'WEEK 18'!F47,"")</f>
        <v>15</v>
      </c>
      <c r="F73" s="67"/>
    </row>
    <row r="74">
      <c r="E74" s="1248"/>
    </row>
    <row r="75">
      <c r="E75" s="1248"/>
    </row>
    <row r="76">
      <c r="A76" s="310" t="str">
        <f>HYPERLINK("https://docs.google.com/a/fitnessresults.com/forms/d/e/1FAIpQLSd7MoczESe8Yjv6BKpmwAZGn9Aiymrs9-UdgfYIUpbr9t5NXg/viewform?usp=pp_url&amp;entry.93370101","CLICK TO COMPLETE WORKOUT")</f>
        <v>CLICK TO COMPLETE WORKOUT</v>
      </c>
      <c r="B76" s="36"/>
      <c r="C76" s="36"/>
      <c r="D76" s="36"/>
      <c r="E76" s="36"/>
      <c r="F76" s="37"/>
    </row>
    <row r="77">
      <c r="E77" s="1248"/>
    </row>
    <row r="78">
      <c r="A78" s="224" t="s">
        <v>128</v>
      </c>
      <c r="B78" s="36"/>
      <c r="C78" s="36"/>
      <c r="D78" s="36"/>
      <c r="E78" s="36"/>
      <c r="F78" s="37"/>
    </row>
    <row r="81">
      <c r="A81" s="960" t="str">
        <f>HYPERLINK("https://www.youtube.com/watch?v=dVterVQksD4","1. LEG PRESS")</f>
        <v>1. LEG PRESS</v>
      </c>
      <c r="B81" s="53"/>
      <c r="C81" s="53"/>
      <c r="D81" s="53"/>
      <c r="E81" s="53"/>
      <c r="F81" s="54"/>
    </row>
    <row r="82">
      <c r="A82" s="1262" t="s">
        <v>119</v>
      </c>
      <c r="B82" s="1463">
        <f>'WEEK 7'!B90</f>
        <v>250</v>
      </c>
      <c r="F82" s="28"/>
    </row>
    <row r="83">
      <c r="A83" s="231" t="s">
        <v>50</v>
      </c>
      <c r="B83" s="232" t="s">
        <v>51</v>
      </c>
      <c r="C83" s="232" t="s">
        <v>52</v>
      </c>
      <c r="D83" s="232" t="s">
        <v>53</v>
      </c>
      <c r="E83" s="233" t="s">
        <v>54</v>
      </c>
      <c r="F83" s="61" t="s">
        <v>55</v>
      </c>
    </row>
    <row r="84">
      <c r="A84" s="236">
        <v>1.0</v>
      </c>
      <c r="B84" s="237">
        <f>mround('WEEK 21'!B82*0.35,5)</f>
        <v>90</v>
      </c>
      <c r="C84" s="238">
        <v>10.0</v>
      </c>
      <c r="D84" s="238" t="s">
        <v>120</v>
      </c>
      <c r="E84" s="66" t="str">
        <f>IF('WEEK 7'!B81='WEEK 21'!B84,'WEEK 7'!F81,"")</f>
        <v/>
      </c>
      <c r="F84" s="67"/>
    </row>
    <row r="85">
      <c r="A85" s="236">
        <v>2.0</v>
      </c>
      <c r="B85" s="237">
        <f>mround('WEEK 21'!B82*0.65,5)</f>
        <v>165</v>
      </c>
      <c r="C85" s="238">
        <v>10.0</v>
      </c>
      <c r="D85" s="238" t="s">
        <v>121</v>
      </c>
      <c r="E85" s="66" t="str">
        <f>IF('WEEK 7'!B82='WEEK 21'!B85,'WEEK 7'!F82,"")</f>
        <v/>
      </c>
      <c r="F85" s="67"/>
    </row>
    <row r="86">
      <c r="A86" s="242">
        <v>3.0</v>
      </c>
      <c r="B86" s="237">
        <f>mround('WEEK 21'!B82*0.9,5)</f>
        <v>225</v>
      </c>
      <c r="C86" s="238">
        <v>10.0</v>
      </c>
      <c r="D86" s="238" t="s">
        <v>121</v>
      </c>
      <c r="E86" s="66" t="str">
        <f>IF('WEEK 7'!B83='WEEK 21'!B86,'WEEK 7'!F83,"")</f>
        <v/>
      </c>
      <c r="F86" s="67"/>
    </row>
    <row r="87">
      <c r="A87" s="249">
        <v>4.0</v>
      </c>
      <c r="B87" s="175">
        <f>if('WEEK 21'!F86&lt;10,MROUND('WEEK 21'!B86-('WEEK 21'!B86*3%),5),'WEEK 21'!B82)</f>
        <v>220</v>
      </c>
      <c r="C87" s="238">
        <v>10.0</v>
      </c>
      <c r="D87" s="238" t="s">
        <v>122</v>
      </c>
      <c r="E87" s="66" t="str">
        <f>IF('WEEK 7'!B84='WEEK 21'!B87,'WEEK 7'!F84,"")</f>
        <v/>
      </c>
      <c r="F87" s="67"/>
    </row>
    <row r="88">
      <c r="A88" s="249">
        <v>5.0</v>
      </c>
      <c r="B88" s="175">
        <f>IF((AND('WEEK 21'!B87&lt;='WEEK 21'!B86,'WEEK 21'!F87&gt;=10)),'WEEK 21'!B87,IF('WEEK 21'!F87&lt;10,MROUND('WEEK 21'!B87-('WEEK 21'!B87*20%),5),if( 'WEEK 21'!F87&lt;10,,MROUND('WEEK 21'!B87-('WEEK 21'!B87*1.5%),5),MROUND('WEEK 21'!B87+('WEEK 21'!B87*1.5%),5))))</f>
        <v>175</v>
      </c>
      <c r="C88" s="238">
        <v>10.0</v>
      </c>
      <c r="D88" s="238" t="s">
        <v>122</v>
      </c>
      <c r="E88" s="66" t="str">
        <f>IF('WEEK 7'!B85='WEEK 21'!B88,'WEEK 7'!F85,"")</f>
        <v/>
      </c>
      <c r="F88" s="1037"/>
    </row>
    <row r="89">
      <c r="A89" s="249">
        <f>if('WEEK 21'!F87&lt;10,6,6)</f>
        <v>6</v>
      </c>
      <c r="B89" s="175">
        <f>IF((AND('WEEK 21'!B88&lt;='WEEK 21'!B87,'WEEK 21'!F88&gt;=10)),'WEEK 21'!B88,IF('WEEK 21'!F88&lt;10,MROUND('WEEK 21'!B88-('WEEK 21'!B88*20%),5),if( 'WEEK 21'!F88&lt;10,,MROUND('WEEK 21'!B88-('WEEK 21'!B88*1.5%),5),MROUND('WEEK 21'!B88+('WEEK 21'!B88*1.5%),5))))</f>
        <v>140</v>
      </c>
      <c r="C89" s="238">
        <v>10.0</v>
      </c>
      <c r="D89" s="238" t="s">
        <v>122</v>
      </c>
      <c r="E89" s="66" t="str">
        <f>IF('WEEK 7'!B86='WEEK 21'!B89,'WEEK 7'!F86,"")</f>
        <v/>
      </c>
      <c r="F89" s="67"/>
    </row>
    <row r="90">
      <c r="A90" s="1038">
        <f>IF('WEEK 21'!F89&lt;10,7,"7")</f>
        <v>7</v>
      </c>
      <c r="B90" s="175">
        <f>IF((AND('WEEK 21'!B89&lt;='WEEK 21'!B88,'WEEK 21'!F89&gt;=10)),'WEEK 21'!B89,IF('WEEK 21'!F89&lt;10,MROUND('WEEK 21'!B89-('WEEK 21'!B89*20%),5),if( 'WEEK 21'!F89&lt;10,,MROUND('WEEK 21'!B89-('WEEK 21'!B89*1.5%),5),MROUND('WEEK 21'!B89+('WEEK 21'!B89*1.5%),5))))</f>
        <v>110</v>
      </c>
      <c r="C90" s="238">
        <v>10.0</v>
      </c>
      <c r="D90" s="238" t="s">
        <v>122</v>
      </c>
      <c r="E90" s="66" t="str">
        <f>IF('WEEK 7'!B87='WEEK 21'!B90,'WEEK 7'!F87,"")</f>
        <v/>
      </c>
      <c r="F90" s="67"/>
    </row>
    <row r="91">
      <c r="A91" s="249">
        <f>IF('WEEK 21'!F90&lt;10,8,"8")</f>
        <v>8</v>
      </c>
      <c r="B91" s="175">
        <f>IF((AND('WEEK 21'!B90&lt;='WEEK 21'!B89,'WEEK 21'!F90&gt;=10)),'WEEK 21'!B90,IF('WEEK 21'!F90&lt;10,MROUND('WEEK 21'!B90-('WEEK 21'!B90*20%),5),if( 'WEEK 21'!F90&lt;10,,MROUND('WEEK 21'!B90-('WEEK 21'!B90*1.5%),5),MROUND('WEEK 21'!B90+('WEEK 21'!B90*1.5%),5))))</f>
        <v>90</v>
      </c>
      <c r="C91" s="238">
        <v>10.0</v>
      </c>
      <c r="D91" s="238" t="s">
        <v>122</v>
      </c>
      <c r="E91" s="66" t="str">
        <f>IF('WEEK 7'!B88='WEEK 21'!B91,'WEEK 7'!F88,"")</f>
        <v/>
      </c>
      <c r="F91" s="67"/>
    </row>
    <row r="92">
      <c r="A92" s="1038">
        <f>IF('WEEK 21'!F91&lt;10,9,"9")</f>
        <v>9</v>
      </c>
      <c r="B92" s="175">
        <f>IF((AND('WEEK 21'!B91&lt;='WEEK 21'!B90,'WEEK 21'!F91&gt;=10)),'WEEK 21'!B91,IF('WEEK 21'!F91&lt;10,MROUND('WEEK 21'!B91-('WEEK 21'!B91*20%),5),if( 'WEEK 21'!F91&lt;10,,MROUND('WEEK 21'!B91-('WEEK 21'!B91*1.5%),5),MROUND('WEEK 21'!B91+('WEEK 21'!B91*1.5%),5))))</f>
        <v>70</v>
      </c>
      <c r="C92" s="238">
        <v>10.0</v>
      </c>
      <c r="D92" s="238" t="s">
        <v>122</v>
      </c>
      <c r="E92" s="66" t="str">
        <f>IF('WEEK 7'!B89='WEEK 21'!B92,'WEEK 7'!F89,"")</f>
        <v/>
      </c>
      <c r="F92" s="67"/>
    </row>
    <row r="93">
      <c r="A93" s="1038" t="str">
        <f>IF('WEEK 21'!F92&lt;10,"10","10")</f>
        <v>10</v>
      </c>
      <c r="B93" s="175">
        <f>IF((AND('WEEK 21'!B92&lt;='WEEK 21'!B91,'WEEK 21'!F92&gt;=10)),'WEEK 21'!B92,IF('WEEK 21'!F92&lt;10,MROUND('WEEK 21'!B92-('WEEK 21'!B92*20%),5),if( 'WEEK 21'!F92&lt;10,,MROUND('WEEK 21'!B92-('WEEK 21'!B92*1.5%),5),MROUND('WEEK 21'!B92+('WEEK 21'!B92*1.5%),5))))</f>
        <v>55</v>
      </c>
      <c r="C93" s="238">
        <v>10.0</v>
      </c>
      <c r="D93" s="238" t="s">
        <v>122</v>
      </c>
      <c r="E93" s="66"/>
      <c r="F93" s="67"/>
    </row>
    <row r="94">
      <c r="A94" s="272" t="s">
        <v>192</v>
      </c>
      <c r="B94" s="1109">
        <f>IF(OR(ISBLANK('WEEK 21'!F84),ISBLANK('WEEK 21'!F85)),'WEEK 21'!B82,IF((AND('WEEK 21'!F93&gt;=10,'WEEK 21'!B93&gt;'WEEK 21'!B92)),'WEEK 21'!B93,IF((AND('WEEK 21'!F92&gt;=10,'WEEK 21'!B92&gt;'WEEK 21'!B91)),'WEEK 21'!B92,IF((AND('WEEK 21'!F91&gt;=10,'WEEK 21'!B91&gt;'WEEK 21'!B90)),'WEEK 21'!B91,IF((AND('WEEK 21'!F90&gt;=10,'WEEK 21'!B90&gt;'WEEK 21'!B89)),'WEEK 21'!B90,IF((AND('WEEK 21'!F89&gt;=10,'WEEK 21'!B89&gt;'WEEK 21'!B88)),'WEEK 21'!B89,IF((AND('WEEK 21'!F88&gt;=10,'WEEK 21'!B88&gt;'WEEK 21'!B87)),'WEEK 21'!B88,IF((AND('WEEK 21'!F87&gt;=10,'WEEK 21'!B87&gt;'WEEK 21'!B86)),'WEEK 21'!B87,IF((AND('WEEK 21'!F86&gt;=10,'WEEK 21'!B86&gt;'WEEK 21'!B85)),'WEEK 21'!B86,IF((AND('WEEK 21'!F85&gt;=10,'WEEK 21'!B85&gt;'WEEK 21'!B84)),'WEEK 21'!B85))))))))))</f>
        <v>250</v>
      </c>
      <c r="C94" s="11"/>
      <c r="D94" s="11"/>
      <c r="E94" s="11"/>
      <c r="F94" s="46"/>
    </row>
    <row r="97">
      <c r="A97" s="1285" t="str">
        <f>HYPERLINK("https://www.youtube.com/watch?v=NZ9KiFtbiMs","2. LEG EXTENSION")</f>
        <v>2. LEG EXTENSION</v>
      </c>
      <c r="B97" s="53"/>
      <c r="C97" s="53"/>
      <c r="D97" s="53"/>
      <c r="E97" s="53"/>
      <c r="F97" s="54"/>
    </row>
    <row r="98">
      <c r="A98" s="1045" t="s">
        <v>119</v>
      </c>
      <c r="B98" s="1367">
        <f>IF('WEEK 20'!B84='WEEK 20'!B84,'WEEK 20'!B84+5,IF('WEEK 20'!F84&lt;=9,MROUND('WEEK 20'!B82*0.95,5),'WEEK 20'!B84))</f>
        <v>55</v>
      </c>
      <c r="C98" s="20"/>
      <c r="D98" s="20"/>
      <c r="E98" s="20"/>
      <c r="F98" s="95"/>
    </row>
    <row r="99">
      <c r="A99" s="567" t="s">
        <v>50</v>
      </c>
      <c r="B99" s="568" t="s">
        <v>51</v>
      </c>
      <c r="C99" s="568" t="s">
        <v>52</v>
      </c>
      <c r="D99" s="568" t="s">
        <v>53</v>
      </c>
      <c r="E99" s="1047" t="s">
        <v>54</v>
      </c>
      <c r="F99" s="1048" t="s">
        <v>55</v>
      </c>
    </row>
    <row r="100">
      <c r="A100" s="1049">
        <v>1.0</v>
      </c>
      <c r="B100" s="1050">
        <f>'WEEK 21'!B98</f>
        <v>55</v>
      </c>
      <c r="C100" s="1051" t="s">
        <v>61</v>
      </c>
      <c r="D100" s="1430" t="s">
        <v>121</v>
      </c>
      <c r="E100" s="1130" t="str">
        <f>IF('WEEK 20'!B84='WEEK 21'!B100,'WEEK 20'!F84,"")</f>
        <v/>
      </c>
      <c r="F100" s="1017"/>
    </row>
    <row r="101">
      <c r="A101" s="1049">
        <v>2.0</v>
      </c>
      <c r="B101" s="1050">
        <f>if('WEEK 21'!F100&lt;12,mround('WEEK 21'!B100*0.8,5),IF('WEEK 21'!F100&lt;=14,MROUND('WEEK 21'!B100*0.95,5),'WEEK 21'!B100))</f>
        <v>45</v>
      </c>
      <c r="C101" s="1051" t="s">
        <v>61</v>
      </c>
      <c r="D101" s="1430" t="s">
        <v>121</v>
      </c>
      <c r="E101" s="1130" t="str">
        <f>IF('WEEK 20'!B85='WEEK 21'!B101,'WEEK 20'!F85,"")</f>
        <v/>
      </c>
      <c r="F101" s="1017"/>
    </row>
    <row r="102">
      <c r="A102" s="1053">
        <v>3.0</v>
      </c>
      <c r="B102" s="1054">
        <f>if('WEEK 21'!F101&lt;12,mround('WEEK 21'!B101*0.8,5),IF('WEEK 21'!F101&lt;=14,MROUND('WEEK 21'!B101*0.95,5),'WEEK 21'!B101))</f>
        <v>35</v>
      </c>
      <c r="C102" s="1055" t="s">
        <v>61</v>
      </c>
      <c r="D102" s="1453" t="s">
        <v>121</v>
      </c>
      <c r="E102" s="1348" t="str">
        <f>IF('WEEK 20'!B86='WEEK 21'!B102,'WEEK 20'!F86,"")</f>
        <v/>
      </c>
      <c r="F102" s="1017"/>
    </row>
    <row r="105">
      <c r="A105" s="323" t="str">
        <f>HYPERLINK("https://www.youtube.com/watch?v=XepOfsnGFJg","3. MACHINE LEG CURL")</f>
        <v>3. MACHINE LEG CURL</v>
      </c>
      <c r="B105" s="53"/>
      <c r="C105" s="53"/>
      <c r="D105" s="53"/>
      <c r="E105" s="53"/>
      <c r="F105" s="54"/>
      <c r="G105" s="141"/>
      <c r="H105" s="323" t="str">
        <f>HYPERLINK("https://youtu.be/kmN9cJ79PDE","3. PRONE LEG CURL")</f>
        <v>3. PRONE LEG CURL</v>
      </c>
      <c r="I105" s="53"/>
      <c r="J105" s="53"/>
      <c r="K105" s="53"/>
      <c r="L105" s="53"/>
      <c r="M105" s="54"/>
    </row>
    <row r="106">
      <c r="A106" s="1045" t="s">
        <v>119</v>
      </c>
      <c r="B106" s="1367">
        <f>IF('WEEK 20'!B92='WEEK 20'!B92,'WEEK 20'!B92+5,IF('WEEK 20'!F92&lt;=9,MROUND('WEEK 20'!B90*0.95,5),'WEEK 20'!B92))</f>
        <v>15</v>
      </c>
      <c r="C106" s="20"/>
      <c r="D106" s="20"/>
      <c r="E106" s="20"/>
      <c r="F106" s="95"/>
      <c r="H106" s="1045" t="s">
        <v>119</v>
      </c>
      <c r="I106" s="1046">
        <f>'WEEK 21'!B106</f>
        <v>15</v>
      </c>
      <c r="J106" s="13"/>
      <c r="K106" s="13"/>
      <c r="L106" s="13"/>
      <c r="M106" s="57"/>
    </row>
    <row r="107">
      <c r="A107" s="567" t="s">
        <v>50</v>
      </c>
      <c r="B107" s="568" t="s">
        <v>51</v>
      </c>
      <c r="C107" s="568" t="s">
        <v>52</v>
      </c>
      <c r="D107" s="568" t="s">
        <v>53</v>
      </c>
      <c r="E107" s="1047" t="s">
        <v>54</v>
      </c>
      <c r="F107" s="1048" t="s">
        <v>55</v>
      </c>
      <c r="H107" s="567" t="s">
        <v>50</v>
      </c>
      <c r="I107" s="568" t="s">
        <v>51</v>
      </c>
      <c r="J107" s="568" t="s">
        <v>52</v>
      </c>
      <c r="K107" s="568" t="s">
        <v>53</v>
      </c>
      <c r="L107" s="1047" t="s">
        <v>54</v>
      </c>
      <c r="M107" s="1048" t="s">
        <v>55</v>
      </c>
    </row>
    <row r="108">
      <c r="A108" s="1049">
        <v>1.0</v>
      </c>
      <c r="B108" s="1050">
        <f>'WEEK 21'!B106</f>
        <v>15</v>
      </c>
      <c r="C108" s="1051" t="s">
        <v>61</v>
      </c>
      <c r="D108" s="1430" t="s">
        <v>121</v>
      </c>
      <c r="E108" s="1130" t="str">
        <f>IF('WEEK 20'!B92='WEEK 21'!B108,'WEEK 20'!F92,"")</f>
        <v/>
      </c>
      <c r="F108" s="1017"/>
      <c r="G108" s="434" t="s">
        <v>123</v>
      </c>
      <c r="H108" s="1049">
        <v>1.0</v>
      </c>
      <c r="I108" s="1050">
        <f>'WEEK 21'!I106</f>
        <v>15</v>
      </c>
      <c r="J108" s="1051" t="s">
        <v>61</v>
      </c>
      <c r="K108" s="1430" t="s">
        <v>121</v>
      </c>
      <c r="L108" s="1130" t="str">
        <f>IF('WEEK 20'!I92='WEEK 21'!I108,'WEEK 20'!M92,"")</f>
        <v/>
      </c>
      <c r="M108" s="1017"/>
    </row>
    <row r="109">
      <c r="A109" s="1049">
        <v>2.0</v>
      </c>
      <c r="B109" s="1050">
        <f>if('WEEK 21'!F108&lt;12,mround('WEEK 21'!B108*0.8,5),IF('WEEK 21'!F108&lt;=14,MROUND('WEEK 21'!B108*0.95,5),'WEEK 21'!B108))</f>
        <v>10</v>
      </c>
      <c r="C109" s="1051" t="s">
        <v>61</v>
      </c>
      <c r="D109" s="1430" t="s">
        <v>121</v>
      </c>
      <c r="E109" s="1130" t="str">
        <f>IF('WEEK 20'!B93='WEEK 21'!B109,'WEEK 20'!F93,"")</f>
        <v/>
      </c>
      <c r="F109" s="1017"/>
      <c r="H109" s="1049">
        <v>2.0</v>
      </c>
      <c r="I109" s="1050">
        <f>if('WEEK 21'!M108&lt;12,mround('WEEK 21'!I108*0.8,5),IF('WEEK 21'!M108&lt;=14,MROUND('WEEK 21'!I108*0.95,5),'WEEK 21'!I108))</f>
        <v>10</v>
      </c>
      <c r="J109" s="1051" t="s">
        <v>61</v>
      </c>
      <c r="K109" s="1430" t="s">
        <v>121</v>
      </c>
      <c r="L109" s="1130" t="str">
        <f>IF('WEEK 20'!I93='WEEK 21'!I109,'WEEK 20'!M93,"")</f>
        <v/>
      </c>
      <c r="M109" s="1017"/>
    </row>
    <row r="110">
      <c r="A110" s="1053">
        <v>3.0</v>
      </c>
      <c r="B110" s="1054">
        <f>if('WEEK 21'!F109&lt;12,mround('WEEK 21'!B109*0.8,5),IF('WEEK 21'!F109&lt;=14,MROUND('WEEK 21'!B109*0.95,5),'WEEK 21'!B109))</f>
        <v>10</v>
      </c>
      <c r="C110" s="1055" t="s">
        <v>61</v>
      </c>
      <c r="D110" s="1453" t="s">
        <v>121</v>
      </c>
      <c r="E110" s="1348" t="str">
        <f>IF('WEEK 20'!B94='WEEK 21'!B110,'WEEK 20'!F94,"")</f>
        <v/>
      </c>
      <c r="F110" s="1017"/>
      <c r="G110" s="682"/>
      <c r="H110" s="1053">
        <v>3.0</v>
      </c>
      <c r="I110" s="1054">
        <f>if('WEEK 21'!M109&lt;12,mround('WEEK 21'!I109*0.8,5),IF('WEEK 21'!M109&lt;=14,MROUND('WEEK 21'!I109*0.95,5),'WEEK 21'!I109))</f>
        <v>10</v>
      </c>
      <c r="J110" s="1055" t="s">
        <v>61</v>
      </c>
      <c r="K110" s="1453" t="s">
        <v>121</v>
      </c>
      <c r="L110" s="1348" t="str">
        <f>IF('WEEK 20'!I94='WEEK 21'!I110,'WEEK 20'!M94,"")</f>
        <v/>
      </c>
      <c r="M110" s="1017"/>
    </row>
    <row r="111">
      <c r="A111" s="849"/>
      <c r="B111" s="849"/>
      <c r="C111" s="849"/>
      <c r="D111" s="849"/>
      <c r="E111" s="849"/>
      <c r="F111" s="849"/>
      <c r="H111" s="849"/>
      <c r="I111" s="850"/>
      <c r="J111" s="850"/>
      <c r="K111" s="850"/>
      <c r="L111" s="850"/>
      <c r="M111" s="850"/>
    </row>
    <row r="113">
      <c r="A113" s="1120" t="s">
        <v>62</v>
      </c>
      <c r="B113" s="36"/>
      <c r="C113" s="36"/>
      <c r="D113" s="36"/>
      <c r="E113" s="36"/>
      <c r="F113" s="37"/>
    </row>
    <row r="116">
      <c r="A116" s="51" t="s">
        <v>131</v>
      </c>
      <c r="B116" s="36"/>
      <c r="C116" s="36"/>
      <c r="D116" s="36"/>
      <c r="E116" s="36"/>
      <c r="F116" s="37"/>
      <c r="G116" s="419"/>
      <c r="H116" s="51" t="s">
        <v>131</v>
      </c>
      <c r="I116" s="36"/>
      <c r="J116" s="36"/>
      <c r="K116" s="36"/>
      <c r="L116" s="36"/>
      <c r="M116" s="37"/>
    </row>
    <row r="117">
      <c r="A117" s="504" t="str">
        <f>HYPERLINK("https://youtu.be/rmxOkkd2hUk","1. SHOULDER PRESS")</f>
        <v>1. SHOULDER PRESS</v>
      </c>
      <c r="B117" s="53"/>
      <c r="C117" s="53"/>
      <c r="D117" s="53"/>
      <c r="E117" s="53"/>
      <c r="F117" s="54"/>
      <c r="G117" s="419"/>
      <c r="H117" s="778" t="str">
        <f>HYPERLINK("https://www.youtube.com/watch?v=-cSBPE-y38M","1. MACHINE SHOULDER PRESS")</f>
        <v>1. MACHINE SHOULDER PRESS</v>
      </c>
      <c r="I117" s="53"/>
      <c r="J117" s="53"/>
      <c r="K117" s="53"/>
      <c r="L117" s="53"/>
      <c r="M117" s="54"/>
    </row>
    <row r="118">
      <c r="A118" s="589" t="s">
        <v>119</v>
      </c>
      <c r="B118" s="227" t="str">
        <f>IF('WEEK 19'!B109="",'WEEK 19'!B97,'WEEK 19'!B109)</f>
        <v/>
      </c>
      <c r="C118" s="20"/>
      <c r="D118" s="20"/>
      <c r="E118" s="20"/>
      <c r="F118" s="95"/>
      <c r="G118" s="419"/>
      <c r="H118" s="226" t="s">
        <v>145</v>
      </c>
      <c r="I118" s="227">
        <f>IF('WEEK 19'!I109="",'WEEK 19'!I97,'WEEK 19'!I109)</f>
        <v>105</v>
      </c>
      <c r="J118" s="20"/>
      <c r="K118" s="20"/>
      <c r="L118" s="20"/>
      <c r="M118" s="95"/>
    </row>
    <row r="119">
      <c r="A119" s="364" t="s">
        <v>50</v>
      </c>
      <c r="B119" s="365" t="s">
        <v>51</v>
      </c>
      <c r="C119" s="365" t="s">
        <v>52</v>
      </c>
      <c r="D119" s="365" t="s">
        <v>53</v>
      </c>
      <c r="E119" s="609" t="s">
        <v>54</v>
      </c>
      <c r="F119" s="61" t="s">
        <v>55</v>
      </c>
      <c r="G119" s="724"/>
      <c r="H119" s="364" t="s">
        <v>50</v>
      </c>
      <c r="I119" s="365" t="s">
        <v>51</v>
      </c>
      <c r="J119" s="365" t="s">
        <v>52</v>
      </c>
      <c r="K119" s="365" t="s">
        <v>53</v>
      </c>
      <c r="L119" s="609" t="s">
        <v>54</v>
      </c>
      <c r="M119" s="61" t="s">
        <v>55</v>
      </c>
    </row>
    <row r="120">
      <c r="A120" s="236">
        <v>1.0</v>
      </c>
      <c r="B120" s="237">
        <f>mround('WEEK 21'!B118*0.35,5)</f>
        <v>0</v>
      </c>
      <c r="C120" s="237">
        <v>6.0</v>
      </c>
      <c r="D120" s="238" t="s">
        <v>120</v>
      </c>
      <c r="E120" s="84">
        <f>IF('WEEK 18'!B101='WEEK 21'!B120,'WEEK 18'!F101,"")</f>
        <v>6</v>
      </c>
      <c r="F120" s="67"/>
      <c r="G120" s="728"/>
      <c r="H120" s="236">
        <v>1.0</v>
      </c>
      <c r="I120" s="237">
        <f>MROUND(('WEEK 21'!I118*0.4+'WEEK 21'!I118)*0.35,5)</f>
        <v>50</v>
      </c>
      <c r="J120" s="237">
        <v>6.0</v>
      </c>
      <c r="K120" s="238" t="s">
        <v>120</v>
      </c>
      <c r="L120" s="84" t="str">
        <f>IF('WEEK 18'!I101='WEEK 21'!I120,'WEEK 18'!M101,"")</f>
        <v/>
      </c>
      <c r="M120" s="67"/>
    </row>
    <row r="121">
      <c r="A121" s="236">
        <v>2.0</v>
      </c>
      <c r="B121" s="237">
        <f>mround('WEEK 21'!B118*0.65,5)</f>
        <v>0</v>
      </c>
      <c r="C121" s="237">
        <v>1.0</v>
      </c>
      <c r="D121" s="238" t="s">
        <v>57</v>
      </c>
      <c r="E121" s="84">
        <f>IF('WEEK 18'!B102='WEEK 21'!B121,'WEEK 18'!F102,"")</f>
        <v>1</v>
      </c>
      <c r="F121" s="67"/>
      <c r="G121" s="728"/>
      <c r="H121" s="236">
        <v>2.0</v>
      </c>
      <c r="I121" s="237">
        <f>mround('WEEK 21'!I118*0.65,5)</f>
        <v>70</v>
      </c>
      <c r="J121" s="237">
        <v>1.0</v>
      </c>
      <c r="K121" s="238" t="s">
        <v>57</v>
      </c>
      <c r="L121" s="84">
        <f>IF('WEEK 18'!I102='WEEK 21'!I121,'WEEK 18'!M102,"")</f>
        <v>1</v>
      </c>
      <c r="M121" s="67"/>
    </row>
    <row r="122">
      <c r="A122" s="779">
        <v>3.0</v>
      </c>
      <c r="B122" s="780">
        <f> mround('WEEK 21'!B118*0.9,5)</f>
        <v>0</v>
      </c>
      <c r="C122" s="781" t="s">
        <v>65</v>
      </c>
      <c r="D122" s="782" t="s">
        <v>57</v>
      </c>
      <c r="E122" s="84">
        <f>IF('WEEK 18'!B103='WEEK 21'!B122,'WEEK 18'!F103,"")</f>
        <v>20</v>
      </c>
      <c r="F122" s="1399"/>
      <c r="G122" s="728"/>
      <c r="H122" s="779">
        <v>3.0</v>
      </c>
      <c r="I122" s="780">
        <f> mround('WEEK 21'!I118*0.9,5)</f>
        <v>95</v>
      </c>
      <c r="J122" s="781" t="s">
        <v>65</v>
      </c>
      <c r="K122" s="782" t="s">
        <v>57</v>
      </c>
      <c r="L122" s="84" t="str">
        <f>IF('WEEK 18'!I103='WEEK 21'!I122,'WEEK 18'!M103,"")</f>
        <v/>
      </c>
      <c r="M122" s="1399"/>
    </row>
    <row r="123">
      <c r="A123" s="785">
        <v>4.0</v>
      </c>
      <c r="B123" s="388">
        <f>if('WEEK 21'!F122&lt;20,mround('WEEK 21'!B122*0.9,5),'WEEK 21'!B122)</f>
        <v>0</v>
      </c>
      <c r="C123" s="781" t="s">
        <v>65</v>
      </c>
      <c r="D123" s="390" t="s">
        <v>57</v>
      </c>
      <c r="E123" s="84">
        <f>IF('WEEK 18'!B104='WEEK 21'!B123,'WEEK 18'!F104,"")</f>
        <v>5</v>
      </c>
      <c r="F123" s="1399"/>
      <c r="G123" s="728"/>
      <c r="H123" s="785">
        <v>4.0</v>
      </c>
      <c r="I123" s="388">
        <f>if('WEEK 21'!M122&lt;20,mround('WEEK 21'!I122*0.9,5),'WEEK 21'!I122)</f>
        <v>85</v>
      </c>
      <c r="J123" s="781" t="s">
        <v>65</v>
      </c>
      <c r="K123" s="390" t="s">
        <v>57</v>
      </c>
      <c r="L123" s="84" t="str">
        <f>IF('WEEK 18'!I104='WEEK 21'!I123,'WEEK 18'!M104,"")</f>
        <v/>
      </c>
      <c r="M123" s="1399"/>
    </row>
    <row r="124">
      <c r="A124" s="787">
        <v>5.0</v>
      </c>
      <c r="B124" s="788">
        <f>if('WEEK 21'!F123&lt;20,mround('WEEK 21'!B123*0.85,2.5),'WEEK 21'!B123)</f>
        <v>0</v>
      </c>
      <c r="C124" s="789" t="s">
        <v>65</v>
      </c>
      <c r="D124" s="397" t="s">
        <v>57</v>
      </c>
      <c r="E124" s="89" t="str">
        <f>IF('WEEK 18'!B105='WEEK 21'!B124,'WEEK 18'!F105,"")</f>
        <v/>
      </c>
      <c r="F124" s="1399"/>
      <c r="G124" s="724"/>
      <c r="H124" s="787">
        <v>5.0</v>
      </c>
      <c r="I124" s="788">
        <f>if('WEEK 21'!M123&lt;20,mround('WEEK 21'!I123*0.85,2.5),'WEEK 21'!I123)</f>
        <v>72.5</v>
      </c>
      <c r="J124" s="789" t="s">
        <v>65</v>
      </c>
      <c r="K124" s="397" t="s">
        <v>57</v>
      </c>
      <c r="L124" s="89" t="str">
        <f>IF('WEEK 18'!I105='WEEK 21'!I124,'WEEK 18'!M105,"")</f>
        <v/>
      </c>
      <c r="M124" s="1399"/>
    </row>
    <row r="125">
      <c r="A125" s="791"/>
      <c r="B125" s="791"/>
      <c r="C125" s="791"/>
      <c r="D125" s="792"/>
      <c r="E125" s="793"/>
      <c r="F125" s="792"/>
      <c r="G125" s="419"/>
      <c r="H125" s="419"/>
      <c r="I125" s="419"/>
      <c r="J125" s="419"/>
      <c r="K125" s="419"/>
      <c r="L125" s="717"/>
      <c r="M125" s="419"/>
    </row>
    <row r="126">
      <c r="A126" s="791"/>
      <c r="B126" s="791"/>
      <c r="C126" s="791"/>
      <c r="D126" s="792"/>
      <c r="E126" s="793"/>
      <c r="F126" s="792"/>
      <c r="G126" s="419"/>
      <c r="H126" s="419"/>
      <c r="I126" s="419"/>
      <c r="J126" s="419"/>
      <c r="K126" s="419"/>
      <c r="L126" s="717"/>
      <c r="M126" s="419"/>
    </row>
    <row r="127">
      <c r="A127" s="687" t="str">
        <f>HYPERLINK("https://www.youtube.com/watch?v=XDLQt1j3qUU","2. DUMBBELL REAR DELT FLY ")</f>
        <v>2. DUMBBELL REAR DELT FLY </v>
      </c>
      <c r="B127" s="53"/>
      <c r="C127" s="53"/>
      <c r="D127" s="53"/>
      <c r="E127" s="53"/>
      <c r="F127" s="54"/>
      <c r="G127" s="419"/>
      <c r="H127" s="419"/>
      <c r="I127" s="419"/>
      <c r="J127" s="419"/>
      <c r="K127" s="419"/>
      <c r="L127" s="717"/>
      <c r="M127" s="419"/>
    </row>
    <row r="128">
      <c r="A128" s="226" t="s">
        <v>145</v>
      </c>
      <c r="B128" s="691" t="str">
        <f>('WEEK 21'!B118)</f>
        <v/>
      </c>
      <c r="C128" s="13"/>
      <c r="D128" s="13"/>
      <c r="E128" s="13"/>
      <c r="F128" s="57"/>
      <c r="G128" s="419"/>
      <c r="H128" s="419"/>
      <c r="I128" s="419"/>
      <c r="J128" s="419"/>
      <c r="K128" s="419"/>
      <c r="L128" s="717"/>
      <c r="M128" s="419"/>
    </row>
    <row r="129">
      <c r="A129" s="96" t="s">
        <v>50</v>
      </c>
      <c r="B129" s="97" t="s">
        <v>51</v>
      </c>
      <c r="C129" s="97" t="s">
        <v>52</v>
      </c>
      <c r="D129" s="97" t="s">
        <v>53</v>
      </c>
      <c r="E129" s="341" t="s">
        <v>54</v>
      </c>
      <c r="F129" s="235" t="s">
        <v>55</v>
      </c>
      <c r="G129" s="724"/>
      <c r="H129" s="724"/>
      <c r="I129" s="724"/>
      <c r="J129" s="724"/>
      <c r="K129" s="724"/>
      <c r="L129" s="748"/>
      <c r="M129" s="724"/>
    </row>
    <row r="130">
      <c r="A130" s="556">
        <v>1.0</v>
      </c>
      <c r="B130" s="237">
        <f>MROUND('WEEK 21'!B128*0.9*0.2,2.5)</f>
        <v>0</v>
      </c>
      <c r="C130" s="65" t="s">
        <v>61</v>
      </c>
      <c r="D130" s="693" t="s">
        <v>127</v>
      </c>
      <c r="E130" s="84" t="str">
        <f>IF('WEEK 20'!B112='WEEK 21'!B130,'WEEK 20'!F112,"")</f>
        <v/>
      </c>
      <c r="F130" s="694"/>
      <c r="G130" s="728"/>
      <c r="H130" s="728"/>
      <c r="I130" s="728"/>
      <c r="J130" s="728"/>
      <c r="K130" s="728"/>
      <c r="L130" s="749"/>
      <c r="M130" s="728"/>
    </row>
    <row r="131">
      <c r="A131" s="556">
        <v>2.0</v>
      </c>
      <c r="B131" s="237">
        <f>if('WEEK 21'!F130&lt;6,mround('WEEK 21'!B130*0.8,5),IF('WEEK 21'!F130&lt;=10,MROUND('WEEK 21'!B130*0.95,5),'WEEK 21'!B130))</f>
        <v>0</v>
      </c>
      <c r="C131" s="65" t="s">
        <v>61</v>
      </c>
      <c r="D131" s="693" t="s">
        <v>127</v>
      </c>
      <c r="E131" s="84" t="str">
        <f>IF('WEEK 20'!B113='WEEK 21'!B131,'WEEK 20'!F113,"")</f>
        <v/>
      </c>
      <c r="F131" s="694"/>
      <c r="G131" s="728"/>
      <c r="H131" s="728"/>
      <c r="I131" s="728"/>
      <c r="J131" s="728"/>
      <c r="K131" s="728"/>
      <c r="L131" s="749"/>
      <c r="M131" s="728"/>
    </row>
    <row r="132">
      <c r="A132" s="561">
        <v>3.0</v>
      </c>
      <c r="B132" s="371">
        <f>if('WEEK 21'!F131&lt;8,mround('WEEK 21'!B131*0.8,5),IF('WEEK 21'!F131&lt;=14,MROUND('WEEK 21'!B131*0.95,5),'WEEK 21'!B131))</f>
        <v>0</v>
      </c>
      <c r="C132" s="71" t="s">
        <v>61</v>
      </c>
      <c r="D132" s="794" t="s">
        <v>127</v>
      </c>
      <c r="E132" s="89" t="str">
        <f>IF('WEEK 20'!B114='WEEK 21'!B132,'WEEK 20'!F114,"")</f>
        <v/>
      </c>
      <c r="F132" s="694"/>
      <c r="G132" s="728"/>
      <c r="H132" s="728"/>
      <c r="I132" s="728"/>
      <c r="J132" s="728"/>
      <c r="K132" s="728"/>
      <c r="L132" s="749"/>
      <c r="M132" s="728"/>
    </row>
    <row r="133">
      <c r="A133" s="795"/>
      <c r="B133" s="795"/>
      <c r="C133" s="795"/>
      <c r="D133" s="792"/>
      <c r="E133" s="793"/>
      <c r="F133" s="792"/>
      <c r="G133" s="419"/>
      <c r="H133" s="419"/>
      <c r="I133" s="419"/>
      <c r="J133" s="419"/>
      <c r="K133" s="419"/>
      <c r="L133" s="717"/>
      <c r="M133" s="419"/>
    </row>
    <row r="134">
      <c r="A134" s="795"/>
      <c r="B134" s="795"/>
      <c r="C134" s="795"/>
      <c r="D134" s="792"/>
      <c r="E134" s="793"/>
      <c r="F134" s="792"/>
      <c r="G134" s="419"/>
      <c r="H134" s="419"/>
      <c r="I134" s="419"/>
      <c r="J134" s="419"/>
      <c r="K134" s="419"/>
      <c r="L134" s="717"/>
      <c r="M134" s="419"/>
    </row>
    <row r="135">
      <c r="A135" s="74" t="str">
        <f>HYPERLINK("https://youtu.be/jat-iMMa0ac","3. DUMBBELL SIDE LATERAL RAISE")</f>
        <v>3. DUMBBELL SIDE LATERAL RAISE</v>
      </c>
      <c r="B135" s="53"/>
      <c r="C135" s="53"/>
      <c r="D135" s="53"/>
      <c r="E135" s="53"/>
      <c r="F135" s="54"/>
      <c r="G135" s="419"/>
      <c r="H135" s="419"/>
      <c r="I135" s="419"/>
      <c r="J135" s="419"/>
      <c r="K135" s="419"/>
      <c r="L135" s="717"/>
      <c r="M135" s="419"/>
    </row>
    <row r="136">
      <c r="A136" s="226" t="s">
        <v>145</v>
      </c>
      <c r="B136" s="90" t="str">
        <f>('WEEK 21'!B118)</f>
        <v/>
      </c>
      <c r="C136" s="13"/>
      <c r="D136" s="13"/>
      <c r="E136" s="13"/>
      <c r="F136" s="57"/>
      <c r="G136" s="419"/>
      <c r="H136" s="419"/>
      <c r="I136" s="419"/>
      <c r="J136" s="419"/>
      <c r="K136" s="419"/>
      <c r="L136" s="717"/>
      <c r="M136" s="419"/>
    </row>
    <row r="137">
      <c r="A137" s="376" t="s">
        <v>50</v>
      </c>
      <c r="B137" s="79" t="s">
        <v>51</v>
      </c>
      <c r="C137" s="79" t="s">
        <v>52</v>
      </c>
      <c r="D137" s="79" t="s">
        <v>53</v>
      </c>
      <c r="E137" s="98" t="s">
        <v>54</v>
      </c>
      <c r="F137" s="377" t="s">
        <v>55</v>
      </c>
      <c r="G137" s="419"/>
      <c r="H137" s="419"/>
      <c r="I137" s="419"/>
      <c r="J137" s="419"/>
      <c r="K137" s="419"/>
      <c r="L137" s="717"/>
      <c r="M137" s="419"/>
    </row>
    <row r="138">
      <c r="A138" s="81">
        <v>1.0</v>
      </c>
      <c r="B138" s="82">
        <f>mround('WEEK 21'!B136*0.9*0.2,5)</f>
        <v>0</v>
      </c>
      <c r="C138" s="65" t="s">
        <v>61</v>
      </c>
      <c r="D138" s="693" t="s">
        <v>122</v>
      </c>
      <c r="E138" s="84" t="str">
        <f>IF('WEEK 20'!B120='WEEK 21'!B138,'WEEK 20'!F120,"")</f>
        <v/>
      </c>
      <c r="F138" s="796"/>
      <c r="G138" s="419"/>
      <c r="H138" s="419"/>
      <c r="I138" s="419"/>
      <c r="J138" s="419"/>
      <c r="K138" s="419"/>
      <c r="L138" s="717"/>
      <c r="M138" s="419"/>
    </row>
    <row r="139">
      <c r="A139" s="81">
        <v>2.0</v>
      </c>
      <c r="B139" s="82">
        <f>if('WEEK 21'!F138&lt;12,mround('WEEK 21'!B136*0.15,2.5),'WEEK 21'!B138)</f>
        <v>0</v>
      </c>
      <c r="C139" s="65" t="s">
        <v>61</v>
      </c>
      <c r="D139" s="693" t="s">
        <v>122</v>
      </c>
      <c r="E139" s="84" t="str">
        <f>IF('WEEK 20'!B121='WEEK 21'!B139,'WEEK 20'!F121,"")</f>
        <v/>
      </c>
      <c r="F139" s="330"/>
      <c r="G139" s="419"/>
      <c r="H139" s="419"/>
      <c r="I139" s="419"/>
      <c r="J139" s="419"/>
      <c r="K139" s="419"/>
      <c r="L139" s="717"/>
      <c r="M139" s="419"/>
    </row>
    <row r="140">
      <c r="A140" s="86">
        <v>3.0</v>
      </c>
      <c r="B140" s="87">
        <f>if('WEEK 21'!F139&lt;12,mround('WEEK 21'!B136*0.1,2.5),'WEEK 21'!B139)</f>
        <v>0</v>
      </c>
      <c r="C140" s="71" t="s">
        <v>61</v>
      </c>
      <c r="D140" s="794" t="s">
        <v>122</v>
      </c>
      <c r="E140" s="89" t="str">
        <f>IF('WEEK 20'!B122='WEEK 21'!B140,'WEEK 20'!F122,"")</f>
        <v/>
      </c>
      <c r="F140" s="85"/>
      <c r="G140" s="419"/>
      <c r="H140" s="419"/>
      <c r="I140" s="419"/>
      <c r="J140" s="419"/>
      <c r="K140" s="419"/>
      <c r="L140" s="717"/>
      <c r="M140" s="419"/>
    </row>
    <row r="141">
      <c r="A141" s="795"/>
      <c r="B141" s="795"/>
      <c r="C141" s="795"/>
      <c r="D141" s="792"/>
      <c r="E141" s="793"/>
      <c r="F141" s="792"/>
      <c r="G141" s="419"/>
      <c r="H141" s="419"/>
      <c r="I141" s="419"/>
      <c r="J141" s="419"/>
      <c r="K141" s="419"/>
      <c r="L141" s="717"/>
      <c r="M141" s="419"/>
    </row>
    <row r="142">
      <c r="A142" s="795"/>
      <c r="B142" s="795"/>
      <c r="C142" s="795"/>
      <c r="D142" s="792"/>
      <c r="E142" s="793"/>
      <c r="F142" s="792"/>
      <c r="G142" s="419"/>
      <c r="H142" s="419"/>
      <c r="I142" s="419"/>
      <c r="J142" s="419"/>
      <c r="K142" s="419"/>
      <c r="L142" s="717"/>
      <c r="M142" s="419"/>
    </row>
    <row r="143">
      <c r="A143" s="361" t="str">
        <f>HYPERLINK("https://www.youtube.com/watch?v=Zt0LwrUdpNs","2.  TRICEP OVERHEAD ROPE EXTENSION")</f>
        <v>2.  TRICEP OVERHEAD ROPE EXTENSION</v>
      </c>
      <c r="B143" s="53"/>
      <c r="C143" s="53"/>
      <c r="D143" s="53"/>
      <c r="E143" s="53"/>
      <c r="F143" s="54"/>
      <c r="G143" s="419"/>
    </row>
    <row r="144">
      <c r="A144" s="226" t="s">
        <v>119</v>
      </c>
      <c r="B144" s="1443">
        <f>IF('WEEK 18'!B127='WEEK 18'!B37,'WEEK 18'!B127+5,IF('WEEK 18'!B127&lt;=15,MROUND('WEEK 18'!F125*0.9,5),'WEEK 18'!B127))</f>
        <v>5</v>
      </c>
      <c r="C144" s="13"/>
      <c r="D144" s="13"/>
      <c r="E144" s="13"/>
      <c r="F144" s="57"/>
      <c r="G144" s="419"/>
    </row>
    <row r="145">
      <c r="A145" s="77" t="s">
        <v>50</v>
      </c>
      <c r="B145" s="78" t="s">
        <v>51</v>
      </c>
      <c r="C145" s="78" t="s">
        <v>52</v>
      </c>
      <c r="D145" s="78" t="s">
        <v>53</v>
      </c>
      <c r="E145" s="80" t="s">
        <v>54</v>
      </c>
      <c r="F145" s="235" t="s">
        <v>55</v>
      </c>
      <c r="G145" s="724"/>
    </row>
    <row r="146">
      <c r="A146" s="81">
        <v>1.0</v>
      </c>
      <c r="B146" s="82">
        <f>MROUND('WEEK 21'!B144*0.9,10)</f>
        <v>0</v>
      </c>
      <c r="C146" s="65" t="s">
        <v>61</v>
      </c>
      <c r="D146" s="83" t="s">
        <v>58</v>
      </c>
      <c r="E146" s="84" t="str">
        <f>IF('WEEK 18'!B127='WEEK 21'!B146,'WEEK 18'!F127,"")</f>
        <v/>
      </c>
      <c r="F146" s="85"/>
      <c r="G146" s="728"/>
    </row>
    <row r="147">
      <c r="A147" s="81">
        <v>2.0</v>
      </c>
      <c r="B147" s="82">
        <f>if('WEEK 21'!F146&lt;10,mround('WEEK 21'!B146*0.8,5),IF('WEEK 21'!F146&lt;=14,MROUND('WEEK 21'!B144*0.95,5),'WEEK 21'!B146))</f>
        <v>0</v>
      </c>
      <c r="C147" s="65" t="s">
        <v>61</v>
      </c>
      <c r="D147" s="83" t="s">
        <v>58</v>
      </c>
      <c r="E147" s="84" t="str">
        <f>IF('WEEK 18'!B128='WEEK 21'!B147,'WEEK 18'!F128,"")</f>
        <v/>
      </c>
      <c r="F147" s="85"/>
      <c r="G147" s="728"/>
    </row>
    <row r="148">
      <c r="A148" s="629">
        <v>3.0</v>
      </c>
      <c r="B148" s="82">
        <f>if('WEEK 21'!F147&lt;10,mround('WEEK 21'!B147*0.8,5),IF('WEEK 21'!F147&lt;=14,MROUND('WEEK 21'!B145*0.95,5),'WEEK 21'!B147))</f>
        <v>0</v>
      </c>
      <c r="C148" s="65" t="s">
        <v>61</v>
      </c>
      <c r="D148" s="328" t="s">
        <v>58</v>
      </c>
      <c r="E148" s="84" t="str">
        <f>IF('WEEK 18'!B129='WEEK 21'!B148,'WEEK 18'!F129,"")</f>
        <v/>
      </c>
      <c r="F148" s="330"/>
      <c r="G148" s="728"/>
    </row>
    <row r="149">
      <c r="A149" s="797"/>
      <c r="B149" s="798"/>
      <c r="C149" s="798"/>
      <c r="D149" s="799"/>
      <c r="E149" s="800"/>
      <c r="F149" s="799"/>
      <c r="G149" s="728"/>
    </row>
    <row r="150">
      <c r="G150" s="419"/>
      <c r="H150" s="419"/>
      <c r="I150" s="419"/>
      <c r="J150" s="419"/>
      <c r="K150" s="419"/>
      <c r="L150" s="717"/>
      <c r="M150" s="419"/>
    </row>
    <row r="151">
      <c r="A151" s="75" t="str">
        <f>HYPERLINK("https://www.youtube.com/watch?v=9IqvmIhFxtY","4. BICEP CABLE CURL")</f>
        <v>4. BICEP CABLE CURL</v>
      </c>
      <c r="B151" s="53"/>
      <c r="C151" s="53"/>
      <c r="D151" s="53"/>
      <c r="E151" s="53"/>
      <c r="F151" s="54"/>
      <c r="G151" s="419"/>
      <c r="H151" s="75" t="str">
        <f>HYPERLINK("https://www.youtube.com/watch?v=Bi6Do6QIlpQ","5. BICEP EZ BAR CURL")</f>
        <v>5. BICEP EZ BAR CURL</v>
      </c>
      <c r="I151" s="53"/>
      <c r="J151" s="53"/>
      <c r="K151" s="53"/>
      <c r="L151" s="53"/>
      <c r="M151" s="54"/>
    </row>
    <row r="152">
      <c r="A152" s="226" t="s">
        <v>119</v>
      </c>
      <c r="B152" s="90">
        <f>IF('WEEK 20'!B136='WEEK 20'!B138,'WEEK 20'!B136+5,IF('WEEK 20'!F136&lt;=9,MROUND('WEEK 20'!B134*0.95,5),'WEEK 20'!B136))</f>
        <v>30</v>
      </c>
      <c r="C152" s="13"/>
      <c r="D152" s="13"/>
      <c r="E152" s="13"/>
      <c r="F152" s="57"/>
      <c r="G152" s="724"/>
      <c r="H152" s="226" t="s">
        <v>119</v>
      </c>
      <c r="I152" s="90">
        <f>IF('WEEK 20'!I136='WEEK 20'!I138,'WEEK 20'!I136+5,IF('WEEK 20'!M136&lt;=9,MROUND('WEEK 20'!I134*0.95,5),'WEEK 20'!I136))</f>
        <v>15</v>
      </c>
      <c r="J152" s="13"/>
      <c r="K152" s="13"/>
      <c r="L152" s="13"/>
      <c r="M152" s="57"/>
    </row>
    <row r="153">
      <c r="A153" s="77" t="s">
        <v>50</v>
      </c>
      <c r="B153" s="78" t="s">
        <v>51</v>
      </c>
      <c r="C153" s="78" t="s">
        <v>52</v>
      </c>
      <c r="D153" s="78" t="s">
        <v>53</v>
      </c>
      <c r="E153" s="80" t="s">
        <v>54</v>
      </c>
      <c r="F153" s="235" t="s">
        <v>55</v>
      </c>
      <c r="G153" s="728"/>
      <c r="H153" s="77" t="s">
        <v>50</v>
      </c>
      <c r="I153" s="78" t="s">
        <v>51</v>
      </c>
      <c r="J153" s="78" t="s">
        <v>52</v>
      </c>
      <c r="K153" s="78" t="s">
        <v>53</v>
      </c>
      <c r="L153" s="80" t="s">
        <v>54</v>
      </c>
      <c r="M153" s="235" t="s">
        <v>55</v>
      </c>
    </row>
    <row r="154">
      <c r="A154" s="81">
        <v>1.0</v>
      </c>
      <c r="B154" s="82">
        <f>MROUND('WEEK 21'!B152*0.9,10)</f>
        <v>30</v>
      </c>
      <c r="C154" s="65" t="s">
        <v>64</v>
      </c>
      <c r="D154" s="83" t="s">
        <v>58</v>
      </c>
      <c r="E154" s="84" t="str">
        <f>IF('WEEK 20'!B136='WEEK 21'!B154,'WEEK 20'!F136,"")</f>
        <v/>
      </c>
      <c r="F154" s="85"/>
      <c r="G154" s="728"/>
      <c r="H154" s="81">
        <v>1.0</v>
      </c>
      <c r="I154" s="82">
        <f>MROUND('WEEK 21'!I152,5)</f>
        <v>15</v>
      </c>
      <c r="J154" s="65" t="s">
        <v>61</v>
      </c>
      <c r="K154" s="83" t="s">
        <v>274</v>
      </c>
      <c r="L154" s="84" t="str">
        <f>IF('WEEK 20'!I136='WEEK 21'!I154,'WEEK 20'!M136,"")</f>
        <v/>
      </c>
      <c r="M154" s="85"/>
    </row>
    <row r="155">
      <c r="A155" s="81">
        <v>2.0</v>
      </c>
      <c r="B155" s="82">
        <f>if('WEEK 21'!F154&lt;15,mround('WEEK 21'!B154*0.8,5),IF('WEEK 21'!F154&lt;=18,MROUND('WEEK 21'!B152*0.95,5),'WEEK 21'!B154))</f>
        <v>25</v>
      </c>
      <c r="C155" s="65" t="s">
        <v>64</v>
      </c>
      <c r="D155" s="83" t="s">
        <v>58</v>
      </c>
      <c r="E155" s="84" t="str">
        <f>IF('WEEK 20'!B137='WEEK 21'!B155,'WEEK 20'!F137,"")</f>
        <v/>
      </c>
      <c r="F155" s="85"/>
      <c r="G155" s="728"/>
      <c r="H155" s="81">
        <v>2.0</v>
      </c>
      <c r="I155" s="82">
        <f>if('WEEK 21'!M154&lt;10,mround('WEEK 21'!I154*0.8,5),IF('WEEK 21'!M154&lt;=15,MROUND('WEEK 21'!I152*0.95,5),'WEEK 21'!I154))</f>
        <v>10</v>
      </c>
      <c r="J155" s="65" t="s">
        <v>61</v>
      </c>
      <c r="K155" s="83" t="s">
        <v>274</v>
      </c>
      <c r="L155" s="84" t="str">
        <f>IF('WEEK 20'!I137='WEEK 21'!I155,'WEEK 20'!M137,"")</f>
        <v/>
      </c>
      <c r="M155" s="85"/>
    </row>
    <row r="156">
      <c r="A156" s="629">
        <v>3.0</v>
      </c>
      <c r="B156" s="630">
        <f>if('WEEK 21'!F155&lt;15,mround('WEEK 21'!B155*0.8,5),IF('WEEK 21'!F155&lt;=18,MROUND('WEEK 21'!B153*0.95,5),'WEEK 21'!B155))</f>
        <v>20</v>
      </c>
      <c r="C156" s="631" t="s">
        <v>64</v>
      </c>
      <c r="D156" s="328" t="s">
        <v>58</v>
      </c>
      <c r="E156" s="84" t="str">
        <f>IF('WEEK 20'!B138='WEEK 21'!B156,'WEEK 20'!F138,"")</f>
        <v/>
      </c>
      <c r="F156" s="330"/>
      <c r="G156" s="728"/>
      <c r="H156" s="86">
        <v>3.0</v>
      </c>
      <c r="I156" s="87">
        <f>if('WEEK 21'!M155&lt;10,mround('WEEK 21'!I155*0.8,5),IF('WEEK 21'!M155&lt;=15,MROUND('WEEK 21'!I153*0.95,5),'WEEK 21'!I155))</f>
        <v>10</v>
      </c>
      <c r="J156" s="71" t="s">
        <v>61</v>
      </c>
      <c r="K156" s="88" t="s">
        <v>274</v>
      </c>
      <c r="L156" s="89" t="str">
        <f>IF('WEEK 20'!I138='WEEK 21'!I156,'WEEK 20'!M138,"")</f>
        <v/>
      </c>
      <c r="M156" s="85"/>
    </row>
    <row r="157">
      <c r="A157" s="801"/>
      <c r="B157" s="802"/>
      <c r="C157" s="803"/>
      <c r="D157" s="804"/>
      <c r="E157" s="805"/>
      <c r="F157" s="802"/>
      <c r="G157" s="419"/>
      <c r="H157" s="419"/>
      <c r="I157" s="419"/>
      <c r="J157" s="419"/>
      <c r="K157" s="419"/>
      <c r="L157" s="717"/>
      <c r="M157" s="419"/>
    </row>
    <row r="158">
      <c r="A158" s="806"/>
      <c r="B158" s="769"/>
      <c r="C158" s="769"/>
      <c r="D158" s="769"/>
      <c r="E158" s="769"/>
      <c r="F158" s="769"/>
      <c r="G158" s="419"/>
      <c r="H158" s="419"/>
      <c r="I158" s="419"/>
      <c r="J158" s="419"/>
      <c r="K158" s="419"/>
      <c r="L158" s="717"/>
      <c r="M158" s="419"/>
    </row>
    <row r="159">
      <c r="A159" s="310" t="str">
        <f>HYPERLINK("https://docs.google.com/a/fitnessresults.com/forms/d/e/1FAIpQLSd7MoczESe8Yjv6BKpmwAZGn9Aiymrs9-UdgfYIUpbr9t5NXg/viewform?usp=pp_url&amp;entry.93370101","CLICK TO COMPLETE WORKOUT")</f>
        <v>CLICK TO COMPLETE WORKOUT</v>
      </c>
      <c r="B159" s="36"/>
      <c r="C159" s="36"/>
      <c r="D159" s="36"/>
      <c r="E159" s="36"/>
      <c r="F159" s="37"/>
      <c r="G159" s="419"/>
      <c r="H159" s="419"/>
      <c r="I159" s="419"/>
      <c r="J159" s="419"/>
      <c r="K159" s="419"/>
      <c r="L159" s="717"/>
      <c r="M159" s="419"/>
    </row>
    <row r="160">
      <c r="A160" s="806"/>
      <c r="B160" s="769"/>
      <c r="C160" s="769"/>
      <c r="D160" s="769"/>
      <c r="E160" s="769"/>
      <c r="F160" s="769"/>
      <c r="G160" s="419"/>
      <c r="H160" s="419"/>
      <c r="I160" s="419"/>
      <c r="J160" s="419"/>
      <c r="K160" s="419"/>
      <c r="L160" s="717"/>
      <c r="M160" s="419"/>
    </row>
    <row r="161">
      <c r="A161" s="106" t="s">
        <v>135</v>
      </c>
      <c r="B161" s="36"/>
      <c r="C161" s="36"/>
      <c r="D161" s="36"/>
      <c r="E161" s="36"/>
      <c r="F161" s="37"/>
      <c r="G161" s="419"/>
      <c r="H161" s="419"/>
      <c r="I161" s="419"/>
      <c r="J161" s="419"/>
      <c r="K161" s="419"/>
      <c r="L161" s="717"/>
      <c r="M161" s="419"/>
    </row>
    <row r="162">
      <c r="A162" s="103"/>
      <c r="B162" s="103"/>
      <c r="C162" s="103"/>
      <c r="D162" s="103"/>
      <c r="E162" s="222"/>
      <c r="F162" s="103"/>
      <c r="G162" s="419"/>
      <c r="H162" s="419"/>
      <c r="I162" s="419"/>
      <c r="J162" s="419"/>
      <c r="K162" s="419"/>
      <c r="L162" s="717"/>
      <c r="M162" s="419"/>
    </row>
    <row r="163">
      <c r="A163" s="641" t="str">
        <f>HYPERLINK("https://www.amazon.com/30-Minute-Body-Investment-Champion/dp/0692791892/ref=sr_1_1?ie=UTF8&amp;qid=1490447969&amp;sr=8-1&amp;keywords=30+minute+body","WANT TO LEARN MORE?")</f>
        <v>WANT TO LEARN MORE?</v>
      </c>
      <c r="B163" s="16"/>
      <c r="C163" s="16"/>
      <c r="D163" s="16"/>
      <c r="E163" s="16"/>
      <c r="F163" s="17"/>
      <c r="G163" s="419"/>
      <c r="H163" s="419"/>
      <c r="I163" s="419"/>
      <c r="J163" s="419"/>
      <c r="K163" s="419"/>
      <c r="L163" s="717"/>
      <c r="M163" s="419"/>
    </row>
    <row r="164">
      <c r="A164" s="18"/>
      <c r="B164" s="13"/>
      <c r="C164" s="13"/>
      <c r="D164" s="13"/>
      <c r="E164" s="13"/>
      <c r="F164" s="14"/>
      <c r="G164" s="419"/>
      <c r="H164" s="419"/>
      <c r="I164" s="419"/>
      <c r="J164" s="419"/>
      <c r="K164" s="419"/>
      <c r="L164" s="717"/>
      <c r="M164" s="419"/>
    </row>
    <row r="165">
      <c r="A165" s="419"/>
      <c r="B165" s="646"/>
      <c r="C165" s="807" t="s">
        <v>67</v>
      </c>
      <c r="D165" s="25"/>
      <c r="E165" s="25"/>
      <c r="F165" s="26"/>
      <c r="G165" s="419"/>
      <c r="H165" s="419"/>
      <c r="I165" s="419"/>
      <c r="J165" s="419"/>
      <c r="K165" s="419"/>
      <c r="L165" s="717"/>
      <c r="M165" s="419"/>
    </row>
    <row r="166">
      <c r="A166" s="419"/>
      <c r="B166" s="646"/>
      <c r="F166" s="28"/>
      <c r="G166" s="419"/>
      <c r="H166" s="419"/>
      <c r="I166" s="419"/>
      <c r="J166" s="419"/>
      <c r="K166" s="419"/>
      <c r="L166" s="717"/>
      <c r="M166" s="419"/>
    </row>
    <row r="167">
      <c r="A167" s="419"/>
      <c r="B167" s="646"/>
      <c r="F167" s="28"/>
      <c r="G167" s="419"/>
      <c r="H167" s="419"/>
      <c r="I167" s="419"/>
      <c r="J167" s="419"/>
      <c r="K167" s="419"/>
      <c r="L167" s="717"/>
      <c r="M167" s="419"/>
    </row>
    <row r="168">
      <c r="A168" s="419"/>
      <c r="B168" s="646"/>
      <c r="F168" s="28"/>
      <c r="G168" s="419"/>
      <c r="H168" s="419"/>
      <c r="I168" s="419"/>
      <c r="J168" s="419"/>
      <c r="K168" s="419"/>
      <c r="L168" s="717"/>
      <c r="M168" s="419"/>
    </row>
    <row r="169">
      <c r="A169" s="419"/>
      <c r="B169" s="646"/>
      <c r="F169" s="28"/>
      <c r="G169" s="419"/>
      <c r="H169" s="419"/>
      <c r="I169" s="419"/>
      <c r="J169" s="419"/>
      <c r="K169" s="419"/>
      <c r="L169" s="717"/>
      <c r="M169" s="419"/>
    </row>
    <row r="170">
      <c r="A170" s="419"/>
      <c r="B170" s="646"/>
      <c r="F170" s="28"/>
      <c r="G170" s="419"/>
      <c r="H170" s="419"/>
      <c r="I170" s="419"/>
      <c r="J170" s="419"/>
      <c r="K170" s="419"/>
      <c r="L170" s="717"/>
      <c r="M170" s="419"/>
    </row>
    <row r="171">
      <c r="A171" s="808"/>
      <c r="B171" s="646"/>
      <c r="F171" s="28"/>
      <c r="G171" s="419"/>
      <c r="H171" s="419"/>
      <c r="I171" s="419"/>
      <c r="J171" s="419"/>
      <c r="K171" s="419"/>
      <c r="L171" s="717"/>
      <c r="M171" s="419"/>
    </row>
    <row r="172">
      <c r="A172" s="419"/>
      <c r="B172" s="646"/>
      <c r="F172" s="28"/>
      <c r="G172" s="419"/>
      <c r="H172" s="419"/>
      <c r="I172" s="419"/>
      <c r="J172" s="419"/>
      <c r="K172" s="419"/>
      <c r="L172" s="717"/>
      <c r="M172" s="419"/>
    </row>
    <row r="173">
      <c r="A173" s="419"/>
      <c r="B173" s="646"/>
      <c r="F173" s="28"/>
      <c r="G173" s="419"/>
      <c r="H173" s="419"/>
      <c r="I173" s="419"/>
      <c r="J173" s="419"/>
      <c r="K173" s="419"/>
      <c r="L173" s="717"/>
      <c r="M173" s="419"/>
    </row>
    <row r="174">
      <c r="A174" s="809"/>
      <c r="B174" s="646"/>
      <c r="F174" s="28"/>
      <c r="G174" s="419"/>
      <c r="H174" s="419"/>
      <c r="I174" s="419"/>
      <c r="J174" s="419"/>
      <c r="K174" s="419"/>
      <c r="L174" s="717"/>
      <c r="M174" s="419"/>
    </row>
    <row r="175">
      <c r="A175" s="419"/>
      <c r="B175" s="646"/>
      <c r="F175" s="28"/>
      <c r="G175" s="419"/>
      <c r="H175" s="419"/>
      <c r="I175" s="419"/>
      <c r="J175" s="419"/>
      <c r="K175" s="419"/>
      <c r="L175" s="717"/>
      <c r="M175" s="419"/>
    </row>
    <row r="176">
      <c r="A176" s="419"/>
      <c r="B176" s="646"/>
      <c r="F176" s="28"/>
      <c r="G176" s="419"/>
      <c r="H176" s="419"/>
      <c r="I176" s="419"/>
      <c r="J176" s="419"/>
      <c r="K176" s="419"/>
      <c r="L176" s="717"/>
      <c r="M176" s="419"/>
    </row>
    <row r="177">
      <c r="A177" s="419"/>
      <c r="B177" s="646"/>
      <c r="F177" s="28"/>
      <c r="G177" s="419"/>
      <c r="H177" s="419"/>
      <c r="I177" s="419"/>
      <c r="J177" s="419"/>
      <c r="K177" s="419"/>
      <c r="L177" s="717"/>
      <c r="M177" s="419"/>
    </row>
    <row r="178">
      <c r="A178" s="419"/>
      <c r="B178" s="646"/>
      <c r="F178" s="28"/>
      <c r="G178" s="419"/>
      <c r="H178" s="419"/>
      <c r="I178" s="419"/>
      <c r="J178" s="419"/>
      <c r="K178" s="419"/>
      <c r="L178" s="717"/>
      <c r="M178" s="419"/>
    </row>
    <row r="179">
      <c r="A179" s="419"/>
      <c r="B179" s="646"/>
      <c r="C179" s="11"/>
      <c r="D179" s="11"/>
      <c r="E179" s="11"/>
      <c r="F179" s="46"/>
      <c r="G179" s="419"/>
      <c r="H179" s="419"/>
      <c r="I179" s="419"/>
      <c r="J179" s="419"/>
      <c r="K179" s="419"/>
      <c r="L179" s="717"/>
      <c r="M179" s="419"/>
    </row>
  </sheetData>
  <mergeCells count="77">
    <mergeCell ref="A97:F97"/>
    <mergeCell ref="B98:F98"/>
    <mergeCell ref="A105:F105"/>
    <mergeCell ref="G105:G107"/>
    <mergeCell ref="H105:M105"/>
    <mergeCell ref="B106:F106"/>
    <mergeCell ref="I106:M106"/>
    <mergeCell ref="H117:M117"/>
    <mergeCell ref="I118:M118"/>
    <mergeCell ref="G108:G109"/>
    <mergeCell ref="G110:G111"/>
    <mergeCell ref="A113:F113"/>
    <mergeCell ref="A116:F116"/>
    <mergeCell ref="H116:M116"/>
    <mergeCell ref="A117:F117"/>
    <mergeCell ref="B118:F118"/>
    <mergeCell ref="A151:F151"/>
    <mergeCell ref="B152:F152"/>
    <mergeCell ref="A159:F159"/>
    <mergeCell ref="A161:F161"/>
    <mergeCell ref="A163:F164"/>
    <mergeCell ref="C165:F179"/>
    <mergeCell ref="A127:F127"/>
    <mergeCell ref="B128:F128"/>
    <mergeCell ref="A135:F135"/>
    <mergeCell ref="B136:F136"/>
    <mergeCell ref="A143:F143"/>
    <mergeCell ref="B144:F144"/>
    <mergeCell ref="H151:M151"/>
    <mergeCell ref="I152:M152"/>
    <mergeCell ref="H16:M16"/>
    <mergeCell ref="A17:M18"/>
    <mergeCell ref="A19:F19"/>
    <mergeCell ref="H19:M19"/>
    <mergeCell ref="H20:M20"/>
    <mergeCell ref="I21:M21"/>
    <mergeCell ref="H27:M27"/>
    <mergeCell ref="H29:M29"/>
    <mergeCell ref="A9:F9"/>
    <mergeCell ref="H9:M9"/>
    <mergeCell ref="A10:F11"/>
    <mergeCell ref="H10:M10"/>
    <mergeCell ref="A12:F12"/>
    <mergeCell ref="A13:F13"/>
    <mergeCell ref="H15:M15"/>
    <mergeCell ref="A15:F15"/>
    <mergeCell ref="A16:F16"/>
    <mergeCell ref="G19:G26"/>
    <mergeCell ref="A20:F20"/>
    <mergeCell ref="B21:F21"/>
    <mergeCell ref="A27:F27"/>
    <mergeCell ref="A29:F29"/>
    <mergeCell ref="B34:F34"/>
    <mergeCell ref="H37:M37"/>
    <mergeCell ref="I38:M38"/>
    <mergeCell ref="G40:G41"/>
    <mergeCell ref="G27:G28"/>
    <mergeCell ref="G29:G31"/>
    <mergeCell ref="I34:M34"/>
    <mergeCell ref="A35:M36"/>
    <mergeCell ref="A37:F37"/>
    <mergeCell ref="B38:F38"/>
    <mergeCell ref="G38:G39"/>
    <mergeCell ref="A44:F44"/>
    <mergeCell ref="B45:F45"/>
    <mergeCell ref="A51:F51"/>
    <mergeCell ref="A54:F54"/>
    <mergeCell ref="B57:F57"/>
    <mergeCell ref="A60:F60"/>
    <mergeCell ref="B61:F61"/>
    <mergeCell ref="A68:F68"/>
    <mergeCell ref="B69:F69"/>
    <mergeCell ref="A76:F76"/>
    <mergeCell ref="A78:F78"/>
    <mergeCell ref="A81:F81"/>
    <mergeCell ref="B82:F82"/>
    <mergeCell ref="B94:F94"/>
  </mergeCells>
  <dataValidations>
    <dataValidation type="decimal" operator="greaterThanOrEqual" allowBlank="1" showDropDown="1" showErrorMessage="1" sqref="M12:M14">
      <formula1>0.0</formula1>
    </dataValidation>
    <dataValidation type="decimal" allowBlank="1" showDropDown="1" showInputMessage="1" showErrorMessage="1" prompt="Enter a number between 0 and 30" sqref="F1:F8 F14 F22:F26 F28 F30:F33 F39:F43 F46:F50 F52:F53 F55:F56 F58:F59 F62:F67 F70:F75 F77 F79:F80 F83:F93 F95:F96 F99:F104 F107:F112 F114:F115 F119:F126 F129:F134 F137:F142 F145:F150 F153:F158 F160 F162">
      <formula1>0.0</formula1>
      <formula2>30.0</formula2>
    </dataValidation>
    <dataValidation type="decimal" allowBlank="1" showDropDown="1" showInputMessage="1" showErrorMessage="1" prompt="Click and enter a value from range 0-500" sqref="H12">
      <formula1>1.0</formula1>
      <formula2>500.0</formula2>
    </dataValidation>
  </dataValidations>
  <drawing r:id="rId2"/>
  <legacyDrawing r:id="rId3"/>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'MSW21'!A1</f>
        <v/>
      </c>
    </row>
    <row r="8">
      <c r="A8" s="11"/>
      <c r="B8" s="11"/>
      <c r="C8" s="11"/>
      <c r="D8" s="11"/>
      <c r="E8" s="11"/>
      <c r="F8" s="11"/>
      <c r="G8" s="11"/>
      <c r="H8" s="11"/>
      <c r="I8" s="11"/>
      <c r="J8" s="11"/>
      <c r="K8" s="11"/>
      <c r="L8" s="11"/>
      <c r="M8" s="11"/>
    </row>
    <row r="9">
      <c r="A9" s="12" t="str">
        <f>'MSW21'!A9</f>
        <v>Week 21</v>
      </c>
      <c r="B9" s="13"/>
      <c r="C9" s="13"/>
      <c r="D9" s="13"/>
      <c r="E9" s="13"/>
      <c r="F9" s="14"/>
      <c r="G9" s="103" t="str">
        <f>'MSW21'!G9</f>
        <v/>
      </c>
      <c r="H9" s="24" t="s">
        <v>35</v>
      </c>
      <c r="I9" s="25"/>
      <c r="J9" s="25"/>
      <c r="K9" s="25"/>
      <c r="L9" s="25"/>
      <c r="M9" s="26"/>
    </row>
    <row r="10">
      <c r="A10" s="15" t="str">
        <f>'MSW21'!A10</f>
        <v>PRESS TO RECORD BODY WEIGHT</v>
      </c>
      <c r="B10" s="16"/>
      <c r="C10" s="16"/>
      <c r="D10" s="16"/>
      <c r="E10" s="16"/>
      <c r="F10" s="17"/>
      <c r="H10" s="27" t="s">
        <v>285</v>
      </c>
      <c r="M10" s="28"/>
    </row>
    <row r="11">
      <c r="A11" s="18"/>
      <c r="B11" s="13"/>
      <c r="C11" s="13"/>
      <c r="D11" s="13"/>
      <c r="E11" s="13"/>
      <c r="F11" s="14"/>
      <c r="H11" s="29" t="s">
        <v>286</v>
      </c>
      <c r="I11" s="30"/>
      <c r="J11" s="30"/>
      <c r="K11" s="30"/>
      <c r="L11" s="30"/>
      <c r="M11" s="31"/>
    </row>
    <row r="12">
      <c r="A12" s="19" t="str">
        <f>'MSW21'!A12</f>
        <v>This Weeks Goals</v>
      </c>
      <c r="B12" s="20"/>
      <c r="C12" s="20"/>
      <c r="D12" s="20"/>
      <c r="E12" s="20"/>
      <c r="F12" s="21"/>
      <c r="G12" s="103" t="str">
        <f>'MSW21'!G12</f>
        <v/>
      </c>
    </row>
    <row r="13">
      <c r="A13" s="22" t="str">
        <f>'MSW21'!A13</f>
        <v>Working hard this week establishing new maxes in a few areas. Give it everything you've got. Pay close attention to rest times and rep counts. </v>
      </c>
      <c r="B13" s="20"/>
      <c r="C13" s="20"/>
      <c r="D13" s="20"/>
      <c r="E13" s="20"/>
      <c r="F13" s="21"/>
    </row>
    <row r="14">
      <c r="A14" s="219" t="str">
        <f>'MSW21'!A14</f>
        <v/>
      </c>
    </row>
    <row r="16">
      <c r="A16" s="50" t="str">
        <f>'MSW21'!A16</f>
        <v>DAY 1</v>
      </c>
      <c r="B16" s="36"/>
      <c r="C16" s="36"/>
      <c r="D16" s="36"/>
      <c r="E16" s="36"/>
      <c r="F16" s="37"/>
      <c r="G16" s="141" t="str">
        <f>'MSW21'!G16</f>
        <v/>
      </c>
      <c r="H16" s="50" t="str">
        <f>'MSW21'!H16</f>
        <v>ALTERNATE WORKOUTS</v>
      </c>
      <c r="I16" s="36"/>
      <c r="J16" s="36"/>
      <c r="K16" s="36"/>
      <c r="L16" s="36"/>
      <c r="M16" s="37"/>
    </row>
    <row r="17">
      <c r="A17" s="657" t="str">
        <f>'MSW21'!A17</f>
        <v/>
      </c>
    </row>
    <row r="19">
      <c r="A19" s="1344" t="str">
        <f>'MSW21'!A19</f>
        <v>CHEST &amp; BACK </v>
      </c>
      <c r="B19" s="36"/>
      <c r="C19" s="36"/>
      <c r="D19" s="36"/>
      <c r="E19" s="36"/>
      <c r="F19" s="37"/>
      <c r="G19" s="141" t="str">
        <f>'MSW21'!G19</f>
        <v/>
      </c>
      <c r="H19" s="51" t="str">
        <f>'MSW21'!H19</f>
        <v>CHEST &amp; BACK </v>
      </c>
      <c r="I19" s="36"/>
      <c r="J19" s="36"/>
      <c r="K19" s="36"/>
      <c r="L19" s="36"/>
      <c r="M19" s="37"/>
    </row>
    <row r="20">
      <c r="A20" s="52" t="str">
        <f>'MSW21'!A20</f>
        <v>1. DUMBBELL INCLINE PRESS</v>
      </c>
      <c r="B20" s="53"/>
      <c r="C20" s="53"/>
      <c r="D20" s="53"/>
      <c r="E20" s="53"/>
      <c r="F20" s="54"/>
      <c r="H20" s="52" t="str">
        <f>'MSW21'!H20</f>
        <v>1. MACHINE PRESS</v>
      </c>
      <c r="I20" s="53"/>
      <c r="J20" s="53"/>
      <c r="K20" s="53"/>
      <c r="L20" s="53"/>
      <c r="M20" s="54"/>
    </row>
    <row r="21">
      <c r="A21" s="228" t="str">
        <f>'MSW21'!A21</f>
        <v>CURRENT MAX</v>
      </c>
      <c r="B21" s="229" t="str">
        <f>'MSW21'!B21</f>
        <v/>
      </c>
      <c r="C21" s="16"/>
      <c r="D21" s="16"/>
      <c r="E21" s="16"/>
      <c r="F21" s="230"/>
      <c r="H21" s="228" t="str">
        <f>'MSW21'!H21</f>
        <v>CURRENT MAX</v>
      </c>
      <c r="I21" s="229" t="str">
        <f>'MSW21'!I21</f>
        <v/>
      </c>
      <c r="J21" s="16"/>
      <c r="K21" s="16"/>
      <c r="L21" s="16"/>
      <c r="M21" s="230"/>
    </row>
    <row r="22">
      <c r="A22" s="96" t="str">
        <f>'MSW21'!A22</f>
        <v>SET</v>
      </c>
      <c r="B22" s="97" t="str">
        <f>'MSW21'!B22</f>
        <v>WEIGHT</v>
      </c>
      <c r="C22" s="97" t="str">
        <f>'MSW21'!C22</f>
        <v>REPS</v>
      </c>
      <c r="D22" s="97" t="str">
        <f>'MSW21'!D22</f>
        <v>REST</v>
      </c>
      <c r="E22" s="98" t="str">
        <f>'MSW21'!E22</f>
        <v>PREVIOUS</v>
      </c>
      <c r="F22" s="235" t="str">
        <f>'MSW21'!F22</f>
        <v>REP LOG</v>
      </c>
      <c r="H22" s="96" t="str">
        <f>'MSW21'!H22</f>
        <v>SET</v>
      </c>
      <c r="I22" s="97" t="str">
        <f>'MSW21'!I22</f>
        <v>WEIGHT</v>
      </c>
      <c r="J22" s="97" t="str">
        <f>'MSW21'!J22</f>
        <v>REPS</v>
      </c>
      <c r="K22" s="97" t="str">
        <f>'MSW21'!K22</f>
        <v>REST</v>
      </c>
      <c r="L22" s="98" t="str">
        <f>'MSW21'!L22</f>
        <v>PREVIOUS</v>
      </c>
      <c r="M22" s="235" t="str">
        <f>'MSW21'!M22</f>
        <v>REP LOG</v>
      </c>
    </row>
    <row r="23">
      <c r="A23" s="244">
        <f>'MSW21'!A23</f>
        <v>1</v>
      </c>
      <c r="B23" s="241">
        <f>'MSW21'!B23</f>
        <v>0</v>
      </c>
      <c r="C23" s="63">
        <f>'MSW21'!C23</f>
        <v>6</v>
      </c>
      <c r="D23" s="83" t="str">
        <f>'MSW21'!D23</f>
        <v>1 MIN</v>
      </c>
      <c r="E23" s="84" t="str">
        <f>'MSW21'!E23</f>
        <v/>
      </c>
      <c r="F23" s="85" t="str">
        <f>'MSW21'!F23</f>
        <v/>
      </c>
      <c r="H23" s="244">
        <f>'MSW21'!H23</f>
        <v>1</v>
      </c>
      <c r="I23" s="241">
        <f>'MSW21'!I23</f>
        <v>0</v>
      </c>
      <c r="J23" s="63">
        <f>'MSW21'!J23</f>
        <v>6</v>
      </c>
      <c r="K23" s="83" t="str">
        <f>'MSW21'!K23</f>
        <v>1 MIN</v>
      </c>
      <c r="L23" s="84" t="str">
        <f>'MSW21'!L23</f>
        <v/>
      </c>
      <c r="M23" s="85" t="str">
        <f>'MSW21'!M23</f>
        <v/>
      </c>
    </row>
    <row r="24">
      <c r="A24" s="240">
        <f>'MSW21'!A24</f>
        <v>2</v>
      </c>
      <c r="B24" s="241">
        <f>'MSW21'!B24</f>
        <v>0</v>
      </c>
      <c r="C24" s="241">
        <f>'MSW21'!C24</f>
        <v>1</v>
      </c>
      <c r="D24" s="83" t="str">
        <f>'MSW21'!D24</f>
        <v>1 MIN</v>
      </c>
      <c r="E24" s="84" t="str">
        <f>'MSW21'!E24</f>
        <v/>
      </c>
      <c r="F24" s="85" t="str">
        <f>'MSW21'!F24</f>
        <v/>
      </c>
      <c r="H24" s="240">
        <f>'MSW21'!H24</f>
        <v>2</v>
      </c>
      <c r="I24" s="241">
        <f>'MSW21'!I24</f>
        <v>0</v>
      </c>
      <c r="J24" s="241">
        <f>'MSW21'!J24</f>
        <v>1</v>
      </c>
      <c r="K24" s="83" t="str">
        <f>'MSW21'!K24</f>
        <v>1 MIN</v>
      </c>
      <c r="L24" s="84" t="str">
        <f>'MSW21'!L24</f>
        <v/>
      </c>
      <c r="M24" s="85" t="str">
        <f>'MSW21'!M24</f>
        <v/>
      </c>
    </row>
    <row r="25">
      <c r="A25" s="240">
        <f>'MSW21'!A25</f>
        <v>3</v>
      </c>
      <c r="B25" s="241">
        <f>'MSW21'!B25</f>
        <v>0</v>
      </c>
      <c r="C25" s="63">
        <f>'MSW21'!C25</f>
        <v>1</v>
      </c>
      <c r="D25" s="83" t="str">
        <f>'MSW21'!D25</f>
        <v>1 MIN</v>
      </c>
      <c r="E25" s="84" t="str">
        <f>'MSW21'!E25</f>
        <v/>
      </c>
      <c r="F25" s="85" t="str">
        <f>'MSW21'!F25</f>
        <v/>
      </c>
      <c r="H25" s="240">
        <f>'MSW21'!H25</f>
        <v>3</v>
      </c>
      <c r="I25" s="241">
        <f>'MSW21'!I25</f>
        <v>0</v>
      </c>
      <c r="J25" s="241">
        <f>'MSW21'!J25</f>
        <v>1</v>
      </c>
      <c r="K25" s="83" t="str">
        <f>'MSW21'!K25</f>
        <v>1 MIN</v>
      </c>
      <c r="L25" s="84" t="str">
        <f>'MSW21'!L25</f>
        <v/>
      </c>
      <c r="M25" s="85" t="str">
        <f>'MSW21'!M25</f>
        <v/>
      </c>
    </row>
    <row r="26">
      <c r="A26" s="240">
        <f>'MSW21'!A26</f>
        <v>4</v>
      </c>
      <c r="B26" s="241">
        <f>'MSW21'!B26</f>
        <v>0</v>
      </c>
      <c r="C26" s="245" t="str">
        <f>'MSW21'!C26</f>
        <v>REP OUT</v>
      </c>
      <c r="D26" s="83" t="str">
        <f>'MSW21'!D26</f>
        <v>1 MIN</v>
      </c>
      <c r="E26" s="84" t="str">
        <f>'MSW21'!E26</f>
        <v/>
      </c>
      <c r="F26" s="85" t="str">
        <f>'MSW21'!F26</f>
        <v/>
      </c>
      <c r="H26" s="240">
        <f>'MSW21'!H26</f>
        <v>4</v>
      </c>
      <c r="I26" s="241">
        <f>'MSW21'!I26</f>
        <v>0</v>
      </c>
      <c r="J26" s="245" t="str">
        <f>'MSW21'!J26</f>
        <v>REP OUT</v>
      </c>
      <c r="K26" s="83" t="str">
        <f>'MSW21'!K26</f>
        <v>1 MIN</v>
      </c>
      <c r="L26" s="84" t="str">
        <f>'MSW21'!L26</f>
        <v/>
      </c>
      <c r="M26" s="85" t="str">
        <f>'MSW21'!M26</f>
        <v/>
      </c>
    </row>
    <row r="27">
      <c r="A27" s="248" t="str">
        <f>'MSW21'!A27</f>
        <v>PROCEED TO DOWNSETS</v>
      </c>
      <c r="F27" s="28"/>
      <c r="G27" s="247" t="str">
        <f>'MSW21'!G27</f>
        <v>ALTERNATE</v>
      </c>
      <c r="H27" s="248" t="str">
        <f>'MSW21'!H27</f>
        <v>PROCEED TO DOWNSETS</v>
      </c>
      <c r="M27" s="28"/>
    </row>
    <row r="28">
      <c r="A28" s="251" t="str">
        <f>'MSW21'!A28</f>
        <v/>
      </c>
      <c r="B28" s="252" t="str">
        <f>'MSW21'!B28</f>
        <v/>
      </c>
      <c r="C28" s="253" t="str">
        <f>'MSW21'!C28</f>
        <v/>
      </c>
      <c r="D28" s="254" t="str">
        <f>'MSW21'!D28</f>
        <v/>
      </c>
      <c r="E28" s="84" t="str">
        <f>'MSW21'!E28</f>
        <v/>
      </c>
      <c r="F28" s="67" t="str">
        <f>'MSW21'!F28</f>
        <v/>
      </c>
      <c r="H28" s="251" t="str">
        <f>'MSW21'!H28</f>
        <v/>
      </c>
      <c r="I28" s="252" t="str">
        <f>'MSW21'!I28</f>
        <v/>
      </c>
      <c r="J28" s="253" t="str">
        <f>'MSW21'!J28</f>
        <v/>
      </c>
      <c r="K28" s="254" t="str">
        <f>'MSW21'!K28</f>
        <v/>
      </c>
      <c r="L28" s="84" t="str">
        <f>'MSW21'!L28</f>
        <v/>
      </c>
      <c r="M28" s="67" t="str">
        <f>'MSW21'!M28</f>
        <v/>
      </c>
    </row>
    <row r="29">
      <c r="A29" s="260" t="str">
        <f>'MSW21'!A29</f>
        <v>FILL OUT REP LOG FIRST</v>
      </c>
      <c r="B29" s="16"/>
      <c r="C29" s="16"/>
      <c r="D29" s="16"/>
      <c r="E29" s="16"/>
      <c r="F29" s="230"/>
      <c r="G29" s="141" t="str">
        <f>'MSW21'!G29</f>
        <v/>
      </c>
      <c r="H29" s="260" t="str">
        <f>'MSW21'!H29</f>
        <v>FILL OUT REP LOG FIRST</v>
      </c>
      <c r="I29" s="16"/>
      <c r="J29" s="16"/>
      <c r="K29" s="16"/>
      <c r="L29" s="16"/>
      <c r="M29" s="230"/>
    </row>
    <row r="30">
      <c r="A30" s="545" t="str">
        <f>'MSW21'!A30</f>
        <v/>
      </c>
      <c r="B30" s="261" t="str">
        <f>'MSW21'!B30</f>
        <v/>
      </c>
      <c r="C30" s="262" t="str">
        <f>'MSW21'!C30</f>
        <v/>
      </c>
      <c r="D30" s="65" t="str">
        <f>'MSW21'!D30</f>
        <v/>
      </c>
      <c r="E30" s="84" t="str">
        <f>'MSW21'!E30</f>
        <v/>
      </c>
      <c r="F30" s="263" t="str">
        <f>'MSW21'!F30</f>
        <v/>
      </c>
      <c r="H30" s="91" t="str">
        <f>'MSW21'!H30</f>
        <v/>
      </c>
      <c r="I30" s="261" t="str">
        <f>'MSW21'!I30</f>
        <v/>
      </c>
      <c r="J30" s="262" t="str">
        <f>'MSW21'!J30</f>
        <v/>
      </c>
      <c r="K30" s="65" t="str">
        <f>'MSW21'!K30</f>
        <v/>
      </c>
      <c r="L30" s="84" t="str">
        <f>'MSW21'!L30</f>
        <v/>
      </c>
      <c r="M30" s="263" t="str">
        <f>'MSW21'!M30</f>
        <v/>
      </c>
    </row>
    <row r="31">
      <c r="A31" s="546" t="str">
        <f>'MSW21'!A31</f>
        <v/>
      </c>
      <c r="B31" s="254" t="str">
        <f>'MSW21'!B31</f>
        <v/>
      </c>
      <c r="C31" s="253" t="str">
        <f>'MSW21'!C31</f>
        <v/>
      </c>
      <c r="D31" s="65" t="str">
        <f>'MSW21'!D31</f>
        <v/>
      </c>
      <c r="E31" s="84" t="str">
        <f>'MSW21'!E31</f>
        <v/>
      </c>
      <c r="F31" s="270" t="str">
        <f>'MSW21'!F31</f>
        <v/>
      </c>
      <c r="H31" s="269" t="str">
        <f>'MSW21'!H31</f>
        <v/>
      </c>
      <c r="I31" s="254" t="str">
        <f>'MSW21'!I31</f>
        <v/>
      </c>
      <c r="J31" s="253" t="str">
        <f>'MSW21'!J31</f>
        <v/>
      </c>
      <c r="K31" s="65" t="str">
        <f>'MSW21'!K31</f>
        <v/>
      </c>
      <c r="L31" s="84" t="str">
        <f>'MSW21'!L31</f>
        <v/>
      </c>
      <c r="M31" s="270" t="str">
        <f>'MSW21'!M31</f>
        <v/>
      </c>
    </row>
    <row r="32">
      <c r="A32" s="546" t="str">
        <f>'MSW21'!A32</f>
        <v/>
      </c>
      <c r="B32" s="254" t="str">
        <f>'MSW21'!B32</f>
        <v/>
      </c>
      <c r="C32" s="253" t="str">
        <f>'MSW21'!C32</f>
        <v/>
      </c>
      <c r="D32" s="65" t="str">
        <f>'MSW21'!D32</f>
        <v/>
      </c>
      <c r="E32" s="84" t="str">
        <f>'MSW21'!E32</f>
        <v/>
      </c>
      <c r="F32" s="270" t="str">
        <f>'MSW21'!F32</f>
        <v/>
      </c>
      <c r="H32" s="269" t="str">
        <f>'MSW21'!H32</f>
        <v/>
      </c>
      <c r="I32" s="254" t="str">
        <f>'MSW21'!I32</f>
        <v/>
      </c>
      <c r="J32" s="253" t="str">
        <f>'MSW21'!J32</f>
        <v/>
      </c>
      <c r="K32" s="65" t="str">
        <f>'MSW21'!K32</f>
        <v/>
      </c>
      <c r="L32" s="84" t="str">
        <f>'MSW21'!L32</f>
        <v/>
      </c>
      <c r="M32" s="270" t="str">
        <f>'MSW21'!M32</f>
        <v/>
      </c>
    </row>
    <row r="33">
      <c r="A33" s="546" t="str">
        <f>'MSW21'!A33</f>
        <v/>
      </c>
      <c r="B33" s="254" t="str">
        <f>'MSW21'!B33</f>
        <v/>
      </c>
      <c r="C33" s="253" t="str">
        <f>'MSW21'!C33</f>
        <v/>
      </c>
      <c r="D33" s="65" t="str">
        <f>'MSW21'!D33</f>
        <v/>
      </c>
      <c r="E33" s="84" t="str">
        <f>'MSW21'!E33</f>
        <v/>
      </c>
      <c r="F33" s="270" t="str">
        <f>'MSW21'!F33</f>
        <v/>
      </c>
      <c r="H33" s="269" t="str">
        <f>'MSW21'!H33</f>
        <v/>
      </c>
      <c r="I33" s="254" t="str">
        <f>'MSW21'!I33</f>
        <v/>
      </c>
      <c r="J33" s="253" t="str">
        <f>'MSW21'!J33</f>
        <v/>
      </c>
      <c r="K33" s="65" t="str">
        <f>'MSW21'!K33</f>
        <v/>
      </c>
      <c r="L33" s="84" t="str">
        <f>'MSW21'!L33</f>
        <v/>
      </c>
      <c r="M33" s="270" t="str">
        <f>'MSW21'!M33</f>
        <v/>
      </c>
    </row>
    <row r="34">
      <c r="A34" s="280" t="str">
        <f>'MSW21'!A34</f>
        <v>FINAL MAX</v>
      </c>
      <c r="B34" s="273" t="str">
        <f>'MSW21'!B34</f>
        <v/>
      </c>
      <c r="C34" s="11"/>
      <c r="D34" s="11"/>
      <c r="E34" s="11"/>
      <c r="F34" s="46"/>
      <c r="H34" s="280" t="str">
        <f>'MSW21'!H34</f>
        <v>FINAL MAX</v>
      </c>
      <c r="I34" s="273" t="str">
        <f>'MSW21'!I34</f>
        <v/>
      </c>
      <c r="J34" s="11"/>
      <c r="K34" s="11"/>
      <c r="L34" s="11"/>
      <c r="M34" s="46"/>
    </row>
    <row r="35">
      <c r="A35" s="658" t="str">
        <f>'MSW21'!A35</f>
        <v/>
      </c>
    </row>
    <row r="37">
      <c r="A37" s="440" t="str">
        <f>'MSW21'!A37</f>
        <v>2. DUMBBELL CHEST FLY</v>
      </c>
      <c r="B37" s="53"/>
      <c r="C37" s="53"/>
      <c r="D37" s="53"/>
      <c r="E37" s="53"/>
      <c r="F37" s="54"/>
      <c r="G37" s="659" t="str">
        <f>'MSW21'!G37</f>
        <v/>
      </c>
      <c r="H37" s="504" t="str">
        <f>'MSW21'!H37</f>
        <v>2. MACHINE CHEST FLY</v>
      </c>
      <c r="I37" s="53"/>
      <c r="J37" s="53"/>
      <c r="K37" s="53"/>
      <c r="L37" s="53"/>
      <c r="M37" s="54"/>
    </row>
    <row r="38">
      <c r="A38" s="226" t="str">
        <f>'MSW21'!A38</f>
        <v>DB INCL PRSS MAX</v>
      </c>
      <c r="B38" s="548" t="str">
        <f>'MSW21'!B38</f>
        <v/>
      </c>
      <c r="C38" s="13"/>
      <c r="D38" s="13"/>
      <c r="E38" s="13"/>
      <c r="F38" s="57"/>
      <c r="G38" s="247" t="str">
        <f>'MSW21'!G38</f>
        <v>ALTERNATE</v>
      </c>
      <c r="H38" s="226" t="str">
        <f>'MSW21'!H38</f>
        <v>DB INCL PRSS MAX</v>
      </c>
      <c r="I38" s="548" t="str">
        <f>'MSW21'!I38</f>
        <v/>
      </c>
      <c r="J38" s="13"/>
      <c r="K38" s="13"/>
      <c r="L38" s="13"/>
      <c r="M38" s="57"/>
    </row>
    <row r="39">
      <c r="A39" s="96" t="str">
        <f>'MSW21'!A39</f>
        <v>SET</v>
      </c>
      <c r="B39" s="97" t="str">
        <f>'MSW21'!B39</f>
        <v>WEIGHT</v>
      </c>
      <c r="C39" s="97" t="str">
        <f>'MSW21'!C39</f>
        <v>REPS</v>
      </c>
      <c r="D39" s="97" t="str">
        <f>'MSW21'!D39</f>
        <v>REST</v>
      </c>
      <c r="E39" s="98" t="str">
        <f>'MSW21'!E39</f>
        <v>PREVIOUS</v>
      </c>
      <c r="F39" s="235" t="str">
        <f>'MSW21'!F39</f>
        <v>REP LOG</v>
      </c>
      <c r="H39" s="96" t="str">
        <f>'MSW21'!H39</f>
        <v>SET</v>
      </c>
      <c r="I39" s="97" t="str">
        <f>'MSW21'!I39</f>
        <v>WEIGHT</v>
      </c>
      <c r="J39" s="97" t="str">
        <f>'MSW21'!J39</f>
        <v>REPS</v>
      </c>
      <c r="K39" s="97" t="str">
        <f>'MSW21'!K39</f>
        <v>REST</v>
      </c>
      <c r="L39" s="341" t="str">
        <f>'MSW21'!L39</f>
        <v>PREVIOUS</v>
      </c>
      <c r="M39" s="235" t="str">
        <f>'MSW21'!M39</f>
        <v>REP LOG</v>
      </c>
    </row>
    <row r="40">
      <c r="A40" s="240">
        <f>'MSW21'!A40</f>
        <v>1</v>
      </c>
      <c r="B40" s="254">
        <f>'MSW21'!B40</f>
        <v>0</v>
      </c>
      <c r="C40" s="241">
        <f>'MSW21'!C40</f>
        <v>15</v>
      </c>
      <c r="D40" s="83" t="str">
        <f>'MSW21'!D40</f>
        <v>1 MIN</v>
      </c>
      <c r="E40" s="84" t="str">
        <f>'MSW21'!E40</f>
        <v/>
      </c>
      <c r="F40" s="85" t="str">
        <f>'MSW21'!F40</f>
        <v/>
      </c>
      <c r="G40" s="659" t="str">
        <f>'MSW21'!G40</f>
        <v/>
      </c>
      <c r="H40" s="240">
        <f>'MSW21'!H40</f>
        <v>1</v>
      </c>
      <c r="I40" s="254">
        <f>'MSW21'!I40</f>
        <v>0</v>
      </c>
      <c r="J40" s="241">
        <f>'MSW21'!J40</f>
        <v>15</v>
      </c>
      <c r="K40" s="83" t="str">
        <f>'MSW21'!K40</f>
        <v>1 MIN</v>
      </c>
      <c r="L40" s="84" t="str">
        <f>'MSW21'!L40</f>
        <v/>
      </c>
      <c r="M40" s="85" t="str">
        <f>'MSW21'!M40</f>
        <v/>
      </c>
    </row>
    <row r="41">
      <c r="A41" s="661">
        <f>'MSW21'!A41</f>
        <v>2</v>
      </c>
      <c r="B41" s="662">
        <f>'MSW21'!B41</f>
        <v>0</v>
      </c>
      <c r="C41" s="69">
        <f>'MSW21'!C41</f>
        <v>15</v>
      </c>
      <c r="D41" s="88" t="str">
        <f>'MSW21'!D41</f>
        <v>1 MIN</v>
      </c>
      <c r="E41" s="89" t="str">
        <f>'MSW21'!E41</f>
        <v/>
      </c>
      <c r="F41" s="85" t="str">
        <f>'MSW21'!F41</f>
        <v/>
      </c>
      <c r="H41" s="661">
        <f>'MSW21'!H41</f>
        <v>2</v>
      </c>
      <c r="I41" s="662">
        <f>'MSW21'!I41</f>
        <v>0</v>
      </c>
      <c r="J41" s="662">
        <f>'MSW21'!J41</f>
        <v>15</v>
      </c>
      <c r="K41" s="88" t="str">
        <f>'MSW21'!K41</f>
        <v>1 MIN</v>
      </c>
      <c r="L41" s="89" t="str">
        <f>'MSW21'!L41</f>
        <v/>
      </c>
      <c r="M41" s="85" t="str">
        <f>'MSW21'!M41</f>
        <v/>
      </c>
    </row>
    <row r="42">
      <c r="A42" t="str">
        <f>'MSW21'!A42</f>
        <v/>
      </c>
      <c r="G42" t="str">
        <f>'MSW21'!G42</f>
        <v/>
      </c>
    </row>
    <row r="44">
      <c r="A44" s="73" t="str">
        <f>'MSW21'!A44</f>
        <v>3. LAT PULL DOWN</v>
      </c>
      <c r="B44" s="53"/>
      <c r="C44" s="53"/>
      <c r="D44" s="53"/>
      <c r="E44" s="53"/>
      <c r="F44" s="54"/>
    </row>
    <row r="45">
      <c r="A45" s="226" t="str">
        <f>'MSW21'!A45</f>
        <v>CURRENT MAX</v>
      </c>
      <c r="B45" s="227" t="str">
        <f>'MSW21'!B45</f>
        <v/>
      </c>
      <c r="C45" s="20"/>
      <c r="D45" s="20"/>
      <c r="E45" s="20"/>
      <c r="F45" s="95"/>
    </row>
    <row r="46">
      <c r="A46" s="231" t="str">
        <f>'MSW21'!A46</f>
        <v>SET</v>
      </c>
      <c r="B46" s="232" t="str">
        <f>'MSW21'!B46</f>
        <v>WEIGHT</v>
      </c>
      <c r="C46" s="232" t="str">
        <f>'MSW21'!C46</f>
        <v>REPS</v>
      </c>
      <c r="D46" s="232" t="str">
        <f>'MSW21'!D46</f>
        <v>REST</v>
      </c>
      <c r="E46" s="233" t="str">
        <f>'MSW21'!E46</f>
        <v>PREVIOUS</v>
      </c>
      <c r="F46" s="286" t="str">
        <f>'MSW21'!F46</f>
        <v>REP LOG</v>
      </c>
    </row>
    <row r="47">
      <c r="A47" s="236">
        <f>'MSW21'!A47</f>
        <v>1</v>
      </c>
      <c r="B47" s="237">
        <f>'MSW21'!B47</f>
        <v>0</v>
      </c>
      <c r="C47" s="238">
        <f>'MSW21'!C47</f>
        <v>6</v>
      </c>
      <c r="D47" s="238" t="str">
        <f>'MSW21'!D47</f>
        <v>30s</v>
      </c>
      <c r="E47" s="84" t="str">
        <f>'MSW21'!E47</f>
        <v/>
      </c>
      <c r="F47" s="67" t="str">
        <f>'MSW21'!F47</f>
        <v/>
      </c>
    </row>
    <row r="48">
      <c r="A48" s="236">
        <f>'MSW21'!A48</f>
        <v>2</v>
      </c>
      <c r="B48" s="237">
        <f>'MSW21'!B48</f>
        <v>0</v>
      </c>
      <c r="C48" s="238">
        <f>'MSW21'!C48</f>
        <v>3</v>
      </c>
      <c r="D48" s="238" t="str">
        <f>'MSW21'!D48</f>
        <v>1-2 MIN</v>
      </c>
      <c r="E48" s="84" t="str">
        <f>'MSW21'!E48</f>
        <v/>
      </c>
      <c r="F48" s="67" t="str">
        <f>'MSW21'!F48</f>
        <v/>
      </c>
    </row>
    <row r="49">
      <c r="A49" s="242">
        <f>'MSW21'!A49</f>
        <v>3</v>
      </c>
      <c r="B49" s="237">
        <f>'MSW21'!B49</f>
        <v>0</v>
      </c>
      <c r="C49" s="63">
        <f>'MSW21'!C49</f>
        <v>2</v>
      </c>
      <c r="D49" s="238" t="str">
        <f>'MSW21'!D49</f>
        <v>1-2 MIN</v>
      </c>
      <c r="E49" s="84" t="str">
        <f>'MSW21'!E49</f>
        <v/>
      </c>
      <c r="F49" s="67" t="str">
        <f>'MSW21'!F49</f>
        <v/>
      </c>
    </row>
    <row r="50">
      <c r="A50" s="243">
        <f>'MSW21'!A50</f>
        <v>4</v>
      </c>
      <c r="B50" s="237" t="str">
        <f>'MSW21'!B50</f>
        <v/>
      </c>
      <c r="C50" s="257">
        <f>'MSW21'!C50</f>
        <v>3</v>
      </c>
      <c r="D50" s="238" t="str">
        <f>'MSW21'!D50</f>
        <v>1-5 MIN</v>
      </c>
      <c r="E50" s="84" t="str">
        <f>'MSW21'!E50</f>
        <v/>
      </c>
      <c r="F50" s="665" t="str">
        <f>'MSW21'!F50</f>
        <v/>
      </c>
    </row>
    <row r="51">
      <c r="A51" s="246" t="str">
        <f>'MSW21'!A51</f>
        <v>PROCEED TO DOWN SETS</v>
      </c>
      <c r="B51" s="20"/>
      <c r="C51" s="20"/>
      <c r="D51" s="20"/>
      <c r="E51" s="20"/>
      <c r="F51" s="95"/>
    </row>
    <row r="52">
      <c r="A52" s="249" t="str">
        <f>'MSW21'!A52</f>
        <v/>
      </c>
      <c r="B52" s="175" t="str">
        <f>'MSW21'!B52</f>
        <v/>
      </c>
      <c r="C52" s="238" t="str">
        <f>'MSW21'!C52</f>
        <v/>
      </c>
      <c r="D52" s="238" t="str">
        <f>'MSW21'!D52</f>
        <v/>
      </c>
      <c r="E52" s="84" t="str">
        <f>'MSW21'!E52</f>
        <v/>
      </c>
      <c r="F52" s="271" t="str">
        <f>'MSW21'!F52</f>
        <v/>
      </c>
    </row>
    <row r="53">
      <c r="A53" s="256" t="str">
        <f>'MSW21'!A53</f>
        <v/>
      </c>
      <c r="B53" s="237" t="str">
        <f>'MSW21'!B53</f>
        <v/>
      </c>
      <c r="C53" s="257" t="str">
        <f>'MSW21'!C53</f>
        <v/>
      </c>
      <c r="D53" s="257" t="str">
        <f>'MSW21'!D53</f>
        <v/>
      </c>
      <c r="E53" s="84" t="str">
        <f>'MSW21'!E53</f>
        <v/>
      </c>
      <c r="F53" s="665" t="str">
        <f>'MSW21'!F53</f>
        <v/>
      </c>
    </row>
    <row r="54">
      <c r="A54" s="246" t="str">
        <f>'MSW21'!A54</f>
        <v>FILL OUT REP LOG FOR DOWN SETS</v>
      </c>
      <c r="B54" s="20"/>
      <c r="C54" s="20"/>
      <c r="D54" s="20"/>
      <c r="E54" s="20"/>
      <c r="F54" s="95"/>
    </row>
    <row r="55">
      <c r="A55" s="264" t="str">
        <f>'MSW21'!A55</f>
        <v/>
      </c>
      <c r="B55" s="265">
        <f>'MSW21'!B55</f>
        <v>0</v>
      </c>
      <c r="C55" s="266" t="str">
        <f>'MSW21'!C55</f>
        <v>REP OUT</v>
      </c>
      <c r="D55" s="267" t="str">
        <f>'MSW21'!D55</f>
        <v>1-3 MIN</v>
      </c>
      <c r="E55" s="84" t="str">
        <f>'MSW21'!E55</f>
        <v/>
      </c>
      <c r="F55" s="271" t="str">
        <f>'MSW21'!F55</f>
        <v/>
      </c>
    </row>
    <row r="56">
      <c r="A56" s="243" t="str">
        <f>'MSW21'!A56</f>
        <v/>
      </c>
      <c r="B56" s="237">
        <f>'MSW21'!B56</f>
        <v>0</v>
      </c>
      <c r="C56" s="245" t="str">
        <f>'MSW21'!C56</f>
        <v>REP OUT</v>
      </c>
      <c r="D56" s="65" t="str">
        <f>'MSW21'!D56</f>
        <v>1-3 MIN</v>
      </c>
      <c r="E56" s="84" t="str">
        <f>'MSW21'!E56</f>
        <v/>
      </c>
      <c r="F56" s="271" t="str">
        <f>'MSW21'!F56</f>
        <v/>
      </c>
    </row>
    <row r="57">
      <c r="A57" s="272" t="str">
        <f>'MSW21'!A57</f>
        <v>FINAL MAX</v>
      </c>
      <c r="B57" s="273" t="str">
        <f>'MSW21'!B57</f>
        <v/>
      </c>
      <c r="C57" s="11"/>
      <c r="D57" s="11"/>
      <c r="E57" s="11"/>
      <c r="F57" s="46"/>
    </row>
    <row r="58">
      <c r="A58" s="302" t="str">
        <f>'MSW21'!A58</f>
        <v/>
      </c>
    </row>
    <row r="60">
      <c r="A60" s="73" t="str">
        <f>'MSW21'!A60</f>
        <v>4. MACHINE LOW ROW</v>
      </c>
      <c r="B60" s="53"/>
      <c r="C60" s="53"/>
      <c r="D60" s="53"/>
      <c r="E60" s="53"/>
      <c r="F60" s="54"/>
    </row>
    <row r="61">
      <c r="A61" s="282" t="str">
        <f>'MSW21'!A61</f>
        <v>CURRENT MAX</v>
      </c>
      <c r="B61" s="56">
        <f>'MSW21'!B61</f>
        <v>270</v>
      </c>
      <c r="C61" s="13"/>
      <c r="D61" s="13"/>
      <c r="E61" s="13"/>
      <c r="F61" s="57"/>
    </row>
    <row r="62">
      <c r="A62" s="58" t="str">
        <f>'MSW21'!A62</f>
        <v>SET</v>
      </c>
      <c r="B62" s="59" t="str">
        <f>'MSW21'!B62</f>
        <v>WEIGHT</v>
      </c>
      <c r="C62" s="59" t="str">
        <f>'MSW21'!C62</f>
        <v>REPS</v>
      </c>
      <c r="D62" s="59" t="str">
        <f>'MSW21'!D62</f>
        <v>REST</v>
      </c>
      <c r="E62" s="584" t="str">
        <f>'MSW21'!E62</f>
        <v>PREVIOUS</v>
      </c>
      <c r="F62" s="286" t="str">
        <f>'MSW21'!F62</f>
        <v>REP LOG</v>
      </c>
    </row>
    <row r="63">
      <c r="A63" s="62">
        <f>'MSW21'!A63</f>
        <v>1</v>
      </c>
      <c r="B63" s="63">
        <f>'MSW21'!B63</f>
        <v>245</v>
      </c>
      <c r="C63" s="104" t="str">
        <f>'MSW21'!C63</f>
        <v>REP OUT</v>
      </c>
      <c r="D63" s="65" t="str">
        <f>'MSW21'!D63</f>
        <v>1 MIN</v>
      </c>
      <c r="E63" s="84" t="str">
        <f>'MSW21'!E63</f>
        <v/>
      </c>
      <c r="F63" s="67" t="str">
        <f>'MSW21'!F63</f>
        <v/>
      </c>
    </row>
    <row r="64">
      <c r="A64" s="62">
        <f>'MSW21'!A64</f>
        <v>2</v>
      </c>
      <c r="B64" s="63">
        <f>'MSW21'!B64</f>
        <v>215</v>
      </c>
      <c r="C64" s="104" t="str">
        <f>'MSW21'!C64</f>
        <v>REP OUT</v>
      </c>
      <c r="D64" s="65" t="str">
        <f>'MSW21'!D64</f>
        <v>1 MIN</v>
      </c>
      <c r="E64" s="84" t="str">
        <f>'MSW21'!E64</f>
        <v/>
      </c>
      <c r="F64" s="67" t="str">
        <f>'MSW21'!F64</f>
        <v/>
      </c>
    </row>
    <row r="65">
      <c r="A65" s="68">
        <f>'MSW21'!A65</f>
        <v>3</v>
      </c>
      <c r="B65" s="69">
        <f>'MSW21'!B65</f>
        <v>185</v>
      </c>
      <c r="C65" s="105" t="str">
        <f>'MSW21'!C65</f>
        <v>REP OUT</v>
      </c>
      <c r="D65" s="71" t="str">
        <f>'MSW21'!D65</f>
        <v>1 MIN</v>
      </c>
      <c r="E65" s="89" t="str">
        <f>'MSW21'!E65</f>
        <v/>
      </c>
      <c r="F65" s="67" t="str">
        <f>'MSW21'!F65</f>
        <v/>
      </c>
    </row>
    <row r="66">
      <c r="A66" s="103" t="str">
        <f>'MSW21'!A66</f>
        <v/>
      </c>
    </row>
    <row r="68">
      <c r="A68" s="73" t="str">
        <f>'MSW21'!A68</f>
        <v>5. MACHINE HIGH ROW</v>
      </c>
      <c r="B68" s="53"/>
      <c r="C68" s="53"/>
      <c r="D68" s="53"/>
      <c r="E68" s="53"/>
      <c r="F68" s="54"/>
    </row>
    <row r="69">
      <c r="A69" s="282" t="str">
        <f>'MSW21'!A69</f>
        <v>CURRENT MAX</v>
      </c>
      <c r="B69" s="56" t="str">
        <f>'MSW21'!B69</f>
        <v/>
      </c>
      <c r="C69" s="13"/>
      <c r="D69" s="13"/>
      <c r="E69" s="13"/>
      <c r="F69" s="57"/>
    </row>
    <row r="70">
      <c r="A70" s="58" t="str">
        <f>'MSW21'!A70</f>
        <v>SET</v>
      </c>
      <c r="B70" s="59" t="str">
        <f>'MSW21'!B70</f>
        <v>WEIGHT</v>
      </c>
      <c r="C70" s="59" t="str">
        <f>'MSW21'!C70</f>
        <v>REPS</v>
      </c>
      <c r="D70" s="59" t="str">
        <f>'MSW21'!D70</f>
        <v>REST</v>
      </c>
      <c r="E70" s="584" t="str">
        <f>'MSW21'!E70</f>
        <v>PREVIOUS</v>
      </c>
      <c r="F70" s="286" t="str">
        <f>'MSW21'!F70</f>
        <v>REP LOG</v>
      </c>
    </row>
    <row r="71">
      <c r="A71" s="62">
        <f>'MSW21'!A71</f>
        <v>1</v>
      </c>
      <c r="B71" s="63">
        <f>'MSW21'!B71</f>
        <v>0</v>
      </c>
      <c r="C71" s="104" t="str">
        <f>'MSW21'!C71</f>
        <v>REP OUT</v>
      </c>
      <c r="D71" s="65" t="str">
        <f>'MSW21'!D71</f>
        <v>1 MIN</v>
      </c>
      <c r="E71" s="84">
        <f>'MSW21'!E71</f>
        <v>15</v>
      </c>
      <c r="F71" s="67" t="str">
        <f>'MSW21'!F71</f>
        <v/>
      </c>
    </row>
    <row r="72">
      <c r="A72" s="62">
        <f>'MSW21'!A72</f>
        <v>2</v>
      </c>
      <c r="B72" s="63">
        <f>'MSW21'!B72</f>
        <v>0</v>
      </c>
      <c r="C72" s="104" t="str">
        <f>'MSW21'!C72</f>
        <v>REP OUT</v>
      </c>
      <c r="D72" s="65" t="str">
        <f>'MSW21'!D72</f>
        <v>1 MIN</v>
      </c>
      <c r="E72" s="84">
        <f>'MSW21'!E72</f>
        <v>15</v>
      </c>
      <c r="F72" s="67" t="str">
        <f>'MSW21'!F72</f>
        <v/>
      </c>
    </row>
    <row r="73">
      <c r="A73" s="68">
        <f>'MSW21'!A73</f>
        <v>3</v>
      </c>
      <c r="B73" s="87">
        <f>'MSW21'!B73</f>
        <v>0</v>
      </c>
      <c r="C73" s="105" t="str">
        <f>'MSW21'!C73</f>
        <v>REP OUT</v>
      </c>
      <c r="D73" s="309" t="str">
        <f>'MSW21'!D73</f>
        <v>1 MIN</v>
      </c>
      <c r="E73" s="89">
        <f>'MSW21'!E73</f>
        <v>15</v>
      </c>
      <c r="F73" s="67" t="str">
        <f>'MSW21'!F73</f>
        <v/>
      </c>
    </row>
    <row r="74">
      <c r="A74" t="str">
        <f>'MSW21'!A74</f>
        <v/>
      </c>
    </row>
    <row r="76">
      <c r="A76" s="310" t="str">
        <f>'MSW21'!A76</f>
        <v>CLICK TO COMPLETE WORKOUT</v>
      </c>
      <c r="B76" s="36"/>
      <c r="C76" s="36"/>
      <c r="D76" s="36"/>
      <c r="E76" s="36"/>
      <c r="F76" s="37"/>
    </row>
    <row r="77">
      <c r="A77" t="str">
        <f>'MSW21'!A77</f>
        <v/>
      </c>
    </row>
    <row r="78">
      <c r="A78" s="224" t="str">
        <f>'MSW21'!A78</f>
        <v>DAY 2 </v>
      </c>
      <c r="B78" s="36"/>
      <c r="C78" s="36"/>
      <c r="D78" s="36"/>
      <c r="E78" s="36"/>
      <c r="F78" s="37"/>
    </row>
    <row r="79">
      <c r="A79" t="str">
        <f>'MSW21'!A79</f>
        <v/>
      </c>
    </row>
    <row r="81">
      <c r="A81" s="960" t="str">
        <f>'MSW21'!A81</f>
        <v>1. LEG PRESS</v>
      </c>
      <c r="B81" s="53"/>
      <c r="C81" s="53"/>
      <c r="D81" s="53"/>
      <c r="E81" s="53"/>
      <c r="F81" s="54"/>
    </row>
    <row r="82">
      <c r="A82" s="1262" t="str">
        <f>'MSW21'!A82</f>
        <v>CURRENT MAX</v>
      </c>
      <c r="B82" s="1463">
        <f>'MSW21'!B82</f>
        <v>250</v>
      </c>
      <c r="F82" s="28"/>
    </row>
    <row r="83">
      <c r="A83" s="231" t="str">
        <f>'MSW21'!A83</f>
        <v>SET</v>
      </c>
      <c r="B83" s="232" t="str">
        <f>'MSW21'!B83</f>
        <v>WEIGHT</v>
      </c>
      <c r="C83" s="232" t="str">
        <f>'MSW21'!C83</f>
        <v>REPS</v>
      </c>
      <c r="D83" s="232" t="str">
        <f>'MSW21'!D83</f>
        <v>REST</v>
      </c>
      <c r="E83" s="233" t="str">
        <f>'MSW21'!E83</f>
        <v>PREVIOUS</v>
      </c>
      <c r="F83" s="61" t="str">
        <f>'MSW21'!F83</f>
        <v>REP LOG</v>
      </c>
    </row>
    <row r="84">
      <c r="A84" s="236">
        <f>'MSW21'!A84</f>
        <v>1</v>
      </c>
      <c r="B84" s="237">
        <f>'MSW21'!B84</f>
        <v>90</v>
      </c>
      <c r="C84" s="238">
        <f>'MSW21'!C84</f>
        <v>10</v>
      </c>
      <c r="D84" s="238" t="str">
        <f>'MSW21'!D84</f>
        <v>30s</v>
      </c>
      <c r="E84" s="66" t="str">
        <f>'MSW21'!E84</f>
        <v/>
      </c>
      <c r="F84" s="67" t="str">
        <f>'MSW21'!F84</f>
        <v/>
      </c>
    </row>
    <row r="85">
      <c r="A85" s="236">
        <f>'MSW21'!A85</f>
        <v>2</v>
      </c>
      <c r="B85" s="237">
        <f>'MSW21'!B85</f>
        <v>165</v>
      </c>
      <c r="C85" s="238">
        <f>'MSW21'!C85</f>
        <v>10</v>
      </c>
      <c r="D85" s="238" t="str">
        <f>'MSW21'!D85</f>
        <v>1-2 MIN</v>
      </c>
      <c r="E85" s="66" t="str">
        <f>'MSW21'!E85</f>
        <v/>
      </c>
      <c r="F85" s="67" t="str">
        <f>'MSW21'!F85</f>
        <v/>
      </c>
    </row>
    <row r="86">
      <c r="A86" s="242">
        <f>'MSW21'!A86</f>
        <v>3</v>
      </c>
      <c r="B86" s="237">
        <f>'MSW21'!B86</f>
        <v>225</v>
      </c>
      <c r="C86" s="238">
        <f>'MSW21'!C86</f>
        <v>10</v>
      </c>
      <c r="D86" s="238" t="str">
        <f>'MSW21'!D86</f>
        <v>1-2 MIN</v>
      </c>
      <c r="E86" s="66" t="str">
        <f>'MSW21'!E86</f>
        <v/>
      </c>
      <c r="F86" s="67" t="str">
        <f>'MSW21'!F86</f>
        <v/>
      </c>
    </row>
    <row r="87">
      <c r="A87" s="249">
        <f>'MSW21'!A87</f>
        <v>4</v>
      </c>
      <c r="B87" s="175">
        <f>'MSW21'!B87</f>
        <v>220</v>
      </c>
      <c r="C87" s="238">
        <f>'MSW21'!C87</f>
        <v>10</v>
      </c>
      <c r="D87" s="238" t="str">
        <f>'MSW21'!D87</f>
        <v>1-5 MIN</v>
      </c>
      <c r="E87" s="66" t="str">
        <f>'MSW21'!E87</f>
        <v/>
      </c>
      <c r="F87" s="67" t="str">
        <f>'MSW21'!F87</f>
        <v/>
      </c>
    </row>
    <row r="88">
      <c r="A88" s="249">
        <f>'MSW21'!A88</f>
        <v>5</v>
      </c>
      <c r="B88" s="175">
        <f>'MSW21'!B88</f>
        <v>175</v>
      </c>
      <c r="C88" s="238">
        <f>'MSW21'!C88</f>
        <v>10</v>
      </c>
      <c r="D88" s="238" t="str">
        <f>'MSW21'!D88</f>
        <v>1-5 MIN</v>
      </c>
      <c r="E88" s="66" t="str">
        <f>'MSW21'!E88</f>
        <v/>
      </c>
      <c r="F88" s="1037" t="str">
        <f>'MSW21'!F88</f>
        <v/>
      </c>
    </row>
    <row r="89">
      <c r="A89" s="249">
        <f>'MSW21'!A89</f>
        <v>6</v>
      </c>
      <c r="B89" s="175">
        <f>'MSW21'!B89</f>
        <v>140</v>
      </c>
      <c r="C89" s="238">
        <f>'MSW21'!C89</f>
        <v>10</v>
      </c>
      <c r="D89" s="238" t="str">
        <f>'MSW21'!D89</f>
        <v>1-5 MIN</v>
      </c>
      <c r="E89" s="66" t="str">
        <f>'MSW21'!E89</f>
        <v/>
      </c>
      <c r="F89" s="67" t="str">
        <f>'MSW21'!F89</f>
        <v/>
      </c>
    </row>
    <row r="90">
      <c r="A90" s="1038">
        <f>'MSW21'!A90</f>
        <v>7</v>
      </c>
      <c r="B90" s="175">
        <f>'MSW21'!B90</f>
        <v>110</v>
      </c>
      <c r="C90" s="238">
        <f>'MSW21'!C90</f>
        <v>10</v>
      </c>
      <c r="D90" s="238" t="str">
        <f>'MSW21'!D90</f>
        <v>1-5 MIN</v>
      </c>
      <c r="E90" s="66" t="str">
        <f>'MSW21'!E90</f>
        <v/>
      </c>
      <c r="F90" s="67" t="str">
        <f>'MSW21'!F90</f>
        <v/>
      </c>
    </row>
    <row r="91">
      <c r="A91" s="249">
        <f>'MSW21'!A91</f>
        <v>8</v>
      </c>
      <c r="B91" s="175">
        <f>'MSW21'!B91</f>
        <v>90</v>
      </c>
      <c r="C91" s="238">
        <f>'MSW21'!C91</f>
        <v>10</v>
      </c>
      <c r="D91" s="238" t="str">
        <f>'MSW21'!D91</f>
        <v>1-5 MIN</v>
      </c>
      <c r="E91" s="66" t="str">
        <f>'MSW21'!E91</f>
        <v/>
      </c>
      <c r="F91" s="67" t="str">
        <f>'MSW21'!F91</f>
        <v/>
      </c>
    </row>
    <row r="92">
      <c r="A92" s="1038">
        <f>'MSW21'!A92</f>
        <v>9</v>
      </c>
      <c r="B92" s="175">
        <f>'MSW21'!B92</f>
        <v>70</v>
      </c>
      <c r="C92" s="238">
        <f>'MSW21'!C92</f>
        <v>10</v>
      </c>
      <c r="D92" s="238" t="str">
        <f>'MSW21'!D92</f>
        <v>1-5 MIN</v>
      </c>
      <c r="E92" s="66" t="str">
        <f>'MSW21'!E92</f>
        <v/>
      </c>
      <c r="F92" s="67" t="str">
        <f>'MSW21'!F92</f>
        <v/>
      </c>
    </row>
    <row r="93">
      <c r="A93" s="1038" t="str">
        <f>'MSW21'!A93</f>
        <v>10</v>
      </c>
      <c r="B93" s="175">
        <f>'MSW21'!B93</f>
        <v>55</v>
      </c>
      <c r="C93" s="238">
        <f>'MSW21'!C93</f>
        <v>10</v>
      </c>
      <c r="D93" s="238" t="str">
        <f>'MSW21'!D93</f>
        <v>1-5 MIN</v>
      </c>
      <c r="E93" s="66" t="str">
        <f>'MSW21'!E93</f>
        <v/>
      </c>
      <c r="F93" s="67" t="str">
        <f>'MSW21'!F93</f>
        <v/>
      </c>
    </row>
    <row r="94">
      <c r="A94" s="272" t="str">
        <f>'MSW21'!A94</f>
        <v>10 REP MAX</v>
      </c>
      <c r="B94" s="1109">
        <f>'MSW21'!B94</f>
        <v>250</v>
      </c>
      <c r="C94" s="11"/>
      <c r="D94" s="11"/>
      <c r="E94" s="11"/>
      <c r="F94" s="46"/>
    </row>
    <row r="95">
      <c r="A95" t="str">
        <f>'MSW21'!A95</f>
        <v/>
      </c>
    </row>
    <row r="97">
      <c r="A97" s="1285" t="str">
        <f>'MSW21'!A97</f>
        <v>2. LEG EXTENSION</v>
      </c>
      <c r="B97" s="53"/>
      <c r="C97" s="53"/>
      <c r="D97" s="53"/>
      <c r="E97" s="53"/>
      <c r="F97" s="54"/>
    </row>
    <row r="98">
      <c r="A98" s="1045" t="str">
        <f>'MSW21'!A98</f>
        <v>CURRENT MAX</v>
      </c>
      <c r="B98" s="1367">
        <f>'MSW21'!B98</f>
        <v>55</v>
      </c>
      <c r="C98" s="20"/>
      <c r="D98" s="20"/>
      <c r="E98" s="20"/>
      <c r="F98" s="95"/>
    </row>
    <row r="99">
      <c r="A99" s="567" t="str">
        <f>'MSW21'!A99</f>
        <v>SET</v>
      </c>
      <c r="B99" s="568" t="str">
        <f>'MSW21'!B99</f>
        <v>WEIGHT</v>
      </c>
      <c r="C99" s="568" t="str">
        <f>'MSW21'!C99</f>
        <v>REPS</v>
      </c>
      <c r="D99" s="568" t="str">
        <f>'MSW21'!D99</f>
        <v>REST</v>
      </c>
      <c r="E99" s="1047" t="str">
        <f>'MSW21'!E99</f>
        <v>PREVIOUS</v>
      </c>
      <c r="F99" s="1048" t="str">
        <f>'MSW21'!F99</f>
        <v>REP LOG</v>
      </c>
    </row>
    <row r="100">
      <c r="A100" s="1049">
        <f>'MSW21'!A100</f>
        <v>1</v>
      </c>
      <c r="B100" s="1050">
        <f>'MSW21'!B100</f>
        <v>55</v>
      </c>
      <c r="C100" s="1051" t="str">
        <f>'MSW21'!C100</f>
        <v>10 - 15</v>
      </c>
      <c r="D100" s="1430" t="str">
        <f>'MSW21'!D100</f>
        <v>1-2 MIN</v>
      </c>
      <c r="E100" s="1130" t="str">
        <f>'MSW21'!E100</f>
        <v/>
      </c>
      <c r="F100" s="1017" t="str">
        <f>'MSW21'!F100</f>
        <v/>
      </c>
    </row>
    <row r="101">
      <c r="A101" s="1049">
        <f>'MSW21'!A101</f>
        <v>2</v>
      </c>
      <c r="B101" s="1050">
        <f>'MSW21'!B101</f>
        <v>45</v>
      </c>
      <c r="C101" s="1051" t="str">
        <f>'MSW21'!C101</f>
        <v>10 - 15</v>
      </c>
      <c r="D101" s="1430" t="str">
        <f>'MSW21'!D101</f>
        <v>1-2 MIN</v>
      </c>
      <c r="E101" s="1130" t="str">
        <f>'MSW21'!E101</f>
        <v/>
      </c>
      <c r="F101" s="1017" t="str">
        <f>'MSW21'!F101</f>
        <v/>
      </c>
    </row>
    <row r="102">
      <c r="A102" s="1053">
        <f>'MSW21'!A102</f>
        <v>3</v>
      </c>
      <c r="B102" s="1054">
        <f>'MSW21'!B102</f>
        <v>35</v>
      </c>
      <c r="C102" s="1055" t="str">
        <f>'MSW21'!C102</f>
        <v>10 - 15</v>
      </c>
      <c r="D102" s="1453" t="str">
        <f>'MSW21'!D102</f>
        <v>1-2 MIN</v>
      </c>
      <c r="E102" s="1348" t="str">
        <f>'MSW21'!E102</f>
        <v/>
      </c>
      <c r="F102" s="1017" t="str">
        <f>'MSW21'!F102</f>
        <v/>
      </c>
    </row>
    <row r="103">
      <c r="A103" t="str">
        <f>'MSW21'!A103</f>
        <v/>
      </c>
    </row>
    <row r="105">
      <c r="A105" s="323" t="str">
        <f>'MSW21'!A105</f>
        <v>3. MACHINE LEG CURL</v>
      </c>
      <c r="B105" s="53"/>
      <c r="C105" s="53"/>
      <c r="D105" s="53"/>
      <c r="E105" s="53"/>
      <c r="F105" s="54"/>
      <c r="G105" s="141" t="str">
        <f>'MSW21'!G105</f>
        <v/>
      </c>
      <c r="H105" s="323" t="str">
        <f>'MSW21'!H105</f>
        <v>3. PRONE LEG CURL</v>
      </c>
      <c r="I105" s="53"/>
      <c r="J105" s="53"/>
      <c r="K105" s="53"/>
      <c r="L105" s="53"/>
      <c r="M105" s="54"/>
    </row>
    <row r="106">
      <c r="A106" s="1045" t="str">
        <f>'MSW21'!A106</f>
        <v>CURRENT MAX</v>
      </c>
      <c r="B106" s="1367">
        <f>'MSW21'!B106</f>
        <v>15</v>
      </c>
      <c r="C106" s="20"/>
      <c r="D106" s="20"/>
      <c r="E106" s="20"/>
      <c r="F106" s="95"/>
      <c r="H106" s="1045" t="str">
        <f>'MSW21'!H106</f>
        <v>CURRENT MAX</v>
      </c>
      <c r="I106" s="1046">
        <f>'MSW21'!I106</f>
        <v>15</v>
      </c>
      <c r="J106" s="13"/>
      <c r="K106" s="13"/>
      <c r="L106" s="13"/>
      <c r="M106" s="57"/>
    </row>
    <row r="107">
      <c r="A107" s="567" t="str">
        <f>'MSW21'!A107</f>
        <v>SET</v>
      </c>
      <c r="B107" s="568" t="str">
        <f>'MSW21'!B107</f>
        <v>WEIGHT</v>
      </c>
      <c r="C107" s="568" t="str">
        <f>'MSW21'!C107</f>
        <v>REPS</v>
      </c>
      <c r="D107" s="568" t="str">
        <f>'MSW21'!D107</f>
        <v>REST</v>
      </c>
      <c r="E107" s="1047" t="str">
        <f>'MSW21'!E107</f>
        <v>PREVIOUS</v>
      </c>
      <c r="F107" s="1048" t="str">
        <f>'MSW21'!F107</f>
        <v>REP LOG</v>
      </c>
      <c r="H107" s="567" t="str">
        <f>'MSW21'!H107</f>
        <v>SET</v>
      </c>
      <c r="I107" s="568" t="str">
        <f>'MSW21'!I107</f>
        <v>WEIGHT</v>
      </c>
      <c r="J107" s="568" t="str">
        <f>'MSW21'!J107</f>
        <v>REPS</v>
      </c>
      <c r="K107" s="568" t="str">
        <f>'MSW21'!K107</f>
        <v>REST</v>
      </c>
      <c r="L107" s="1047" t="str">
        <f>'MSW21'!L107</f>
        <v>PREVIOUS</v>
      </c>
      <c r="M107" s="1048" t="str">
        <f>'MSW21'!M107</f>
        <v>REP LOG</v>
      </c>
    </row>
    <row r="108">
      <c r="A108" s="1049">
        <f>'MSW21'!A108</f>
        <v>1</v>
      </c>
      <c r="B108" s="1050">
        <f>'MSW21'!B108</f>
        <v>15</v>
      </c>
      <c r="C108" s="1051" t="str">
        <f>'MSW21'!C108</f>
        <v>10 - 15</v>
      </c>
      <c r="D108" s="1430" t="str">
        <f>'MSW21'!D108</f>
        <v>1-2 MIN</v>
      </c>
      <c r="E108" s="1130" t="str">
        <f>'MSW21'!E108</f>
        <v/>
      </c>
      <c r="F108" s="1017" t="str">
        <f>'MSW21'!F108</f>
        <v/>
      </c>
      <c r="G108" s="434" t="str">
        <f>'MSW21'!G108</f>
        <v>ALTERNATE</v>
      </c>
      <c r="H108" s="1049">
        <f>'MSW21'!H108</f>
        <v>1</v>
      </c>
      <c r="I108" s="1050">
        <f>'MSW21'!I108</f>
        <v>15</v>
      </c>
      <c r="J108" s="1051" t="str">
        <f>'MSW21'!J108</f>
        <v>10 - 15</v>
      </c>
      <c r="K108" s="1430" t="str">
        <f>'MSW21'!K108</f>
        <v>1-2 MIN</v>
      </c>
      <c r="L108" s="1130" t="str">
        <f>'MSW21'!L108</f>
        <v/>
      </c>
      <c r="M108" s="1017" t="str">
        <f>'MSW21'!M108</f>
        <v/>
      </c>
    </row>
    <row r="109">
      <c r="A109" s="1049">
        <f>'MSW21'!A109</f>
        <v>2</v>
      </c>
      <c r="B109" s="1050">
        <f>'MSW21'!B109</f>
        <v>10</v>
      </c>
      <c r="C109" s="1051" t="str">
        <f>'MSW21'!C109</f>
        <v>10 - 15</v>
      </c>
      <c r="D109" s="1430" t="str">
        <f>'MSW21'!D109</f>
        <v>1-2 MIN</v>
      </c>
      <c r="E109" s="1130" t="str">
        <f>'MSW21'!E109</f>
        <v/>
      </c>
      <c r="F109" s="1017" t="str">
        <f>'MSW21'!F109</f>
        <v/>
      </c>
      <c r="H109" s="1049">
        <f>'MSW21'!H109</f>
        <v>2</v>
      </c>
      <c r="I109" s="1050">
        <f>'MSW21'!I109</f>
        <v>10</v>
      </c>
      <c r="J109" s="1051" t="str">
        <f>'MSW21'!J109</f>
        <v>10 - 15</v>
      </c>
      <c r="K109" s="1430" t="str">
        <f>'MSW21'!K109</f>
        <v>1-2 MIN</v>
      </c>
      <c r="L109" s="1130" t="str">
        <f>'MSW21'!L109</f>
        <v/>
      </c>
      <c r="M109" s="1017" t="str">
        <f>'MSW21'!M109</f>
        <v/>
      </c>
    </row>
    <row r="110">
      <c r="A110" s="1053">
        <f>'MSW21'!A110</f>
        <v>3</v>
      </c>
      <c r="B110" s="1054">
        <f>'MSW21'!B110</f>
        <v>10</v>
      </c>
      <c r="C110" s="1055" t="str">
        <f>'MSW21'!C110</f>
        <v>10 - 15</v>
      </c>
      <c r="D110" s="1453" t="str">
        <f>'MSW21'!D110</f>
        <v>1-2 MIN</v>
      </c>
      <c r="E110" s="1348" t="str">
        <f>'MSW21'!E110</f>
        <v/>
      </c>
      <c r="F110" s="1017" t="str">
        <f>'MSW21'!F110</f>
        <v/>
      </c>
      <c r="G110" s="682" t="str">
        <f>'MSW21'!G110</f>
        <v/>
      </c>
      <c r="H110" s="1053">
        <f>'MSW21'!H110</f>
        <v>3</v>
      </c>
      <c r="I110" s="1054">
        <f>'MSW21'!I110</f>
        <v>10</v>
      </c>
      <c r="J110" s="1055" t="str">
        <f>'MSW21'!J110</f>
        <v>10 - 15</v>
      </c>
      <c r="K110" s="1453" t="str">
        <f>'MSW21'!K110</f>
        <v>1-2 MIN</v>
      </c>
      <c r="L110" s="1348" t="str">
        <f>'MSW21'!L110</f>
        <v/>
      </c>
      <c r="M110" s="1017" t="str">
        <f>'MSW21'!M110</f>
        <v/>
      </c>
    </row>
    <row r="111">
      <c r="A111" s="849" t="str">
        <f>'MSW21'!A111</f>
        <v/>
      </c>
      <c r="G111" s="849" t="str">
        <f>'MSW21'!H111</f>
        <v/>
      </c>
    </row>
    <row r="113">
      <c r="A113" s="1120" t="str">
        <f>'MSW21'!A113</f>
        <v>DAY 3</v>
      </c>
      <c r="B113" s="36"/>
      <c r="C113" s="36"/>
      <c r="D113" s="36"/>
      <c r="E113" s="36"/>
      <c r="F113" s="37"/>
    </row>
    <row r="114">
      <c r="A114" t="str">
        <f>'MSW21'!A114</f>
        <v/>
      </c>
    </row>
    <row r="116">
      <c r="A116" s="51" t="str">
        <f>'MSW21'!A116</f>
        <v>SHOULDERS &amp; ARMS</v>
      </c>
      <c r="B116" s="36"/>
      <c r="C116" s="36"/>
      <c r="D116" s="36"/>
      <c r="E116" s="36"/>
      <c r="F116" s="37"/>
      <c r="G116" s="419" t="str">
        <f>'MSW21'!G116</f>
        <v/>
      </c>
      <c r="H116" s="51" t="str">
        <f>'MSW21'!H116</f>
        <v>SHOULDERS &amp; ARMS</v>
      </c>
      <c r="I116" s="36"/>
      <c r="J116" s="36"/>
      <c r="K116" s="36"/>
      <c r="L116" s="36"/>
      <c r="M116" s="37"/>
    </row>
    <row r="117">
      <c r="A117" s="504" t="str">
        <f>'MSW21'!A117</f>
        <v>1. SHOULDER PRESS</v>
      </c>
      <c r="B117" s="53"/>
      <c r="C117" s="53"/>
      <c r="D117" s="53"/>
      <c r="E117" s="53"/>
      <c r="F117" s="54"/>
      <c r="H117" s="778" t="str">
        <f>'MSW21'!H117</f>
        <v>1. MACHINE SHOULDER PRESS</v>
      </c>
      <c r="I117" s="53"/>
      <c r="J117" s="53"/>
      <c r="K117" s="53"/>
      <c r="L117" s="53"/>
      <c r="M117" s="54"/>
    </row>
    <row r="118">
      <c r="A118" s="589" t="str">
        <f>'MSW21'!A118</f>
        <v>CURRENT MAX</v>
      </c>
      <c r="B118" s="227" t="str">
        <f>'MSW21'!B118</f>
        <v/>
      </c>
      <c r="C118" s="20"/>
      <c r="D118" s="20"/>
      <c r="E118" s="20"/>
      <c r="F118" s="95"/>
      <c r="H118" s="226" t="str">
        <f>'MSW21'!H118</f>
        <v>SHLDR PRESS MAX</v>
      </c>
      <c r="I118" s="227">
        <f>'MSW21'!I118</f>
        <v>105</v>
      </c>
      <c r="J118" s="20"/>
      <c r="K118" s="20"/>
      <c r="L118" s="20"/>
      <c r="M118" s="95"/>
    </row>
    <row r="119">
      <c r="A119" s="364" t="str">
        <f>'MSW21'!A119</f>
        <v>SET</v>
      </c>
      <c r="B119" s="365" t="str">
        <f>'MSW21'!B119</f>
        <v>WEIGHT</v>
      </c>
      <c r="C119" s="365" t="str">
        <f>'MSW21'!C119</f>
        <v>REPS</v>
      </c>
      <c r="D119" s="365" t="str">
        <f>'MSW21'!D119</f>
        <v>REST</v>
      </c>
      <c r="E119" s="609" t="str">
        <f>'MSW21'!E119</f>
        <v>PREVIOUS</v>
      </c>
      <c r="F119" s="61" t="str">
        <f>'MSW21'!F119</f>
        <v>REP LOG</v>
      </c>
      <c r="H119" s="364" t="str">
        <f>'MSW21'!H119</f>
        <v>SET</v>
      </c>
      <c r="I119" s="365" t="str">
        <f>'MSW21'!I119</f>
        <v>WEIGHT</v>
      </c>
      <c r="J119" s="365" t="str">
        <f>'MSW21'!J119</f>
        <v>REPS</v>
      </c>
      <c r="K119" s="365" t="str">
        <f>'MSW21'!K119</f>
        <v>REST</v>
      </c>
      <c r="L119" s="609" t="str">
        <f>'MSW21'!L119</f>
        <v>PREVIOUS</v>
      </c>
      <c r="M119" s="61" t="str">
        <f>'MSW21'!M119</f>
        <v>REP LOG</v>
      </c>
    </row>
    <row r="120">
      <c r="A120" s="236">
        <f>'MSW21'!A120</f>
        <v>1</v>
      </c>
      <c r="B120" s="237">
        <f>'MSW21'!B120</f>
        <v>0</v>
      </c>
      <c r="C120" s="237">
        <f>'MSW21'!C120</f>
        <v>6</v>
      </c>
      <c r="D120" s="238" t="str">
        <f>'MSW21'!D120</f>
        <v>30s</v>
      </c>
      <c r="E120" s="84">
        <f>'MSW21'!E120</f>
        <v>6</v>
      </c>
      <c r="F120" s="67"/>
      <c r="H120" s="236">
        <f>'MSW21'!H120</f>
        <v>1</v>
      </c>
      <c r="I120" s="237">
        <f>'MSW21'!I120</f>
        <v>50</v>
      </c>
      <c r="J120" s="237">
        <f>'MSW21'!J120</f>
        <v>6</v>
      </c>
      <c r="K120" s="238" t="str">
        <f>'MSW21'!K120</f>
        <v>30s</v>
      </c>
      <c r="L120" s="84" t="str">
        <f>'MSW21'!L120</f>
        <v/>
      </c>
      <c r="M120" s="67"/>
    </row>
    <row r="121">
      <c r="A121" s="236">
        <f>'MSW21'!A121</f>
        <v>2</v>
      </c>
      <c r="B121" s="237">
        <f>'MSW21'!B121</f>
        <v>0</v>
      </c>
      <c r="C121" s="237">
        <f>'MSW21'!C121</f>
        <v>1</v>
      </c>
      <c r="D121" s="238" t="str">
        <f>'MSW21'!D121</f>
        <v>1 MIN</v>
      </c>
      <c r="E121" s="84">
        <f>'MSW21'!E121</f>
        <v>1</v>
      </c>
      <c r="F121" s="67"/>
      <c r="H121" s="236">
        <f>'MSW21'!H121</f>
        <v>2</v>
      </c>
      <c r="I121" s="237">
        <f>'MSW21'!I121</f>
        <v>70</v>
      </c>
      <c r="J121" s="237">
        <f>'MSW21'!J121</f>
        <v>1</v>
      </c>
      <c r="K121" s="238" t="str">
        <f>'MSW21'!K121</f>
        <v>1 MIN</v>
      </c>
      <c r="L121" s="84">
        <f>'MSW21'!L121</f>
        <v>1</v>
      </c>
      <c r="M121" s="67"/>
    </row>
    <row r="122">
      <c r="A122" s="779">
        <f>'MSW21'!A122</f>
        <v>3</v>
      </c>
      <c r="B122" s="780">
        <f>'MSW21'!B122</f>
        <v>0</v>
      </c>
      <c r="C122" s="781" t="str">
        <f>'MSW21'!C122</f>
        <v>REP OUT</v>
      </c>
      <c r="D122" s="782" t="str">
        <f>'MSW21'!D122</f>
        <v>1 MIN</v>
      </c>
      <c r="E122" s="84">
        <f>'MSW21'!E122</f>
        <v>20</v>
      </c>
      <c r="F122" s="1467"/>
      <c r="H122" s="779">
        <f>'MSW21'!H122</f>
        <v>3</v>
      </c>
      <c r="I122" s="780">
        <f>'MSW21'!I122</f>
        <v>95</v>
      </c>
      <c r="J122" s="781" t="str">
        <f>'MSW21'!J122</f>
        <v>REP OUT</v>
      </c>
      <c r="K122" s="782" t="str">
        <f>'MSW21'!K122</f>
        <v>1 MIN</v>
      </c>
      <c r="L122" s="84" t="str">
        <f>'MSW21'!L122</f>
        <v/>
      </c>
      <c r="M122" s="1467"/>
    </row>
    <row r="123">
      <c r="A123" s="785">
        <f>'MSW21'!A123</f>
        <v>4</v>
      </c>
      <c r="B123" s="388">
        <f>'MSW21'!B123</f>
        <v>0</v>
      </c>
      <c r="C123" s="781" t="str">
        <f>'MSW21'!C123</f>
        <v>REP OUT</v>
      </c>
      <c r="D123" s="390" t="str">
        <f>'MSW21'!D123</f>
        <v>1 MIN</v>
      </c>
      <c r="E123" s="84">
        <f>'MSW21'!E123</f>
        <v>5</v>
      </c>
      <c r="F123" s="1467"/>
      <c r="H123" s="785">
        <f>'MSW21'!H123</f>
        <v>4</v>
      </c>
      <c r="I123" s="388">
        <f>'MSW21'!I123</f>
        <v>85</v>
      </c>
      <c r="J123" s="781" t="str">
        <f>'MSW21'!J123</f>
        <v>REP OUT</v>
      </c>
      <c r="K123" s="390" t="str">
        <f>'MSW21'!K123</f>
        <v>1 MIN</v>
      </c>
      <c r="L123" s="84" t="str">
        <f>'MSW21'!L123</f>
        <v/>
      </c>
      <c r="M123" s="1467"/>
    </row>
    <row r="124">
      <c r="A124" s="787">
        <f>'MSW21'!A124</f>
        <v>5</v>
      </c>
      <c r="B124" s="788">
        <f>'MSW21'!B124</f>
        <v>0</v>
      </c>
      <c r="C124" s="789" t="str">
        <f>'MSW21'!C124</f>
        <v>REP OUT</v>
      </c>
      <c r="D124" s="397" t="str">
        <f>'MSW21'!D124</f>
        <v>1 MIN</v>
      </c>
      <c r="E124" s="89" t="str">
        <f>'MSW21'!E124</f>
        <v/>
      </c>
      <c r="F124" s="1399" t="str">
        <f>'MSW21'!F124</f>
        <v/>
      </c>
      <c r="H124" s="787">
        <f>'MSW21'!H124</f>
        <v>5</v>
      </c>
      <c r="I124" s="788">
        <f>'MSW21'!I124</f>
        <v>72.5</v>
      </c>
      <c r="J124" s="789" t="str">
        <f>'MSW21'!J124</f>
        <v>REP OUT</v>
      </c>
      <c r="K124" s="397" t="str">
        <f>'MSW21'!K124</f>
        <v>1 MIN</v>
      </c>
      <c r="L124" s="89" t="str">
        <f>'MSW21'!L124</f>
        <v/>
      </c>
      <c r="M124" s="1399" t="str">
        <f>'MSW21'!M124</f>
        <v/>
      </c>
    </row>
    <row r="125">
      <c r="A125" s="791" t="str">
        <f>'MSW21'!A125</f>
        <v/>
      </c>
      <c r="G125" s="419" t="str">
        <f>'MSW21'!G125</f>
        <v/>
      </c>
    </row>
    <row r="127">
      <c r="A127" s="687" t="str">
        <f>'MSW21'!A127</f>
        <v>2. DUMBBELL REAR DELT FLY </v>
      </c>
      <c r="B127" s="53"/>
      <c r="C127" s="53"/>
      <c r="D127" s="53"/>
      <c r="E127" s="53"/>
      <c r="F127" s="54"/>
    </row>
    <row r="128">
      <c r="A128" s="226" t="str">
        <f>'MSW21'!A128</f>
        <v>SHLDR PRESS MAX</v>
      </c>
      <c r="B128" s="691" t="str">
        <f>'MSW21'!B128</f>
        <v/>
      </c>
      <c r="C128" s="13"/>
      <c r="D128" s="13"/>
      <c r="E128" s="13"/>
      <c r="F128" s="57"/>
    </row>
    <row r="129">
      <c r="A129" s="96" t="str">
        <f>'MSW21'!A129</f>
        <v>SET</v>
      </c>
      <c r="B129" s="97" t="str">
        <f>'MSW21'!B129</f>
        <v>WEIGHT</v>
      </c>
      <c r="C129" s="97" t="str">
        <f>'MSW21'!C129</f>
        <v>REPS</v>
      </c>
      <c r="D129" s="97" t="str">
        <f>'MSW21'!D129</f>
        <v>REST</v>
      </c>
      <c r="E129" s="341" t="str">
        <f>'MSW21'!E129</f>
        <v>PREVIOUS</v>
      </c>
      <c r="F129" s="235" t="str">
        <f>'MSW21'!F129</f>
        <v>REP LOG</v>
      </c>
    </row>
    <row r="130">
      <c r="A130" s="556">
        <f>'MSW21'!A130</f>
        <v>1</v>
      </c>
      <c r="B130" s="237">
        <f>'MSW21'!B130</f>
        <v>0</v>
      </c>
      <c r="C130" s="65" t="str">
        <f>'MSW21'!C130</f>
        <v>10 - 15</v>
      </c>
      <c r="D130" s="693" t="str">
        <f>'MSW21'!D130</f>
        <v>1-3 MIN</v>
      </c>
      <c r="E130" s="84" t="str">
        <f>'MSW21'!E130</f>
        <v/>
      </c>
      <c r="F130" s="85"/>
    </row>
    <row r="131">
      <c r="A131" s="556">
        <f>'MSW21'!A131</f>
        <v>2</v>
      </c>
      <c r="B131" s="237">
        <f>'MSW21'!B131</f>
        <v>0</v>
      </c>
      <c r="C131" s="65" t="str">
        <f>'MSW21'!C131</f>
        <v>10 - 15</v>
      </c>
      <c r="D131" s="693" t="str">
        <f>'MSW21'!D131</f>
        <v>1-3 MIN</v>
      </c>
      <c r="E131" s="84" t="str">
        <f>'MSW21'!E131</f>
        <v/>
      </c>
      <c r="F131" s="85"/>
    </row>
    <row r="132">
      <c r="A132" s="561">
        <f>'MSW21'!A132</f>
        <v>3</v>
      </c>
      <c r="B132" s="371">
        <f>'MSW21'!B132</f>
        <v>0</v>
      </c>
      <c r="C132" s="71" t="str">
        <f>'MSW21'!C132</f>
        <v>10 - 15</v>
      </c>
      <c r="D132" s="794" t="str">
        <f>'MSW21'!D132</f>
        <v>1-3 MIN</v>
      </c>
      <c r="E132" s="89" t="str">
        <f>'MSW21'!E132</f>
        <v/>
      </c>
      <c r="F132" s="85"/>
    </row>
    <row r="133">
      <c r="A133" s="795" t="str">
        <f>'MSW21'!A133</f>
        <v/>
      </c>
    </row>
    <row r="135">
      <c r="A135" s="74" t="str">
        <f>'MSW21'!A135</f>
        <v>3. DUMBBELL SIDE LATERAL RAISE</v>
      </c>
      <c r="B135" s="53"/>
      <c r="C135" s="53"/>
      <c r="D135" s="53"/>
      <c r="E135" s="53"/>
      <c r="F135" s="54"/>
    </row>
    <row r="136">
      <c r="A136" s="226" t="str">
        <f>'MSW21'!A136</f>
        <v>SHLDR PRESS MAX</v>
      </c>
      <c r="B136" s="90" t="str">
        <f>'MSW21'!B136</f>
        <v/>
      </c>
      <c r="C136" s="13"/>
      <c r="D136" s="13"/>
      <c r="E136" s="13"/>
      <c r="F136" s="57"/>
    </row>
    <row r="137">
      <c r="A137" s="376" t="str">
        <f>'MSW21'!A137</f>
        <v>SET</v>
      </c>
      <c r="B137" s="79" t="str">
        <f>'MSW21'!B137</f>
        <v>WEIGHT</v>
      </c>
      <c r="C137" s="79" t="str">
        <f>'MSW21'!C137</f>
        <v>REPS</v>
      </c>
      <c r="D137" s="79" t="str">
        <f>'MSW21'!D137</f>
        <v>REST</v>
      </c>
      <c r="E137" s="98" t="str">
        <f>'MSW21'!E137</f>
        <v>PREVIOUS</v>
      </c>
      <c r="F137" s="377" t="str">
        <f>'MSW21'!F137</f>
        <v>REP LOG</v>
      </c>
    </row>
    <row r="138">
      <c r="A138" s="81">
        <f>'MSW21'!A138</f>
        <v>1</v>
      </c>
      <c r="B138" s="82">
        <f>'MSW21'!B138</f>
        <v>0</v>
      </c>
      <c r="C138" s="65" t="str">
        <f>'MSW21'!C138</f>
        <v>10 - 15</v>
      </c>
      <c r="D138" s="693" t="str">
        <f>'MSW21'!D138</f>
        <v>1-5 MIN</v>
      </c>
      <c r="E138" s="84" t="str">
        <f>'MSW21'!E138</f>
        <v/>
      </c>
      <c r="F138" s="796"/>
    </row>
    <row r="139">
      <c r="A139" s="81">
        <f>'MSW21'!A139</f>
        <v>2</v>
      </c>
      <c r="B139" s="82">
        <f>'MSW21'!B139</f>
        <v>0</v>
      </c>
      <c r="C139" s="65" t="str">
        <f>'MSW21'!C139</f>
        <v>10 - 15</v>
      </c>
      <c r="D139" s="693" t="str">
        <f>'MSW21'!D139</f>
        <v>1-5 MIN</v>
      </c>
      <c r="E139" s="84" t="str">
        <f>'MSW21'!E139</f>
        <v/>
      </c>
      <c r="F139" s="330"/>
    </row>
    <row r="140">
      <c r="A140" s="86">
        <f>'MSW21'!A140</f>
        <v>3</v>
      </c>
      <c r="B140" s="87">
        <f>'MSW21'!B140</f>
        <v>0</v>
      </c>
      <c r="C140" s="71" t="str">
        <f>'MSW21'!C140</f>
        <v>10 - 15</v>
      </c>
      <c r="D140" s="794" t="str">
        <f>'MSW21'!D140</f>
        <v>1-5 MIN</v>
      </c>
      <c r="E140" s="89" t="str">
        <f>'MSW21'!E140</f>
        <v/>
      </c>
      <c r="F140" s="85" t="str">
        <f>'MSW21'!F140</f>
        <v/>
      </c>
    </row>
    <row r="141">
      <c r="A141" s="795" t="str">
        <f>'MSW21'!A141</f>
        <v/>
      </c>
    </row>
    <row r="143">
      <c r="A143" s="361" t="str">
        <f>'MSW21'!A143</f>
        <v>2.  TRICEP OVERHEAD ROPE EXTENSION</v>
      </c>
      <c r="B143" s="53"/>
      <c r="C143" s="53"/>
      <c r="D143" s="53"/>
      <c r="E143" s="53"/>
      <c r="F143" s="54"/>
    </row>
    <row r="144">
      <c r="A144" s="226" t="str">
        <f>'MSW21'!A144</f>
        <v>CURRENT MAX</v>
      </c>
      <c r="B144" s="1443">
        <f>'MSW21'!B144</f>
        <v>5</v>
      </c>
      <c r="C144" s="13"/>
      <c r="D144" s="13"/>
      <c r="E144" s="13"/>
      <c r="F144" s="57"/>
    </row>
    <row r="145">
      <c r="A145" s="77" t="str">
        <f>'MSW21'!A145</f>
        <v>SET</v>
      </c>
      <c r="B145" s="78" t="str">
        <f>'MSW21'!B145</f>
        <v>WEIGHT</v>
      </c>
      <c r="C145" s="78" t="str">
        <f>'MSW21'!C145</f>
        <v>REPS</v>
      </c>
      <c r="D145" s="78" t="str">
        <f>'MSW21'!D145</f>
        <v>REST</v>
      </c>
      <c r="E145" s="80" t="str">
        <f>'MSW21'!E145</f>
        <v>PREVIOUS</v>
      </c>
      <c r="F145" s="235" t="str">
        <f>'MSW21'!F145</f>
        <v>REP LOG</v>
      </c>
    </row>
    <row r="146">
      <c r="A146" s="81">
        <f>'MSW21'!A146</f>
        <v>1</v>
      </c>
      <c r="B146" s="82">
        <f>'MSW21'!B146</f>
        <v>0</v>
      </c>
      <c r="C146" s="65" t="str">
        <f>'MSW21'!C146</f>
        <v>10 - 15</v>
      </c>
      <c r="D146" s="83" t="str">
        <f>'MSW21'!D146</f>
        <v>1MIN</v>
      </c>
      <c r="E146" s="84" t="str">
        <f>'MSW21'!E146</f>
        <v/>
      </c>
      <c r="F146" s="85" t="str">
        <f>'MSW21'!F146</f>
        <v/>
      </c>
    </row>
    <row r="147">
      <c r="A147" s="81">
        <f>'MSW21'!A147</f>
        <v>2</v>
      </c>
      <c r="B147" s="82">
        <f>'MSW21'!B147</f>
        <v>0</v>
      </c>
      <c r="C147" s="65" t="str">
        <f>'MSW21'!C147</f>
        <v>10 - 15</v>
      </c>
      <c r="D147" s="83" t="str">
        <f>'MSW21'!D147</f>
        <v>1MIN</v>
      </c>
      <c r="E147" s="84" t="str">
        <f>'MSW21'!E147</f>
        <v/>
      </c>
      <c r="F147" s="85" t="str">
        <f>'MSW21'!F147</f>
        <v/>
      </c>
    </row>
    <row r="148">
      <c r="A148" s="629">
        <f>'MSW21'!A148</f>
        <v>3</v>
      </c>
      <c r="B148" s="82">
        <f>'MSW21'!B148</f>
        <v>0</v>
      </c>
      <c r="C148" s="65" t="str">
        <f>'MSW21'!C148</f>
        <v>10 - 15</v>
      </c>
      <c r="D148" s="328" t="str">
        <f>'MSW21'!D148</f>
        <v>1MIN</v>
      </c>
      <c r="E148" s="84" t="str">
        <f>'MSW21'!E148</f>
        <v/>
      </c>
      <c r="F148" s="330" t="str">
        <f>'MSW21'!F148</f>
        <v/>
      </c>
    </row>
    <row r="149">
      <c r="A149" s="797" t="str">
        <f>'MSW21'!A149</f>
        <v/>
      </c>
      <c r="B149" s="1491"/>
      <c r="C149" s="1491"/>
      <c r="D149" s="1491"/>
      <c r="E149" s="1491"/>
      <c r="F149" s="1491"/>
    </row>
    <row r="151">
      <c r="A151" s="75" t="str">
        <f>'MSW21'!A151</f>
        <v>4. BICEP CABLE CURL</v>
      </c>
      <c r="B151" s="53"/>
      <c r="C151" s="53"/>
      <c r="D151" s="53"/>
      <c r="E151" s="53"/>
      <c r="F151" s="54"/>
      <c r="G151" s="419" t="str">
        <f>'MSW21'!G151</f>
        <v/>
      </c>
      <c r="H151" s="75" t="str">
        <f>'MSW21'!H151</f>
        <v>5. BICEP EZ BAR CURL</v>
      </c>
      <c r="I151" s="53"/>
      <c r="J151" s="53"/>
      <c r="K151" s="53"/>
      <c r="L151" s="53"/>
      <c r="M151" s="54"/>
    </row>
    <row r="152">
      <c r="A152" s="226" t="str">
        <f>'MSW21'!A152</f>
        <v>CURRENT MAX</v>
      </c>
      <c r="B152" s="90">
        <f>'MSW21'!B152</f>
        <v>30</v>
      </c>
      <c r="C152" s="13"/>
      <c r="D152" s="13"/>
      <c r="E152" s="13"/>
      <c r="F152" s="57"/>
      <c r="H152" s="226" t="str">
        <f>'MSW21'!H152</f>
        <v>CURRENT MAX</v>
      </c>
      <c r="I152" s="90">
        <f>'MSW21'!I152</f>
        <v>15</v>
      </c>
      <c r="J152" s="13"/>
      <c r="K152" s="13"/>
      <c r="L152" s="13"/>
      <c r="M152" s="57"/>
    </row>
    <row r="153">
      <c r="A153" s="77" t="str">
        <f>'MSW21'!A153</f>
        <v>SET</v>
      </c>
      <c r="B153" s="78" t="str">
        <f>'MSW21'!B153</f>
        <v>WEIGHT</v>
      </c>
      <c r="C153" s="78" t="str">
        <f>'MSW21'!C153</f>
        <v>REPS</v>
      </c>
      <c r="D153" s="78" t="str">
        <f>'MSW21'!D153</f>
        <v>REST</v>
      </c>
      <c r="E153" s="80" t="str">
        <f>'MSW21'!E153</f>
        <v>PREVIOUS</v>
      </c>
      <c r="F153" s="235" t="str">
        <f>'MSW21'!F153</f>
        <v>REP LOG</v>
      </c>
      <c r="H153" s="77" t="str">
        <f>'MSW21'!H153</f>
        <v>SET</v>
      </c>
      <c r="I153" s="78" t="str">
        <f>'MSW21'!I153</f>
        <v>WEIGHT</v>
      </c>
      <c r="J153" s="78" t="str">
        <f>'MSW21'!J153</f>
        <v>REPS</v>
      </c>
      <c r="K153" s="78" t="str">
        <f>'MSW21'!K153</f>
        <v>REST</v>
      </c>
      <c r="L153" s="80" t="str">
        <f>'MSW21'!L153</f>
        <v>PREVIOUS</v>
      </c>
      <c r="M153" s="235" t="str">
        <f>'MSW21'!M153</f>
        <v>REP LOG</v>
      </c>
    </row>
    <row r="154">
      <c r="A154" s="81">
        <f>'MSW21'!A154</f>
        <v>1</v>
      </c>
      <c r="B154" s="82">
        <f>'MSW21'!B154</f>
        <v>30</v>
      </c>
      <c r="C154" s="65" t="str">
        <f>'MSW21'!C154</f>
        <v>15 - 20</v>
      </c>
      <c r="D154" s="83" t="str">
        <f>'MSW21'!D154</f>
        <v>1MIN</v>
      </c>
      <c r="E154" s="84" t="str">
        <f>'MSW21'!E154</f>
        <v/>
      </c>
      <c r="F154" s="85" t="str">
        <f>'MSW21'!F154</f>
        <v/>
      </c>
      <c r="H154" s="81">
        <f>'MSW21'!H154</f>
        <v>1</v>
      </c>
      <c r="I154" s="82">
        <f>'MSW21'!I154</f>
        <v>15</v>
      </c>
      <c r="J154" s="65" t="str">
        <f>'MSW21'!J154</f>
        <v>10 - 15</v>
      </c>
      <c r="K154" s="83" t="str">
        <f>'MSW21'!K154</f>
        <v>1-2MIN</v>
      </c>
      <c r="L154" s="84" t="str">
        <f>'MSW21'!L154</f>
        <v/>
      </c>
      <c r="M154" s="85" t="str">
        <f>'MSW21'!M154</f>
        <v/>
      </c>
    </row>
    <row r="155">
      <c r="A155" s="81">
        <f>'MSW21'!A155</f>
        <v>2</v>
      </c>
      <c r="B155" s="82">
        <f>'MSW21'!B155</f>
        <v>25</v>
      </c>
      <c r="C155" s="65" t="str">
        <f>'MSW21'!C155</f>
        <v>15 - 20</v>
      </c>
      <c r="D155" s="83" t="str">
        <f>'MSW21'!D155</f>
        <v>1MIN</v>
      </c>
      <c r="E155" s="84" t="str">
        <f>'MSW21'!E155</f>
        <v/>
      </c>
      <c r="F155" s="85" t="str">
        <f>'MSW21'!F155</f>
        <v/>
      </c>
      <c r="H155" s="81">
        <f>'MSW21'!H155</f>
        <v>2</v>
      </c>
      <c r="I155" s="82">
        <f>'MSW21'!I155</f>
        <v>10</v>
      </c>
      <c r="J155" s="65" t="str">
        <f>'MSW21'!J155</f>
        <v>10 - 15</v>
      </c>
      <c r="K155" s="83" t="str">
        <f>'MSW21'!K155</f>
        <v>1-2MIN</v>
      </c>
      <c r="L155" s="84" t="str">
        <f>'MSW21'!L155</f>
        <v/>
      </c>
      <c r="M155" s="85" t="str">
        <f>'MSW21'!M155</f>
        <v/>
      </c>
    </row>
    <row r="156">
      <c r="A156" s="629">
        <f>'MSW21'!A156</f>
        <v>3</v>
      </c>
      <c r="B156" s="630">
        <f>'MSW21'!B156</f>
        <v>20</v>
      </c>
      <c r="C156" s="631" t="str">
        <f>'MSW21'!C156</f>
        <v>15 - 20</v>
      </c>
      <c r="D156" s="328" t="str">
        <f>'MSW21'!D156</f>
        <v>1MIN</v>
      </c>
      <c r="E156" s="84" t="str">
        <f>'MSW21'!E156</f>
        <v/>
      </c>
      <c r="F156" s="330" t="str">
        <f>'MSW21'!F156</f>
        <v/>
      </c>
      <c r="H156" s="86">
        <f>'MSW21'!H156</f>
        <v>3</v>
      </c>
      <c r="I156" s="87">
        <f>'MSW21'!I156</f>
        <v>10</v>
      </c>
      <c r="J156" s="71" t="str">
        <f>'MSW21'!J156</f>
        <v>10 - 15</v>
      </c>
      <c r="K156" s="88" t="str">
        <f>'MSW21'!K156</f>
        <v>1-2MIN</v>
      </c>
      <c r="L156" s="89" t="str">
        <f>'MSW21'!L156</f>
        <v/>
      </c>
      <c r="M156" s="85" t="str">
        <f>'MSW21'!M156</f>
        <v/>
      </c>
    </row>
    <row r="157">
      <c r="A157" s="801" t="str">
        <f>'MSW21'!A157</f>
        <v/>
      </c>
      <c r="B157" s="25"/>
      <c r="C157" s="25"/>
      <c r="D157" s="25"/>
      <c r="E157" s="25"/>
      <c r="F157" s="25"/>
      <c r="G157" s="419" t="str">
        <f>'MSW21'!G157</f>
        <v/>
      </c>
    </row>
    <row r="159">
      <c r="A159" s="310" t="str">
        <f>'MSW21'!A159</f>
        <v>CLICK TO COMPLETE WORKOUT</v>
      </c>
      <c r="B159" s="36"/>
      <c r="C159" s="36"/>
      <c r="D159" s="36"/>
      <c r="E159" s="36"/>
      <c r="F159" s="37"/>
    </row>
    <row r="160">
      <c r="A160" s="806" t="str">
        <f>'MSW21'!A160</f>
        <v/>
      </c>
    </row>
    <row r="161">
      <c r="A161" s="106" t="str">
        <f>'MSW21'!A161</f>
        <v>WORKOUT COMPLETE!</v>
      </c>
      <c r="B161" s="36"/>
      <c r="C161" s="36"/>
      <c r="D161" s="36"/>
      <c r="E161" s="36"/>
      <c r="F161" s="37"/>
    </row>
    <row r="162">
      <c r="A162" s="103" t="str">
        <f>'MSW21'!A162</f>
        <v/>
      </c>
    </row>
    <row r="163">
      <c r="A163" s="641" t="str">
        <f>'MSW21'!A163</f>
        <v>WANT TO LEARN MORE?</v>
      </c>
      <c r="B163" s="16"/>
      <c r="C163" s="16"/>
      <c r="D163" s="16"/>
      <c r="E163" s="16"/>
      <c r="F163" s="17"/>
    </row>
    <row r="164">
      <c r="A164" s="18"/>
      <c r="B164" s="13"/>
      <c r="C164" s="13"/>
      <c r="D164" s="13"/>
      <c r="E164" s="13"/>
      <c r="F164" s="14"/>
    </row>
    <row r="165">
      <c r="A165" s="419" t="str">
        <f>'MSW21'!A165</f>
        <v/>
      </c>
      <c r="B165" s="646" t="str">
        <f>'MSW21'!B165</f>
        <v/>
      </c>
      <c r="C165" s="833" t="str">
        <f>'MSW21'!C165</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65" s="25"/>
      <c r="E165" s="25"/>
      <c r="F165" s="26"/>
    </row>
    <row r="166">
      <c r="A166" s="419" t="str">
        <f>'MSW21'!A166</f>
        <v/>
      </c>
      <c r="B166" s="646" t="str">
        <f>'MSW21'!B166</f>
        <v/>
      </c>
      <c r="F166" s="28"/>
    </row>
    <row r="167">
      <c r="A167" s="419" t="str">
        <f>'MSW21'!A167</f>
        <v/>
      </c>
      <c r="B167" s="646" t="str">
        <f>'MSW21'!B167</f>
        <v/>
      </c>
      <c r="F167" s="28"/>
    </row>
    <row r="168">
      <c r="A168" s="419" t="str">
        <f>'MSW21'!A168</f>
        <v/>
      </c>
      <c r="B168" s="646" t="str">
        <f>'MSW21'!B168</f>
        <v/>
      </c>
      <c r="F168" s="28"/>
    </row>
    <row r="169">
      <c r="A169" s="419" t="str">
        <f>'MSW21'!A169</f>
        <v/>
      </c>
      <c r="B169" s="646" t="str">
        <f>'MSW21'!B169</f>
        <v/>
      </c>
      <c r="F169" s="28"/>
    </row>
    <row r="170">
      <c r="A170" s="419" t="str">
        <f>'MSW21'!A170</f>
        <v/>
      </c>
      <c r="B170" s="646" t="str">
        <f>'MSW21'!B170</f>
        <v/>
      </c>
      <c r="F170" s="28"/>
    </row>
    <row r="171">
      <c r="A171" s="808" t="str">
        <f>'MSW21'!A171</f>
        <v/>
      </c>
      <c r="B171" s="646" t="str">
        <f>'MSW21'!B171</f>
        <v/>
      </c>
      <c r="F171" s="28"/>
    </row>
    <row r="172">
      <c r="A172" s="419" t="str">
        <f>'MSW21'!A172</f>
        <v/>
      </c>
      <c r="B172" s="646" t="str">
        <f>'MSW21'!B172</f>
        <v/>
      </c>
      <c r="F172" s="28"/>
    </row>
    <row r="173">
      <c r="A173" s="419" t="str">
        <f>'MSW21'!A173</f>
        <v/>
      </c>
      <c r="B173" s="646" t="str">
        <f>'MSW21'!B173</f>
        <v/>
      </c>
      <c r="F173" s="28"/>
    </row>
    <row r="174">
      <c r="A174" s="809" t="str">
        <f>'MSW21'!A174</f>
        <v/>
      </c>
      <c r="B174" s="646" t="str">
        <f>'MSW21'!B174</f>
        <v/>
      </c>
      <c r="F174" s="28"/>
    </row>
    <row r="175">
      <c r="A175" s="419" t="str">
        <f>'MSW21'!A175</f>
        <v/>
      </c>
      <c r="B175" s="646" t="str">
        <f>'MSW21'!B175</f>
        <v/>
      </c>
      <c r="F175" s="28"/>
    </row>
    <row r="176">
      <c r="A176" s="419" t="str">
        <f>'MSW21'!A176</f>
        <v/>
      </c>
      <c r="B176" s="646" t="str">
        <f>'MSW21'!B176</f>
        <v/>
      </c>
      <c r="F176" s="28"/>
    </row>
    <row r="177">
      <c r="A177" s="419" t="str">
        <f>'MSW21'!A177</f>
        <v/>
      </c>
      <c r="B177" s="646" t="str">
        <f>'MSW21'!B177</f>
        <v/>
      </c>
      <c r="F177" s="28"/>
    </row>
    <row r="178">
      <c r="A178" s="419" t="str">
        <f>'MSW21'!A178</f>
        <v/>
      </c>
      <c r="B178" s="646" t="str">
        <f>'MSW21'!B178</f>
        <v/>
      </c>
      <c r="F178" s="28"/>
    </row>
    <row r="179">
      <c r="A179" s="419" t="str">
        <f>'MSW21'!A179</f>
        <v/>
      </c>
      <c r="B179" s="646" t="str">
        <f>'MSW21'!B179</f>
        <v/>
      </c>
      <c r="C179" s="11"/>
      <c r="D179" s="11"/>
      <c r="E179" s="11"/>
      <c r="F179" s="46"/>
    </row>
  </sheetData>
  <mergeCells count="101">
    <mergeCell ref="A77:F77"/>
    <mergeCell ref="A78:F78"/>
    <mergeCell ref="A60:F60"/>
    <mergeCell ref="B61:F61"/>
    <mergeCell ref="A66:F67"/>
    <mergeCell ref="A68:F68"/>
    <mergeCell ref="B69:F69"/>
    <mergeCell ref="A74:F75"/>
    <mergeCell ref="A76:F76"/>
    <mergeCell ref="A103:F104"/>
    <mergeCell ref="A105:F105"/>
    <mergeCell ref="A79:F80"/>
    <mergeCell ref="A81:F81"/>
    <mergeCell ref="B82:F82"/>
    <mergeCell ref="B94:F94"/>
    <mergeCell ref="A95:F96"/>
    <mergeCell ref="A97:F97"/>
    <mergeCell ref="B98:F98"/>
    <mergeCell ref="H37:M37"/>
    <mergeCell ref="I38:M38"/>
    <mergeCell ref="G40:G41"/>
    <mergeCell ref="G42:M104"/>
    <mergeCell ref="G105:G107"/>
    <mergeCell ref="H105:M105"/>
    <mergeCell ref="I106:M106"/>
    <mergeCell ref="G125:M150"/>
    <mergeCell ref="H151:M151"/>
    <mergeCell ref="I152:M152"/>
    <mergeCell ref="G157:M179"/>
    <mergeCell ref="G108:G109"/>
    <mergeCell ref="G111:M115"/>
    <mergeCell ref="G116:G124"/>
    <mergeCell ref="H116:M116"/>
    <mergeCell ref="H117:M117"/>
    <mergeCell ref="I118:M118"/>
    <mergeCell ref="G151:G156"/>
    <mergeCell ref="A125:F126"/>
    <mergeCell ref="A127:F127"/>
    <mergeCell ref="B128:F128"/>
    <mergeCell ref="A133:F134"/>
    <mergeCell ref="A135:F135"/>
    <mergeCell ref="B136:F136"/>
    <mergeCell ref="A141:F142"/>
    <mergeCell ref="A160:F160"/>
    <mergeCell ref="A161:F161"/>
    <mergeCell ref="A162:F162"/>
    <mergeCell ref="A163:F164"/>
    <mergeCell ref="C165:F179"/>
    <mergeCell ref="A143:F143"/>
    <mergeCell ref="B144:F144"/>
    <mergeCell ref="A149:F150"/>
    <mergeCell ref="A151:F151"/>
    <mergeCell ref="B152:F152"/>
    <mergeCell ref="A157:F158"/>
    <mergeCell ref="A159:F159"/>
    <mergeCell ref="A12:F12"/>
    <mergeCell ref="A13:F13"/>
    <mergeCell ref="H16:M16"/>
    <mergeCell ref="A17:M18"/>
    <mergeCell ref="A19:F19"/>
    <mergeCell ref="H19:M19"/>
    <mergeCell ref="H20:M20"/>
    <mergeCell ref="I21:M21"/>
    <mergeCell ref="H27:M27"/>
    <mergeCell ref="H29:M29"/>
    <mergeCell ref="A1:M8"/>
    <mergeCell ref="A9:F9"/>
    <mergeCell ref="G9:G11"/>
    <mergeCell ref="H9:M9"/>
    <mergeCell ref="A10:F11"/>
    <mergeCell ref="H10:M10"/>
    <mergeCell ref="G12:M15"/>
    <mergeCell ref="A14:F15"/>
    <mergeCell ref="A16:F16"/>
    <mergeCell ref="G19:G26"/>
    <mergeCell ref="A20:F20"/>
    <mergeCell ref="B21:F21"/>
    <mergeCell ref="A27:F27"/>
    <mergeCell ref="A29:F29"/>
    <mergeCell ref="B34:F34"/>
    <mergeCell ref="G27:G28"/>
    <mergeCell ref="G29:G34"/>
    <mergeCell ref="I34:M34"/>
    <mergeCell ref="A35:M36"/>
    <mergeCell ref="A37:F37"/>
    <mergeCell ref="B38:F38"/>
    <mergeCell ref="G38:G39"/>
    <mergeCell ref="A42:F43"/>
    <mergeCell ref="A44:F44"/>
    <mergeCell ref="B45:F45"/>
    <mergeCell ref="A51:F51"/>
    <mergeCell ref="A54:F54"/>
    <mergeCell ref="B57:F57"/>
    <mergeCell ref="A58:F59"/>
    <mergeCell ref="B106:F106"/>
    <mergeCell ref="A111:F112"/>
    <mergeCell ref="A113:F113"/>
    <mergeCell ref="A114:F115"/>
    <mergeCell ref="A116:F116"/>
    <mergeCell ref="A117:F117"/>
    <mergeCell ref="B118:F118"/>
  </mergeCells>
  <dataValidations>
    <dataValidation type="decimal" allowBlank="1" showDropDown="1" showInputMessage="1" showErrorMessage="1" prompt="Enter a number between 0 and 30" sqref="F22:F26 M22:M26 F28 M28 F30:F33 M30:M33 F39:F41 M39:M41 F46:F50 F52:F53 F55:F56 F62:F65 F70:F73 F83:F93 F99:F102 F107:F110 M107:M110 F119:F124 M119:M124 F129:F132 F137:F140 F145:F148 F153:F156 M153:M156">
      <formula1>0.0</formula1>
      <formula2>30.0</formula2>
    </dataValidation>
    <dataValidation type="decimal" operator="greaterThan" allowBlank="1" showDropDown="1" showErrorMessage="1" sqref="M11">
      <formula1>0.0</formula1>
    </dataValidation>
  </dataValidation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287</v>
      </c>
      <c r="B9" s="20"/>
      <c r="C9" s="20"/>
      <c r="D9" s="20"/>
      <c r="E9" s="20"/>
      <c r="F9" s="21"/>
      <c r="G9" s="103"/>
      <c r="H9" s="24" t="s">
        <v>35</v>
      </c>
      <c r="I9" s="25"/>
      <c r="J9" s="25"/>
      <c r="K9" s="25"/>
      <c r="L9" s="25"/>
      <c r="M9" s="26"/>
    </row>
    <row r="10">
      <c r="A10" s="15" t="str">
        <f>HYPERLINK("https://goo.gl/forms/3ibooB993Hi7SS2d2","PRESS TO RECORD BODY WEIGHT")</f>
        <v>PRESS TO RECORD BODY WEIGHT</v>
      </c>
      <c r="B10" s="16"/>
      <c r="C10" s="16"/>
      <c r="D10" s="16"/>
      <c r="E10" s="16"/>
      <c r="F10" s="17"/>
      <c r="G10" s="103"/>
      <c r="H10" s="147" t="s">
        <v>288</v>
      </c>
      <c r="M10" s="28"/>
    </row>
    <row r="11">
      <c r="A11" s="18"/>
      <c r="B11" s="13"/>
      <c r="C11" s="13"/>
      <c r="D11" s="13"/>
      <c r="E11" s="13"/>
      <c r="F11" s="14"/>
      <c r="G11" s="103"/>
      <c r="H11" s="29" t="s">
        <v>289</v>
      </c>
      <c r="I11" s="30"/>
      <c r="J11" s="30"/>
      <c r="K11" s="30"/>
      <c r="L11" s="30"/>
      <c r="M11" s="31"/>
    </row>
    <row r="12">
      <c r="A12" s="19" t="s">
        <v>69</v>
      </c>
      <c r="B12" s="20"/>
      <c r="C12" s="20"/>
      <c r="D12" s="20"/>
      <c r="E12" s="20"/>
      <c r="F12" s="21"/>
      <c r="G12" s="103"/>
      <c r="H12" s="219"/>
      <c r="I12" s="220"/>
      <c r="J12" s="221"/>
      <c r="K12" s="219"/>
      <c r="L12" s="222"/>
      <c r="M12" s="103"/>
    </row>
    <row r="13">
      <c r="A13" s="22" t="s">
        <v>207</v>
      </c>
      <c r="B13" s="20"/>
      <c r="C13" s="20"/>
      <c r="D13" s="20"/>
      <c r="E13" s="20"/>
      <c r="F13" s="21"/>
      <c r="G13" s="103"/>
      <c r="H13" s="103"/>
      <c r="I13" s="103"/>
      <c r="J13" s="103"/>
      <c r="K13" s="103"/>
      <c r="L13" s="222"/>
      <c r="M13" s="103"/>
    </row>
    <row r="14">
      <c r="E14" s="1248"/>
    </row>
    <row r="15">
      <c r="A15" s="51" t="s">
        <v>48</v>
      </c>
      <c r="B15" s="36"/>
      <c r="C15" s="36"/>
      <c r="D15" s="36"/>
      <c r="E15" s="36"/>
      <c r="F15" s="37"/>
      <c r="H15" s="51" t="s">
        <v>48</v>
      </c>
      <c r="I15" s="36"/>
      <c r="J15" s="36"/>
      <c r="K15" s="36"/>
      <c r="L15" s="36"/>
      <c r="M15" s="37"/>
    </row>
    <row r="16">
      <c r="A16" s="93" t="str">
        <f>HYPERLINK("https://youtu.be/iLgUDezDMbU","1. BENCH PRESS")</f>
        <v>1. BENCH PRESS</v>
      </c>
      <c r="B16" s="53"/>
      <c r="C16" s="53"/>
      <c r="D16" s="53"/>
      <c r="E16" s="53"/>
      <c r="F16" s="54"/>
      <c r="H16" s="93" t="str">
        <f>HYPERLINK("https://youtu.be/iLgUDezDMbU","1. DUMBELL INCLINE")</f>
        <v>1. DUMBELL INCLINE</v>
      </c>
      <c r="I16" s="53"/>
      <c r="J16" s="53"/>
      <c r="K16" s="53"/>
      <c r="L16" s="53"/>
      <c r="M16" s="54"/>
    </row>
    <row r="17">
      <c r="A17" s="226" t="s">
        <v>119</v>
      </c>
      <c r="B17" s="691" t="str">
        <f>IF('WEEK 20'!B33="",'WEEK 20'!B21,'WEEK 20'!B33)</f>
        <v/>
      </c>
      <c r="C17" s="13"/>
      <c r="D17" s="13"/>
      <c r="E17" s="13"/>
      <c r="F17" s="57"/>
      <c r="H17" s="226" t="s">
        <v>119</v>
      </c>
      <c r="I17" s="691" t="str">
        <f>IF('WEEK 21'!B34="",'WEEK 21'!B21,'WEEK 21'!B34)</f>
        <v/>
      </c>
      <c r="J17" s="13"/>
      <c r="K17" s="13"/>
      <c r="L17" s="13"/>
      <c r="M17" s="57"/>
    </row>
    <row r="18">
      <c r="A18" s="96" t="s">
        <v>50</v>
      </c>
      <c r="B18" s="97" t="s">
        <v>51</v>
      </c>
      <c r="C18" s="97" t="s">
        <v>52</v>
      </c>
      <c r="D18" s="97" t="s">
        <v>53</v>
      </c>
      <c r="E18" s="98" t="s">
        <v>54</v>
      </c>
      <c r="F18" s="235" t="s">
        <v>55</v>
      </c>
      <c r="H18" s="96" t="s">
        <v>50</v>
      </c>
      <c r="I18" s="97" t="s">
        <v>51</v>
      </c>
      <c r="J18" s="97" t="s">
        <v>52</v>
      </c>
      <c r="K18" s="97" t="s">
        <v>53</v>
      </c>
      <c r="L18" s="341" t="s">
        <v>54</v>
      </c>
      <c r="M18" s="235" t="s">
        <v>55</v>
      </c>
    </row>
    <row r="19">
      <c r="A19" s="725">
        <v>1.0</v>
      </c>
      <c r="B19" s="344">
        <f>IF( 'WEEK 22'!B17&lt;125,45,mround('WEEK 22'!B17*0.5,5))</f>
        <v>0</v>
      </c>
      <c r="C19" s="1250" t="s">
        <v>65</v>
      </c>
      <c r="D19" s="1251" t="s">
        <v>208</v>
      </c>
      <c r="E19" s="84" t="str">
        <f>IF('WEEK 18'!B19='WEEK 22'!B19,'WEEK 18'!F19,"")</f>
        <v/>
      </c>
      <c r="F19" s="85"/>
      <c r="H19" s="342">
        <v>1.0</v>
      </c>
      <c r="I19" s="344">
        <f>mround('WEEK 22'!I17*0.5,5)</f>
        <v>0</v>
      </c>
      <c r="J19" s="1250" t="s">
        <v>65</v>
      </c>
      <c r="K19" s="343" t="s">
        <v>57</v>
      </c>
      <c r="L19" s="84" t="str">
        <f>IF('WEEK 18'!I19='WEEK 22'!I19,'WEEK 18'!M19,"")</f>
        <v/>
      </c>
      <c r="M19" s="85"/>
    </row>
    <row r="20">
      <c r="A20" s="342">
        <v>2.0</v>
      </c>
      <c r="B20" s="344">
        <f>IF( 'WEEK 22'!B17&lt;125,45,mround('WEEK 22'!B17*0.5,5))</f>
        <v>0</v>
      </c>
      <c r="C20" s="1250" t="s">
        <v>65</v>
      </c>
      <c r="D20" s="1251" t="s">
        <v>208</v>
      </c>
      <c r="E20" s="84" t="str">
        <f>IF('WEEK 18'!B20='WEEK 22'!B20,'WEEK 18'!F20,"")</f>
        <v/>
      </c>
      <c r="F20" s="85"/>
      <c r="H20" s="725" t="str">
        <f>IF(OR(ISBLANK('WEEK 22'!M19)),"",IF('WEEK 22'!M19&lt;10,"MOVE",2))</f>
        <v/>
      </c>
      <c r="I20" s="344" t="str">
        <f>IF(OR(ISBLANK('WEEK 22'!M19)),"",IF('WEEK 22'!M19&lt;10,"TO",mround('WEEK 22'!I17*0.5,5)))</f>
        <v/>
      </c>
      <c r="J20" s="1250" t="str">
        <f>IF(OR(ISBLANK('WEEK 22'!M19)),"",IF('WEEK 22'!M19&lt;10,"#","REP OUT"))</f>
        <v/>
      </c>
      <c r="K20" s="343" t="str">
        <f>IF(OR(ISBLANK('WEEK 22'!M19)),"",IF('WEEK 22'!M19&lt;10,"2","1 MIN"))</f>
        <v/>
      </c>
      <c r="L20" s="84" t="str">
        <f>IF('WEEK 18'!I20='WEEK 22'!I20,'WEEK 18'!M20,"")</f>
        <v/>
      </c>
      <c r="M20" s="85"/>
    </row>
    <row r="21">
      <c r="A21" s="735">
        <v>3.0</v>
      </c>
      <c r="B21" s="1252">
        <f>IF( 'WEEK 22'!B17&lt;125,45,mround('WEEK 22'!B17*0.5,5))</f>
        <v>0</v>
      </c>
      <c r="C21" s="1253" t="s">
        <v>65</v>
      </c>
      <c r="D21" s="1254" t="s">
        <v>208</v>
      </c>
      <c r="E21" s="84" t="str">
        <f>IF('WEEK 18'!B21='WEEK 22'!B21,'WEEK 18'!F21,"")</f>
        <v/>
      </c>
      <c r="F21" s="330"/>
      <c r="H21" s="725" t="str">
        <f>IF(OR(ISBLANK('WEEK 22'!M19),ISBLANK('WEEK 22'!M20)),"",IF('WEEK 22'!M20&lt;10,"MOVE",3))</f>
        <v/>
      </c>
      <c r="I21" s="344" t="str">
        <f>IF(OR(ISBLANK('WEEK 22'!M19),ISBLANK('WEEK 22'!M20)),"",IF('WEEK 22'!M20&lt;10,"TO",mround('WEEK 22'!I17*0.5,5)))</f>
        <v/>
      </c>
      <c r="J21" s="1250" t="str">
        <f>IF(OR(ISBLANK('WEEK 22'!M19),ISBLANK('WEEK 22'!M20)),"",IF('WEEK 22'!M20&lt;10,"#","REP OUT"))</f>
        <v/>
      </c>
      <c r="K21" s="343" t="str">
        <f>IF(OR(ISBLANK('WEEK 22'!M19),ISBLANK('WEEK 22'!M20)),"",IF('WEEK 22'!M20&lt;10,"2","1 MIN"))</f>
        <v/>
      </c>
      <c r="L21" s="84" t="str">
        <f>IF('WEEK 18'!I21='WEEK 22'!I21,'WEEK 18'!M21,"")</f>
        <v/>
      </c>
      <c r="M21" s="85"/>
    </row>
    <row r="22">
      <c r="A22" s="1471"/>
      <c r="B22" s="1471"/>
      <c r="C22" s="1471"/>
      <c r="D22" s="1471"/>
      <c r="E22" s="1492"/>
      <c r="F22" s="1471"/>
      <c r="H22" s="725" t="str">
        <f>IF(OR(ISBLANK('WEEK 22'!M19),ISBLANK('WEEK 22'!M20),ISBLANK('WEEK 22'!M21)),"",IF('WEEK 22'!M21&lt;10,"MOVE",4))</f>
        <v/>
      </c>
      <c r="I22" s="344" t="str">
        <f>IF(OR(ISBLANK('WEEK 22'!M19),ISBLANK('WEEK 22'!M20),ISBLANK('WEEK 22'!M21)),"",IF('WEEK 22'!M21&gt;=1&lt;10,"TO",mround('WEEK 22'!I17*0.5,5)))</f>
        <v/>
      </c>
      <c r="J22" s="1250" t="str">
        <f>IF(OR(ISBLANK('WEEK 22'!M19),ISBLANK('WEEK 22'!M20),ISBLANK('WEEK 22'!M21)),"",IF('WEEK 22'!M21&lt;10,"#","REP OUT"))</f>
        <v/>
      </c>
      <c r="K22" s="343" t="str">
        <f>IF(OR(ISBLANK('WEEK 22'!M19),ISBLANK('WEEK 22'!M20),ISBLANK('WEEK 22'!M21)),"",IF('WEEK 22'!M21&lt;10,"2","1 MIN"))</f>
        <v/>
      </c>
      <c r="L22" s="84" t="str">
        <f>IF('WEEK 18'!I22='WEEK 22'!I22,'WEEK 18'!M22,"")</f>
        <v/>
      </c>
      <c r="M22" s="85"/>
    </row>
    <row r="23">
      <c r="A23" s="1493"/>
      <c r="B23" s="1493"/>
      <c r="C23" s="1493"/>
      <c r="D23" s="1493"/>
      <c r="E23" s="1494"/>
      <c r="F23" s="1493"/>
      <c r="H23" s="725" t="str">
        <f>IF(OR(ISBLANK('WEEK 22'!M19),ISBLANK('WEEK 22'!M20),ISBLANK('WEEK 22'!M21),ISBLANK('WEEK 22'!M22)),"",IF('WEEK 22'!M22&lt;10,"MOVE",5))</f>
        <v/>
      </c>
      <c r="I23" s="344" t="str">
        <f>IF(OR(ISBLANK('WEEK 22'!M19),ISBLANK('WEEK 22'!M20),ISBLANK('WEEK 22'!M21),ISBLANK('WEEK 22'!M22)),"",IF('WEEK 22'!M22&lt;10,"TO",mround('WEEK 22'!I17*0.5,5)))</f>
        <v/>
      </c>
      <c r="J23" s="1250" t="str">
        <f>IF(OR(ISBLANK('WEEK 22'!M19),ISBLANK('WEEK 22'!M20),ISBLANK('WEEK 22'!M21),ISBLANK('WEEK 22'!M22)),"",IF('WEEK 22'!M22&lt;10,"#","REP OUT"))</f>
        <v/>
      </c>
      <c r="K23" s="343" t="str">
        <f>IF(OR(ISBLANK('WEEK 22'!M19),ISBLANK('WEEK 22'!M20),ISBLANK('WEEK 22'!M21),ISBLANK('WEEK 22'!M22)),"",IF('WEEK 22'!M22&lt;10,"2","1 MIN"))</f>
        <v/>
      </c>
      <c r="L23" s="84" t="str">
        <f>IF('WEEK 18'!I23='WEEK 22'!I23,'WEEK 18'!M23,"")</f>
        <v/>
      </c>
      <c r="M23" s="85"/>
    </row>
    <row r="24">
      <c r="A24" s="1493"/>
      <c r="B24" s="1493"/>
      <c r="C24" s="1493"/>
      <c r="D24" s="1493"/>
      <c r="E24" s="1494"/>
      <c r="F24" s="1493"/>
      <c r="H24" s="753" t="str">
        <f>IF(OR(ISBLANK('WEEK 22'!M19),ISBLANK('WEEK 22'!M20),ISBLANK('WEEK 22'!M21),ISBLANK('WEEK 22'!M22),ISBLANK('WEEK 22'!M23)),"",IF('WEEK 22'!M23&lt;10,"MOVE",6))</f>
        <v/>
      </c>
      <c r="I24" s="754" t="str">
        <f>IF(OR(ISBLANK('WEEK 22'!M19),ISBLANK('WEEK 22'!M20),ISBLANK('WEEK 22'!M21),ISBLANK('WEEK 22'!M22),ISBLANK('WEEK 22'!M23)),"",IF('WEEK 22'!M23&lt;10,"TO",mround('WEEK 22'!I17*0.5,5)))</f>
        <v/>
      </c>
      <c r="J24" s="1282" t="str">
        <f>IF(OR(ISBLANK('WEEK 22'!M19),ISBLANK('WEEK 22'!M20),ISBLANK('WEEK 22'!M21),ISBLANK('WEEK 22'!M22),ISBLANK('WEEK 22'!M23)),"",IF('WEEK 22'!M23&lt;10,"#","REP OUT"))</f>
        <v/>
      </c>
      <c r="K24" s="486" t="str">
        <f>IF(OR(ISBLANK('WEEK 22'!M19),ISBLANK('WEEK 22'!M20),ISBLANK('WEEK 22'!M21),ISBLANK('WEEK 22'!M22),ISBLANK('WEEK 22'!M23)),"",IF('WEEK 22'!M23&lt;10,"2","1 MIN"))</f>
        <v/>
      </c>
      <c r="L24" s="89" t="str">
        <f>IF('WEEK 18'!I24='WEEK 22'!I24,'WEEK 18'!M24,"")</f>
        <v/>
      </c>
      <c r="M24" s="85"/>
    </row>
    <row r="27">
      <c r="A27" s="73" t="str">
        <f>HYPERLINK("https://youtu.be/9YH1YvZbiY0","3. MACHINE LOW ROW ")</f>
        <v>3. MACHINE LOW ROW </v>
      </c>
      <c r="B27" s="53"/>
      <c r="C27" s="53"/>
      <c r="D27" s="53"/>
      <c r="E27" s="53"/>
      <c r="F27" s="54"/>
    </row>
    <row r="28">
      <c r="A28" s="226" t="s">
        <v>119</v>
      </c>
      <c r="B28" s="227">
        <f>'WEEK 21'!B61</f>
        <v>270</v>
      </c>
      <c r="C28" s="20"/>
      <c r="D28" s="20"/>
      <c r="E28" s="20"/>
      <c r="F28" s="95"/>
    </row>
    <row r="29">
      <c r="A29" s="231" t="s">
        <v>50</v>
      </c>
      <c r="B29" s="232" t="s">
        <v>51</v>
      </c>
      <c r="C29" s="232" t="s">
        <v>52</v>
      </c>
      <c r="D29" s="232" t="s">
        <v>53</v>
      </c>
      <c r="E29" s="233" t="s">
        <v>54</v>
      </c>
      <c r="F29" s="61" t="s">
        <v>55</v>
      </c>
    </row>
    <row r="30">
      <c r="A30" s="236">
        <v>1.0</v>
      </c>
      <c r="B30" s="237">
        <f>mround('WEEK 22'!B28*0.35,5)</f>
        <v>95</v>
      </c>
      <c r="C30" s="237">
        <v>6.0</v>
      </c>
      <c r="D30" s="238" t="s">
        <v>120</v>
      </c>
      <c r="E30" s="84" t="str">
        <f>IF('WEEK 22'!B30='WEEK 14'!B47,'WEEK 14'!F47,"")</f>
        <v/>
      </c>
      <c r="F30" s="67"/>
    </row>
    <row r="31">
      <c r="A31" s="236">
        <v>2.0</v>
      </c>
      <c r="B31" s="237">
        <f>mround('WEEK 22'!B28*0.65,5)</f>
        <v>175</v>
      </c>
      <c r="C31" s="238">
        <v>3.0</v>
      </c>
      <c r="D31" s="238" t="s">
        <v>121</v>
      </c>
      <c r="E31" s="84" t="str">
        <f>IF('WEEK 22'!B31='WEEK 14'!B48,'WEEK 14'!F48,"")</f>
        <v/>
      </c>
      <c r="F31" s="67"/>
    </row>
    <row r="32">
      <c r="A32" s="242">
        <v>3.0</v>
      </c>
      <c r="B32" s="237">
        <f>mround('WEEK 22'!B28*0.9,5)</f>
        <v>245</v>
      </c>
      <c r="C32" s="63">
        <v>2.0</v>
      </c>
      <c r="D32" s="238" t="s">
        <v>121</v>
      </c>
      <c r="E32" s="84" t="str">
        <f>IF('WEEK 22'!B32='WEEK 14'!B49,'WEEK 14'!F49,"")</f>
        <v/>
      </c>
      <c r="F32" s="67"/>
    </row>
    <row r="33">
      <c r="A33" s="243">
        <v>4.0</v>
      </c>
      <c r="B33" s="237">
        <f>'WEEK 22'!B28</f>
        <v>270</v>
      </c>
      <c r="C33" s="257">
        <v>3.0</v>
      </c>
      <c r="D33" s="238" t="s">
        <v>122</v>
      </c>
      <c r="E33" s="84" t="str">
        <f>IF('WEEK 22'!B33='WEEK 14'!B50,'WEEK 14'!F50,"")</f>
        <v/>
      </c>
      <c r="F33" s="67"/>
    </row>
    <row r="34">
      <c r="A34" s="246" t="str">
        <f>IF('WEEK 22'!F33&lt;3,"PROCEED TO DOWN SETS","NEW 4 REP MAX ATTEMPT")</f>
        <v>PROCEED TO DOWN SETS</v>
      </c>
      <c r="B34" s="20"/>
      <c r="C34" s="20"/>
      <c r="D34" s="20"/>
      <c r="E34" s="20"/>
      <c r="F34" s="95"/>
    </row>
    <row r="35">
      <c r="A35" s="249" t="str">
        <f>if('WEEK 22'!F33&lt;=2,"",5)</f>
        <v/>
      </c>
      <c r="B35" s="175" t="str">
        <f>IF('WEEK 22'!F33&lt;=2,"",'WEEK 22'!B33+5)</f>
        <v/>
      </c>
      <c r="C35" s="238" t="str">
        <f>if('WEEK 22'!F33&lt;=2,"",4)</f>
        <v/>
      </c>
      <c r="D35" s="238" t="str">
        <f>if('WEEK 22'!F33&lt;=2,"","1-5 MIN")</f>
        <v/>
      </c>
      <c r="E35" s="84" t="str">
        <f>IF('WEEK 22'!B35='WEEK 14'!B52,'WEEK 14'!F52,"")</f>
        <v/>
      </c>
      <c r="F35" s="67"/>
    </row>
    <row r="36">
      <c r="A36" s="259" t="str">
        <f>IF('WEEK 22'!F35&lt;4,"","6")</f>
        <v/>
      </c>
      <c r="B36" s="237" t="str">
        <f>IF('WEEK 22'!F35&lt;4,"",'WEEK 22'!B35+5)</f>
        <v/>
      </c>
      <c r="C36" s="257" t="str">
        <f>IF('WEEK 22'!F35&lt;4,"","4")</f>
        <v/>
      </c>
      <c r="D36" s="257" t="str">
        <f>IF('WEEK 22'!F35&lt;4,"","1-5 MIN")</f>
        <v/>
      </c>
      <c r="E36" s="84" t="str">
        <f>IF('WEEK 22'!B36='WEEK 14'!B53,'WEEK 14'!F53,"")</f>
        <v/>
      </c>
      <c r="F36" s="67"/>
    </row>
    <row r="37">
      <c r="A37" s="246" t="s">
        <v>133</v>
      </c>
      <c r="B37" s="20"/>
      <c r="C37" s="20"/>
      <c r="D37" s="20"/>
      <c r="E37" s="20"/>
      <c r="F37" s="95"/>
    </row>
    <row r="38">
      <c r="A38" s="264" t="str">
        <f>IF(OR(ISBLANK('WEEK 22'!F33),ISBLANK('WEEK 22'!F32),ISBLANK('WEEK 22'!F31)),"",IF((AND('WEEK 22'!A35="",'WEEK 22'!A36="")),5,IF((AND('WEEK 22'!A35&gt;1,'WEEK 22'!A36="")),6,7)))</f>
        <v/>
      </c>
      <c r="B38" s="265">
        <f>MROUND('WEEK 22'!B40*0.8,5)</f>
        <v>0</v>
      </c>
      <c r="C38" s="266" t="s">
        <v>65</v>
      </c>
      <c r="D38" s="267" t="s">
        <v>127</v>
      </c>
      <c r="E38" s="84" t="str">
        <f>IF('WEEK 22'!B38='WEEK 14'!B55,'WEEK 14'!F55,"")</f>
        <v/>
      </c>
      <c r="F38" s="67"/>
    </row>
    <row r="39">
      <c r="A39" s="243" t="str">
        <f>IF(OR(ISBLANK('WEEK 22'!F33),ISBLANK('WEEK 22'!F32),ISBLANK('WEEK 22'!F31)),"",IF((AND('WEEK 22'!A35="",'WEEK 22'!A36="")),6,IF((AND('WEEK 22'!A35&gt;1,'WEEK 22'!A36="")),7,8)))</f>
        <v/>
      </c>
      <c r="B39" s="237">
        <f>mround('WEEK 22'!B40*0.7,5)</f>
        <v>0</v>
      </c>
      <c r="C39" s="245" t="s">
        <v>65</v>
      </c>
      <c r="D39" s="65" t="s">
        <v>127</v>
      </c>
      <c r="E39" s="84" t="str">
        <f>IF('WEEK 22'!B39='WEEK 14'!B56,'WEEK 14'!F56,"")</f>
        <v/>
      </c>
      <c r="F39" s="271"/>
    </row>
    <row r="40">
      <c r="A40" s="272" t="s">
        <v>124</v>
      </c>
      <c r="B40" s="273" t="str">
        <f>IF(OR(ISBLANK('WEEK 22'!F33),ISBLANK('WEEK 22'!F32),ISBLANK('WEEK 22'!F31)),"",IF('WEEK 22'!F36&gt;=4,'WEEK 22'!B36,IF('WEEK 22'!F35&gt;=1,'WEEK 22'!B35,IF('WEEK 22'!F33&lt;3,'WEEK 22'!B33-5,'WEEK 22'!B33))))</f>
        <v/>
      </c>
      <c r="C40" s="11"/>
      <c r="D40" s="11"/>
      <c r="E40" s="11"/>
      <c r="F40" s="46"/>
    </row>
    <row r="41">
      <c r="A41" s="292"/>
      <c r="B41" s="292"/>
      <c r="C41" s="292"/>
      <c r="D41" s="292"/>
      <c r="E41" s="292"/>
      <c r="F41" s="292"/>
    </row>
    <row r="42">
      <c r="A42" s="73" t="str">
        <f>HYPERLINK("https://youtu.be/hMUUvL3FlkE","4. MACHINE HIGH ROW")</f>
        <v>4. MACHINE HIGH ROW</v>
      </c>
      <c r="B42" s="53"/>
      <c r="C42" s="53"/>
      <c r="D42" s="53"/>
      <c r="E42" s="53"/>
      <c r="F42" s="54"/>
    </row>
    <row r="43">
      <c r="A43" s="282" t="s">
        <v>119</v>
      </c>
      <c r="B43" s="56" t="str">
        <f>'WEEK 21'!B69</f>
        <v/>
      </c>
      <c r="C43" s="13"/>
      <c r="D43" s="13"/>
      <c r="E43" s="13"/>
      <c r="F43" s="57"/>
    </row>
    <row r="44">
      <c r="A44" s="58" t="s">
        <v>50</v>
      </c>
      <c r="B44" s="59" t="s">
        <v>51</v>
      </c>
      <c r="C44" s="59" t="s">
        <v>52</v>
      </c>
      <c r="D44" s="59" t="s">
        <v>53</v>
      </c>
      <c r="E44" s="60" t="s">
        <v>54</v>
      </c>
      <c r="F44" s="61" t="s">
        <v>55</v>
      </c>
    </row>
    <row r="45">
      <c r="A45" s="62">
        <v>1.0</v>
      </c>
      <c r="B45" s="63">
        <f>MROUND('WEEK 22'!B43*0.85,5)</f>
        <v>0</v>
      </c>
      <c r="C45" s="104" t="s">
        <v>65</v>
      </c>
      <c r="D45" s="65" t="s">
        <v>127</v>
      </c>
      <c r="E45" s="84" t="str">
        <f>IF('WEEK 22'!B45='WEEK 14'!B62,'WEEK 14'!F62,"")</f>
        <v/>
      </c>
      <c r="F45" s="67"/>
    </row>
    <row r="46">
      <c r="A46" s="62">
        <v>2.0</v>
      </c>
      <c r="B46" s="63">
        <f>IF('WEEK 22'!F45&lt;6,MROUND('WEEK 22'!B43*0.75,5),IF('WEEK 22'!F45&lt;=10,MROUND('WEEK 22'!B43*0.85,5),'WEEK 22'!B45))</f>
        <v>0</v>
      </c>
      <c r="C46" s="104" t="s">
        <v>65</v>
      </c>
      <c r="D46" s="65" t="s">
        <v>127</v>
      </c>
      <c r="E46" s="84" t="str">
        <f>IF('WEEK 22'!B46='WEEK 14'!B63,'WEEK 14'!F63,"")</f>
        <v/>
      </c>
      <c r="F46" s="67"/>
    </row>
    <row r="47">
      <c r="A47" s="68">
        <v>3.0</v>
      </c>
      <c r="B47" s="69">
        <f>IF('WEEK 22'!F46&lt;6,MROUND('WEEK 22'!B43*0.75,5),IF('WEEK 22'!F46&lt;=10,MROUND('WEEK 22'!B43*0.85,5),'WEEK 22'!B46))</f>
        <v>0</v>
      </c>
      <c r="C47" s="105" t="s">
        <v>65</v>
      </c>
      <c r="D47" s="71" t="s">
        <v>127</v>
      </c>
      <c r="E47" s="89" t="str">
        <f>IF('WEEK 22'!B47='WEEK 14'!B64,'WEEK 14'!F64,"")</f>
        <v/>
      </c>
      <c r="F47" s="67"/>
    </row>
    <row r="48">
      <c r="A48" s="657"/>
    </row>
    <row r="50">
      <c r="A50" s="440" t="str">
        <f>HYPERLINK("https://www.youtube.com/watch?v=PnaDzYh2axA","5. LAT PULL DOWN")</f>
        <v>5. LAT PULL DOWN</v>
      </c>
      <c r="B50" s="53"/>
      <c r="C50" s="53"/>
      <c r="D50" s="53"/>
      <c r="E50" s="53"/>
      <c r="F50" s="54"/>
    </row>
    <row r="51">
      <c r="A51" s="282" t="s">
        <v>119</v>
      </c>
      <c r="B51" s="56" t="str">
        <f>IF('WEEK 21'!B57="",'WEEK 21'!B45,'WEEK 21'!B57)</f>
        <v/>
      </c>
      <c r="C51" s="13"/>
      <c r="D51" s="13"/>
      <c r="E51" s="13"/>
      <c r="F51" s="57"/>
    </row>
    <row r="52">
      <c r="A52" s="58" t="s">
        <v>50</v>
      </c>
      <c r="B52" s="59" t="s">
        <v>51</v>
      </c>
      <c r="C52" s="59" t="s">
        <v>52</v>
      </c>
      <c r="D52" s="59" t="s">
        <v>53</v>
      </c>
      <c r="E52" s="60" t="s">
        <v>54</v>
      </c>
      <c r="F52" s="61" t="s">
        <v>55</v>
      </c>
    </row>
    <row r="53">
      <c r="A53" s="62">
        <v>1.0</v>
      </c>
      <c r="B53" s="63">
        <f>MROUND('WEEK 22'!B51*0.8,5)</f>
        <v>0</v>
      </c>
      <c r="C53" s="104" t="s">
        <v>65</v>
      </c>
      <c r="D53" s="65" t="s">
        <v>127</v>
      </c>
      <c r="E53" s="84" t="str">
        <f>IF('WEEK 22'!B53='WEEK 14'!B70,'WEEK 14'!F70,"")</f>
        <v/>
      </c>
      <c r="F53" s="67"/>
    </row>
    <row r="54">
      <c r="A54" s="62">
        <v>2.0</v>
      </c>
      <c r="B54" s="663">
        <f>IF('WEEK 22'!F53&lt;6,MROUND('WEEK 22'!B53*0.85,5),IF('WEEK 22'!F53&lt;=10,MROUND('WEEK 22'!B53*0.95,5),'WEEK 22'!B53))</f>
        <v>0</v>
      </c>
      <c r="C54" s="104" t="s">
        <v>65</v>
      </c>
      <c r="D54" s="65" t="s">
        <v>127</v>
      </c>
      <c r="E54" s="84" t="str">
        <f>IF('WEEK 22'!B54='WEEK 14'!B71,'WEEK 14'!F71,"")</f>
        <v/>
      </c>
      <c r="F54" s="67"/>
    </row>
    <row r="55">
      <c r="A55" s="325">
        <v>3.0</v>
      </c>
      <c r="B55" s="663">
        <f>IF('WEEK 22'!F54&lt;6,MROUND('WEEK 22'!B54*0.85,5),IF('WEEK 22'!F54&lt;=10,MROUND('WEEK 22'!B54*0.95,5),'WEEK 22'!B54))</f>
        <v>0</v>
      </c>
      <c r="C55" s="327" t="s">
        <v>65</v>
      </c>
      <c r="D55" s="65" t="s">
        <v>127</v>
      </c>
      <c r="E55" s="84" t="str">
        <f>IF('WEEK 22'!B55='WEEK 14'!B72,'WEEK 14'!F72,"")</f>
        <v/>
      </c>
      <c r="F55" s="665"/>
    </row>
    <row r="56">
      <c r="A56" s="580"/>
      <c r="B56" s="666"/>
      <c r="C56" s="667"/>
      <c r="D56" s="666"/>
      <c r="E56" s="668"/>
      <c r="F56" s="666"/>
    </row>
    <row r="57">
      <c r="A57" s="581" t="str">
        <f>HYPERLINK("https://docs.google.com/a/fitnessresults.com/forms/d/e/1FAIpQLSd7MoczESe8Yjv6BKpmwAZGn9Aiymrs9-UdgfYIUpbr9t5NXg/viewform?usp=pp_url&amp;entry.93370101","CLICK TO COMPLETE WORKOUT")</f>
        <v>CLICK TO COMPLETE WORKOUT</v>
      </c>
      <c r="B57" s="25"/>
      <c r="C57" s="25"/>
      <c r="D57" s="25"/>
      <c r="E57" s="25"/>
      <c r="F57" s="26"/>
    </row>
    <row r="58">
      <c r="A58" s="336"/>
      <c r="B58" s="11"/>
      <c r="C58" s="11"/>
      <c r="D58" s="11"/>
      <c r="E58" s="11"/>
      <c r="F58" s="46"/>
    </row>
    <row r="59">
      <c r="A59" s="582"/>
      <c r="B59" s="582"/>
      <c r="C59" s="582"/>
      <c r="D59" s="582"/>
      <c r="E59" s="582"/>
      <c r="F59" s="582"/>
    </row>
    <row r="60">
      <c r="A60" s="669" t="s">
        <v>128</v>
      </c>
      <c r="B60" s="11"/>
      <c r="C60" s="11"/>
      <c r="D60" s="11"/>
      <c r="E60" s="11"/>
      <c r="F60" s="46"/>
    </row>
    <row r="62">
      <c r="A62" s="1355" t="str">
        <f>HYPERLINK("https://www.youtube.com/watch?v=5UOeRbRoFOI","1. MACHINE SQUAT")</f>
        <v>1. MACHINE SQUAT</v>
      </c>
      <c r="B62" s="53"/>
      <c r="C62" s="53"/>
      <c r="D62" s="53"/>
      <c r="E62" s="53"/>
      <c r="F62" s="54"/>
    </row>
    <row r="63">
      <c r="A63" s="1262" t="s">
        <v>192</v>
      </c>
      <c r="B63" s="1035">
        <f>'WEEK 16'!B66</f>
        <v>100</v>
      </c>
      <c r="C63" s="13"/>
      <c r="D63" s="13"/>
      <c r="E63" s="13"/>
      <c r="F63" s="57"/>
    </row>
    <row r="64">
      <c r="A64" s="231" t="s">
        <v>50</v>
      </c>
      <c r="B64" s="232" t="s">
        <v>51</v>
      </c>
      <c r="C64" s="232" t="s">
        <v>52</v>
      </c>
      <c r="D64" s="232" t="s">
        <v>53</v>
      </c>
      <c r="E64" s="233" t="s">
        <v>54</v>
      </c>
      <c r="F64" s="61" t="s">
        <v>55</v>
      </c>
    </row>
    <row r="65">
      <c r="A65" s="236">
        <v>1.0</v>
      </c>
      <c r="B65" s="237">
        <f>mround('WEEK 22'!B63*0.35,5)</f>
        <v>35</v>
      </c>
      <c r="C65" s="238">
        <v>10.0</v>
      </c>
      <c r="D65" s="238" t="s">
        <v>120</v>
      </c>
      <c r="E65" s="66" t="str">
        <f>IF('WEEK 22'!B65='WEEK 16'!B68,'WEEK 16'!F68,"")</f>
        <v/>
      </c>
      <c r="F65" s="67"/>
    </row>
    <row r="66">
      <c r="A66" s="236">
        <v>2.0</v>
      </c>
      <c r="B66" s="237">
        <f>mround('WEEK 22'!B63*0.65,5)</f>
        <v>65</v>
      </c>
      <c r="C66" s="238">
        <v>10.0</v>
      </c>
      <c r="D66" s="238" t="s">
        <v>121</v>
      </c>
      <c r="E66" s="66" t="str">
        <f>IF('WEEK 22'!B66='WEEK 16'!B69,'WEEK 16'!F69,"")</f>
        <v/>
      </c>
      <c r="F66" s="67"/>
    </row>
    <row r="67">
      <c r="A67" s="242">
        <v>3.0</v>
      </c>
      <c r="B67" s="237">
        <f>mround('WEEK 22'!B63*0.9,5)</f>
        <v>90</v>
      </c>
      <c r="C67" s="238">
        <v>10.0</v>
      </c>
      <c r="D67" s="238" t="s">
        <v>121</v>
      </c>
      <c r="E67" s="66" t="str">
        <f>IF('WEEK 22'!B67='WEEK 16'!B70,'WEEK 16'!F70,"")</f>
        <v/>
      </c>
      <c r="F67" s="67"/>
    </row>
    <row r="68">
      <c r="A68" s="249">
        <v>4.0</v>
      </c>
      <c r="B68" s="175">
        <f>if('WEEK 22'!F67&lt;10,MROUND('WEEK 22'!B67-('WEEK 22'!B67*20%),5),'WEEK 22'!B63)</f>
        <v>70</v>
      </c>
      <c r="C68" s="238">
        <v>10.0</v>
      </c>
      <c r="D68" s="238" t="s">
        <v>122</v>
      </c>
      <c r="E68" s="66" t="str">
        <f>IF('WEEK 22'!B68='WEEK 16'!B71,'WEEK 16'!F71,"")</f>
        <v/>
      </c>
      <c r="F68" s="67"/>
    </row>
    <row r="69">
      <c r="A69" s="249">
        <v>5.0</v>
      </c>
      <c r="B69" s="175">
        <f>IF((AND('WEEK 22'!B68&lt;='WEEK 22'!B67,'WEEK 22'!F68&gt;=10)),'WEEK 22'!B68,IF('WEEK 22'!F68&lt;10,MROUND('WEEK 22'!B68-('WEEK 22'!B68*20%),5),if( 'WEEK 22'!F68&lt;10,MROUND('WEEK 22'!B68-('WEEK 22'!B68*10%),5),MROUND('WEEK 22'!B68+('WEEK 22'!B68*10%),5))))</f>
        <v>55</v>
      </c>
      <c r="C69" s="238">
        <v>10.0</v>
      </c>
      <c r="D69" s="238" t="s">
        <v>122</v>
      </c>
      <c r="E69" s="66" t="str">
        <f>IF('WEEK 22'!B69='WEEK 16'!B72,'WEEK 16'!F72,"")</f>
        <v/>
      </c>
      <c r="F69" s="1037"/>
    </row>
    <row r="70">
      <c r="A70" s="249">
        <f>if('WEEK 22'!F68&lt;10,6,6)</f>
        <v>6</v>
      </c>
      <c r="B70" s="175">
        <f>IF((AND('WEEK 22'!B69&lt;='WEEK 22'!B68,'WEEK 22'!F69&gt;=10)),'WEEK 22'!B69,IF('WEEK 22'!F69&lt;10,MROUND('WEEK 22'!B69-('WEEK 22'!B69*20%),5),if( 'WEEK 22'!F69&lt;10,MROUND('WEEK 22'!B69-('WEEK 22'!B69*10%),5),MROUND('WEEK 22'!B69+('WEEK 22'!B69*10%),5))))</f>
        <v>45</v>
      </c>
      <c r="C70" s="238">
        <v>10.0</v>
      </c>
      <c r="D70" s="238" t="s">
        <v>122</v>
      </c>
      <c r="E70" s="66" t="str">
        <f>IF('WEEK 22'!B70='WEEK 16'!B73,'WEEK 16'!F73,"")</f>
        <v/>
      </c>
      <c r="F70" s="67"/>
    </row>
    <row r="71">
      <c r="A71" s="1038">
        <f>IF('WEEK 22'!F70&lt;10,7,"7")</f>
        <v>7</v>
      </c>
      <c r="B71" s="175">
        <f>IF((AND('WEEK 22'!B70&lt;='WEEK 22'!B69,'WEEK 22'!F70&gt;=10)),'WEEK 22'!B70,IF('WEEK 22'!F70&lt;10,MROUND('WEEK 22'!B70-('WEEK 22'!B70*20%),5),if( 'WEEK 22'!F70&lt;10,MROUND('WEEK 22'!B70-('WEEK 22'!B70*10%),5),MROUND('WEEK 22'!B70+('WEEK 22'!B70*10%),5))))</f>
        <v>35</v>
      </c>
      <c r="C71" s="238">
        <v>10.0</v>
      </c>
      <c r="D71" s="238" t="s">
        <v>122</v>
      </c>
      <c r="E71" s="66" t="str">
        <f>IF('WEEK 22'!B71='WEEK 16'!B74,'WEEK 16'!F74,"")</f>
        <v/>
      </c>
      <c r="F71" s="67"/>
    </row>
    <row r="72">
      <c r="A72" s="249">
        <f>IF('WEEK 22'!F71&lt;10,8,"8")</f>
        <v>8</v>
      </c>
      <c r="B72" s="175">
        <f>IF((AND('WEEK 22'!B71&lt;='WEEK 22'!B70,'WEEK 22'!F71&gt;=10)),'WEEK 22'!B71,IF('WEEK 22'!F71&lt;10,MROUND('WEEK 22'!B71-('WEEK 22'!B71*20%),5),if( 'WEEK 22'!F71&lt;10,MROUND('WEEK 22'!B71-('WEEK 22'!B71*10%),5),MROUND('WEEK 22'!B71+('WEEK 22'!B71*10%),5))))</f>
        <v>30</v>
      </c>
      <c r="C72" s="238">
        <v>10.0</v>
      </c>
      <c r="D72" s="238" t="s">
        <v>122</v>
      </c>
      <c r="E72" s="66" t="str">
        <f>IF('WEEK 22'!B72='WEEK 16'!B75,'WEEK 16'!F75,"")</f>
        <v/>
      </c>
      <c r="F72" s="67"/>
    </row>
    <row r="73">
      <c r="A73" s="1038">
        <f>IF('WEEK 22'!F72&lt;10,9,"9")</f>
        <v>9</v>
      </c>
      <c r="B73" s="175">
        <f>IF((AND('WEEK 22'!B72&lt;='WEEK 22'!B71,'WEEK 22'!F72&gt;=10)),'WEEK 22'!B72,IF('WEEK 22'!F72&lt;10,MROUND('WEEK 22'!B72-('WEEK 22'!B72*20%),5),if( 'WEEK 22'!F72&lt;10,MROUND('WEEK 22'!B72-('WEEK 22'!B72*10%),5),MROUND('WEEK 22'!B72+('WEEK 22'!B72*10%),5))))</f>
        <v>25</v>
      </c>
      <c r="C73" s="238">
        <v>10.0</v>
      </c>
      <c r="D73" s="238" t="s">
        <v>122</v>
      </c>
      <c r="E73" s="66" t="str">
        <f>IF('WEEK 22'!B73='WEEK 16'!B76,'WEEK 16'!F76,"")</f>
        <v/>
      </c>
      <c r="F73" s="67"/>
    </row>
    <row r="74">
      <c r="A74" s="1038" t="str">
        <f>IF('WEEK 22'!F73&lt;10,"10","10")</f>
        <v>10</v>
      </c>
      <c r="B74" s="175">
        <f>IF((AND('WEEK 22'!B73&lt;='WEEK 22'!B72,'WEEK 22'!F73&gt;=10)),'WEEK 22'!B73,IF('WEEK 22'!F73&lt;10,MROUND('WEEK 22'!B73-('WEEK 22'!B73*20%),5),if( 'WEEK 22'!F73&lt;10,MROUND('WEEK 22'!B73-('WEEK 22'!B73*10%),5),MROUND('WEEK 22'!B73+('WEEK 22'!B73*10%),5))))</f>
        <v>20</v>
      </c>
      <c r="C74" s="238">
        <v>10.0</v>
      </c>
      <c r="D74" s="238" t="s">
        <v>122</v>
      </c>
      <c r="E74" s="66" t="str">
        <f>IF('WEEK 22'!B74='WEEK 16'!B77,'WEEK 16'!F77,"")</f>
        <v/>
      </c>
      <c r="F74" s="67"/>
    </row>
    <row r="75">
      <c r="A75" s="272" t="s">
        <v>192</v>
      </c>
      <c r="B75" s="1109">
        <f>IF(OR(ISBLANK('WEEK 22'!F65),ISBLANK('WEEK 22'!F66)),'WEEK 22'!B63,IF((AND('WEEK 22'!F74&gt;=10,'WEEK 22'!B74&gt;'WEEK 22'!B73)),'WEEK 22'!B74,IF((AND('WEEK 22'!F73&gt;=10,'WEEK 22'!B73&gt;'WEEK 22'!B72)),'WEEK 22'!B73,IF((AND('WEEK 22'!F72&gt;=10,'WEEK 22'!B72&gt;'WEEK 22'!B71)),'WEEK 22'!B72,IF((AND('WEEK 22'!F71&gt;=10,'WEEK 22'!B71&gt;'WEEK 22'!B70)),'WEEK 22'!B71,IF((AND('WEEK 22'!F70&gt;=10,'WEEK 22'!B70&gt;'WEEK 22'!B69)),'WEEK 22'!B70,IF((AND('WEEK 22'!F69&gt;=10,'WEEK 22'!B69&gt;'WEEK 22'!B68)),'WEEK 22'!B69,IF((AND('WEEK 22'!F68&gt;=10,'WEEK 22'!B68&gt;'WEEK 22'!B67)),'WEEK 22'!B68,IF((AND('WEEK 22'!F67&gt;=10,'WEEK 22'!B67&gt;'WEEK 22'!B66)),'WEEK 22'!B67,IF((AND('WEEK 22'!F66&gt;=10,'WEEK 22'!B66&gt;'WEEK 22'!B65)),'WEEK 22'!B66))))))))))</f>
        <v>100</v>
      </c>
      <c r="C75" s="11"/>
      <c r="D75" s="11"/>
      <c r="E75" s="11"/>
      <c r="F75" s="46"/>
    </row>
    <row r="78">
      <c r="A78" s="1285" t="str">
        <f>HYPERLINK("https://www.youtube.com/watch?v=NZ9KiFtbiMs","2. LEG EXTENSION")</f>
        <v>2. LEG EXTENSION</v>
      </c>
      <c r="B78" s="53"/>
      <c r="C78" s="53"/>
      <c r="D78" s="53"/>
      <c r="E78" s="53"/>
      <c r="F78" s="54"/>
    </row>
    <row r="79">
      <c r="A79" s="1045" t="s">
        <v>119</v>
      </c>
      <c r="B79" s="1367">
        <f>IF('WEEK 21'!B100='WEEK 21'!B102,'WEEK 21'!B100+5,IF('WEEK 21'!F100&lt;=9,MROUND('WEEK 21'!B98*0.95,5),'WEEK 21'!B100))</f>
        <v>50</v>
      </c>
      <c r="C79" s="20"/>
      <c r="D79" s="20"/>
      <c r="E79" s="20"/>
      <c r="F79" s="95"/>
    </row>
    <row r="80">
      <c r="A80" s="567" t="s">
        <v>50</v>
      </c>
      <c r="B80" s="568" t="s">
        <v>51</v>
      </c>
      <c r="C80" s="568" t="s">
        <v>52</v>
      </c>
      <c r="D80" s="568" t="s">
        <v>53</v>
      </c>
      <c r="E80" s="1047" t="s">
        <v>54</v>
      </c>
      <c r="F80" s="1048" t="s">
        <v>55</v>
      </c>
    </row>
    <row r="81">
      <c r="A81" s="1049">
        <v>1.0</v>
      </c>
      <c r="B81" s="1050">
        <f>'WEEK 22'!B79</f>
        <v>50</v>
      </c>
      <c r="C81" s="1051" t="s">
        <v>61</v>
      </c>
      <c r="D81" s="1430" t="s">
        <v>121</v>
      </c>
      <c r="E81" s="1130" t="str">
        <f>IF('WEEK 21'!B100='WEEK 22'!B81,'WEEK 21'!F100,"")</f>
        <v/>
      </c>
      <c r="F81" s="1017"/>
    </row>
    <row r="82">
      <c r="A82" s="1049">
        <v>2.0</v>
      </c>
      <c r="B82" s="1050">
        <f>if('WEEK 22'!F81&lt;12,mround('WEEK 22'!B81*0.8,5),IF('WEEK 22'!F81&lt;=14,MROUND('WEEK 22'!B81*0.95,5),'WEEK 22'!B81))</f>
        <v>40</v>
      </c>
      <c r="C82" s="1051" t="s">
        <v>61</v>
      </c>
      <c r="D82" s="1430" t="s">
        <v>121</v>
      </c>
      <c r="E82" s="1130" t="str">
        <f>IF('WEEK 21'!B101='WEEK 22'!B82,'WEEK 21'!F101,"")</f>
        <v/>
      </c>
      <c r="F82" s="1017"/>
    </row>
    <row r="83">
      <c r="A83" s="1053">
        <v>3.0</v>
      </c>
      <c r="B83" s="1054">
        <f>if('WEEK 22'!F82&lt;12,mround('WEEK 22'!B82*0.8,5),IF('WEEK 22'!F82&lt;=14,MROUND('WEEK 22'!B82*0.95,5),'WEEK 22'!B82))</f>
        <v>30</v>
      </c>
      <c r="C83" s="1055" t="s">
        <v>61</v>
      </c>
      <c r="D83" s="1453" t="s">
        <v>121</v>
      </c>
      <c r="E83" s="1348" t="str">
        <f>IF('WEEK 21'!B102='WEEK 22'!B83,'WEEK 21'!F102,"")</f>
        <v/>
      </c>
      <c r="F83" s="1017"/>
    </row>
    <row r="86">
      <c r="A86" s="323" t="str">
        <f>HYPERLINK("https://www.youtube.com/watch?v=XepOfsnGFJg","3. MACHINE LEG CURL")</f>
        <v>3. MACHINE LEG CURL</v>
      </c>
      <c r="B86" s="53"/>
      <c r="C86" s="53"/>
      <c r="D86" s="53"/>
      <c r="E86" s="53"/>
      <c r="F86" s="54"/>
      <c r="G86" s="141"/>
      <c r="H86" s="323" t="str">
        <f>HYPERLINK("https://youtu.be/kmN9cJ79PDE","3. PRONE LEG CURL")</f>
        <v>3. PRONE LEG CURL</v>
      </c>
      <c r="I86" s="53"/>
      <c r="J86" s="53"/>
      <c r="K86" s="53"/>
      <c r="L86" s="53"/>
      <c r="M86" s="54"/>
    </row>
    <row r="87">
      <c r="A87" s="1045" t="s">
        <v>119</v>
      </c>
      <c r="B87" s="1367">
        <f>IF('WEEK 21'!B108='WEEK 21'!B110,'WEEK 21'!B108+5,IF('WEEK 21'!F108&lt;=9,MROUND('WEEK 21'!B106*0.95,5),'WEEK 21'!B108))</f>
        <v>15</v>
      </c>
      <c r="C87" s="20"/>
      <c r="D87" s="20"/>
      <c r="E87" s="20"/>
      <c r="F87" s="95"/>
      <c r="H87" s="1045" t="s">
        <v>119</v>
      </c>
      <c r="I87" s="1046">
        <f>'WEEK 22'!B87</f>
        <v>15</v>
      </c>
      <c r="J87" s="13"/>
      <c r="K87" s="13"/>
      <c r="L87" s="13"/>
      <c r="M87" s="57"/>
    </row>
    <row r="88">
      <c r="A88" s="567" t="s">
        <v>50</v>
      </c>
      <c r="B88" s="568" t="s">
        <v>51</v>
      </c>
      <c r="C88" s="568" t="s">
        <v>52</v>
      </c>
      <c r="D88" s="568" t="s">
        <v>53</v>
      </c>
      <c r="E88" s="1047" t="s">
        <v>54</v>
      </c>
      <c r="F88" s="1048" t="s">
        <v>55</v>
      </c>
      <c r="H88" s="567" t="s">
        <v>50</v>
      </c>
      <c r="I88" s="568" t="s">
        <v>51</v>
      </c>
      <c r="J88" s="568" t="s">
        <v>52</v>
      </c>
      <c r="K88" s="568" t="s">
        <v>53</v>
      </c>
      <c r="L88" s="1047" t="s">
        <v>54</v>
      </c>
      <c r="M88" s="1048" t="s">
        <v>55</v>
      </c>
    </row>
    <row r="89">
      <c r="A89" s="1049">
        <v>1.0</v>
      </c>
      <c r="B89" s="1050">
        <f>'WEEK 22'!B87</f>
        <v>15</v>
      </c>
      <c r="C89" s="1051" t="s">
        <v>61</v>
      </c>
      <c r="D89" s="1430" t="s">
        <v>121</v>
      </c>
      <c r="E89" s="1130" t="str">
        <f>IF('WEEK 21'!B108='WEEK 22'!B89,'WEEK 21'!F108,"")</f>
        <v/>
      </c>
      <c r="F89" s="1017"/>
      <c r="G89" s="434" t="s">
        <v>123</v>
      </c>
      <c r="H89" s="1049">
        <v>1.0</v>
      </c>
      <c r="I89" s="1050">
        <f>'WEEK 22'!I87</f>
        <v>15</v>
      </c>
      <c r="J89" s="1051" t="s">
        <v>61</v>
      </c>
      <c r="K89" s="1430" t="s">
        <v>121</v>
      </c>
      <c r="L89" s="1130" t="str">
        <f>IF('WEEK 21'!I108='WEEK 22'!I89,'WEEK 21'!M108,"")</f>
        <v/>
      </c>
      <c r="M89" s="1017"/>
    </row>
    <row r="90">
      <c r="A90" s="1049">
        <v>2.0</v>
      </c>
      <c r="B90" s="1050">
        <f>if('WEEK 22'!F89&lt;12,mround('WEEK 22'!B89*0.8,5),IF('WEEK 22'!F89&lt;=14,MROUND('WEEK 22'!B89*0.95,5),'WEEK 22'!B89))</f>
        <v>10</v>
      </c>
      <c r="C90" s="1051" t="s">
        <v>61</v>
      </c>
      <c r="D90" s="1430" t="s">
        <v>121</v>
      </c>
      <c r="E90" s="1130" t="str">
        <f>IF('WEEK 21'!B109='WEEK 22'!B90,'WEEK 21'!F109,"")</f>
        <v/>
      </c>
      <c r="F90" s="1017"/>
      <c r="H90" s="1049">
        <v>2.0</v>
      </c>
      <c r="I90" s="1050">
        <f>if('WEEK 22'!M89&lt;12,mround('WEEK 22'!I89*0.8,5),IF('WEEK 22'!M89&lt;=14,MROUND('WEEK 22'!I89*0.95,5),'WEEK 22'!I89))</f>
        <v>10</v>
      </c>
      <c r="J90" s="1051" t="s">
        <v>61</v>
      </c>
      <c r="K90" s="1430" t="s">
        <v>121</v>
      </c>
      <c r="L90" s="1130" t="str">
        <f>IF('WEEK 21'!I109='WEEK 22'!I90,'WEEK 21'!M109,"")</f>
        <v/>
      </c>
      <c r="M90" s="1017"/>
    </row>
    <row r="91">
      <c r="A91" s="1053">
        <v>3.0</v>
      </c>
      <c r="B91" s="1054">
        <f>if('WEEK 22'!F90&lt;12,mround('WEEK 22'!B90*0.8,5),IF('WEEK 22'!F90&lt;=14,MROUND('WEEK 22'!B90*0.95,5),'WEEK 22'!B90))</f>
        <v>10</v>
      </c>
      <c r="C91" s="1055" t="s">
        <v>61</v>
      </c>
      <c r="D91" s="1453" t="s">
        <v>121</v>
      </c>
      <c r="E91" s="1348" t="str">
        <f>IF('WEEK 21'!B110='WEEK 22'!B91,'WEEK 21'!F110,"")</f>
        <v/>
      </c>
      <c r="F91" s="1017"/>
      <c r="G91" s="682"/>
      <c r="H91" s="1053">
        <v>3.0</v>
      </c>
      <c r="I91" s="1054">
        <f>if('WEEK 22'!M90&lt;12,mround('WEEK 22'!I90*0.8,5),IF('WEEK 22'!M90&lt;=14,MROUND('WEEK 22'!I90*0.95,5),'WEEK 22'!I90))</f>
        <v>10</v>
      </c>
      <c r="J91" s="1055" t="s">
        <v>61</v>
      </c>
      <c r="K91" s="1453" t="s">
        <v>121</v>
      </c>
      <c r="L91" s="1348" t="str">
        <f>IF('WEEK 21'!I110='WEEK 22'!I91,'WEEK 21'!M110,"")</f>
        <v/>
      </c>
      <c r="M91" s="1017"/>
    </row>
    <row r="92">
      <c r="A92" s="849"/>
      <c r="B92" s="849"/>
      <c r="C92" s="849"/>
      <c r="D92" s="849"/>
      <c r="E92" s="849"/>
      <c r="F92" s="849"/>
      <c r="H92" s="849"/>
      <c r="I92" s="850"/>
      <c r="J92" s="850"/>
      <c r="K92" s="850"/>
      <c r="L92" s="850"/>
      <c r="M92" s="850"/>
    </row>
    <row r="94">
      <c r="A94" s="310" t="str">
        <f>HYPERLINK("https://docs.google.com/a/fitnessresults.com/forms/d/e/1FAIpQLSd7MoczESe8Yjv6BKpmwAZGn9Aiymrs9-UdgfYIUpbr9t5NXg/viewform?usp=pp_url&amp;entry.93370101","CLICK TO COMPLETE WORKOUT")</f>
        <v>CLICK TO COMPLETE WORKOUT</v>
      </c>
      <c r="B94" s="36"/>
      <c r="C94" s="36"/>
      <c r="D94" s="36"/>
      <c r="E94" s="36"/>
      <c r="F94" s="37"/>
    </row>
    <row r="95">
      <c r="E95" s="1248"/>
    </row>
    <row r="96">
      <c r="A96" s="224" t="s">
        <v>128</v>
      </c>
      <c r="B96" s="36"/>
      <c r="C96" s="36"/>
      <c r="D96" s="36"/>
      <c r="E96" s="36"/>
      <c r="F96" s="37"/>
    </row>
    <row r="99">
      <c r="A99" s="44" t="s">
        <v>131</v>
      </c>
      <c r="B99" s="36"/>
      <c r="C99" s="36"/>
      <c r="D99" s="36"/>
      <c r="E99" s="36"/>
      <c r="F99" s="37"/>
      <c r="H99" s="44" t="s">
        <v>131</v>
      </c>
      <c r="I99" s="36"/>
      <c r="J99" s="36"/>
      <c r="K99" s="36"/>
      <c r="L99" s="36"/>
      <c r="M99" s="37"/>
    </row>
    <row r="100">
      <c r="A100" s="1139" t="str">
        <f>HYPERLINK("https://www.youtube.com/watch?v=-cSBPE-y38M","1. MACHINE SHOULDER PRESS")</f>
        <v>1. MACHINE SHOULDER PRESS</v>
      </c>
      <c r="B100" s="13"/>
      <c r="C100" s="13"/>
      <c r="D100" s="13"/>
      <c r="E100" s="13"/>
      <c r="F100" s="57"/>
      <c r="H100" s="112" t="str">
        <f>HYPERLINK("https://www.youtube.com/watch?v=rmxOkkd2hUk","1. SHOULDER PRESS")</f>
        <v>1. SHOULDER PRESS</v>
      </c>
      <c r="I100" s="13"/>
      <c r="J100" s="13"/>
      <c r="K100" s="13"/>
      <c r="L100" s="13"/>
      <c r="M100" s="57"/>
    </row>
    <row r="101">
      <c r="A101" s="226" t="s">
        <v>119</v>
      </c>
      <c r="B101" s="227">
        <f>'WEEK 21'!I118</f>
        <v>105</v>
      </c>
      <c r="C101" s="20"/>
      <c r="D101" s="20"/>
      <c r="E101" s="20"/>
      <c r="F101" s="95"/>
      <c r="H101" s="226" t="s">
        <v>119</v>
      </c>
      <c r="I101" s="227">
        <v>10.0</v>
      </c>
      <c r="J101" s="20"/>
      <c r="K101" s="20"/>
      <c r="L101" s="20"/>
      <c r="M101" s="95"/>
    </row>
    <row r="102">
      <c r="A102" s="231" t="s">
        <v>50</v>
      </c>
      <c r="B102" s="232" t="s">
        <v>51</v>
      </c>
      <c r="C102" s="232" t="s">
        <v>52</v>
      </c>
      <c r="D102" s="232" t="s">
        <v>53</v>
      </c>
      <c r="E102" s="233" t="s">
        <v>54</v>
      </c>
      <c r="F102" s="61" t="s">
        <v>55</v>
      </c>
      <c r="H102" s="231" t="s">
        <v>50</v>
      </c>
      <c r="I102" s="232" t="s">
        <v>51</v>
      </c>
      <c r="J102" s="232" t="s">
        <v>52</v>
      </c>
      <c r="K102" s="232" t="s">
        <v>53</v>
      </c>
      <c r="L102" s="233" t="s">
        <v>54</v>
      </c>
      <c r="M102" s="61" t="s">
        <v>55</v>
      </c>
    </row>
    <row r="103">
      <c r="A103" s="1140">
        <v>1.0</v>
      </c>
      <c r="B103" s="237">
        <f>mround('WEEK 22'!B101*0.35,5)</f>
        <v>35</v>
      </c>
      <c r="C103" s="237">
        <v>6.0</v>
      </c>
      <c r="D103" s="238" t="s">
        <v>120</v>
      </c>
      <c r="E103" s="84" t="str">
        <f>IF('WEEK 19'!B99='WEEK 22'!B103,'WEEK 19'!F99,"")</f>
        <v/>
      </c>
      <c r="F103" s="67"/>
      <c r="H103" s="1140">
        <v>1.0</v>
      </c>
      <c r="I103" s="237">
        <f>mround('WEEK 22'!I101*0.35,5)</f>
        <v>5</v>
      </c>
      <c r="J103" s="237">
        <v>6.0</v>
      </c>
      <c r="K103" s="238" t="s">
        <v>120</v>
      </c>
      <c r="L103" s="84" t="str">
        <f>IF('WEEK 19'!I99='WEEK 22'!I103,'WEEK 19'!M99,"")</f>
        <v/>
      </c>
      <c r="M103" s="67"/>
    </row>
    <row r="104">
      <c r="A104" s="236">
        <v>2.0</v>
      </c>
      <c r="B104" s="237">
        <f>mround('WEEK 22'!B101*0.65,5)</f>
        <v>70</v>
      </c>
      <c r="C104" s="237">
        <v>1.0</v>
      </c>
      <c r="D104" s="238" t="s">
        <v>121</v>
      </c>
      <c r="E104" s="84" t="str">
        <f>IF('WEEK 19'!B100='WEEK 22'!B104,'WEEK 19'!F100,"")</f>
        <v/>
      </c>
      <c r="F104" s="67"/>
      <c r="H104" s="236">
        <v>2.0</v>
      </c>
      <c r="I104" s="237">
        <f>mround('WEEK 22'!I101*0.65,5)</f>
        <v>5</v>
      </c>
      <c r="J104" s="237">
        <v>1.0</v>
      </c>
      <c r="K104" s="238" t="s">
        <v>121</v>
      </c>
      <c r="L104" s="84" t="str">
        <f>IF('WEEK 19'!I100='WEEK 22'!I104,'WEEK 19'!M100,"")</f>
        <v/>
      </c>
      <c r="M104" s="67"/>
    </row>
    <row r="105">
      <c r="A105" s="242">
        <v>3.0</v>
      </c>
      <c r="B105" s="237">
        <f>mround('WEEK 22'!B101*0.9,5)</f>
        <v>95</v>
      </c>
      <c r="C105" s="82">
        <v>1.0</v>
      </c>
      <c r="D105" s="238" t="s">
        <v>121</v>
      </c>
      <c r="E105" s="84" t="str">
        <f>IF('WEEK 19'!B101='WEEK 22'!B105,'WEEK 19'!F101,"")</f>
        <v/>
      </c>
      <c r="F105" s="67"/>
      <c r="H105" s="242">
        <v>3.0</v>
      </c>
      <c r="I105" s="237">
        <f>mround('WEEK 22'!I101*0.9,5)</f>
        <v>10</v>
      </c>
      <c r="J105" s="82">
        <v>1.0</v>
      </c>
      <c r="K105" s="238" t="s">
        <v>121</v>
      </c>
      <c r="L105" s="84" t="str">
        <f>IF('WEEK 19'!I101='WEEK 22'!I105,'WEEK 19'!M101,"")</f>
        <v/>
      </c>
      <c r="M105" s="67"/>
    </row>
    <row r="106">
      <c r="A106" s="243">
        <v>4.0</v>
      </c>
      <c r="B106" s="237">
        <f>'WEEK 22'!B101</f>
        <v>105</v>
      </c>
      <c r="C106" s="257">
        <v>1.0</v>
      </c>
      <c r="D106" s="238" t="s">
        <v>122</v>
      </c>
      <c r="E106" s="84" t="str">
        <f>IF('WEEK 19'!B102='WEEK 22'!B106,'WEEK 19'!F102,"")</f>
        <v/>
      </c>
      <c r="F106" s="67"/>
      <c r="H106" s="243">
        <v>4.0</v>
      </c>
      <c r="I106" s="237">
        <f>'WEEK 22'!I101</f>
        <v>10</v>
      </c>
      <c r="J106" s="257">
        <v>1.0</v>
      </c>
      <c r="K106" s="238" t="s">
        <v>122</v>
      </c>
      <c r="L106" s="84" t="str">
        <f>IF('WEEK 19'!I102='WEEK 22'!I106,'WEEK 19'!M102,"")</f>
        <v/>
      </c>
      <c r="M106" s="67"/>
    </row>
    <row r="107">
      <c r="A107" s="246" t="str">
        <f>IF('WEEK 22'!F106&lt;1,"PROCEED TO DOWN SETS","NEW 4 REP MAX ATTEMPT")</f>
        <v>PROCEED TO DOWN SETS</v>
      </c>
      <c r="B107" s="20"/>
      <c r="C107" s="20"/>
      <c r="D107" s="20"/>
      <c r="E107" s="20"/>
      <c r="F107" s="95"/>
      <c r="H107" s="246" t="str">
        <f>IF('WEEK 22'!M106&lt;1,"PROCEED TO DOWN SETS","NEW 4 REP MAX ATTEMPT")</f>
        <v>PROCEED TO DOWN SETS</v>
      </c>
      <c r="I107" s="20"/>
      <c r="J107" s="20"/>
      <c r="K107" s="20"/>
      <c r="L107" s="20"/>
      <c r="M107" s="95"/>
    </row>
    <row r="108">
      <c r="A108" s="249" t="str">
        <f>IF(OR(ISBLANK('WEEK 22'!F106),ISBLANK('WEEK 22'!F105),ISBLANK('WEEK 22'!F104)), "",if('WEEK 22'!F106&lt;1,"",5))</f>
        <v/>
      </c>
      <c r="B108" s="175" t="str">
        <f>IF('WEEK 22'!F106&lt;1,"",'WEEK 22'!B106+5)</f>
        <v/>
      </c>
      <c r="C108" s="238" t="str">
        <f>if('WEEK 22'!F106&lt;1,"",4)</f>
        <v/>
      </c>
      <c r="D108" s="238" t="str">
        <f>if('WEEK 22'!F106&lt;1,"","1-5 MIN")</f>
        <v/>
      </c>
      <c r="E108" s="84" t="str">
        <f>IF('WEEK 19'!B104='WEEK 22'!B108,'WEEK 19'!F104,"")</f>
        <v/>
      </c>
      <c r="F108" s="67"/>
      <c r="H108" s="249" t="str">
        <f>IF(OR(ISBLANK('WEEK 22'!M106),ISBLANK('WEEK 22'!M105),ISBLANK('WEEK 22'!M104)), "",if('WEEK 22'!M106&lt;1,"",5))</f>
        <v/>
      </c>
      <c r="I108" s="175" t="str">
        <f>IF('WEEK 22'!M106&lt;1,"",'WEEK 22'!I106+5)</f>
        <v/>
      </c>
      <c r="J108" s="238" t="str">
        <f>if('WEEK 22'!M106&lt;1,"",4)</f>
        <v/>
      </c>
      <c r="K108" s="238" t="str">
        <f>if('WEEK 22'!M106&lt;1,"","1-5 MIN")</f>
        <v/>
      </c>
      <c r="L108" s="84" t="str">
        <f>IF('WEEK 19'!I104='WEEK 22'!I108,'WEEK 19'!M104,"")</f>
        <v/>
      </c>
      <c r="M108" s="67"/>
    </row>
    <row r="109">
      <c r="A109" s="259" t="str">
        <f>IF(OR(ISBLANK('WEEK 22'!F105),ISBLANK('WEEK 22'!F106),ISBLANK('WEEK 22'!F108)), "",IF('WEEK 22'!F108&lt;4,"","6"))</f>
        <v/>
      </c>
      <c r="B109" s="237" t="str">
        <f>IF(OR(ISBLANK('WEEK 22'!F105),ISBLANK('WEEK 22'!F106),ISBLANK('WEEK 22'!F108)), "",IF('WEEK 22'!F108&lt;4,"",'WEEK 22'!B108+5))</f>
        <v/>
      </c>
      <c r="C109" s="257" t="str">
        <f>IF(OR(ISBLANK('WEEK 22'!F105),ISBLANK('WEEK 22'!F106),ISBLANK('WEEK 22'!F108)), "",IF('WEEK 22'!F108&lt;4,"","4"))</f>
        <v/>
      </c>
      <c r="D109" s="257" t="str">
        <f>IF(OR(ISBLANK('WEEK 22'!F105),ISBLANK('WEEK 22'!F106),ISBLANK('WEEK 22'!F108)), "",IF('WEEK 22'!F108&lt;4,"","1-5 MIN"))</f>
        <v/>
      </c>
      <c r="E109" s="84" t="str">
        <f>IF('WEEK 19'!B105='WEEK 22'!B109,'WEEK 19'!F105,"")</f>
        <v/>
      </c>
      <c r="F109" s="67"/>
      <c r="H109" s="259" t="str">
        <f>IF(OR(ISBLANK('WEEK 22'!M105),ISBLANK('WEEK 22'!M106),ISBLANK('WEEK 22'!M108)), "",IF('WEEK 22'!M108&lt;4,"","6"))</f>
        <v/>
      </c>
      <c r="I109" s="237" t="str">
        <f>IF(OR(ISBLANK('WEEK 22'!M105),ISBLANK('WEEK 22'!M106),ISBLANK('WEEK 22'!M108)), "",IF('WEEK 22'!M108&lt;4,"",'WEEK 22'!I108+5))</f>
        <v/>
      </c>
      <c r="J109" s="257" t="str">
        <f>IF(OR(ISBLANK('WEEK 22'!M105),ISBLANK('WEEK 22'!M106),ISBLANK('WEEK 22'!M108)), "",IF('WEEK 22'!M108&lt;4,"","4"))</f>
        <v/>
      </c>
      <c r="K109" s="257" t="str">
        <f>IF(OR(ISBLANK('WEEK 22'!M105),ISBLANK('WEEK 22'!M106),ISBLANK('WEEK 22'!M108)), "",IF('WEEK 22'!M108&lt;4,"","1-5 MIN"))</f>
        <v/>
      </c>
      <c r="L109" s="84" t="str">
        <f>IF('WEEK 19'!I105='WEEK 22'!I109,'WEEK 19'!M105,"")</f>
        <v/>
      </c>
      <c r="M109" s="67"/>
    </row>
    <row r="110">
      <c r="A110" s="246" t="s">
        <v>133</v>
      </c>
      <c r="B110" s="20"/>
      <c r="C110" s="20"/>
      <c r="D110" s="20"/>
      <c r="E110" s="20"/>
      <c r="F110" s="95"/>
      <c r="H110" s="246" t="s">
        <v>133</v>
      </c>
      <c r="I110" s="20"/>
      <c r="J110" s="20"/>
      <c r="K110" s="20"/>
      <c r="L110" s="20"/>
      <c r="M110" s="95"/>
    </row>
    <row r="111">
      <c r="A111" s="264" t="str">
        <f>IF(OR(ISBLANK('WEEK 22'!F106),ISBLANK('WEEK 22'!F105),ISBLANK('WEEK 22'!F104)),"",IF((AND(A108="",A109="")),5,IF((AND(A108&gt;1,A109="")),6,7)))</f>
        <v/>
      </c>
      <c r="B111" s="265">
        <f>MROUND('WEEK 22'!B113*0.9,5)</f>
        <v>0</v>
      </c>
      <c r="C111" s="266" t="s">
        <v>65</v>
      </c>
      <c r="D111" s="267" t="s">
        <v>127</v>
      </c>
      <c r="E111" s="84" t="str">
        <f>IF('WEEK 19'!B107='WEEK 22'!B111,'WEEK 19'!F107,"")</f>
        <v/>
      </c>
      <c r="F111" s="67"/>
      <c r="H111" s="264" t="str">
        <f>IF(OR(ISBLANK('WEEK 22'!M106),ISBLANK('WEEK 22'!M105),ISBLANK('WEEK 22'!M104)),"",IF((AND(H108="",H109="")),5,IF((AND(H108&gt;1,H109="")),6,7)))</f>
        <v/>
      </c>
      <c r="I111" s="265">
        <f>MROUND('WEEK 22'!I113*0.9,5)</f>
        <v>0</v>
      </c>
      <c r="J111" s="266" t="s">
        <v>65</v>
      </c>
      <c r="K111" s="267" t="s">
        <v>127</v>
      </c>
      <c r="L111" s="84" t="str">
        <f>IF('WEEK 19'!I107='WEEK 22'!I111,'WEEK 19'!M107,"")</f>
        <v/>
      </c>
      <c r="M111" s="67"/>
    </row>
    <row r="112">
      <c r="A112" s="243" t="str">
        <f>IF(OR(ISBLANK('WEEK 22'!F106),ISBLANK('WEEK 22'!F105),ISBLANK('WEEK 22'!F104)),"",IF((AND(A108="",A109="")),6,IF((AND(A108&gt;1,A109="")),7,8)))</f>
        <v/>
      </c>
      <c r="B112" s="237">
        <f>mround('WEEK 22'!B113*0.78,5)</f>
        <v>0</v>
      </c>
      <c r="C112" s="245" t="s">
        <v>65</v>
      </c>
      <c r="D112" s="65" t="s">
        <v>127</v>
      </c>
      <c r="E112" s="84" t="str">
        <f>IF('WEEK 19'!B108='WEEK 22'!B112,'WEEK 19'!F108,"")</f>
        <v/>
      </c>
      <c r="F112" s="271"/>
      <c r="H112" s="243" t="str">
        <f>IF(OR(ISBLANK('WEEK 22'!M106),ISBLANK('WEEK 22'!M105),ISBLANK('WEEK 22'!M104)),"",IF((AND(H108="",H109="")),6,IF((AND(H108&gt;1,H109="")),7,8)))</f>
        <v/>
      </c>
      <c r="I112" s="237">
        <f>mround('WEEK 22'!I113*0.78,5)</f>
        <v>0</v>
      </c>
      <c r="J112" s="245" t="s">
        <v>65</v>
      </c>
      <c r="K112" s="65" t="s">
        <v>127</v>
      </c>
      <c r="L112" s="84" t="str">
        <f>IF('WEEK 19'!I108='WEEK 22'!I112,'WEEK 19'!M108,"")</f>
        <v/>
      </c>
      <c r="M112" s="271"/>
    </row>
    <row r="113">
      <c r="A113" s="272" t="s">
        <v>124</v>
      </c>
      <c r="B113" s="273" t="str">
        <f>IF(OR(ISBLANK('WEEK 22'!F106),ISBLANK('WEEK 22'!F105),ISBLANK('WEEK 22'!F104)),"",IF('WEEK 22'!F109&gt;=1,'WEEK 22'!B109,IF('WEEK 22'!F108&gt;=4,'WEEK 22'!B108,IF('WEEK 22'!F106&lt;1,'WEEK 22'!B106-5,'WEEK 22'!B106))))</f>
        <v/>
      </c>
      <c r="C113" s="11"/>
      <c r="D113" s="11"/>
      <c r="E113" s="11"/>
      <c r="F113" s="46"/>
      <c r="H113" s="272" t="s">
        <v>124</v>
      </c>
      <c r="I113" s="273" t="str">
        <f>IF(OR(ISBLANK('WEEK 22'!M106),ISBLANK('WEEK 22'!M105),ISBLANK('WEEK 22'!M104)),"",IF('WEEK 22'!M109&gt;=1,'WEEK 22'!I109,IF('WEEK 22'!M108&gt;=4,'WEEK 22'!I108,IF('WEEK 22'!M106&lt;1,'WEEK 22'!I106-5,'WEEK 22'!I106))))</f>
        <v/>
      </c>
      <c r="J113" s="11"/>
      <c r="K113" s="11"/>
      <c r="L113" s="11"/>
      <c r="M113" s="46"/>
    </row>
    <row r="116">
      <c r="A116" s="687" t="str">
        <f>HYPERLINK("https://www.youtube.com/watch?v=XDLQt1j3qUU","2. DUMBBELL REAR DELT FLY ")</f>
        <v>2. DUMBBELL REAR DELT FLY </v>
      </c>
      <c r="B116" s="53"/>
      <c r="C116" s="53"/>
      <c r="D116" s="53"/>
      <c r="E116" s="53"/>
      <c r="F116" s="54"/>
    </row>
    <row r="117">
      <c r="A117" s="226" t="s">
        <v>145</v>
      </c>
      <c r="B117" s="691">
        <f>IF('WEEK 22'!I113="",'WEEK 22'!I101,'WEEK 22'!I113)</f>
        <v>10</v>
      </c>
      <c r="C117" s="13"/>
      <c r="D117" s="13"/>
      <c r="E117" s="13"/>
      <c r="F117" s="57"/>
    </row>
    <row r="118">
      <c r="A118" s="96" t="s">
        <v>50</v>
      </c>
      <c r="B118" s="97" t="s">
        <v>51</v>
      </c>
      <c r="C118" s="97" t="s">
        <v>52</v>
      </c>
      <c r="D118" s="97" t="s">
        <v>53</v>
      </c>
      <c r="E118" s="341" t="s">
        <v>54</v>
      </c>
      <c r="F118" s="235" t="s">
        <v>55</v>
      </c>
    </row>
    <row r="119">
      <c r="A119" s="556">
        <v>1.0</v>
      </c>
      <c r="B119" s="237">
        <f>MROUND('WEEK 22'!B117*0.2,2.5)</f>
        <v>2.5</v>
      </c>
      <c r="C119" s="65" t="s">
        <v>168</v>
      </c>
      <c r="D119" s="693" t="s">
        <v>127</v>
      </c>
      <c r="E119" s="84" t="str">
        <f>IF('WEEK 21'!B130='WEEK 22'!B119,'WEEK 21'!F130,"")</f>
        <v/>
      </c>
      <c r="F119" s="694"/>
    </row>
    <row r="120">
      <c r="A120" s="556">
        <v>2.0</v>
      </c>
      <c r="B120" s="237">
        <f>if('WEEK 22'!F119&lt;6,mround('WEEK 22'!B119*0.8,5),IF('WEEK 22'!F119&lt;=10,MROUND('WEEK 22'!B119*0.95,5),'WEEK 22'!B119))</f>
        <v>0</v>
      </c>
      <c r="C120" s="65" t="s">
        <v>169</v>
      </c>
      <c r="D120" s="693" t="s">
        <v>127</v>
      </c>
      <c r="E120" s="84" t="str">
        <f>IF('WEEK 21'!B131='WEEK 22'!B120,'WEEK 21'!F131,"")</f>
        <v/>
      </c>
      <c r="F120" s="694"/>
    </row>
    <row r="121">
      <c r="A121" s="561">
        <v>3.0</v>
      </c>
      <c r="B121" s="371">
        <f>if('WEEK 22'!F120&lt;8,mround('WEEK 22'!B120*0.8,5),IF('WEEK 22'!F120&lt;=14,MROUND('WEEK 22'!B120*0.95,5),'WEEK 22'!B120))</f>
        <v>0</v>
      </c>
      <c r="C121" s="71" t="s">
        <v>169</v>
      </c>
      <c r="D121" s="794" t="s">
        <v>127</v>
      </c>
      <c r="E121" s="89" t="str">
        <f>IF('WEEK 21'!B132='WEEK 22'!B121,'WEEK 21'!F132,"")</f>
        <v/>
      </c>
      <c r="F121" s="694"/>
    </row>
    <row r="122">
      <c r="A122" s="640"/>
    </row>
    <row r="124">
      <c r="A124" s="513" t="str">
        <f>HYPERLINK("https://youtu.be/QUNZvtb6mnY","3. DUMBBELL SIDE LATERAL RAISE")</f>
        <v>3. DUMBBELL SIDE LATERAL RAISE</v>
      </c>
      <c r="B124" s="53"/>
      <c r="C124" s="53"/>
      <c r="D124" s="53"/>
      <c r="E124" s="53"/>
      <c r="F124" s="54"/>
    </row>
    <row r="125">
      <c r="A125" s="226" t="s">
        <v>145</v>
      </c>
      <c r="B125" s="90">
        <f>IF('WEEK 22'!I113="",'WEEK 22'!I101,'WEEK 22'!I113)</f>
        <v>10</v>
      </c>
      <c r="C125" s="13"/>
      <c r="D125" s="13"/>
      <c r="E125" s="13"/>
      <c r="F125" s="57"/>
    </row>
    <row r="126">
      <c r="A126" s="376" t="s">
        <v>50</v>
      </c>
      <c r="B126" s="79" t="s">
        <v>51</v>
      </c>
      <c r="C126" s="79" t="s">
        <v>52</v>
      </c>
      <c r="D126" s="79" t="s">
        <v>53</v>
      </c>
      <c r="E126" s="98" t="s">
        <v>54</v>
      </c>
      <c r="F126" s="377" t="s">
        <v>55</v>
      </c>
    </row>
    <row r="127">
      <c r="A127" s="81">
        <v>1.0</v>
      </c>
      <c r="B127" s="82">
        <f>mround('WEEK 22'!B125*0.2,5)</f>
        <v>0</v>
      </c>
      <c r="C127" s="63" t="s">
        <v>61</v>
      </c>
      <c r="D127" s="83" t="s">
        <v>57</v>
      </c>
      <c r="E127" s="84" t="str">
        <f>IF('WEEK 21'!B138='WEEK 22'!B127,'WEEK 21'!F138,"")</f>
        <v/>
      </c>
      <c r="F127" s="796"/>
    </row>
    <row r="128">
      <c r="A128" s="81">
        <v>2.0</v>
      </c>
      <c r="B128" s="82">
        <f>if('WEEK 22'!F127&lt;12,mround('WEEK 22'!B125*0.15,2.5),'WEEK 22'!B127)</f>
        <v>2.5</v>
      </c>
      <c r="C128" s="63" t="s">
        <v>61</v>
      </c>
      <c r="D128" s="83" t="s">
        <v>57</v>
      </c>
      <c r="E128" s="84" t="str">
        <f>IF('WEEK 21'!B139='WEEK 22'!B128,'WEEK 21'!F139,"")</f>
        <v/>
      </c>
      <c r="F128" s="330"/>
    </row>
    <row r="129">
      <c r="A129" s="86">
        <v>3.0</v>
      </c>
      <c r="B129" s="87">
        <f>if('WEEK 22'!F128&lt;12,mround('WEEK 22'!B125*0.1,2.5),'WEEK 22'!B128)</f>
        <v>0</v>
      </c>
      <c r="C129" s="69" t="s">
        <v>61</v>
      </c>
      <c r="D129" s="88" t="s">
        <v>57</v>
      </c>
      <c r="E129" s="89" t="str">
        <f>IF('WEEK 21'!B140='WEEK 22'!B129,'WEEK 21'!F140,"")</f>
        <v/>
      </c>
      <c r="F129" s="85"/>
    </row>
    <row r="130">
      <c r="A130" s="640"/>
    </row>
    <row r="132">
      <c r="A132" s="361" t="str">
        <f>HYPERLINK("https://www.youtube.com/watch?v=Zt0LwrUdpNs","2.  TRICEP OVERHEAD ROPE EXTENSION")</f>
        <v>2.  TRICEP OVERHEAD ROPE EXTENSION</v>
      </c>
      <c r="B132" s="53"/>
      <c r="C132" s="53"/>
      <c r="D132" s="53"/>
      <c r="E132" s="53"/>
      <c r="F132" s="54"/>
    </row>
    <row r="133">
      <c r="A133" s="226" t="s">
        <v>119</v>
      </c>
      <c r="B133" s="1443">
        <f>IF('WEEK 21'!B146='WEEK 21'!B148,'WEEK 21'!B146+5,IF('WEEK 21'!B146&lt;=15,MROUND('WEEK 21'!F144*0.9,5),'WEEK 21'!B146))</f>
        <v>5</v>
      </c>
      <c r="C133" s="13"/>
      <c r="D133" s="13"/>
      <c r="E133" s="13"/>
      <c r="F133" s="57"/>
    </row>
    <row r="134">
      <c r="A134" s="77" t="s">
        <v>50</v>
      </c>
      <c r="B134" s="78" t="s">
        <v>51</v>
      </c>
      <c r="C134" s="78" t="s">
        <v>52</v>
      </c>
      <c r="D134" s="78" t="s">
        <v>53</v>
      </c>
      <c r="E134" s="80" t="s">
        <v>54</v>
      </c>
      <c r="F134" s="235" t="s">
        <v>55</v>
      </c>
    </row>
    <row r="135">
      <c r="A135" s="81">
        <v>1.0</v>
      </c>
      <c r="B135" s="82">
        <f>'WEEK 22'!B133</f>
        <v>5</v>
      </c>
      <c r="C135" s="65" t="s">
        <v>61</v>
      </c>
      <c r="D135" s="83" t="s">
        <v>58</v>
      </c>
      <c r="E135" s="84" t="str">
        <f>IF('WEEK 18'!B127='WEEK 18'!B135,'WEEK 18'!F127,"")</f>
        <v/>
      </c>
      <c r="F135" s="85"/>
    </row>
    <row r="136">
      <c r="A136" s="81">
        <v>2.0</v>
      </c>
      <c r="B136" s="82">
        <f>if('WEEK 22'!F135&lt;10,mround('WEEK 22'!B135*0.8,5),IF('WEEK 22'!F135&lt;=14,MROUND('WEEK 22'!B133*0.95,5),'WEEK 22'!B135))</f>
        <v>5</v>
      </c>
      <c r="C136" s="65" t="s">
        <v>61</v>
      </c>
      <c r="D136" s="83" t="s">
        <v>58</v>
      </c>
      <c r="E136" s="84" t="str">
        <f>IF('WEEK 18'!B128='WEEK 18'!B136,'WEEK 18'!F128,"")</f>
        <v/>
      </c>
      <c r="F136" s="85"/>
    </row>
    <row r="137">
      <c r="A137" s="86">
        <v>3.0</v>
      </c>
      <c r="B137" s="87">
        <f>if('WEEK 22'!F136&lt;10,mround('WEEK 22'!B136*0.8,5),IF('WEEK 22'!F136&lt;=14,MROUND('WEEK 22'!B136*0.95,5),'WEEK 22'!B136))</f>
        <v>5</v>
      </c>
      <c r="C137" s="71" t="s">
        <v>61</v>
      </c>
      <c r="D137" s="88" t="s">
        <v>58</v>
      </c>
      <c r="E137" s="89" t="str">
        <f>IF('WEEK 18'!B129='WEEK 18'!B137,'WEEK 18'!F129,"")</f>
        <v/>
      </c>
      <c r="F137" s="330"/>
    </row>
    <row r="138">
      <c r="A138" s="598"/>
    </row>
    <row r="140">
      <c r="A140" s="113" t="str">
        <f>HYPERLINK("https://www.youtube.com/watch?v=TorWpKwLCSg","5. ALTERNATING BICEP CURLS ")</f>
        <v>5. ALTERNATING BICEP CURLS </v>
      </c>
      <c r="B140" s="53"/>
      <c r="C140" s="53"/>
      <c r="D140" s="53"/>
      <c r="E140" s="53"/>
      <c r="F140" s="54"/>
    </row>
    <row r="141">
      <c r="A141" s="226" t="s">
        <v>119</v>
      </c>
      <c r="B141" s="839">
        <f>IF('WEEK 18'!B135='WEEK 18'!B137,'WEEK 18'!B135,IF('WEEK 18'!F135&lt;=15,MROUND('WEEK 18'!B133*0.9,5),'WEEK 18'!B135))</f>
        <v>25</v>
      </c>
      <c r="F141" s="28"/>
    </row>
    <row r="142">
      <c r="A142" s="77" t="s">
        <v>50</v>
      </c>
      <c r="B142" s="78" t="s">
        <v>51</v>
      </c>
      <c r="C142" s="78" t="s">
        <v>52</v>
      </c>
      <c r="D142" s="78" t="s">
        <v>53</v>
      </c>
      <c r="E142" s="80" t="s">
        <v>54</v>
      </c>
      <c r="F142" s="235" t="s">
        <v>55</v>
      </c>
    </row>
    <row r="143">
      <c r="A143" s="81">
        <v>1.0</v>
      </c>
      <c r="B143" s="82">
        <f>MROUND('WEEK 22'!B141,10)</f>
        <v>30</v>
      </c>
      <c r="C143" s="65" t="s">
        <v>61</v>
      </c>
      <c r="D143" s="83" t="s">
        <v>58</v>
      </c>
      <c r="E143" s="84" t="str">
        <f>IF('WEEK 18'!B135='WEEK 18'!B143,'WEEK 18'!F135,"")</f>
        <v/>
      </c>
      <c r="F143" s="85"/>
    </row>
    <row r="144">
      <c r="A144" s="81">
        <v>2.0</v>
      </c>
      <c r="B144" s="82">
        <f>if('WEEK 22'!F143&lt;15,mround('WEEK 22'!B143*0.8,5),IF('WEEK 22'!F143&lt;=18,MROUND('WEEK 22'!B141*0.95,5),'WEEK 22'!B143))</f>
        <v>25</v>
      </c>
      <c r="C144" s="65" t="s">
        <v>61</v>
      </c>
      <c r="D144" s="83" t="s">
        <v>58</v>
      </c>
      <c r="E144" s="84" t="str">
        <f>IF('WEEK 18'!B136='WEEK 18'!B144,'WEEK 18'!F136,"")</f>
        <v/>
      </c>
      <c r="F144" s="85"/>
    </row>
    <row r="145">
      <c r="A145" s="629">
        <v>3.0</v>
      </c>
      <c r="B145" s="630">
        <f>if('WEEK 22'!F144&lt;15,mround('WEEK 22'!B144*0.8,5),IF('WEEK 22'!F144&lt;=18,MROUND('WEEK 22'!B142*0.95,5),'WEEK 22'!B144))</f>
        <v>20</v>
      </c>
      <c r="C145" s="631" t="s">
        <v>61</v>
      </c>
      <c r="D145" s="328" t="s">
        <v>58</v>
      </c>
      <c r="E145" s="84" t="str">
        <f>IF('WEEK 18'!B137='WEEK 18'!B145,'WEEK 18'!F137,"")</f>
        <v/>
      </c>
      <c r="F145" s="330"/>
    </row>
    <row r="146">
      <c r="A146" s="633"/>
      <c r="B146" s="633"/>
      <c r="C146" s="633"/>
      <c r="D146" s="633"/>
      <c r="E146" s="633"/>
      <c r="F146" s="633"/>
    </row>
    <row r="147">
      <c r="A147" s="598"/>
    </row>
    <row r="148">
      <c r="A148" s="310" t="str">
        <f>HYPERLINK("https://docs.google.com/a/fitnessresults.com/forms/d/e/1FAIpQLSd7MoczESe8Yjv6BKpmwAZGn9Aiymrs9-UdgfYIUpbr9t5NXg/viewform?usp=pp_url&amp;entry.93370101","CLICK TO COMPLETE WORKOUT")</f>
        <v>CLICK TO COMPLETE WORKOUT</v>
      </c>
      <c r="B148" s="36"/>
      <c r="C148" s="36"/>
      <c r="D148" s="36"/>
      <c r="E148" s="36"/>
      <c r="F148" s="37"/>
    </row>
    <row r="149">
      <c r="A149" s="598"/>
      <c r="B149" s="598"/>
      <c r="C149" s="598"/>
      <c r="D149" s="598"/>
      <c r="E149" s="598"/>
      <c r="F149" s="598"/>
    </row>
    <row r="150">
      <c r="A150" s="639" t="s">
        <v>135</v>
      </c>
      <c r="B150" s="36"/>
      <c r="C150" s="36"/>
      <c r="D150" s="36"/>
      <c r="E150" s="36"/>
      <c r="F150" s="37"/>
    </row>
    <row r="151">
      <c r="A151" s="883"/>
    </row>
    <row r="152">
      <c r="A152" s="884" t="str">
        <f>HYPERLINK("https://www.amazon.com/30-Minute-Body-Investment-Champion/dp/0692791892/ref=sr_1_1?ie=UTF8&amp;qid=1490447969&amp;sr=8-1&amp;keywords=30+minute+body","WANT TO LEARN MORE?")</f>
        <v>WANT TO LEARN MORE?</v>
      </c>
      <c r="B152" s="16"/>
      <c r="C152" s="16"/>
      <c r="D152" s="16"/>
      <c r="E152" s="16"/>
      <c r="F152" s="17"/>
    </row>
    <row r="153">
      <c r="A153" s="18"/>
      <c r="B153" s="13"/>
      <c r="C153" s="13"/>
      <c r="D153" s="13"/>
      <c r="E153" s="13"/>
      <c r="F153" s="14"/>
    </row>
    <row r="154">
      <c r="A154" s="885"/>
      <c r="B154" s="886"/>
      <c r="C154" s="644" t="s">
        <v>67</v>
      </c>
      <c r="D154" s="25"/>
      <c r="E154" s="25"/>
      <c r="F154" s="26"/>
    </row>
    <row r="155">
      <c r="A155" s="887"/>
      <c r="B155" s="888"/>
      <c r="C155" s="529"/>
      <c r="F155" s="28"/>
    </row>
    <row r="156">
      <c r="A156" s="887"/>
      <c r="B156" s="888"/>
      <c r="C156" s="529"/>
      <c r="F156" s="28"/>
    </row>
    <row r="157">
      <c r="A157" s="887"/>
      <c r="B157" s="888"/>
      <c r="C157" s="529"/>
      <c r="F157" s="28"/>
    </row>
    <row r="158">
      <c r="A158" s="887"/>
      <c r="B158" s="888"/>
      <c r="C158" s="529"/>
      <c r="F158" s="28"/>
    </row>
    <row r="159">
      <c r="A159" s="887"/>
      <c r="B159" s="888"/>
      <c r="C159" s="529"/>
      <c r="F159" s="28"/>
    </row>
    <row r="160">
      <c r="A160" s="889"/>
      <c r="B160" s="888"/>
      <c r="C160" s="529"/>
      <c r="F160" s="28"/>
    </row>
    <row r="161">
      <c r="A161" s="887"/>
      <c r="B161" s="888"/>
      <c r="C161" s="529"/>
      <c r="F161" s="28"/>
    </row>
    <row r="162">
      <c r="A162" s="887"/>
      <c r="B162" s="888"/>
      <c r="C162" s="529"/>
      <c r="F162" s="28"/>
    </row>
    <row r="163">
      <c r="A163" s="890"/>
      <c r="B163" s="888"/>
      <c r="C163" s="529"/>
      <c r="F163" s="28"/>
    </row>
    <row r="164">
      <c r="A164" s="887"/>
      <c r="B164" s="888"/>
      <c r="C164" s="529"/>
      <c r="F164" s="28"/>
    </row>
    <row r="165">
      <c r="A165" s="887"/>
      <c r="B165" s="888"/>
      <c r="C165" s="529"/>
      <c r="F165" s="28"/>
    </row>
    <row r="166">
      <c r="A166" s="887"/>
      <c r="B166" s="888"/>
      <c r="C166" s="529"/>
      <c r="F166" s="28"/>
    </row>
    <row r="167">
      <c r="A167" s="887"/>
      <c r="B167" s="888"/>
      <c r="C167" s="529"/>
      <c r="F167" s="28"/>
    </row>
    <row r="168">
      <c r="A168" s="891"/>
      <c r="B168" s="892"/>
      <c r="C168" s="336"/>
      <c r="D168" s="11"/>
      <c r="E168" s="11"/>
      <c r="F168" s="46"/>
    </row>
  </sheetData>
  <mergeCells count="67">
    <mergeCell ref="A94:F94"/>
    <mergeCell ref="A96:F96"/>
    <mergeCell ref="A99:F99"/>
    <mergeCell ref="H99:M99"/>
    <mergeCell ref="A100:F100"/>
    <mergeCell ref="H100:M100"/>
    <mergeCell ref="I101:M101"/>
    <mergeCell ref="B101:F101"/>
    <mergeCell ref="A107:F107"/>
    <mergeCell ref="H107:M107"/>
    <mergeCell ref="A110:F110"/>
    <mergeCell ref="H110:M110"/>
    <mergeCell ref="B113:F113"/>
    <mergeCell ref="I113:M113"/>
    <mergeCell ref="A116:F116"/>
    <mergeCell ref="B117:F117"/>
    <mergeCell ref="A122:F123"/>
    <mergeCell ref="A124:F124"/>
    <mergeCell ref="B125:F125"/>
    <mergeCell ref="A130:F131"/>
    <mergeCell ref="A132:F132"/>
    <mergeCell ref="A151:F151"/>
    <mergeCell ref="A152:F153"/>
    <mergeCell ref="C154:F168"/>
    <mergeCell ref="B133:F133"/>
    <mergeCell ref="A138:F139"/>
    <mergeCell ref="A140:F140"/>
    <mergeCell ref="B141:F141"/>
    <mergeCell ref="A147:F147"/>
    <mergeCell ref="A148:F148"/>
    <mergeCell ref="A150:F150"/>
    <mergeCell ref="H16:M16"/>
    <mergeCell ref="I17:M17"/>
    <mergeCell ref="A9:F9"/>
    <mergeCell ref="H9:M9"/>
    <mergeCell ref="A10:F11"/>
    <mergeCell ref="H10:M10"/>
    <mergeCell ref="A12:F12"/>
    <mergeCell ref="A13:F13"/>
    <mergeCell ref="H15:M15"/>
    <mergeCell ref="A15:F15"/>
    <mergeCell ref="A16:F16"/>
    <mergeCell ref="B17:F17"/>
    <mergeCell ref="A27:F27"/>
    <mergeCell ref="B28:F28"/>
    <mergeCell ref="A34:F34"/>
    <mergeCell ref="A37:F37"/>
    <mergeCell ref="B40:F40"/>
    <mergeCell ref="A42:F42"/>
    <mergeCell ref="B43:F43"/>
    <mergeCell ref="A48:F49"/>
    <mergeCell ref="A50:F50"/>
    <mergeCell ref="B51:F51"/>
    <mergeCell ref="A57:F58"/>
    <mergeCell ref="A86:F86"/>
    <mergeCell ref="H86:M86"/>
    <mergeCell ref="I87:M87"/>
    <mergeCell ref="G86:G88"/>
    <mergeCell ref="G89:G90"/>
    <mergeCell ref="G91:G92"/>
    <mergeCell ref="A60:F60"/>
    <mergeCell ref="A62:F62"/>
    <mergeCell ref="B63:F63"/>
    <mergeCell ref="B75:F75"/>
    <mergeCell ref="A78:F78"/>
    <mergeCell ref="B79:F79"/>
    <mergeCell ref="B87:F87"/>
  </mergeCells>
  <dataValidations>
    <dataValidation type="decimal" operator="greaterThanOrEqual" allowBlank="1" showDropDown="1" showErrorMessage="1" sqref="M12:M13 F29:F32 F36 F38 F44:F47 F52:F56 F126:F129">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64:F68 F70">
      <formula1>0.0</formula1>
    </dataValidation>
  </dataValidations>
  <drawing r:id="rId2"/>
  <legacyDrawing r:id="rId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'MSW22'!A1</f>
        <v/>
      </c>
    </row>
    <row r="8">
      <c r="A8" s="11"/>
      <c r="B8" s="11"/>
      <c r="C8" s="11"/>
      <c r="D8" s="11"/>
      <c r="E8" s="11"/>
      <c r="F8" s="11"/>
      <c r="G8" s="11"/>
      <c r="H8" s="11"/>
      <c r="I8" s="11"/>
      <c r="J8" s="11"/>
      <c r="K8" s="11"/>
      <c r="L8" s="11"/>
      <c r="M8" s="11"/>
    </row>
    <row r="9">
      <c r="A9" s="12" t="str">
        <f>'MSW22'!A9</f>
        <v>Week 22</v>
      </c>
      <c r="B9" s="13"/>
      <c r="C9" s="13"/>
      <c r="D9" s="13"/>
      <c r="E9" s="13"/>
      <c r="F9" s="14"/>
      <c r="G9" s="103" t="str">
        <f>'MSW22'!G9</f>
        <v/>
      </c>
      <c r="H9" s="24" t="s">
        <v>35</v>
      </c>
      <c r="I9" s="25"/>
      <c r="J9" s="25"/>
      <c r="K9" s="25"/>
      <c r="L9" s="25"/>
      <c r="M9" s="26"/>
    </row>
    <row r="10">
      <c r="A10" s="15" t="str">
        <f>'MSW22'!A10</f>
        <v>PRESS TO RECORD BODY WEIGHT</v>
      </c>
      <c r="B10" s="16"/>
      <c r="C10" s="16"/>
      <c r="D10" s="16"/>
      <c r="E10" s="16"/>
      <c r="F10" s="17"/>
      <c r="H10" s="27" t="s">
        <v>290</v>
      </c>
      <c r="M10" s="28"/>
    </row>
    <row r="11">
      <c r="A11" s="18"/>
      <c r="B11" s="13"/>
      <c r="C11" s="13"/>
      <c r="D11" s="13"/>
      <c r="E11" s="13"/>
      <c r="F11" s="14"/>
      <c r="H11" s="29" t="s">
        <v>291</v>
      </c>
      <c r="I11" s="30"/>
      <c r="J11" s="30"/>
      <c r="K11" s="30"/>
      <c r="L11" s="30"/>
      <c r="M11" s="31"/>
    </row>
    <row r="12">
      <c r="A12" s="19" t="str">
        <f>'MSW22'!A12</f>
        <v>This Weeks Goals</v>
      </c>
      <c r="B12" s="20"/>
      <c r="C12" s="20"/>
      <c r="D12" s="20"/>
      <c r="E12" s="20"/>
      <c r="F12" s="21"/>
      <c r="G12" s="103" t="str">
        <f>'MSW22'!G12</f>
        <v/>
      </c>
    </row>
    <row r="13">
      <c r="A13" s="22" t="str">
        <f>'MSW22'!A13</f>
        <v>Get mentally prepared to lift some heavy weights this week. Strive for bettering yourself and achieving those new max reps. Remember keep proper form during all reps or it doesn't really count. No Cheating! Happy lifting. </v>
      </c>
      <c r="B13" s="20"/>
      <c r="C13" s="20"/>
      <c r="D13" s="20"/>
      <c r="E13" s="20"/>
      <c r="F13" s="21"/>
    </row>
    <row r="14">
      <c r="A14" t="str">
        <f>'MSW22'!A14</f>
        <v/>
      </c>
    </row>
    <row r="15">
      <c r="A15" s="51" t="str">
        <f>'MSW22'!A15</f>
        <v>CHEST &amp; BACK </v>
      </c>
      <c r="B15" s="36"/>
      <c r="C15" s="36"/>
      <c r="D15" s="36"/>
      <c r="E15" s="36"/>
      <c r="F15" s="37"/>
      <c r="G15" t="str">
        <f>'MSW22'!G15</f>
        <v/>
      </c>
      <c r="H15" s="51" t="str">
        <f>'MSW22'!H15</f>
        <v>CHEST &amp; BACK </v>
      </c>
      <c r="I15" s="36"/>
      <c r="J15" s="36"/>
      <c r="K15" s="36"/>
      <c r="L15" s="36"/>
      <c r="M15" s="37"/>
    </row>
    <row r="16">
      <c r="A16" s="93" t="str">
        <f>'MSW22'!A16</f>
        <v>1. BENCH PRESS</v>
      </c>
      <c r="B16" s="53"/>
      <c r="C16" s="53"/>
      <c r="D16" s="53"/>
      <c r="E16" s="53"/>
      <c r="F16" s="54"/>
      <c r="H16" s="93" t="str">
        <f>'MSW22'!H16</f>
        <v>1. DUMBELL INCLINE</v>
      </c>
      <c r="I16" s="53"/>
      <c r="J16" s="53"/>
      <c r="K16" s="53"/>
      <c r="L16" s="53"/>
      <c r="M16" s="54"/>
    </row>
    <row r="17">
      <c r="A17" s="226" t="str">
        <f>'MSW22'!A17</f>
        <v>CURRENT MAX</v>
      </c>
      <c r="B17" s="691" t="str">
        <f>'MSW22'!B17</f>
        <v/>
      </c>
      <c r="C17" s="13"/>
      <c r="D17" s="13"/>
      <c r="E17" s="13"/>
      <c r="F17" s="57"/>
      <c r="H17" s="226" t="str">
        <f>'MSW22'!H17</f>
        <v>CURRENT MAX</v>
      </c>
      <c r="I17" s="691" t="str">
        <f>'MSW22'!I17</f>
        <v/>
      </c>
      <c r="J17" s="13"/>
      <c r="K17" s="13"/>
      <c r="L17" s="13"/>
      <c r="M17" s="57"/>
    </row>
    <row r="18">
      <c r="A18" s="96" t="str">
        <f>'MSW22'!A18</f>
        <v>SET</v>
      </c>
      <c r="B18" s="97" t="str">
        <f>'MSW22'!B18</f>
        <v>WEIGHT</v>
      </c>
      <c r="C18" s="97" t="str">
        <f>'MSW22'!C18</f>
        <v>REPS</v>
      </c>
      <c r="D18" s="97" t="str">
        <f>'MSW22'!D18</f>
        <v>REST</v>
      </c>
      <c r="E18" s="98" t="str">
        <f>'MSW22'!E18</f>
        <v>PREVIOUS</v>
      </c>
      <c r="F18" s="235" t="str">
        <f>'MSW22'!F18</f>
        <v>REP LOG</v>
      </c>
      <c r="H18" s="96" t="str">
        <f>'MSW22'!H18</f>
        <v>SET</v>
      </c>
      <c r="I18" s="97" t="str">
        <f>'MSW22'!I18</f>
        <v>WEIGHT</v>
      </c>
      <c r="J18" s="97" t="str">
        <f>'MSW22'!J18</f>
        <v>REPS</v>
      </c>
      <c r="K18" s="97" t="str">
        <f>'MSW22'!K18</f>
        <v>REST</v>
      </c>
      <c r="L18" s="341" t="str">
        <f>'MSW22'!L18</f>
        <v>PREVIOUS</v>
      </c>
      <c r="M18" s="235" t="str">
        <f>'MSW22'!M18</f>
        <v>REP LOG</v>
      </c>
    </row>
    <row r="19">
      <c r="A19" s="725">
        <f>'MSW22'!A19</f>
        <v>1</v>
      </c>
      <c r="B19" s="344">
        <f>'MSW22'!B19</f>
        <v>0</v>
      </c>
      <c r="C19" s="1250" t="str">
        <f>'MSW22'!C19</f>
        <v>REP OUT</v>
      </c>
      <c r="D19" s="1251" t="str">
        <f>'MSW22'!D19</f>
        <v>1.5 - 3MIN</v>
      </c>
      <c r="E19" s="84" t="str">
        <f>'MSW22'!E19</f>
        <v/>
      </c>
      <c r="F19" s="85" t="str">
        <f>'MSW22'!F19</f>
        <v/>
      </c>
      <c r="H19" s="342">
        <f>'MSW22'!H19</f>
        <v>1</v>
      </c>
      <c r="I19" s="344">
        <f>'MSW22'!I19</f>
        <v>0</v>
      </c>
      <c r="J19" s="1250" t="str">
        <f>'MSW22'!J19</f>
        <v>REP OUT</v>
      </c>
      <c r="K19" s="343" t="str">
        <f>'MSW22'!K19</f>
        <v>1 MIN</v>
      </c>
      <c r="L19" s="84" t="str">
        <f>'MSW22'!L19</f>
        <v/>
      </c>
      <c r="M19" s="85"/>
    </row>
    <row r="20">
      <c r="A20" s="342">
        <f>'MSW22'!A20</f>
        <v>2</v>
      </c>
      <c r="B20" s="344">
        <f>'MSW22'!B20</f>
        <v>0</v>
      </c>
      <c r="C20" s="1250" t="str">
        <f>'MSW22'!C20</f>
        <v>REP OUT</v>
      </c>
      <c r="D20" s="1251" t="str">
        <f>'MSW22'!D20</f>
        <v>1.5 - 3MIN</v>
      </c>
      <c r="E20" s="84" t="str">
        <f>'MSW22'!E20</f>
        <v/>
      </c>
      <c r="F20" s="85" t="str">
        <f>'MSW22'!F20</f>
        <v/>
      </c>
      <c r="H20" s="725" t="str">
        <f>'MSW22'!H20</f>
        <v/>
      </c>
      <c r="I20" s="344" t="str">
        <f>'MSW22'!I20</f>
        <v/>
      </c>
      <c r="J20" s="1250" t="str">
        <f>'MSW22'!J20</f>
        <v/>
      </c>
      <c r="K20" s="343" t="str">
        <f>'MSW22'!K20</f>
        <v/>
      </c>
      <c r="L20" s="84" t="str">
        <f>'MSW22'!L20</f>
        <v/>
      </c>
      <c r="M20" s="85" t="str">
        <f>'MSW22'!M20</f>
        <v/>
      </c>
    </row>
    <row r="21">
      <c r="A21" s="735">
        <f>'MSW22'!A21</f>
        <v>3</v>
      </c>
      <c r="B21" s="1252">
        <f>'MSW22'!B21</f>
        <v>0</v>
      </c>
      <c r="C21" s="1253" t="str">
        <f>'MSW22'!C21</f>
        <v>REP OUT</v>
      </c>
      <c r="D21" s="1254" t="str">
        <f>'MSW22'!D21</f>
        <v>1.5 - 3MIN</v>
      </c>
      <c r="E21" s="84" t="str">
        <f>'MSW22'!E21</f>
        <v/>
      </c>
      <c r="F21" s="330" t="str">
        <f>'MSW22'!F21</f>
        <v/>
      </c>
      <c r="H21" s="725" t="str">
        <f>'MSW22'!H21</f>
        <v/>
      </c>
      <c r="I21" s="344" t="str">
        <f>'MSW22'!I21</f>
        <v/>
      </c>
      <c r="J21" s="1250" t="str">
        <f>'MSW22'!J21</f>
        <v/>
      </c>
      <c r="K21" s="343" t="str">
        <f>'MSW22'!K21</f>
        <v/>
      </c>
      <c r="L21" s="84" t="str">
        <f>'MSW22'!L21</f>
        <v/>
      </c>
      <c r="M21" s="85" t="str">
        <f>'MSW22'!M21</f>
        <v/>
      </c>
    </row>
    <row r="22">
      <c r="A22" s="1471" t="str">
        <f>'MSW22'!A22</f>
        <v/>
      </c>
      <c r="B22" s="25"/>
      <c r="C22" s="25"/>
      <c r="D22" s="25"/>
      <c r="E22" s="25"/>
      <c r="F22" s="25"/>
      <c r="G22" t="str">
        <f>'MSW22'!G22</f>
        <v/>
      </c>
      <c r="H22" s="725" t="str">
        <f>'MSW22'!H22</f>
        <v/>
      </c>
      <c r="I22" s="344" t="str">
        <f>'MSW22'!I22</f>
        <v/>
      </c>
      <c r="J22" s="1250" t="str">
        <f>'MSW22'!J22</f>
        <v/>
      </c>
      <c r="K22" s="343" t="str">
        <f>'MSW22'!K22</f>
        <v/>
      </c>
      <c r="L22" s="84" t="str">
        <f>'MSW22'!L22</f>
        <v/>
      </c>
      <c r="M22" s="85" t="str">
        <f>'MSW22'!M22</f>
        <v/>
      </c>
    </row>
    <row r="23">
      <c r="H23" s="725" t="str">
        <f>'MSW22'!H23</f>
        <v/>
      </c>
      <c r="I23" s="344" t="str">
        <f>'MSW22'!I23</f>
        <v/>
      </c>
      <c r="J23" s="1250" t="str">
        <f>'MSW22'!J23</f>
        <v/>
      </c>
      <c r="K23" s="343" t="str">
        <f>'MSW22'!K23</f>
        <v/>
      </c>
      <c r="L23" s="84" t="str">
        <f>'MSW22'!L23</f>
        <v/>
      </c>
      <c r="M23" s="85" t="str">
        <f>'MSW22'!M23</f>
        <v/>
      </c>
    </row>
    <row r="24">
      <c r="H24" s="753" t="str">
        <f>'MSW22'!H24</f>
        <v/>
      </c>
      <c r="I24" s="754" t="str">
        <f>'MSW22'!I24</f>
        <v/>
      </c>
      <c r="J24" s="1282" t="str">
        <f>'MSW22'!J24</f>
        <v/>
      </c>
      <c r="K24" s="486" t="str">
        <f>'MSW22'!K24</f>
        <v/>
      </c>
      <c r="L24" s="89" t="str">
        <f>'MSW22'!L24</f>
        <v/>
      </c>
      <c r="M24" s="85" t="str">
        <f>'MSW22'!M24</f>
        <v/>
      </c>
    </row>
    <row r="25">
      <c r="G25" t="str">
        <f>'MSW22'!G25</f>
        <v/>
      </c>
    </row>
    <row r="27">
      <c r="A27" s="73" t="str">
        <f>'MSW22'!A27</f>
        <v>3. MACHINE LOW ROW </v>
      </c>
      <c r="B27" s="53"/>
      <c r="C27" s="53"/>
      <c r="D27" s="53"/>
      <c r="E27" s="53"/>
      <c r="F27" s="54"/>
    </row>
    <row r="28">
      <c r="A28" s="226" t="str">
        <f>'MSW22'!A28</f>
        <v>CURRENT MAX</v>
      </c>
      <c r="B28" s="227">
        <f>'MSW22'!B28</f>
        <v>270</v>
      </c>
      <c r="C28" s="20"/>
      <c r="D28" s="20"/>
      <c r="E28" s="20"/>
      <c r="F28" s="95"/>
    </row>
    <row r="29">
      <c r="A29" s="231" t="str">
        <f>'MSW22'!A29</f>
        <v>SET</v>
      </c>
      <c r="B29" s="232" t="str">
        <f>'MSW22'!B29</f>
        <v>WEIGHT</v>
      </c>
      <c r="C29" s="232" t="str">
        <f>'MSW22'!C29</f>
        <v>REPS</v>
      </c>
      <c r="D29" s="232" t="str">
        <f>'MSW22'!D29</f>
        <v>REST</v>
      </c>
      <c r="E29" s="233" t="str">
        <f>'MSW22'!E29</f>
        <v>PREVIOUS</v>
      </c>
      <c r="F29" s="61" t="str">
        <f>'MSW22'!F29</f>
        <v>REP LOG</v>
      </c>
    </row>
    <row r="30">
      <c r="A30" s="236">
        <f>'MSW22'!A30</f>
        <v>1</v>
      </c>
      <c r="B30" s="237">
        <f>'MSW22'!B30</f>
        <v>95</v>
      </c>
      <c r="C30" s="237">
        <f>'MSW22'!C30</f>
        <v>6</v>
      </c>
      <c r="D30" s="238" t="str">
        <f>'MSW22'!D30</f>
        <v>30s</v>
      </c>
      <c r="E30" s="727" t="str">
        <f>'MSW22'!E30</f>
        <v/>
      </c>
      <c r="F30" s="67" t="str">
        <f>'MSW22'!F30</f>
        <v/>
      </c>
    </row>
    <row r="31">
      <c r="A31" s="236">
        <f>'MSW22'!A31</f>
        <v>2</v>
      </c>
      <c r="B31" s="237">
        <f>'MSW22'!B31</f>
        <v>175</v>
      </c>
      <c r="C31" s="238">
        <f>'MSW22'!C31</f>
        <v>3</v>
      </c>
      <c r="D31" s="238" t="str">
        <f>'MSW22'!D31</f>
        <v>1-2 MIN</v>
      </c>
      <c r="E31" s="727" t="str">
        <f>'MSW22'!E31</f>
        <v/>
      </c>
      <c r="F31" s="67" t="str">
        <f>'MSW22'!F31</f>
        <v/>
      </c>
    </row>
    <row r="32">
      <c r="A32" s="242">
        <f>'MSW22'!A32</f>
        <v>3</v>
      </c>
      <c r="B32" s="237">
        <f>'MSW22'!B32</f>
        <v>245</v>
      </c>
      <c r="C32" s="63">
        <f>'MSW22'!C32</f>
        <v>2</v>
      </c>
      <c r="D32" s="238" t="str">
        <f>'MSW22'!D32</f>
        <v>1-2 MIN</v>
      </c>
      <c r="E32" s="727" t="str">
        <f>'MSW22'!E32</f>
        <v/>
      </c>
      <c r="F32" s="67" t="str">
        <f>'MSW22'!F32</f>
        <v/>
      </c>
    </row>
    <row r="33">
      <c r="A33" s="243">
        <f>'MSW22'!A33</f>
        <v>4</v>
      </c>
      <c r="B33" s="237">
        <f>'MSW22'!B33</f>
        <v>270</v>
      </c>
      <c r="C33" s="257">
        <f>'MSW22'!C33</f>
        <v>3</v>
      </c>
      <c r="D33" s="238" t="str">
        <f>'MSW22'!D33</f>
        <v>1-5 MIN</v>
      </c>
      <c r="E33" s="727" t="str">
        <f>'MSW22'!E33</f>
        <v/>
      </c>
      <c r="F33" s="67" t="str">
        <f>'MSW22'!F33</f>
        <v/>
      </c>
    </row>
    <row r="34">
      <c r="A34" s="246" t="str">
        <f>'MSW22'!A34</f>
        <v>PROCEED TO DOWN SETS</v>
      </c>
      <c r="B34" s="20"/>
      <c r="C34" s="20"/>
      <c r="D34" s="20"/>
      <c r="E34" s="20"/>
      <c r="F34" s="95"/>
    </row>
    <row r="35">
      <c r="A35" s="249" t="str">
        <f>'MSW22'!A35</f>
        <v/>
      </c>
      <c r="B35" s="175" t="str">
        <f>'MSW22'!B35</f>
        <v/>
      </c>
      <c r="C35" s="238" t="str">
        <f>'MSW22'!C35</f>
        <v/>
      </c>
      <c r="D35" s="238" t="str">
        <f>'MSW22'!D35</f>
        <v/>
      </c>
      <c r="E35" s="727" t="str">
        <f>'MSW22'!E35</f>
        <v/>
      </c>
      <c r="F35" s="67" t="str">
        <f>'MSW22'!F35</f>
        <v/>
      </c>
    </row>
    <row r="36">
      <c r="A36" s="259" t="str">
        <f>'MSW22'!A36</f>
        <v/>
      </c>
      <c r="B36" s="237" t="str">
        <f>'MSW22'!B36</f>
        <v/>
      </c>
      <c r="C36" s="257" t="str">
        <f>'MSW22'!C36</f>
        <v/>
      </c>
      <c r="D36" s="257" t="str">
        <f>'MSW22'!D36</f>
        <v/>
      </c>
      <c r="E36" s="727" t="str">
        <f>'MSW22'!E36</f>
        <v/>
      </c>
      <c r="F36" s="67" t="str">
        <f>'MSW22'!F36</f>
        <v/>
      </c>
    </row>
    <row r="37">
      <c r="A37" s="246" t="str">
        <f>'MSW22'!A37</f>
        <v>DOWN SETS</v>
      </c>
      <c r="B37" s="20"/>
      <c r="C37" s="20"/>
      <c r="D37" s="20"/>
      <c r="E37" s="20"/>
      <c r="F37" s="95"/>
    </row>
    <row r="38">
      <c r="A38" s="264" t="str">
        <f>'MSW22'!A38</f>
        <v/>
      </c>
      <c r="B38" s="265">
        <f>'MSW22'!B38</f>
        <v>0</v>
      </c>
      <c r="C38" s="266" t="str">
        <f>'MSW22'!C38</f>
        <v>REP OUT</v>
      </c>
      <c r="D38" s="267" t="str">
        <f>'MSW22'!D38</f>
        <v>1-3 MIN</v>
      </c>
      <c r="E38" s="727" t="str">
        <f>'MSW22'!E38</f>
        <v/>
      </c>
      <c r="F38" s="67" t="str">
        <f>'MSW22'!F38</f>
        <v/>
      </c>
    </row>
    <row r="39">
      <c r="A39" s="243" t="str">
        <f>'MSW22'!A39</f>
        <v/>
      </c>
      <c r="B39" s="237">
        <f>'MSW22'!B39</f>
        <v>0</v>
      </c>
      <c r="C39" s="245" t="str">
        <f>'MSW22'!C39</f>
        <v>REP OUT</v>
      </c>
      <c r="D39" s="65" t="str">
        <f>'MSW22'!D39</f>
        <v>1-3 MIN</v>
      </c>
      <c r="E39" s="727" t="str">
        <f>'MSW22'!E39</f>
        <v/>
      </c>
      <c r="F39" s="271" t="str">
        <f>'MSW22'!F39</f>
        <v/>
      </c>
    </row>
    <row r="40">
      <c r="A40" s="228" t="str">
        <f>'MSW22'!A40</f>
        <v>FINAL MAX</v>
      </c>
      <c r="B40" s="549" t="str">
        <f>'MSW22'!B40</f>
        <v/>
      </c>
      <c r="F40" s="28"/>
    </row>
    <row r="41">
      <c r="A41" s="750" t="str">
        <f>'MSW22'!A41</f>
        <v/>
      </c>
      <c r="B41" s="36"/>
      <c r="C41" s="36"/>
      <c r="D41" s="36"/>
      <c r="E41" s="36"/>
      <c r="F41" s="36"/>
    </row>
    <row r="42">
      <c r="A42" s="751" t="str">
        <f>'MSW22'!A42</f>
        <v>4. MACHINE HIGH ROW</v>
      </c>
      <c r="B42" s="13"/>
      <c r="C42" s="13"/>
      <c r="D42" s="13"/>
      <c r="E42" s="13"/>
      <c r="F42" s="57"/>
    </row>
    <row r="43">
      <c r="A43" s="226" t="str">
        <f>'MSW22'!A43</f>
        <v>CURRENT MAX</v>
      </c>
      <c r="B43" s="691" t="str">
        <f>'MSW22'!B43</f>
        <v/>
      </c>
      <c r="C43" s="13"/>
      <c r="D43" s="13"/>
      <c r="E43" s="13"/>
      <c r="F43" s="57"/>
    </row>
    <row r="44">
      <c r="A44" s="96" t="str">
        <f>'MSW22'!A44</f>
        <v>SET</v>
      </c>
      <c r="B44" s="97" t="str">
        <f>'MSW22'!B44</f>
        <v>WEIGHT</v>
      </c>
      <c r="C44" s="97" t="str">
        <f>'MSW22'!C44</f>
        <v>REPS</v>
      </c>
      <c r="D44" s="97" t="str">
        <f>'MSW22'!D44</f>
        <v>REST</v>
      </c>
      <c r="E44" s="341" t="str">
        <f>'MSW22'!E44</f>
        <v>PREVIOUS</v>
      </c>
      <c r="F44" s="235" t="str">
        <f>'MSW22'!F44</f>
        <v>REP LOG</v>
      </c>
    </row>
    <row r="45">
      <c r="A45" s="725">
        <f>'MSW22'!A45</f>
        <v>1</v>
      </c>
      <c r="B45" s="344">
        <f>'MSW22'!B45</f>
        <v>0</v>
      </c>
      <c r="C45" s="437" t="str">
        <f>'MSW22'!C45</f>
        <v>REP OUT</v>
      </c>
      <c r="D45" s="343" t="str">
        <f>'MSW22'!D45</f>
        <v>1-3 MIN</v>
      </c>
      <c r="E45" s="727" t="str">
        <f>'MSW22'!E45</f>
        <v/>
      </c>
      <c r="F45" s="85" t="str">
        <f>'MSW22'!F45</f>
        <v/>
      </c>
    </row>
    <row r="46">
      <c r="A46" s="725">
        <f>'MSW22'!A46</f>
        <v>2</v>
      </c>
      <c r="B46" s="344">
        <f>'MSW22'!B46</f>
        <v>0</v>
      </c>
      <c r="C46" s="437" t="str">
        <f>'MSW22'!C46</f>
        <v>REP OUT</v>
      </c>
      <c r="D46" s="343" t="str">
        <f>'MSW22'!D46</f>
        <v>1-3 MIN</v>
      </c>
      <c r="E46" s="727" t="str">
        <f>'MSW22'!E46</f>
        <v/>
      </c>
      <c r="F46" s="85" t="str">
        <f>'MSW22'!F46</f>
        <v/>
      </c>
    </row>
    <row r="47">
      <c r="A47" s="753">
        <f>'MSW22'!A47</f>
        <v>3</v>
      </c>
      <c r="B47" s="754">
        <f>'MSW22'!B47</f>
        <v>0</v>
      </c>
      <c r="C47" s="733" t="str">
        <f>'MSW22'!C47</f>
        <v>REP OUT</v>
      </c>
      <c r="D47" s="486" t="str">
        <f>'MSW22'!D47</f>
        <v>1-3 MIN</v>
      </c>
      <c r="E47" s="734" t="str">
        <f>'MSW22'!E47</f>
        <v/>
      </c>
      <c r="F47" s="85" t="str">
        <f>'MSW22'!F47</f>
        <v/>
      </c>
    </row>
    <row r="48">
      <c r="A48" s="756" t="str">
        <f>'MSW22'!A48</f>
        <v/>
      </c>
    </row>
    <row r="50">
      <c r="A50" s="73" t="str">
        <f>'MSW22'!A50</f>
        <v>5. LAT PULL DOWN</v>
      </c>
      <c r="B50" s="53"/>
      <c r="C50" s="53"/>
      <c r="D50" s="53"/>
      <c r="E50" s="53"/>
      <c r="F50" s="54"/>
    </row>
    <row r="51">
      <c r="A51" s="226" t="str">
        <f>'MSW22'!A51</f>
        <v>CURRENT MAX</v>
      </c>
      <c r="B51" s="691" t="str">
        <f>'MSW22'!B51</f>
        <v/>
      </c>
      <c r="C51" s="13"/>
      <c r="D51" s="13"/>
      <c r="E51" s="13"/>
      <c r="F51" s="57"/>
    </row>
    <row r="52">
      <c r="A52" s="96" t="str">
        <f>'MSW22'!A52</f>
        <v>SET</v>
      </c>
      <c r="B52" s="97" t="str">
        <f>'MSW22'!B52</f>
        <v>WEIGHT</v>
      </c>
      <c r="C52" s="97" t="str">
        <f>'MSW22'!C52</f>
        <v>REPS</v>
      </c>
      <c r="D52" s="97" t="str">
        <f>'MSW22'!D52</f>
        <v>REST</v>
      </c>
      <c r="E52" s="341" t="str">
        <f>'MSW22'!E52</f>
        <v>PREVIOUS</v>
      </c>
      <c r="F52" s="235" t="str">
        <f>'MSW22'!F52</f>
        <v>REP LOG</v>
      </c>
    </row>
    <row r="53">
      <c r="A53" s="725">
        <f>'MSW22'!A53</f>
        <v>1</v>
      </c>
      <c r="B53" s="344">
        <f>'MSW22'!B53</f>
        <v>0</v>
      </c>
      <c r="C53" s="437" t="str">
        <f>'MSW22'!C53</f>
        <v>REP OUT</v>
      </c>
      <c r="D53" s="343" t="str">
        <f>'MSW22'!D53</f>
        <v>1-3 MIN</v>
      </c>
      <c r="E53" s="727" t="str">
        <f>'MSW22'!E53</f>
        <v/>
      </c>
      <c r="F53" s="85" t="str">
        <f>'MSW22'!F53</f>
        <v/>
      </c>
    </row>
    <row r="54">
      <c r="A54" s="725">
        <f>'MSW22'!A54</f>
        <v>2</v>
      </c>
      <c r="B54" s="344">
        <f>'MSW22'!B54</f>
        <v>0</v>
      </c>
      <c r="C54" s="437" t="str">
        <f>'MSW22'!C54</f>
        <v>REP OUT</v>
      </c>
      <c r="D54" s="343" t="str">
        <f>'MSW22'!D54</f>
        <v>1-3 MIN</v>
      </c>
      <c r="E54" s="727" t="str">
        <f>'MSW22'!E54</f>
        <v/>
      </c>
      <c r="F54" s="85" t="str">
        <f>'MSW22'!F54</f>
        <v/>
      </c>
    </row>
    <row r="55">
      <c r="A55" s="753">
        <f>'MSW22'!A55</f>
        <v>3</v>
      </c>
      <c r="B55" s="754">
        <f>'MSW22'!B55</f>
        <v>0</v>
      </c>
      <c r="C55" s="733" t="str">
        <f>'MSW22'!C55</f>
        <v>REP OUT</v>
      </c>
      <c r="D55" s="486" t="str">
        <f>'MSW22'!D55</f>
        <v>1-3 MIN</v>
      </c>
      <c r="E55" s="734" t="str">
        <f>'MSW22'!E55</f>
        <v/>
      </c>
      <c r="F55" s="85" t="str">
        <f>'MSW22'!F55</f>
        <v/>
      </c>
    </row>
    <row r="56">
      <c r="A56" s="1157" t="str">
        <f>'MSW22'!A56</f>
        <v/>
      </c>
      <c r="F56" s="39"/>
    </row>
    <row r="57">
      <c r="A57" s="310" t="str">
        <f>'MSW22'!A57</f>
        <v>CLICK TO COMPLETE WORKOUT</v>
      </c>
      <c r="B57" s="36"/>
      <c r="C57" s="36"/>
      <c r="D57" s="36"/>
      <c r="E57" s="36"/>
      <c r="F57" s="37"/>
    </row>
    <row r="58">
      <c r="A58" s="1472" t="str">
        <f>'MSW22'!A58</f>
        <v/>
      </c>
    </row>
    <row r="59">
      <c r="A59" s="529"/>
    </row>
    <row r="60">
      <c r="A60" s="50" t="str">
        <f>'MSW22'!A60</f>
        <v>DAY 2 </v>
      </c>
      <c r="B60" s="36"/>
      <c r="C60" s="36"/>
      <c r="D60" s="36"/>
      <c r="E60" s="36"/>
      <c r="F60" s="37"/>
    </row>
    <row r="61">
      <c r="A61" t="str">
        <f>'MSW22'!A61</f>
        <v/>
      </c>
    </row>
    <row r="62">
      <c r="A62" s="1355" t="str">
        <f>'MSW22'!A62</f>
        <v>1. MACHINE SQUAT</v>
      </c>
      <c r="B62" s="53"/>
      <c r="C62" s="53"/>
      <c r="D62" s="53"/>
      <c r="E62" s="53"/>
      <c r="F62" s="54"/>
    </row>
    <row r="63">
      <c r="A63" s="1262" t="str">
        <f>'MSW22'!A63</f>
        <v>10 REP MAX</v>
      </c>
      <c r="B63" s="1035">
        <f>'MSW22'!B63</f>
        <v>100</v>
      </c>
      <c r="C63" s="13"/>
      <c r="D63" s="13"/>
      <c r="E63" s="13"/>
      <c r="F63" s="57"/>
    </row>
    <row r="64">
      <c r="A64" s="231" t="str">
        <f>'MSW22'!A64</f>
        <v>SET</v>
      </c>
      <c r="B64" s="232" t="str">
        <f>'MSW22'!B64</f>
        <v>WEIGHT</v>
      </c>
      <c r="C64" s="232" t="str">
        <f>'MSW22'!C64</f>
        <v>REPS</v>
      </c>
      <c r="D64" s="232" t="str">
        <f>'MSW22'!D64</f>
        <v>REST</v>
      </c>
      <c r="E64" s="233" t="str">
        <f>'MSW22'!E64</f>
        <v>PREVIOUS</v>
      </c>
      <c r="F64" s="61" t="str">
        <f>'MSW22'!F64</f>
        <v>REP LOG</v>
      </c>
    </row>
    <row r="65">
      <c r="A65" s="236">
        <f>'MSW22'!A65</f>
        <v>1</v>
      </c>
      <c r="B65" s="237">
        <f>'MSW22'!B65</f>
        <v>35</v>
      </c>
      <c r="C65" s="238">
        <f>'MSW22'!C65</f>
        <v>10</v>
      </c>
      <c r="D65" s="238" t="str">
        <f>'MSW22'!D65</f>
        <v>30s</v>
      </c>
      <c r="E65" s="66" t="str">
        <f>'MSW22'!E65</f>
        <v/>
      </c>
      <c r="F65" s="67" t="str">
        <f>'MSW22'!F65</f>
        <v/>
      </c>
    </row>
    <row r="66">
      <c r="A66" s="236">
        <f>'MSW22'!A66</f>
        <v>2</v>
      </c>
      <c r="B66" s="237">
        <f>'MSW22'!B66</f>
        <v>65</v>
      </c>
      <c r="C66" s="238">
        <f>'MSW22'!C66</f>
        <v>10</v>
      </c>
      <c r="D66" s="238" t="str">
        <f>'MSW22'!D66</f>
        <v>1-2 MIN</v>
      </c>
      <c r="E66" s="66" t="str">
        <f>'MSW22'!E66</f>
        <v/>
      </c>
      <c r="F66" s="67" t="str">
        <f>'MSW22'!F66</f>
        <v/>
      </c>
    </row>
    <row r="67">
      <c r="A67" s="242">
        <f>'MSW22'!A67</f>
        <v>3</v>
      </c>
      <c r="B67" s="237">
        <f>'MSW22'!B67</f>
        <v>90</v>
      </c>
      <c r="C67" s="238">
        <f>'MSW22'!C67</f>
        <v>10</v>
      </c>
      <c r="D67" s="238" t="str">
        <f>'MSW22'!D67</f>
        <v>1-2 MIN</v>
      </c>
      <c r="E67" s="66" t="str">
        <f>'MSW22'!E67</f>
        <v/>
      </c>
      <c r="F67" s="67" t="str">
        <f>'MSW22'!F67</f>
        <v/>
      </c>
    </row>
    <row r="68">
      <c r="A68" s="249">
        <f>'MSW22'!A68</f>
        <v>4</v>
      </c>
      <c r="B68" s="175">
        <f>'MSW22'!B68</f>
        <v>70</v>
      </c>
      <c r="C68" s="238">
        <f>'MSW22'!C68</f>
        <v>10</v>
      </c>
      <c r="D68" s="238" t="str">
        <f>'MSW22'!D68</f>
        <v>1-5 MIN</v>
      </c>
      <c r="E68" s="66" t="str">
        <f>'MSW22'!E68</f>
        <v/>
      </c>
      <c r="F68" s="67" t="str">
        <f>'MSW22'!F68</f>
        <v/>
      </c>
    </row>
    <row r="69">
      <c r="A69" s="249">
        <f>'MSW22'!A69</f>
        <v>5</v>
      </c>
      <c r="B69" s="175">
        <f>'MSW22'!B69</f>
        <v>55</v>
      </c>
      <c r="C69" s="238">
        <f>'MSW22'!C69</f>
        <v>10</v>
      </c>
      <c r="D69" s="238" t="str">
        <f>'MSW22'!D69</f>
        <v>1-5 MIN</v>
      </c>
      <c r="E69" s="66" t="str">
        <f>'MSW22'!E69</f>
        <v/>
      </c>
      <c r="F69" s="1037" t="str">
        <f>'MSW22'!F69</f>
        <v/>
      </c>
    </row>
    <row r="70">
      <c r="A70" s="249">
        <f>'MSW22'!A70</f>
        <v>6</v>
      </c>
      <c r="B70" s="175">
        <f>'MSW22'!B70</f>
        <v>45</v>
      </c>
      <c r="C70" s="238">
        <f>'MSW22'!C70</f>
        <v>10</v>
      </c>
      <c r="D70" s="238" t="str">
        <f>'MSW22'!D70</f>
        <v>1-5 MIN</v>
      </c>
      <c r="E70" s="66" t="str">
        <f>'MSW22'!E70</f>
        <v/>
      </c>
      <c r="F70" s="67" t="str">
        <f>'MSW22'!F70</f>
        <v/>
      </c>
    </row>
    <row r="71">
      <c r="A71" s="1038">
        <f>'MSW22'!A71</f>
        <v>7</v>
      </c>
      <c r="B71" s="175">
        <f>'MSW22'!B71</f>
        <v>35</v>
      </c>
      <c r="C71" s="238">
        <f>'MSW22'!C71</f>
        <v>10</v>
      </c>
      <c r="D71" s="238" t="str">
        <f>'MSW22'!D71</f>
        <v>1-5 MIN</v>
      </c>
      <c r="E71" s="66" t="str">
        <f>'MSW22'!E71</f>
        <v/>
      </c>
      <c r="F71" s="67" t="str">
        <f>'MSW22'!F71</f>
        <v/>
      </c>
    </row>
    <row r="72">
      <c r="A72" s="249">
        <f>'MSW22'!A72</f>
        <v>8</v>
      </c>
      <c r="B72" s="175">
        <f>'MSW22'!B72</f>
        <v>30</v>
      </c>
      <c r="C72" s="238">
        <f>'MSW22'!C72</f>
        <v>10</v>
      </c>
      <c r="D72" s="238" t="str">
        <f>'MSW22'!D72</f>
        <v>1-5 MIN</v>
      </c>
      <c r="E72" s="66" t="str">
        <f>'MSW22'!E72</f>
        <v/>
      </c>
      <c r="F72" s="67" t="str">
        <f>'MSW22'!F72</f>
        <v/>
      </c>
    </row>
    <row r="73">
      <c r="A73" s="1038">
        <f>'MSW22'!A73</f>
        <v>9</v>
      </c>
      <c r="B73" s="175">
        <f>'MSW22'!B73</f>
        <v>25</v>
      </c>
      <c r="C73" s="238">
        <f>'MSW22'!C73</f>
        <v>10</v>
      </c>
      <c r="D73" s="238" t="str">
        <f>'MSW22'!D73</f>
        <v>1-5 MIN</v>
      </c>
      <c r="E73" s="1108" t="str">
        <f>'MSW22'!E73</f>
        <v/>
      </c>
      <c r="F73" s="67" t="str">
        <f>'MSW22'!F73</f>
        <v/>
      </c>
    </row>
    <row r="74">
      <c r="A74" s="1038" t="str">
        <f>'MSW22'!A74</f>
        <v>10</v>
      </c>
      <c r="B74" s="175">
        <f>'MSW22'!B74</f>
        <v>20</v>
      </c>
      <c r="C74" s="238">
        <f>'MSW22'!C74</f>
        <v>10</v>
      </c>
      <c r="D74" s="238" t="str">
        <f>'MSW22'!D74</f>
        <v>1-5 MIN</v>
      </c>
      <c r="E74" s="1108" t="str">
        <f>'MSW22'!E74</f>
        <v/>
      </c>
      <c r="F74" s="67" t="str">
        <f>'MSW22'!F74</f>
        <v/>
      </c>
    </row>
    <row r="75">
      <c r="A75" s="272" t="str">
        <f>'MSW22'!A75</f>
        <v>10 REP MAX</v>
      </c>
      <c r="B75" s="1109">
        <f>'MSW22'!B75</f>
        <v>100</v>
      </c>
      <c r="C75" s="11"/>
      <c r="D75" s="11"/>
      <c r="E75" s="11"/>
      <c r="F75" s="46"/>
    </row>
    <row r="76">
      <c r="A76" t="str">
        <f>'MSW22'!A76</f>
        <v/>
      </c>
    </row>
    <row r="78">
      <c r="A78" s="1285" t="str">
        <f>'MSW22'!A78</f>
        <v>2. LEG EXTENSION</v>
      </c>
      <c r="B78" s="53"/>
      <c r="C78" s="53"/>
      <c r="D78" s="53"/>
      <c r="E78" s="53"/>
      <c r="F78" s="54"/>
    </row>
    <row r="79">
      <c r="A79" s="1045" t="str">
        <f>'MSW22'!A79</f>
        <v>CURRENT MAX</v>
      </c>
      <c r="B79" s="1367">
        <f>'MSW22'!B79</f>
        <v>50</v>
      </c>
      <c r="C79" s="20"/>
      <c r="D79" s="20"/>
      <c r="E79" s="20"/>
      <c r="F79" s="95"/>
    </row>
    <row r="80">
      <c r="A80" s="567" t="str">
        <f>'MSW22'!A80</f>
        <v>SET</v>
      </c>
      <c r="B80" s="568" t="str">
        <f>'MSW22'!B80</f>
        <v>WEIGHT</v>
      </c>
      <c r="C80" s="568" t="str">
        <f>'MSW22'!C80</f>
        <v>REPS</v>
      </c>
      <c r="D80" s="568" t="str">
        <f>'MSW22'!D80</f>
        <v>REST</v>
      </c>
      <c r="E80" s="1047" t="str">
        <f>'MSW22'!E80</f>
        <v>PREVIOUS</v>
      </c>
      <c r="F80" s="1048" t="str">
        <f>'MSW22'!F80</f>
        <v>REP LOG</v>
      </c>
    </row>
    <row r="81">
      <c r="A81" s="1049">
        <f>'MSW22'!A81</f>
        <v>1</v>
      </c>
      <c r="B81" s="1050">
        <f>'MSW22'!B81</f>
        <v>50</v>
      </c>
      <c r="C81" s="1051" t="str">
        <f>'MSW22'!C81</f>
        <v>10 - 15</v>
      </c>
      <c r="D81" s="1430" t="str">
        <f>'MSW22'!D81</f>
        <v>1-2 MIN</v>
      </c>
      <c r="E81" s="1130" t="str">
        <f>'MSW22'!E81</f>
        <v/>
      </c>
      <c r="F81" s="1017" t="str">
        <f>'MSW22'!F81</f>
        <v/>
      </c>
    </row>
    <row r="82">
      <c r="A82" s="1049">
        <f>'MSW22'!A82</f>
        <v>2</v>
      </c>
      <c r="B82" s="1050">
        <f>'MSW22'!B82</f>
        <v>40</v>
      </c>
      <c r="C82" s="1051" t="str">
        <f>'MSW22'!C82</f>
        <v>10 - 15</v>
      </c>
      <c r="D82" s="1430" t="str">
        <f>'MSW22'!D82</f>
        <v>1-2 MIN</v>
      </c>
      <c r="E82" s="1130" t="str">
        <f>'MSW22'!E82</f>
        <v/>
      </c>
      <c r="F82" s="1017" t="str">
        <f>'MSW22'!F82</f>
        <v/>
      </c>
    </row>
    <row r="83">
      <c r="A83" s="1053">
        <f>'MSW22'!A83</f>
        <v>3</v>
      </c>
      <c r="B83" s="1054">
        <f>'MSW22'!B83</f>
        <v>30</v>
      </c>
      <c r="C83" s="1055" t="str">
        <f>'MSW22'!C83</f>
        <v>10 - 15</v>
      </c>
      <c r="D83" s="1453" t="str">
        <f>'MSW22'!D83</f>
        <v>1-2 MIN</v>
      </c>
      <c r="E83" s="1348" t="str">
        <f>'MSW22'!E83</f>
        <v/>
      </c>
      <c r="F83" s="1017" t="str">
        <f>'MSW22'!F83</f>
        <v/>
      </c>
    </row>
    <row r="84">
      <c r="A84" t="str">
        <f>'MSW22'!A84</f>
        <v/>
      </c>
    </row>
    <row r="86">
      <c r="A86" s="323" t="str">
        <f>'MSW22'!A86</f>
        <v>3. MACHINE LEG CURL</v>
      </c>
      <c r="B86" s="53"/>
      <c r="C86" s="53"/>
      <c r="D86" s="53"/>
      <c r="E86" s="53"/>
      <c r="F86" s="54"/>
      <c r="G86" s="141" t="str">
        <f>'MSW22'!G86</f>
        <v/>
      </c>
      <c r="H86" s="323" t="str">
        <f>'MSW22'!H86</f>
        <v>3. PRONE LEG CURL</v>
      </c>
      <c r="I86" s="53"/>
      <c r="J86" s="53"/>
      <c r="K86" s="53"/>
      <c r="L86" s="53"/>
      <c r="M86" s="54"/>
    </row>
    <row r="87">
      <c r="A87" s="1045" t="str">
        <f>'MSW22'!A87</f>
        <v>CURRENT MAX</v>
      </c>
      <c r="B87" s="1367">
        <f>'MSW22'!B87</f>
        <v>15</v>
      </c>
      <c r="C87" s="20"/>
      <c r="D87" s="20"/>
      <c r="E87" s="20"/>
      <c r="F87" s="95"/>
      <c r="H87" s="1045" t="str">
        <f>'MSW22'!H87</f>
        <v>CURRENT MAX</v>
      </c>
      <c r="I87" s="1046">
        <f>'MSW22'!I87</f>
        <v>15</v>
      </c>
      <c r="J87" s="13"/>
      <c r="K87" s="13"/>
      <c r="L87" s="13"/>
      <c r="M87" s="57"/>
    </row>
    <row r="88">
      <c r="A88" s="567" t="str">
        <f>'MSW22'!A88</f>
        <v>SET</v>
      </c>
      <c r="B88" s="568" t="str">
        <f>'MSW22'!B88</f>
        <v>WEIGHT</v>
      </c>
      <c r="C88" s="568" t="str">
        <f>'MSW22'!C88</f>
        <v>REPS</v>
      </c>
      <c r="D88" s="568" t="str">
        <f>'MSW22'!D88</f>
        <v>REST</v>
      </c>
      <c r="E88" s="1047" t="str">
        <f>'MSW22'!E88</f>
        <v>PREVIOUS</v>
      </c>
      <c r="F88" s="1048" t="str">
        <f>'MSW22'!F88</f>
        <v>REP LOG</v>
      </c>
      <c r="H88" s="567" t="str">
        <f>'MSW22'!H88</f>
        <v>SET</v>
      </c>
      <c r="I88" s="568" t="str">
        <f>'MSW22'!I88</f>
        <v>WEIGHT</v>
      </c>
      <c r="J88" s="568" t="str">
        <f>'MSW22'!J88</f>
        <v>REPS</v>
      </c>
      <c r="K88" s="568" t="str">
        <f>'MSW22'!K88</f>
        <v>REST</v>
      </c>
      <c r="L88" s="1047" t="str">
        <f>'MSW22'!L88</f>
        <v>PREVIOUS</v>
      </c>
      <c r="M88" s="1048" t="str">
        <f>'MSW22'!M88</f>
        <v>REP LOG</v>
      </c>
    </row>
    <row r="89">
      <c r="A89" s="1049">
        <f>'MSW22'!A89</f>
        <v>1</v>
      </c>
      <c r="B89" s="1050">
        <f>'MSW22'!B89</f>
        <v>15</v>
      </c>
      <c r="C89" s="1051" t="str">
        <f>'MSW22'!C89</f>
        <v>10 - 15</v>
      </c>
      <c r="D89" s="1430" t="str">
        <f>'MSW22'!D89</f>
        <v>1-2 MIN</v>
      </c>
      <c r="E89" s="1130" t="str">
        <f>'MSW22'!E89</f>
        <v/>
      </c>
      <c r="F89" s="1017" t="str">
        <f>'MSW22'!F89</f>
        <v/>
      </c>
      <c r="G89" s="434" t="str">
        <f>'MSW22'!G89</f>
        <v>ALTERNATE</v>
      </c>
      <c r="H89" s="1049">
        <f>'MSW22'!H89</f>
        <v>1</v>
      </c>
      <c r="I89" s="1050">
        <f>'MSW22'!I89</f>
        <v>15</v>
      </c>
      <c r="J89" s="1051" t="str">
        <f>'MSW22'!J89</f>
        <v>10 - 15</v>
      </c>
      <c r="K89" s="1430" t="str">
        <f>'MSW22'!K89</f>
        <v>1-2 MIN</v>
      </c>
      <c r="L89" s="1130" t="str">
        <f>'MSW22'!L89</f>
        <v/>
      </c>
      <c r="M89" s="1017" t="str">
        <f>'MSW22'!M89</f>
        <v/>
      </c>
    </row>
    <row r="90">
      <c r="A90" s="1049">
        <f>'MSW22'!A90</f>
        <v>2</v>
      </c>
      <c r="B90" s="1050">
        <f>'MSW22'!B90</f>
        <v>10</v>
      </c>
      <c r="C90" s="1051" t="str">
        <f>'MSW22'!C90</f>
        <v>10 - 15</v>
      </c>
      <c r="D90" s="1430" t="str">
        <f>'MSW22'!D90</f>
        <v>1-2 MIN</v>
      </c>
      <c r="E90" s="1130" t="str">
        <f>'MSW22'!E90</f>
        <v/>
      </c>
      <c r="F90" s="1017" t="str">
        <f>'MSW22'!F90</f>
        <v/>
      </c>
      <c r="H90" s="1049">
        <f>'MSW22'!H90</f>
        <v>2</v>
      </c>
      <c r="I90" s="1050">
        <f>'MSW22'!I90</f>
        <v>10</v>
      </c>
      <c r="J90" s="1051" t="str">
        <f>'MSW22'!J90</f>
        <v>10 - 15</v>
      </c>
      <c r="K90" s="1430" t="str">
        <f>'MSW22'!K90</f>
        <v>1-2 MIN</v>
      </c>
      <c r="L90" s="1130" t="str">
        <f>'MSW22'!L90</f>
        <v/>
      </c>
      <c r="M90" s="1017" t="str">
        <f>'MSW22'!M90</f>
        <v/>
      </c>
    </row>
    <row r="91">
      <c r="A91" s="1053">
        <f>'MSW22'!A91</f>
        <v>3</v>
      </c>
      <c r="B91" s="1054">
        <f>'MSW22'!B91</f>
        <v>10</v>
      </c>
      <c r="C91" s="1055" t="str">
        <f>'MSW22'!C91</f>
        <v>10 - 15</v>
      </c>
      <c r="D91" s="1453" t="str">
        <f>'MSW22'!D91</f>
        <v>1-2 MIN</v>
      </c>
      <c r="E91" s="1348" t="str">
        <f>'MSW22'!E91</f>
        <v/>
      </c>
      <c r="F91" s="1017" t="str">
        <f>'MSW22'!F91</f>
        <v/>
      </c>
      <c r="G91" s="682" t="str">
        <f>'MSW22'!G91</f>
        <v/>
      </c>
      <c r="H91" s="1053">
        <f>'MSW22'!H91</f>
        <v>3</v>
      </c>
      <c r="I91" s="1054">
        <f>'MSW22'!I91</f>
        <v>10</v>
      </c>
      <c r="J91" s="1055" t="str">
        <f>'MSW22'!J91</f>
        <v>10 - 15</v>
      </c>
      <c r="K91" s="1453" t="str">
        <f>'MSW22'!K91</f>
        <v>1-2 MIN</v>
      </c>
      <c r="L91" s="1348" t="str">
        <f>'MSW22'!L91</f>
        <v/>
      </c>
      <c r="M91" s="1017" t="str">
        <f>'MSW22'!M91</f>
        <v/>
      </c>
    </row>
    <row r="92">
      <c r="A92" s="849" t="str">
        <f>'MSW22'!A92</f>
        <v/>
      </c>
      <c r="G92" s="849" t="str">
        <f>'MSW22'!H92</f>
        <v/>
      </c>
    </row>
    <row r="94">
      <c r="A94" s="310" t="str">
        <f>'MSW22'!A94</f>
        <v>CLICK TO COMPLETE WORKOUT</v>
      </c>
      <c r="B94" s="36"/>
      <c r="C94" s="36"/>
      <c r="D94" s="36"/>
      <c r="E94" s="36"/>
      <c r="F94" s="37"/>
    </row>
    <row r="95">
      <c r="A95" t="str">
        <f>'MSW22'!A95</f>
        <v/>
      </c>
    </row>
    <row r="96">
      <c r="A96" s="224" t="str">
        <f>'MSW22'!A96</f>
        <v>DAY 2 </v>
      </c>
      <c r="B96" s="36"/>
      <c r="C96" s="36"/>
      <c r="D96" s="36"/>
      <c r="E96" s="36"/>
      <c r="F96" s="37"/>
    </row>
    <row r="97">
      <c r="A97" t="str">
        <f>'MSW22'!A97</f>
        <v/>
      </c>
    </row>
    <row r="99">
      <c r="A99" s="44" t="str">
        <f>'MSW22'!A99</f>
        <v>SHOULDERS &amp; ARMS</v>
      </c>
      <c r="B99" s="36"/>
      <c r="C99" s="36"/>
      <c r="D99" s="36"/>
      <c r="E99" s="36"/>
      <c r="F99" s="37"/>
      <c r="G99" t="str">
        <f>'MSW22'!G99</f>
        <v/>
      </c>
      <c r="H99" s="44" t="str">
        <f>'MSW22'!H99</f>
        <v>SHOULDERS &amp; ARMS</v>
      </c>
      <c r="I99" s="36"/>
      <c r="J99" s="36"/>
      <c r="K99" s="36"/>
      <c r="L99" s="36"/>
      <c r="M99" s="37"/>
    </row>
    <row r="100">
      <c r="A100" s="1139" t="str">
        <f>'MSW22'!A100</f>
        <v>1. MACHINE SHOULDER PRESS</v>
      </c>
      <c r="B100" s="13"/>
      <c r="C100" s="13"/>
      <c r="D100" s="13"/>
      <c r="E100" s="13"/>
      <c r="F100" s="57"/>
      <c r="H100" s="112" t="str">
        <f>'MSW22'!H100</f>
        <v>1. SHOULDER PRESS</v>
      </c>
      <c r="I100" s="13"/>
      <c r="J100" s="13"/>
      <c r="K100" s="13"/>
      <c r="L100" s="13"/>
      <c r="M100" s="57"/>
    </row>
    <row r="101">
      <c r="A101" s="226" t="str">
        <f>'MSW22'!A101</f>
        <v>CURRENT MAX</v>
      </c>
      <c r="B101" s="227">
        <f>'MSW22'!B101</f>
        <v>105</v>
      </c>
      <c r="C101" s="20"/>
      <c r="D101" s="20"/>
      <c r="E101" s="20"/>
      <c r="F101" s="95"/>
      <c r="H101" s="226" t="str">
        <f>'MSW22'!H101</f>
        <v>CURRENT MAX</v>
      </c>
      <c r="I101" s="227">
        <f>'MSW22'!I101</f>
        <v>10</v>
      </c>
      <c r="J101" s="20"/>
      <c r="K101" s="20"/>
      <c r="L101" s="20"/>
      <c r="M101" s="95"/>
    </row>
    <row r="102">
      <c r="A102" s="231" t="str">
        <f>'MSW22'!A102</f>
        <v>SET</v>
      </c>
      <c r="B102" s="232" t="str">
        <f>'MSW22'!B102</f>
        <v>WEIGHT</v>
      </c>
      <c r="C102" s="232" t="str">
        <f>'MSW22'!C102</f>
        <v>REPS</v>
      </c>
      <c r="D102" s="232" t="str">
        <f>'MSW22'!D102</f>
        <v>REST</v>
      </c>
      <c r="E102" s="233" t="str">
        <f>'MSW22'!E102</f>
        <v>PREVIOUS</v>
      </c>
      <c r="F102" s="61" t="str">
        <f>'MSW22'!F102</f>
        <v>REP LOG</v>
      </c>
      <c r="H102" s="231" t="str">
        <f>'MSW22'!H102</f>
        <v>SET</v>
      </c>
      <c r="I102" s="232" t="str">
        <f>'MSW22'!I102</f>
        <v>WEIGHT</v>
      </c>
      <c r="J102" s="232" t="str">
        <f>'MSW22'!J102</f>
        <v>REPS</v>
      </c>
      <c r="K102" s="232" t="str">
        <f>'MSW22'!K102</f>
        <v>REST</v>
      </c>
      <c r="L102" s="233" t="str">
        <f>'MSW22'!L102</f>
        <v>PREVIOUS</v>
      </c>
      <c r="M102" s="61" t="str">
        <f>'MSW22'!M102</f>
        <v>REP LOG</v>
      </c>
    </row>
    <row r="103">
      <c r="A103" s="1140">
        <f>'MSW22'!A103</f>
        <v>1</v>
      </c>
      <c r="B103" s="237">
        <f>'MSW22'!B103</f>
        <v>35</v>
      </c>
      <c r="C103" s="237">
        <f>'MSW22'!C103</f>
        <v>6</v>
      </c>
      <c r="D103" s="238" t="str">
        <f>'MSW22'!D103</f>
        <v>30s</v>
      </c>
      <c r="E103" s="84" t="str">
        <f>'MSW22'!E103</f>
        <v/>
      </c>
      <c r="F103" s="67"/>
      <c r="H103" s="1140">
        <f>'MSW22'!H103</f>
        <v>1</v>
      </c>
      <c r="I103" s="237">
        <f>'MSW22'!I103</f>
        <v>5</v>
      </c>
      <c r="J103" s="237">
        <f>'MSW22'!J103</f>
        <v>6</v>
      </c>
      <c r="K103" s="238" t="str">
        <f>'MSW22'!K103</f>
        <v>30s</v>
      </c>
      <c r="L103" s="84" t="str">
        <f>'MSW22'!L103</f>
        <v/>
      </c>
      <c r="M103" s="67"/>
    </row>
    <row r="104">
      <c r="A104" s="236">
        <f>'MSW22'!A104</f>
        <v>2</v>
      </c>
      <c r="B104" s="237">
        <f>'MSW22'!B104</f>
        <v>70</v>
      </c>
      <c r="C104" s="237">
        <f>'MSW22'!C104</f>
        <v>1</v>
      </c>
      <c r="D104" s="238" t="str">
        <f>'MSW22'!D104</f>
        <v>1-2 MIN</v>
      </c>
      <c r="E104" s="84" t="str">
        <f>'MSW22'!E104</f>
        <v/>
      </c>
      <c r="F104" s="67"/>
      <c r="H104" s="236">
        <f>'MSW22'!H104</f>
        <v>2</v>
      </c>
      <c r="I104" s="237">
        <f>'MSW22'!I104</f>
        <v>5</v>
      </c>
      <c r="J104" s="237">
        <f>'MSW22'!J104</f>
        <v>1</v>
      </c>
      <c r="K104" s="238" t="str">
        <f>'MSW22'!K104</f>
        <v>1-2 MIN</v>
      </c>
      <c r="L104" s="84" t="str">
        <f>'MSW22'!L104</f>
        <v/>
      </c>
      <c r="M104" s="67"/>
    </row>
    <row r="105">
      <c r="A105" s="242">
        <f>'MSW22'!A105</f>
        <v>3</v>
      </c>
      <c r="B105" s="237">
        <f>'MSW22'!B105</f>
        <v>95</v>
      </c>
      <c r="C105" s="82">
        <f>'MSW22'!C105</f>
        <v>1</v>
      </c>
      <c r="D105" s="238" t="str">
        <f>'MSW22'!D105</f>
        <v>1-2 MIN</v>
      </c>
      <c r="E105" s="84" t="str">
        <f>'MSW22'!E105</f>
        <v/>
      </c>
      <c r="F105" s="67"/>
      <c r="H105" s="242">
        <f>'MSW22'!H105</f>
        <v>3</v>
      </c>
      <c r="I105" s="237">
        <f>'MSW22'!I105</f>
        <v>10</v>
      </c>
      <c r="J105" s="82">
        <f>'MSW22'!J105</f>
        <v>1</v>
      </c>
      <c r="K105" s="238" t="str">
        <f>'MSW22'!K105</f>
        <v>1-2 MIN</v>
      </c>
      <c r="L105" s="84" t="str">
        <f>'MSW22'!L105</f>
        <v/>
      </c>
      <c r="M105" s="67"/>
    </row>
    <row r="106">
      <c r="A106" s="243">
        <f>'MSW22'!A106</f>
        <v>4</v>
      </c>
      <c r="B106" s="237">
        <f>'MSW22'!B106</f>
        <v>105</v>
      </c>
      <c r="C106" s="257">
        <f>'MSW22'!C106</f>
        <v>1</v>
      </c>
      <c r="D106" s="238" t="str">
        <f>'MSW22'!D106</f>
        <v>1-5 MIN</v>
      </c>
      <c r="E106" s="84" t="str">
        <f>'MSW22'!E106</f>
        <v/>
      </c>
      <c r="F106" s="67"/>
      <c r="H106" s="243">
        <f>'MSW22'!H106</f>
        <v>4</v>
      </c>
      <c r="I106" s="237">
        <f>'MSW22'!I106</f>
        <v>10</v>
      </c>
      <c r="J106" s="257">
        <f>'MSW22'!J106</f>
        <v>1</v>
      </c>
      <c r="K106" s="238" t="str">
        <f>'MSW22'!K106</f>
        <v>1-5 MIN</v>
      </c>
      <c r="L106" s="84" t="str">
        <f>'MSW22'!L106</f>
        <v/>
      </c>
      <c r="M106" s="67"/>
    </row>
    <row r="107">
      <c r="A107" s="246" t="str">
        <f>'MSW22'!A107</f>
        <v>PROCEED TO DOWN SETS</v>
      </c>
      <c r="B107" s="20"/>
      <c r="C107" s="20"/>
      <c r="D107" s="20"/>
      <c r="E107" s="20"/>
      <c r="F107" s="95"/>
      <c r="H107" s="246" t="str">
        <f>'MSW22'!H107</f>
        <v>PROCEED TO DOWN SETS</v>
      </c>
      <c r="I107" s="20"/>
      <c r="J107" s="20"/>
      <c r="K107" s="20"/>
      <c r="L107" s="20"/>
      <c r="M107" s="95"/>
    </row>
    <row r="108">
      <c r="A108" s="249" t="str">
        <f>'MSW22'!A108</f>
        <v/>
      </c>
      <c r="B108" s="175" t="str">
        <f>'MSW22'!B108</f>
        <v/>
      </c>
      <c r="C108" s="238" t="str">
        <f>'MSW22'!C108</f>
        <v/>
      </c>
      <c r="D108" s="238" t="str">
        <f>'MSW22'!D108</f>
        <v/>
      </c>
      <c r="E108" s="84" t="str">
        <f>'MSW22'!E108</f>
        <v/>
      </c>
      <c r="F108" s="67"/>
      <c r="H108" s="249" t="str">
        <f>'MSW22'!H108</f>
        <v/>
      </c>
      <c r="I108" s="175" t="str">
        <f>'MSW22'!I108</f>
        <v/>
      </c>
      <c r="J108" s="238" t="str">
        <f>'MSW22'!J108</f>
        <v/>
      </c>
      <c r="K108" s="238" t="str">
        <f>'MSW22'!K108</f>
        <v/>
      </c>
      <c r="L108" s="84" t="str">
        <f>'MSW22'!L108</f>
        <v/>
      </c>
      <c r="M108" s="67"/>
    </row>
    <row r="109">
      <c r="A109" s="259" t="str">
        <f>'MSW22'!A109</f>
        <v/>
      </c>
      <c r="B109" s="237" t="str">
        <f>'MSW22'!B109</f>
        <v/>
      </c>
      <c r="C109" s="257" t="str">
        <f>'MSW22'!C109</f>
        <v/>
      </c>
      <c r="D109" s="257" t="str">
        <f>'MSW22'!D109</f>
        <v/>
      </c>
      <c r="E109" s="84" t="str">
        <f>'MSW22'!E109</f>
        <v/>
      </c>
      <c r="F109" s="67" t="str">
        <f>'MSW22'!F109</f>
        <v/>
      </c>
      <c r="H109" s="259" t="str">
        <f>'MSW22'!H109</f>
        <v/>
      </c>
      <c r="I109" s="237" t="str">
        <f>'MSW22'!I109</f>
        <v/>
      </c>
      <c r="J109" s="257" t="str">
        <f>'MSW22'!J109</f>
        <v/>
      </c>
      <c r="K109" s="257" t="str">
        <f>'MSW22'!K109</f>
        <v/>
      </c>
      <c r="L109" s="84" t="str">
        <f>'MSW22'!L109</f>
        <v/>
      </c>
      <c r="M109" s="67"/>
    </row>
    <row r="110">
      <c r="A110" s="246" t="str">
        <f>'MSW22'!A110</f>
        <v>DOWN SETS</v>
      </c>
      <c r="B110" s="20"/>
      <c r="C110" s="20"/>
      <c r="D110" s="20"/>
      <c r="E110" s="20"/>
      <c r="F110" s="95"/>
      <c r="H110" s="246" t="str">
        <f>'MSW22'!H110</f>
        <v>DOWN SETS</v>
      </c>
      <c r="I110" s="20"/>
      <c r="J110" s="20"/>
      <c r="K110" s="20"/>
      <c r="L110" s="20"/>
      <c r="M110" s="95"/>
    </row>
    <row r="111">
      <c r="A111" s="264" t="str">
        <f>'MSW22'!A111</f>
        <v/>
      </c>
      <c r="B111" s="265">
        <f>'MSW22'!B111</f>
        <v>0</v>
      </c>
      <c r="C111" s="266" t="str">
        <f>'MSW22'!C111</f>
        <v>REP OUT</v>
      </c>
      <c r="D111" s="267" t="str">
        <f>'MSW22'!D111</f>
        <v>1-3 MIN</v>
      </c>
      <c r="E111" s="84" t="str">
        <f>'MSW22'!E111</f>
        <v/>
      </c>
      <c r="F111" s="67"/>
      <c r="H111" s="264" t="str">
        <f>'MSW22'!H111</f>
        <v/>
      </c>
      <c r="I111" s="265">
        <f>'MSW22'!I111</f>
        <v>0</v>
      </c>
      <c r="J111" s="266" t="str">
        <f>'MSW22'!J111</f>
        <v>REP OUT</v>
      </c>
      <c r="K111" s="267" t="str">
        <f>'MSW22'!K111</f>
        <v>1-3 MIN</v>
      </c>
      <c r="L111" s="84" t="str">
        <f>'MSW22'!L111</f>
        <v/>
      </c>
      <c r="M111" s="67"/>
    </row>
    <row r="112">
      <c r="A112" s="243" t="str">
        <f>'MSW22'!A112</f>
        <v/>
      </c>
      <c r="B112" s="237">
        <f>'MSW22'!B112</f>
        <v>0</v>
      </c>
      <c r="C112" s="245" t="str">
        <f>'MSW22'!C112</f>
        <v>REP OUT</v>
      </c>
      <c r="D112" s="65" t="str">
        <f>'MSW22'!D112</f>
        <v>1-3 MIN</v>
      </c>
      <c r="E112" s="84" t="str">
        <f>'MSW22'!E112</f>
        <v/>
      </c>
      <c r="F112" s="271"/>
      <c r="H112" s="243" t="str">
        <f>'MSW22'!H112</f>
        <v/>
      </c>
      <c r="I112" s="237">
        <f>'MSW22'!I112</f>
        <v>0</v>
      </c>
      <c r="J112" s="245" t="str">
        <f>'MSW22'!J112</f>
        <v>REP OUT</v>
      </c>
      <c r="K112" s="65" t="str">
        <f>'MSW22'!K112</f>
        <v>1-3 MIN</v>
      </c>
      <c r="L112" s="84" t="str">
        <f>'MSW22'!L112</f>
        <v/>
      </c>
      <c r="M112" s="271"/>
    </row>
    <row r="113">
      <c r="A113" s="272" t="str">
        <f>'MSW22'!A113</f>
        <v>FINAL MAX</v>
      </c>
      <c r="B113" s="273" t="str">
        <f>'MSW22'!B113</f>
        <v/>
      </c>
      <c r="C113" s="11"/>
      <c r="D113" s="11"/>
      <c r="E113" s="11"/>
      <c r="F113" s="46"/>
      <c r="H113" s="272" t="str">
        <f>'MSW22'!H113</f>
        <v>FINAL MAX</v>
      </c>
      <c r="I113" s="273" t="str">
        <f>'MSW22'!I113</f>
        <v/>
      </c>
      <c r="J113" s="11"/>
      <c r="K113" s="11"/>
      <c r="L113" s="11"/>
      <c r="M113" s="46"/>
    </row>
    <row r="114">
      <c r="A114" t="str">
        <f>'MSW22'!A114</f>
        <v/>
      </c>
      <c r="G114" t="str">
        <f>'MSW22'!G114</f>
        <v/>
      </c>
    </row>
    <row r="116">
      <c r="A116" s="687" t="str">
        <f>'MSW22'!A116</f>
        <v>2. DUMBBELL REAR DELT FLY </v>
      </c>
      <c r="B116" s="53"/>
      <c r="C116" s="53"/>
      <c r="D116" s="53"/>
      <c r="E116" s="53"/>
      <c r="F116" s="54"/>
    </row>
    <row r="117">
      <c r="A117" s="226" t="str">
        <f>'MSW22'!A117</f>
        <v>SHLDR PRESS MAX</v>
      </c>
      <c r="B117" s="691">
        <f>'MSW22'!B117</f>
        <v>10</v>
      </c>
      <c r="C117" s="13"/>
      <c r="D117" s="13"/>
      <c r="E117" s="13"/>
      <c r="F117" s="57"/>
    </row>
    <row r="118">
      <c r="A118" s="96" t="str">
        <f>'MSW22'!A118</f>
        <v>SET</v>
      </c>
      <c r="B118" s="97" t="str">
        <f>'MSW22'!B118</f>
        <v>WEIGHT</v>
      </c>
      <c r="C118" s="97" t="str">
        <f>'MSW22'!C118</f>
        <v>REPS</v>
      </c>
      <c r="D118" s="97" t="str">
        <f>'MSW22'!D118</f>
        <v>REST</v>
      </c>
      <c r="E118" s="341" t="str">
        <f>'MSW22'!E118</f>
        <v>PREVIOUS</v>
      </c>
      <c r="F118" s="235" t="str">
        <f>'MSW22'!F118</f>
        <v>REP LOG</v>
      </c>
    </row>
    <row r="119">
      <c r="A119" s="556">
        <f>'MSW22'!A119</f>
        <v>1</v>
      </c>
      <c r="B119" s="237">
        <f>'MSW22'!B119</f>
        <v>2.5</v>
      </c>
      <c r="C119" s="65" t="str">
        <f>'MSW22'!C119</f>
        <v>5 - 15</v>
      </c>
      <c r="D119" s="693" t="str">
        <f>'MSW22'!D119</f>
        <v>1-3 MIN</v>
      </c>
      <c r="E119" s="84" t="str">
        <f>'MSW22'!E119</f>
        <v/>
      </c>
      <c r="F119" s="85"/>
    </row>
    <row r="120">
      <c r="A120" s="556">
        <f>'MSW22'!A120</f>
        <v>2</v>
      </c>
      <c r="B120" s="237">
        <f>'MSW22'!B120</f>
        <v>0</v>
      </c>
      <c r="C120" s="65" t="str">
        <f>'MSW22'!C120</f>
        <v>5 -15</v>
      </c>
      <c r="D120" s="693" t="str">
        <f>'MSW22'!D120</f>
        <v>1-3 MIN</v>
      </c>
      <c r="E120" s="84" t="str">
        <f>'MSW22'!E120</f>
        <v/>
      </c>
      <c r="F120" s="85"/>
    </row>
    <row r="121">
      <c r="A121" s="561">
        <f>'MSW22'!A121</f>
        <v>3</v>
      </c>
      <c r="B121" s="371">
        <f>'MSW22'!B121</f>
        <v>0</v>
      </c>
      <c r="C121" s="71" t="str">
        <f>'MSW22'!C121</f>
        <v>5 -15</v>
      </c>
      <c r="D121" s="794" t="str">
        <f>'MSW22'!D121</f>
        <v>1-3 MIN</v>
      </c>
      <c r="E121" s="89" t="str">
        <f>'MSW22'!E121</f>
        <v/>
      </c>
      <c r="F121" s="85"/>
    </row>
    <row r="122">
      <c r="A122" s="640" t="str">
        <f>'MSW22'!A122</f>
        <v/>
      </c>
    </row>
    <row r="124">
      <c r="A124" s="513" t="str">
        <f>'MSW22'!A124</f>
        <v>3. DUMBBELL SIDE LATERAL RAISE</v>
      </c>
      <c r="B124" s="53"/>
      <c r="C124" s="53"/>
      <c r="D124" s="53"/>
      <c r="E124" s="53"/>
      <c r="F124" s="54"/>
    </row>
    <row r="125">
      <c r="A125" s="226" t="str">
        <f>'MSW22'!A125</f>
        <v>SHLDR PRESS MAX</v>
      </c>
      <c r="B125" s="90">
        <f>'MSW22'!B125</f>
        <v>10</v>
      </c>
      <c r="C125" s="13"/>
      <c r="D125" s="13"/>
      <c r="E125" s="13"/>
      <c r="F125" s="57"/>
    </row>
    <row r="126">
      <c r="A126" s="376" t="str">
        <f>'MSW22'!A126</f>
        <v>SET</v>
      </c>
      <c r="B126" s="79" t="str">
        <f>'MSW22'!B126</f>
        <v>WEIGHT</v>
      </c>
      <c r="C126" s="79" t="str">
        <f>'MSW22'!C126</f>
        <v>REPS</v>
      </c>
      <c r="D126" s="79" t="str">
        <f>'MSW22'!D126</f>
        <v>REST</v>
      </c>
      <c r="E126" s="98" t="str">
        <f>'MSW22'!E126</f>
        <v>PREVIOUS</v>
      </c>
      <c r="F126" s="377" t="str">
        <f>'MSW22'!F126</f>
        <v>REP LOG</v>
      </c>
    </row>
    <row r="127">
      <c r="A127" s="81">
        <f>'MSW22'!A127</f>
        <v>1</v>
      </c>
      <c r="B127" s="82">
        <f>'MSW22'!B127</f>
        <v>0</v>
      </c>
      <c r="C127" s="63" t="str">
        <f>'MSW22'!C127</f>
        <v>10 - 15</v>
      </c>
      <c r="D127" s="83" t="str">
        <f>'MSW22'!D127</f>
        <v>1 MIN</v>
      </c>
      <c r="E127" s="84" t="str">
        <f>'MSW22'!E127</f>
        <v/>
      </c>
      <c r="F127" s="796"/>
    </row>
    <row r="128">
      <c r="A128" s="81">
        <f>'MSW22'!A128</f>
        <v>2</v>
      </c>
      <c r="B128" s="82">
        <f>'MSW22'!B128</f>
        <v>2.5</v>
      </c>
      <c r="C128" s="63" t="str">
        <f>'MSW22'!C128</f>
        <v>10 - 15</v>
      </c>
      <c r="D128" s="83" t="str">
        <f>'MSW22'!D128</f>
        <v>1 MIN</v>
      </c>
      <c r="E128" s="84" t="str">
        <f>'MSW22'!E128</f>
        <v/>
      </c>
      <c r="F128" s="330"/>
    </row>
    <row r="129">
      <c r="A129" s="86">
        <f>'MSW22'!A129</f>
        <v>3</v>
      </c>
      <c r="B129" s="87">
        <f>'MSW22'!B129</f>
        <v>0</v>
      </c>
      <c r="C129" s="69" t="str">
        <f>'MSW22'!C129</f>
        <v>10 - 15</v>
      </c>
      <c r="D129" s="88" t="str">
        <f>'MSW22'!D129</f>
        <v>1 MIN</v>
      </c>
      <c r="E129" s="89" t="str">
        <f>'MSW22'!E129</f>
        <v/>
      </c>
      <c r="F129" s="85" t="str">
        <f>'MSW22'!F129</f>
        <v/>
      </c>
    </row>
    <row r="130">
      <c r="A130" s="640" t="str">
        <f>'MSW22'!A130</f>
        <v/>
      </c>
    </row>
    <row r="132">
      <c r="A132" s="361" t="str">
        <f>'MSW22'!A132</f>
        <v>2.  TRICEP OVERHEAD ROPE EXTENSION</v>
      </c>
      <c r="B132" s="53"/>
      <c r="C132" s="53"/>
      <c r="D132" s="53"/>
      <c r="E132" s="53"/>
      <c r="F132" s="54"/>
    </row>
    <row r="133">
      <c r="A133" s="226" t="str">
        <f>'MSW22'!A133</f>
        <v>CURRENT MAX</v>
      </c>
      <c r="B133" s="76">
        <f>'MSW22'!B133</f>
        <v>5</v>
      </c>
      <c r="C133" s="13"/>
      <c r="D133" s="13"/>
      <c r="E133" s="13"/>
      <c r="F133" s="57"/>
    </row>
    <row r="134">
      <c r="A134" s="77" t="str">
        <f>'MSW22'!A134</f>
        <v>SET</v>
      </c>
      <c r="B134" s="78" t="str">
        <f>'MSW22'!B134</f>
        <v>WEIGHT</v>
      </c>
      <c r="C134" s="78" t="str">
        <f>'MSW22'!C134</f>
        <v>REPS</v>
      </c>
      <c r="D134" s="78" t="str">
        <f>'MSW22'!D134</f>
        <v>REST</v>
      </c>
      <c r="E134" s="80" t="str">
        <f>'MSW22'!E134</f>
        <v>PREVIOUS</v>
      </c>
      <c r="F134" s="235" t="str">
        <f>'MSW22'!F134</f>
        <v>REP LOG</v>
      </c>
    </row>
    <row r="135">
      <c r="A135" s="81">
        <f>'MSW22'!A135</f>
        <v>1</v>
      </c>
      <c r="B135" s="82">
        <f>'MSW22'!B135</f>
        <v>5</v>
      </c>
      <c r="C135" s="65" t="str">
        <f>'MSW22'!C135</f>
        <v>10 - 15</v>
      </c>
      <c r="D135" s="83" t="str">
        <f>'MSW22'!D135</f>
        <v>1MIN</v>
      </c>
      <c r="E135" s="84" t="str">
        <f>'MSW22'!E135</f>
        <v/>
      </c>
      <c r="F135" s="85" t="str">
        <f>'MSW22'!F135</f>
        <v/>
      </c>
    </row>
    <row r="136">
      <c r="A136" s="81">
        <f>'MSW22'!A136</f>
        <v>2</v>
      </c>
      <c r="B136" s="82">
        <f>'MSW22'!B136</f>
        <v>5</v>
      </c>
      <c r="C136" s="65" t="str">
        <f>'MSW22'!C136</f>
        <v>10 - 15</v>
      </c>
      <c r="D136" s="83" t="str">
        <f>'MSW22'!D136</f>
        <v>1MIN</v>
      </c>
      <c r="E136" s="84" t="str">
        <f>'MSW22'!E136</f>
        <v/>
      </c>
      <c r="F136" s="85" t="str">
        <f>'MSW22'!F136</f>
        <v/>
      </c>
    </row>
    <row r="137">
      <c r="A137" s="86">
        <f>'MSW22'!A137</f>
        <v>3</v>
      </c>
      <c r="B137" s="87">
        <f>'MSW22'!B137</f>
        <v>5</v>
      </c>
      <c r="C137" s="71" t="str">
        <f>'MSW22'!C137</f>
        <v>10 - 15</v>
      </c>
      <c r="D137" s="88" t="str">
        <f>'MSW22'!D137</f>
        <v>1MIN</v>
      </c>
      <c r="E137" s="89" t="str">
        <f>'MSW22'!E137</f>
        <v/>
      </c>
      <c r="F137" s="85" t="str">
        <f>'MSW22'!F137</f>
        <v/>
      </c>
    </row>
    <row r="138">
      <c r="A138" s="598" t="str">
        <f>'MSW22'!A138</f>
        <v/>
      </c>
    </row>
    <row r="140">
      <c r="A140" s="113" t="str">
        <f>'MSW22'!A140</f>
        <v>5. ALTERNATING BICEP CURLS </v>
      </c>
      <c r="B140" s="53"/>
      <c r="C140" s="53"/>
      <c r="D140" s="53"/>
      <c r="E140" s="53"/>
      <c r="F140" s="54"/>
    </row>
    <row r="141">
      <c r="A141" s="226" t="str">
        <f>'MSW22'!A141</f>
        <v>CURRENT MAX</v>
      </c>
      <c r="B141" s="839">
        <f>'MSW22'!B141</f>
        <v>25</v>
      </c>
      <c r="F141" s="28"/>
    </row>
    <row r="142">
      <c r="A142" s="77" t="str">
        <f>'MSW22'!A142</f>
        <v>SET</v>
      </c>
      <c r="B142" s="78" t="str">
        <f>'MSW22'!B142</f>
        <v>WEIGHT</v>
      </c>
      <c r="C142" s="78" t="str">
        <f>'MSW22'!C142</f>
        <v>REPS</v>
      </c>
      <c r="D142" s="78" t="str">
        <f>'MSW22'!D142</f>
        <v>REST</v>
      </c>
      <c r="E142" s="80" t="str">
        <f>'MSW22'!E142</f>
        <v>PREVIOUS</v>
      </c>
      <c r="F142" s="235" t="str">
        <f>'MSW22'!F142</f>
        <v>REP LOG</v>
      </c>
    </row>
    <row r="143">
      <c r="A143" s="81">
        <f>'MSW22'!A143</f>
        <v>1</v>
      </c>
      <c r="B143" s="82">
        <f>'MSW22'!B143</f>
        <v>30</v>
      </c>
      <c r="C143" s="65" t="str">
        <f>'MSW22'!C143</f>
        <v>10 - 15</v>
      </c>
      <c r="D143" s="83" t="str">
        <f>'MSW22'!D143</f>
        <v>1MIN</v>
      </c>
      <c r="E143" s="84" t="str">
        <f>'MSW22'!E143</f>
        <v/>
      </c>
      <c r="F143" s="85" t="str">
        <f>'MSW22'!F143</f>
        <v/>
      </c>
    </row>
    <row r="144">
      <c r="A144" s="81">
        <f>'MSW22'!A144</f>
        <v>2</v>
      </c>
      <c r="B144" s="82">
        <f>'MSW22'!B144</f>
        <v>25</v>
      </c>
      <c r="C144" s="65" t="str">
        <f>'MSW22'!C144</f>
        <v>10 - 15</v>
      </c>
      <c r="D144" s="83" t="str">
        <f>'MSW22'!D144</f>
        <v>1MIN</v>
      </c>
      <c r="E144" s="84" t="str">
        <f>'MSW22'!E144</f>
        <v/>
      </c>
      <c r="F144" s="85" t="str">
        <f>'MSW22'!F144</f>
        <v/>
      </c>
    </row>
    <row r="145">
      <c r="A145" s="629">
        <f>'MSW22'!A145</f>
        <v>3</v>
      </c>
      <c r="B145" s="630">
        <f>'MSW22'!B145</f>
        <v>20</v>
      </c>
      <c r="C145" s="631" t="str">
        <f>'MSW22'!C145</f>
        <v>10 - 15</v>
      </c>
      <c r="D145" s="328" t="str">
        <f>'MSW22'!D145</f>
        <v>1MIN</v>
      </c>
      <c r="E145" s="84" t="str">
        <f>'MSW22'!E145</f>
        <v/>
      </c>
      <c r="F145" s="330" t="str">
        <f>'MSW22'!F145</f>
        <v/>
      </c>
    </row>
    <row r="146">
      <c r="A146" s="633" t="str">
        <f>'MSW22'!A146</f>
        <v/>
      </c>
      <c r="B146" s="25"/>
      <c r="C146" s="25"/>
      <c r="D146" s="25"/>
      <c r="E146" s="25"/>
      <c r="F146" s="25"/>
    </row>
    <row r="148">
      <c r="A148" s="310" t="str">
        <f>'MSW22'!A148</f>
        <v>CLICK TO COMPLETE WORKOUT</v>
      </c>
      <c r="B148" s="36"/>
      <c r="C148" s="36"/>
      <c r="D148" s="36"/>
      <c r="E148" s="36"/>
      <c r="F148" s="37"/>
    </row>
    <row r="149">
      <c r="A149" s="598" t="str">
        <f>'MSW22'!A149</f>
        <v/>
      </c>
    </row>
    <row r="150">
      <c r="A150" s="639" t="str">
        <f>'MSW22'!A150</f>
        <v>WORKOUT COMPLETE!</v>
      </c>
      <c r="B150" s="36"/>
      <c r="C150" s="36"/>
      <c r="D150" s="36"/>
      <c r="E150" s="36"/>
      <c r="F150" s="37"/>
    </row>
    <row r="151">
      <c r="A151" s="883" t="str">
        <f>'MSW22'!A151</f>
        <v/>
      </c>
    </row>
    <row r="152">
      <c r="A152" s="884" t="str">
        <f>'MSW22'!A152</f>
        <v>WANT TO LEARN MORE?</v>
      </c>
      <c r="B152" s="16"/>
      <c r="C152" s="16"/>
      <c r="D152" s="16"/>
      <c r="E152" s="16"/>
      <c r="F152" s="17"/>
    </row>
    <row r="153">
      <c r="A153" s="18"/>
      <c r="B153" s="13"/>
      <c r="C153" s="13"/>
      <c r="D153" s="13"/>
      <c r="E153" s="13"/>
      <c r="F153" s="14"/>
    </row>
    <row r="154">
      <c r="A154" s="885" t="str">
        <f>'MSW22'!A154</f>
        <v/>
      </c>
      <c r="B154" s="886" t="str">
        <f>'MSW22'!B154</f>
        <v/>
      </c>
      <c r="C154" s="644" t="str">
        <f>'MSW22'!C154</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54" s="25"/>
      <c r="E154" s="25"/>
      <c r="F154" s="26"/>
    </row>
    <row r="155">
      <c r="A155" s="887" t="str">
        <f>'MSW22'!A155</f>
        <v/>
      </c>
      <c r="B155" s="888" t="str">
        <f>'MSW22'!B155</f>
        <v/>
      </c>
      <c r="C155" s="529"/>
      <c r="F155" s="28"/>
    </row>
    <row r="156">
      <c r="A156" s="887" t="str">
        <f>'MSW22'!A156</f>
        <v/>
      </c>
      <c r="B156" s="888" t="str">
        <f>'MSW22'!B156</f>
        <v/>
      </c>
      <c r="C156" s="529"/>
      <c r="F156" s="28"/>
    </row>
    <row r="157">
      <c r="A157" s="887" t="str">
        <f>'MSW22'!A157</f>
        <v/>
      </c>
      <c r="B157" s="888" t="str">
        <f>'MSW22'!B157</f>
        <v/>
      </c>
      <c r="C157" s="529"/>
      <c r="F157" s="28"/>
    </row>
    <row r="158">
      <c r="A158" s="887" t="str">
        <f>'MSW22'!A158</f>
        <v/>
      </c>
      <c r="B158" s="888" t="str">
        <f>'MSW22'!B158</f>
        <v/>
      </c>
      <c r="C158" s="529"/>
      <c r="F158" s="28"/>
    </row>
    <row r="159">
      <c r="A159" s="887" t="str">
        <f>'MSW22'!A159</f>
        <v/>
      </c>
      <c r="B159" s="888" t="str">
        <f>'MSW22'!B159</f>
        <v/>
      </c>
      <c r="C159" s="529"/>
      <c r="F159" s="28"/>
    </row>
    <row r="160">
      <c r="A160" s="889" t="str">
        <f>'MSW22'!A160</f>
        <v/>
      </c>
      <c r="B160" s="888" t="str">
        <f>'MSW22'!B160</f>
        <v/>
      </c>
      <c r="C160" s="529"/>
      <c r="F160" s="28"/>
    </row>
    <row r="161">
      <c r="A161" s="887" t="str">
        <f>'MSW22'!A161</f>
        <v/>
      </c>
      <c r="B161" s="888" t="str">
        <f>'MSW22'!B161</f>
        <v/>
      </c>
      <c r="C161" s="529"/>
      <c r="F161" s="28"/>
    </row>
    <row r="162">
      <c r="A162" s="887" t="str">
        <f>'MSW22'!A162</f>
        <v/>
      </c>
      <c r="B162" s="888" t="str">
        <f>'MSW22'!B162</f>
        <v/>
      </c>
      <c r="C162" s="529"/>
      <c r="F162" s="28"/>
    </row>
    <row r="163">
      <c r="A163" s="890" t="str">
        <f>'MSW22'!A163</f>
        <v/>
      </c>
      <c r="B163" s="888" t="str">
        <f>'MSW22'!B163</f>
        <v/>
      </c>
      <c r="C163" s="529"/>
      <c r="F163" s="28"/>
    </row>
    <row r="164">
      <c r="A164" s="887" t="str">
        <f>'MSW22'!A164</f>
        <v/>
      </c>
      <c r="B164" s="888" t="str">
        <f>'MSW22'!B164</f>
        <v/>
      </c>
      <c r="C164" s="529"/>
      <c r="F164" s="28"/>
    </row>
    <row r="165">
      <c r="A165" s="887" t="str">
        <f>'MSW22'!A165</f>
        <v/>
      </c>
      <c r="B165" s="888" t="str">
        <f>'MSW22'!B165</f>
        <v/>
      </c>
      <c r="C165" s="529"/>
      <c r="F165" s="28"/>
    </row>
    <row r="166">
      <c r="A166" s="887" t="str">
        <f>'MSW22'!A166</f>
        <v/>
      </c>
      <c r="B166" s="888" t="str">
        <f>'MSW22'!B166</f>
        <v/>
      </c>
      <c r="C166" s="529"/>
      <c r="F166" s="28"/>
    </row>
    <row r="167">
      <c r="A167" s="887" t="str">
        <f>'MSW22'!A167</f>
        <v/>
      </c>
      <c r="B167" s="888" t="str">
        <f>'MSW22'!B167</f>
        <v/>
      </c>
      <c r="C167" s="529"/>
      <c r="F167" s="28"/>
    </row>
    <row r="168">
      <c r="A168" s="891" t="str">
        <f>'MSW22'!A168</f>
        <v/>
      </c>
      <c r="B168" s="892" t="str">
        <f>'MSW22'!B168</f>
        <v/>
      </c>
      <c r="C168" s="336"/>
      <c r="D168" s="11"/>
      <c r="E168" s="11"/>
      <c r="F168" s="46"/>
    </row>
    <row r="169">
      <c r="A169" t="str">
        <f>'MSW22'!A169</f>
        <v/>
      </c>
    </row>
  </sheetData>
  <mergeCells count="89">
    <mergeCell ref="A78:F78"/>
    <mergeCell ref="B79:F79"/>
    <mergeCell ref="A84:F85"/>
    <mergeCell ref="A86:F86"/>
    <mergeCell ref="B87:F87"/>
    <mergeCell ref="A92:F93"/>
    <mergeCell ref="A94:F94"/>
    <mergeCell ref="B113:F113"/>
    <mergeCell ref="A114:F115"/>
    <mergeCell ref="A95:F95"/>
    <mergeCell ref="A96:F96"/>
    <mergeCell ref="G99:G113"/>
    <mergeCell ref="A100:F100"/>
    <mergeCell ref="B101:F101"/>
    <mergeCell ref="A107:F107"/>
    <mergeCell ref="A110:F110"/>
    <mergeCell ref="A124:F124"/>
    <mergeCell ref="B125:F125"/>
    <mergeCell ref="G86:G88"/>
    <mergeCell ref="G89:G90"/>
    <mergeCell ref="A97:F98"/>
    <mergeCell ref="A99:F99"/>
    <mergeCell ref="A116:F116"/>
    <mergeCell ref="B117:F117"/>
    <mergeCell ref="A122:F123"/>
    <mergeCell ref="A148:F148"/>
    <mergeCell ref="A149:F149"/>
    <mergeCell ref="A130:F131"/>
    <mergeCell ref="A132:F132"/>
    <mergeCell ref="B133:F133"/>
    <mergeCell ref="A138:F139"/>
    <mergeCell ref="A140:F140"/>
    <mergeCell ref="B141:F141"/>
    <mergeCell ref="A146:F147"/>
    <mergeCell ref="A1:M8"/>
    <mergeCell ref="A9:F9"/>
    <mergeCell ref="G9:G11"/>
    <mergeCell ref="H9:M9"/>
    <mergeCell ref="A10:F11"/>
    <mergeCell ref="H10:M10"/>
    <mergeCell ref="A14:F14"/>
    <mergeCell ref="A12:F12"/>
    <mergeCell ref="A13:F13"/>
    <mergeCell ref="A15:F15"/>
    <mergeCell ref="G15:G21"/>
    <mergeCell ref="A16:F16"/>
    <mergeCell ref="B17:F17"/>
    <mergeCell ref="G22:G24"/>
    <mergeCell ref="A22:F26"/>
    <mergeCell ref="A27:F27"/>
    <mergeCell ref="B28:F28"/>
    <mergeCell ref="A34:F34"/>
    <mergeCell ref="A37:F37"/>
    <mergeCell ref="B40:F40"/>
    <mergeCell ref="A41:F41"/>
    <mergeCell ref="A42:F42"/>
    <mergeCell ref="B43:F43"/>
    <mergeCell ref="A48:F49"/>
    <mergeCell ref="A50:F50"/>
    <mergeCell ref="B51:F51"/>
    <mergeCell ref="A56:F56"/>
    <mergeCell ref="A57:F57"/>
    <mergeCell ref="G92:M98"/>
    <mergeCell ref="H99:M99"/>
    <mergeCell ref="H100:M100"/>
    <mergeCell ref="I101:M101"/>
    <mergeCell ref="H107:M107"/>
    <mergeCell ref="H110:M110"/>
    <mergeCell ref="I113:M113"/>
    <mergeCell ref="G114:M169"/>
    <mergeCell ref="G12:M14"/>
    <mergeCell ref="H15:M15"/>
    <mergeCell ref="H16:M16"/>
    <mergeCell ref="I17:M17"/>
    <mergeCell ref="G25:M85"/>
    <mergeCell ref="H86:M86"/>
    <mergeCell ref="I87:M87"/>
    <mergeCell ref="A150:F150"/>
    <mergeCell ref="A151:F151"/>
    <mergeCell ref="A152:F153"/>
    <mergeCell ref="C154:F168"/>
    <mergeCell ref="A169:F169"/>
    <mergeCell ref="A58:F59"/>
    <mergeCell ref="A60:F60"/>
    <mergeCell ref="A61:F61"/>
    <mergeCell ref="A62:F62"/>
    <mergeCell ref="B63:F63"/>
    <mergeCell ref="B75:F75"/>
    <mergeCell ref="A76:F77"/>
  </mergeCells>
  <dataValidations>
    <dataValidation type="decimal" allowBlank="1" showDropDown="1" showInputMessage="1" showErrorMessage="1" prompt="Enter a number between 0 and 30" sqref="F18:F21 M18:M24 F29:F33 F35:F36 F38:F39 F44:F47 F52:F55 F64:F74 F80:F83 F88:F91 M88:M91 F102:F106 M102:M106 F108:F109 M108:M109 F111:F112 M111:M112 F118:F121 F126:F129 F134:F137 F142:F145">
      <formula1>0.0</formula1>
      <formula2>30.0</formula2>
    </dataValidation>
    <dataValidation type="decimal" operator="greaterThan" allowBlank="1" showDropDown="1" showErrorMessage="1" sqref="M11">
      <formula1>0.0</formula1>
    </dataValidation>
  </dataValidations>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292</v>
      </c>
      <c r="B9" s="20"/>
      <c r="C9" s="20"/>
      <c r="D9" s="20"/>
      <c r="E9" s="20"/>
      <c r="F9" s="21"/>
      <c r="G9" s="103"/>
      <c r="H9" s="24" t="s">
        <v>35</v>
      </c>
      <c r="I9" s="25"/>
      <c r="J9" s="25"/>
      <c r="K9" s="25"/>
      <c r="L9" s="25"/>
      <c r="M9" s="26"/>
    </row>
    <row r="10">
      <c r="A10" s="15" t="str">
        <f>HYPERLINK("https://goo.gl/forms/3ibooB993Hi7SS2d2","PRESS TO RECORD BODY WEIGHT")</f>
        <v>PRESS TO RECORD BODY WEIGHT</v>
      </c>
      <c r="B10" s="16"/>
      <c r="C10" s="16"/>
      <c r="D10" s="16"/>
      <c r="E10" s="16"/>
      <c r="F10" s="17"/>
      <c r="G10" s="103"/>
      <c r="H10" s="147" t="s">
        <v>293</v>
      </c>
      <c r="M10" s="28"/>
    </row>
    <row r="11">
      <c r="A11" s="18"/>
      <c r="B11" s="13"/>
      <c r="C11" s="13"/>
      <c r="D11" s="13"/>
      <c r="E11" s="13"/>
      <c r="F11" s="14"/>
      <c r="G11" s="103"/>
      <c r="H11" s="29" t="s">
        <v>294</v>
      </c>
      <c r="I11" s="30"/>
      <c r="J11" s="30"/>
      <c r="K11" s="30"/>
      <c r="L11" s="30"/>
      <c r="M11" s="31"/>
    </row>
    <row r="12">
      <c r="A12" s="19" t="s">
        <v>69</v>
      </c>
      <c r="B12" s="20"/>
      <c r="C12" s="20"/>
      <c r="D12" s="20"/>
      <c r="E12" s="20"/>
      <c r="F12" s="21"/>
      <c r="G12" s="103"/>
      <c r="H12" s="219"/>
      <c r="I12" s="220"/>
      <c r="J12" s="221"/>
      <c r="K12" s="219"/>
      <c r="L12" s="222"/>
      <c r="M12" s="103"/>
    </row>
    <row r="13">
      <c r="A13" s="22" t="s">
        <v>177</v>
      </c>
      <c r="B13" s="20"/>
      <c r="C13" s="20"/>
      <c r="D13" s="20"/>
      <c r="E13" s="20"/>
      <c r="F13" s="21"/>
      <c r="G13" s="103"/>
      <c r="H13" s="103"/>
      <c r="I13" s="103"/>
      <c r="J13" s="103"/>
      <c r="K13" s="103"/>
      <c r="L13" s="222"/>
      <c r="M13" s="103"/>
    </row>
    <row r="14">
      <c r="A14" s="219"/>
      <c r="B14" s="219"/>
      <c r="C14" s="219"/>
      <c r="D14" s="219"/>
      <c r="E14" s="223"/>
      <c r="F14" s="103"/>
      <c r="G14" s="103"/>
      <c r="H14" s="219"/>
      <c r="I14" s="219"/>
      <c r="J14" s="219"/>
      <c r="K14" s="103"/>
      <c r="L14" s="222"/>
      <c r="M14" s="103"/>
    </row>
    <row r="15">
      <c r="A15" s="209"/>
      <c r="G15" s="277"/>
      <c r="H15" s="850"/>
    </row>
    <row r="16">
      <c r="A16" s="50" t="s">
        <v>79</v>
      </c>
      <c r="B16" s="36"/>
      <c r="C16" s="36"/>
      <c r="D16" s="36"/>
      <c r="E16" s="36"/>
      <c r="F16" s="37"/>
      <c r="G16" s="141"/>
      <c r="H16" s="50" t="s">
        <v>118</v>
      </c>
      <c r="I16" s="36"/>
      <c r="J16" s="36"/>
      <c r="K16" s="36"/>
      <c r="L16" s="36"/>
      <c r="M16" s="37"/>
    </row>
    <row r="17">
      <c r="A17" s="657"/>
    </row>
    <row r="19">
      <c r="A19" s="1344" t="s">
        <v>48</v>
      </c>
      <c r="B19" s="36"/>
      <c r="C19" s="36"/>
      <c r="D19" s="36"/>
      <c r="E19" s="36"/>
      <c r="F19" s="37"/>
      <c r="G19" s="141"/>
      <c r="H19" s="51" t="s">
        <v>48</v>
      </c>
      <c r="I19" s="36"/>
      <c r="J19" s="36"/>
      <c r="K19" s="36"/>
      <c r="L19" s="36"/>
      <c r="M19" s="37"/>
    </row>
    <row r="20">
      <c r="A20" s="52" t="str">
        <f>HYPERLINK("https://youtu.be/ujVN-A0Z-ic","1. DUMBBELL INCLINE PRESS")</f>
        <v>1. DUMBBELL INCLINE PRESS</v>
      </c>
      <c r="B20" s="53"/>
      <c r="C20" s="53"/>
      <c r="D20" s="53"/>
      <c r="E20" s="53"/>
      <c r="F20" s="54"/>
      <c r="H20" s="52" t="str">
        <f>HYPERLINK("https://youtu.be/75e_H9Vq_Lw","1. MACHINE PRESS")</f>
        <v>1. MACHINE PRESS</v>
      </c>
      <c r="I20" s="53"/>
      <c r="J20" s="53"/>
      <c r="K20" s="53"/>
      <c r="L20" s="53"/>
      <c r="M20" s="54"/>
    </row>
    <row r="21">
      <c r="A21" s="228" t="s">
        <v>119</v>
      </c>
      <c r="B21" s="229" t="str">
        <f>'WEEK 22'!I17</f>
        <v/>
      </c>
      <c r="C21" s="16"/>
      <c r="D21" s="16"/>
      <c r="E21" s="16"/>
      <c r="F21" s="230"/>
      <c r="H21" s="228" t="s">
        <v>119</v>
      </c>
      <c r="I21" s="229" t="str">
        <f>IF('WEEK 21'!I34="",'WEEK 21'!I21,'WEEK 21'!I34)</f>
        <v/>
      </c>
      <c r="J21" s="16"/>
      <c r="K21" s="16"/>
      <c r="L21" s="16"/>
      <c r="M21" s="230"/>
    </row>
    <row r="22">
      <c r="A22" s="96" t="s">
        <v>50</v>
      </c>
      <c r="B22" s="97" t="s">
        <v>51</v>
      </c>
      <c r="C22" s="97" t="s">
        <v>52</v>
      </c>
      <c r="D22" s="97" t="s">
        <v>53</v>
      </c>
      <c r="E22" s="98" t="s">
        <v>54</v>
      </c>
      <c r="F22" s="235" t="s">
        <v>55</v>
      </c>
      <c r="H22" s="96" t="s">
        <v>50</v>
      </c>
      <c r="I22" s="97" t="s">
        <v>51</v>
      </c>
      <c r="J22" s="97" t="s">
        <v>52</v>
      </c>
      <c r="K22" s="97" t="s">
        <v>53</v>
      </c>
      <c r="L22" s="98" t="s">
        <v>54</v>
      </c>
      <c r="M22" s="235" t="s">
        <v>55</v>
      </c>
    </row>
    <row r="23">
      <c r="A23" s="244">
        <v>1.0</v>
      </c>
      <c r="B23" s="241">
        <f>mround('WEEK 23'!B21*0.35,5)</f>
        <v>0</v>
      </c>
      <c r="C23" s="63">
        <v>6.0</v>
      </c>
      <c r="D23" s="83" t="s">
        <v>57</v>
      </c>
      <c r="E23" s="84" t="str">
        <f>IF('WEEK 21'!B23='WEEK 23'!B23,'WEEK 21'!F23,"")</f>
        <v/>
      </c>
      <c r="F23" s="85"/>
      <c r="H23" s="244">
        <v>1.0</v>
      </c>
      <c r="I23" s="241">
        <f>mround('WEEK 23'!I21*0.35,5)</f>
        <v>0</v>
      </c>
      <c r="J23" s="63">
        <v>6.0</v>
      </c>
      <c r="K23" s="83" t="s">
        <v>57</v>
      </c>
      <c r="L23" s="84" t="str">
        <f>IF('WEEK 21'!I23='WEEK 23'!I23,'WEEK 21'!M23,"")</f>
        <v/>
      </c>
      <c r="M23" s="85"/>
    </row>
    <row r="24">
      <c r="A24" s="240">
        <v>2.0</v>
      </c>
      <c r="B24" s="241">
        <f>mround('WEEK 23'!B21*0.65,5)</f>
        <v>0</v>
      </c>
      <c r="C24" s="241">
        <v>1.0</v>
      </c>
      <c r="D24" s="83" t="s">
        <v>57</v>
      </c>
      <c r="E24" s="84" t="str">
        <f>IF('WEEK 21'!B24='WEEK 23'!B24,'WEEK 21'!F24,"")</f>
        <v/>
      </c>
      <c r="F24" s="85"/>
      <c r="H24" s="240">
        <v>2.0</v>
      </c>
      <c r="I24" s="241">
        <f>mround('WEEK 23'!I21*0.65,5)</f>
        <v>0</v>
      </c>
      <c r="J24" s="241">
        <v>1.0</v>
      </c>
      <c r="K24" s="83" t="s">
        <v>57</v>
      </c>
      <c r="L24" s="84" t="str">
        <f>IF('WEEK 21'!I24='WEEK 23'!I24,'WEEK 21'!M24,"")</f>
        <v/>
      </c>
      <c r="M24" s="85"/>
    </row>
    <row r="25">
      <c r="A25" s="240">
        <v>3.0</v>
      </c>
      <c r="B25" s="241">
        <f>mround('WEEK 23'!B21*0.85,5)</f>
        <v>0</v>
      </c>
      <c r="C25" s="63">
        <v>1.0</v>
      </c>
      <c r="D25" s="83" t="s">
        <v>57</v>
      </c>
      <c r="E25" s="84" t="str">
        <f>IF('WEEK 21'!B25='WEEK 23'!B25,'WEEK 21'!F25,"")</f>
        <v/>
      </c>
      <c r="F25" s="85"/>
      <c r="H25" s="240">
        <v>3.0</v>
      </c>
      <c r="I25" s="241">
        <f>mround('WEEK 23'!I21*0.85,5)</f>
        <v>0</v>
      </c>
      <c r="J25" s="241">
        <v>1.0</v>
      </c>
      <c r="K25" s="83" t="s">
        <v>57</v>
      </c>
      <c r="L25" s="84" t="str">
        <f>IF('WEEK 21'!I25='WEEK 23'!I25,'WEEK 21'!M25,"")</f>
        <v/>
      </c>
      <c r="M25" s="85"/>
    </row>
    <row r="26">
      <c r="A26" s="240">
        <v>4.0</v>
      </c>
      <c r="B26" s="241">
        <f>mround('WEEK 23'!B21*1,5)</f>
        <v>0</v>
      </c>
      <c r="C26" s="245" t="s">
        <v>65</v>
      </c>
      <c r="D26" s="83" t="s">
        <v>57</v>
      </c>
      <c r="E26" s="84" t="str">
        <f>IF('WEEK 21'!B26='WEEK 23'!B26,'WEEK 21'!F26,"")</f>
        <v/>
      </c>
      <c r="F26" s="85"/>
      <c r="H26" s="240">
        <v>4.0</v>
      </c>
      <c r="I26" s="241">
        <f>mround('WEEK 23'!I21*1,5)</f>
        <v>0</v>
      </c>
      <c r="J26" s="245" t="s">
        <v>65</v>
      </c>
      <c r="K26" s="83" t="s">
        <v>57</v>
      </c>
      <c r="L26" s="84" t="str">
        <f>IF('WEEK 21'!I26='WEEK 23'!I26,'WEEK 21'!M26,"")</f>
        <v/>
      </c>
      <c r="M26" s="85"/>
    </row>
    <row r="27">
      <c r="A27" s="248" t="str">
        <f>IF(OR(ISBLANK('WEEK 23'!F26),ISBLANK('WEEK 23'!F25),ISBLANK('WEEK 23'!F24)),"PROCEED TO DOWNSETS",if('WEEK 23'!F26&gt;=6,"NEW 4 REP MAX ATTEMPT","PROCEED TO DOWN SETS"))</f>
        <v>PROCEED TO DOWNSETS</v>
      </c>
      <c r="F27" s="28"/>
      <c r="G27" s="247" t="s">
        <v>123</v>
      </c>
      <c r="H27" s="248" t="str">
        <f>IF(OR(ISBLANK('WEEK 23'!M26),ISBLANK('WEEK 23'!M25),ISBLANK('WEEK 23'!M24)),"PROCEED TO DOWNSETS",if('WEEK 23'!M26&gt;=6,"NEW 4 REP MAX ATTEMPT","PROCEED TO DOWN SETS"))</f>
        <v>PROCEED TO DOWNSETS</v>
      </c>
      <c r="M27" s="28"/>
    </row>
    <row r="28">
      <c r="A28" s="251" t="str">
        <f>IF(OR(ISBLANK('WEEK 23'!F26),ISBLANK('WEEK 23'!F25),ISBLANK('WEEK 23'!F24)),"",IF('WEEK 23'!F26&gt;=6,5,""))</f>
        <v/>
      </c>
      <c r="B28" s="252" t="str">
        <f>IF(OR(ISBLANK('WEEK 23'!F26),ISBLANK('WEEK 23'!F25),ISBLANK('WEEK 23'!F24)),"",IF('WEEK 23'!F26&gt;=6,'WEEK 23'!B21+5,""))</f>
        <v/>
      </c>
      <c r="C28" s="253" t="str">
        <f>IF(OR(ISBLANK('WEEK 23'!F26),ISBLANK('WEEK 23'!F25),ISBLANK('WEEK 23'!F24)),"",IF('WEEK 23'!F26&gt;=6,"REP OUT",""))</f>
        <v/>
      </c>
      <c r="D28" s="254" t="str">
        <f>IF(OR(ISBLANK('WEEK 23'!F26),ISBLANK('WEEK 23'!F25),ISBLANK('WEEK 23'!F24)),"",IF('WEEK 23'!F26&gt;5,"1 MIN",""))</f>
        <v/>
      </c>
      <c r="E28" s="84" t="str">
        <f>IF('WEEK 21'!B28='WEEK 23'!B28,'WEEK 21'!F28,"")</f>
        <v/>
      </c>
      <c r="F28" s="67"/>
      <c r="H28" s="251" t="str">
        <f>IF(OR(ISBLANK('WEEK 23'!M26),ISBLANK('WEEK 23'!M25),ISBLANK('WEEK 23'!M24)),"",IF('WEEK 23'!M26&gt;=6,5,""))</f>
        <v/>
      </c>
      <c r="I28" s="252" t="str">
        <f>IF(OR(ISBLANK('WEEK 23'!M26),ISBLANK('WEEK 23'!M25),ISBLANK('WEEK 23'!M24)),"",IF('WEEK 23'!M26&gt;=6,'WEEK 23'!I21+5,""))</f>
        <v/>
      </c>
      <c r="J28" s="253" t="str">
        <f>IF(OR(ISBLANK('WEEK 23'!M26),ISBLANK('WEEK 23'!M25),ISBLANK('WEEK 23'!M24)),"",IF('WEEK 23'!M26&gt;=6,"REP OUT",""))</f>
        <v/>
      </c>
      <c r="K28" s="254" t="str">
        <f>IF(OR(ISBLANK('WEEK 23'!M26),ISBLANK('WEEK 23'!M25),ISBLANK('WEEK 23'!M24)),"",IF('WEEK 23'!M26&gt;5,"1 MIN",""))</f>
        <v/>
      </c>
      <c r="L28" s="84" t="str">
        <f>IF('WEEK 21'!I28='WEEK 23'!I28,'WEEK 21'!M28,"")</f>
        <v/>
      </c>
      <c r="M28" s="67"/>
    </row>
    <row r="29">
      <c r="A29" s="260" t="str">
        <f>IF(OR(ISBLANK('WEEK 23'!F26),ISBLANK('WEEK 23'!F25),ISBLANK('WEEK 23'!F24)),"FILL OUT REP LOG FIRST","DOWN SETS")</f>
        <v>FILL OUT REP LOG FIRST</v>
      </c>
      <c r="B29" s="16"/>
      <c r="C29" s="16"/>
      <c r="D29" s="16"/>
      <c r="E29" s="16"/>
      <c r="F29" s="230"/>
      <c r="G29" s="141"/>
      <c r="H29" s="260" t="str">
        <f>IF(OR(ISBLANK('WEEK 23'!M26),ISBLANK('WEEK 23'!M25),ISBLANK('WEEK 23'!M24)),"FILL OUT REP LOG FIRST","DOWN SETS")</f>
        <v>FILL OUT REP LOG FIRST</v>
      </c>
      <c r="I29" s="16"/>
      <c r="J29" s="16"/>
      <c r="K29" s="16"/>
      <c r="L29" s="16"/>
      <c r="M29" s="230"/>
    </row>
    <row r="30">
      <c r="A30" s="545" t="str">
        <f>IF('WEEK 23'!F28&gt;=4,"",IF(OR(ISBLANK('WEEK 23'!F26),ISBLANK('WEEK 23'!F25),ISBLANK('WEEK 23'!F24)),"",IF('WEEK 23'!F26&gt;5,6,5)))</f>
        <v/>
      </c>
      <c r="B30" s="261" t="str">
        <f>IF('WEEK 23'!F28&gt;=4,"",IF(OR(ISBLANK('WEEK 23'!F26),ISBLANK('WEEK 23'!F25),ISBLANK('WEEK 23'!F24)),"",IF('WEEK 23'!F26&lt;6,mround('WEEK 23'!B21*0.8,5),IF('WEEK 23'!F26&lt;10,mround('WEEK 23'!B21*0.93,5),mround('WEEK 23'!B21*0.7,5)))))</f>
        <v/>
      </c>
      <c r="C30" s="262" t="str">
        <f>IF('WEEK 23'!F28&gt;=4,"",IF(OR(ISBLANK('WEEK 23'!F26),ISBLANK('WEEK 23'!F25),ISBLANK('WEEK 23'!F24)),"","REP OUT"))</f>
        <v/>
      </c>
      <c r="D30" s="65" t="str">
        <f>IF('WEEK 23'!F28&gt;=4,"",IF(OR(ISBLANK('WEEK 23'!F26),ISBLANK('WEEK 23'!F25),ISBLANK('WEEK 23'!F24)),"","1 MIN"))</f>
        <v/>
      </c>
      <c r="E30" s="84" t="str">
        <f>IF('WEEK 21'!B30='WEEK 23'!B30,'WEEK 21'!F30,"")</f>
        <v/>
      </c>
      <c r="F30" s="263"/>
      <c r="H30" s="91" t="str">
        <f>IF('WEEK 23'!M28&gt;=4,"",IF(OR(ISBLANK('WEEK 23'!M26),ISBLANK('WEEK 23'!M25),ISBLANK('WEEK 23'!M24)),"",IF('WEEK 23'!M26&gt;5,6,5)))</f>
        <v/>
      </c>
      <c r="I30" s="261" t="str">
        <f>IF('WEEK 23'!M28&gt;=4,"",IF(OR(ISBLANK('WEEK 23'!M26),ISBLANK('WEEK 23'!M25),ISBLANK('WEEK 23'!M24)),"",IF('WEEK 23'!M26&lt;6,mround('WEEK 23'!I21*0.8,5),IF('WEEK 23'!M26&lt;10,mround('WEEK 23'!I21*0.93,5),mround('WEEK 23'!I21*0.7,5)))))</f>
        <v/>
      </c>
      <c r="J30" s="262" t="str">
        <f>IF('WEEK 23'!M28&gt;=4,"",IF(OR(ISBLANK('WEEK 23'!M26),ISBLANK('WEEK 23'!M25),ISBLANK('WEEK 23'!M24)),"","REP OUT"))</f>
        <v/>
      </c>
      <c r="K30" s="65" t="str">
        <f>IF('WEEK 23'!M28&gt;=4,"",IF(OR(ISBLANK('WEEK 23'!M26),ISBLANK('WEEK 23'!M25),ISBLANK('WEEK 23'!M24)),"","1 MIN"))</f>
        <v/>
      </c>
      <c r="L30" s="84" t="str">
        <f>IF('WEEK 21'!I30='WEEK 23'!I30,'WEEK 21'!M30,"")</f>
        <v/>
      </c>
      <c r="M30" s="263"/>
    </row>
    <row r="31">
      <c r="A31" s="546" t="str">
        <f>IF('WEEK 23'!F28&gt;=4,"",IF(OR(ISBLANK('WEEK 23'!F26),ISBLANK('WEEK 23'!F25),ISBLANK('WEEK 23'!F24)),"",IF('WEEK 23'!F26&gt;5,7,6)))</f>
        <v/>
      </c>
      <c r="B31" s="254" t="str">
        <f>IF('WEEK 23'!F28&gt;=4,"",IF(OR(ISBLANK('WEEK 23'!F26),ISBLANK('WEEK 23'!F25),ISBLANK('WEEK 23'!F24)),"",IF('WEEK 23'!F26&lt;6,mround('WEEK 23'!B21*0.65,5),IF('WEEK 23'!F26&lt;10,mround('WEEK 23'!B21*0.7,5),mround('WEEK 23'!B21*0.65,5)))))</f>
        <v/>
      </c>
      <c r="C31" s="253" t="str">
        <f>IF('WEEK 23'!F28&gt;=4,"",IF(OR(ISBLANK('WEEK 23'!F26),ISBLANK('WEEK 23'!F25),ISBLANK('WEEK 23'!F24)),"","REP OUT"))</f>
        <v/>
      </c>
      <c r="D31" s="65" t="str">
        <f>IF('WEEK 23'!F28&gt;=4,"",IF(OR(ISBLANK('WEEK 23'!F26),ISBLANK('WEEK 23'!F25),ISBLANK('WEEK 23'!F24)),"","1 MIN"))</f>
        <v/>
      </c>
      <c r="E31" s="84" t="str">
        <f>IF('WEEK 21'!B31='WEEK 23'!B31,'WEEK 21'!F31,"")</f>
        <v/>
      </c>
      <c r="F31" s="270"/>
      <c r="H31" s="269" t="str">
        <f>IF('WEEK 23'!M28&gt;=4,"",IF(OR(ISBLANK('WEEK 23'!M26),ISBLANK('WEEK 23'!M25),ISBLANK('WEEK 23'!M24)),"",IF('WEEK 23'!M26&gt;5,7,6)))</f>
        <v/>
      </c>
      <c r="I31" s="254" t="str">
        <f>IF('WEEK 23'!M28&gt;=4,"",IF(OR(ISBLANK('WEEK 23'!M26),ISBLANK('WEEK 23'!M25),ISBLANK('WEEK 23'!M24)),"",IF('WEEK 23'!M26&lt;6,mround('WEEK 23'!I21*0.65,5),IF('WEEK 23'!M26&lt;10,mround('WEEK 23'!I21*0.7,5),mround('WEEK 23'!I21*0.65,5)))))</f>
        <v/>
      </c>
      <c r="J31" s="253" t="str">
        <f>IF('WEEK 23'!M28&gt;=4,"",IF(OR(ISBLANK('WEEK 23'!M26),ISBLANK('WEEK 23'!M25),ISBLANK('WEEK 23'!M24)),"","REP OUT"))</f>
        <v/>
      </c>
      <c r="K31" s="65" t="str">
        <f>IF('WEEK 23'!M28&gt;=4,"",IF(OR(ISBLANK('WEEK 23'!M26),ISBLANK('WEEK 23'!M25),ISBLANK('WEEK 23'!M24)),"","1 MIN"))</f>
        <v/>
      </c>
      <c r="L31" s="84" t="str">
        <f>IF('WEEK 21'!I31='WEEK 23'!I31,'WEEK 21'!M31,"")</f>
        <v/>
      </c>
      <c r="M31" s="270"/>
    </row>
    <row r="32">
      <c r="A32" s="546" t="str">
        <f>IF('WEEK 23'!F28&lt;4,"",IF(OR(ISBLANK('WEEK 23'!F26),ISBLANK('WEEK 23'!F25),ISBLANK('WEEK 23'!F24)),"",IF('WEEK 23'!F28&gt;3,6,5)))</f>
        <v/>
      </c>
      <c r="B32" s="254" t="str">
        <f>IF('WEEK 21'!F28&lt;4,"",IF(OR(ISBLANK('WEEK 21'!F26),ISBLANK('WEEK 21'!F25),ISBLANK('WEEK 21'!F24)),"",IF('WEEK 21'!F28&lt;6,mround('WEEK 21'!B34*0.8,5),IF('WEEK 21'!F28&lt;10,mround('WEEK 21'!B34*0.93,5),mround(B34*0.7,5)))))</f>
        <v/>
      </c>
      <c r="C32" s="253" t="str">
        <f>IF('WEEK 23'!F28&lt;4,"",IF(OR(ISBLANK('WEEK 23'!F26),ISBLANK('WEEK 23'!F25),ISBLANK('WEEK 23'!F24)),"","REP OUT"))</f>
        <v/>
      </c>
      <c r="D32" s="65" t="str">
        <f>IF('WEEK 23'!F28&lt;4,"",IF(OR(ISBLANK('WEEK 23'!F26),ISBLANK('WEEK 23'!F25),ISBLANK('WEEK 23'!F24)),"","1 MIN"))</f>
        <v/>
      </c>
      <c r="E32" s="84" t="str">
        <f>IF('WEEK 21'!B32='WEEK 23'!B32,'WEEK 21'!F32,"")</f>
        <v/>
      </c>
      <c r="F32" s="270"/>
      <c r="G32" s="141"/>
      <c r="H32" s="269" t="str">
        <f>IF('WEEK 23'!M28&lt;4,"",IF(OR(ISBLANK('WEEK 23'!M26),ISBLANK('WEEK 23'!M25),ISBLANK('WEEK 23'!M24)),"",IF('WEEK 23'!M28&gt;3,6,5)))</f>
        <v/>
      </c>
      <c r="I32" s="254" t="str">
        <f>IF('WEEK 23'!M28&lt;4,"",IF(OR(ISBLANK('WEEK 23'!M26),ISBLANK('WEEK 23'!M25),ISBLANK('WEEK 23'!M24)),"",IF('WEEK 23'!M28&lt;6,mround('WEEK 23'!I34*0.7,5),IF('WEEK 23'!M28&lt;10,mround('WEEK 23'!I34*0.8,5),mround(I34*0.93,5)))))</f>
        <v/>
      </c>
      <c r="J32" s="253" t="str">
        <f>IF('WEEK 23'!M28&lt;4,"",IF(OR(ISBLANK('WEEK 23'!M26),ISBLANK('WEEK 23'!M25),ISBLANK('WEEK 23'!M24)),"","REP OUT"))</f>
        <v/>
      </c>
      <c r="K32" s="65" t="str">
        <f>IF('WEEK 23'!M28&lt;4,"",IF(OR(ISBLANK('WEEK 23'!M26),ISBLANK('WEEK 23'!M25),ISBLANK('WEEK 23'!M24)),"","1 MIN"))</f>
        <v/>
      </c>
      <c r="L32" s="84" t="str">
        <f>IF('WEEK 21'!I32='WEEK 23'!I32,'WEEK 21'!M32,"")</f>
        <v/>
      </c>
      <c r="M32" s="270"/>
    </row>
    <row r="33">
      <c r="A33" s="546" t="str">
        <f>IF('WEEK 23'!F28&lt;4,"",IF(OR(ISBLANK('WEEK 23'!F26),ISBLANK('WEEK 23'!F25),ISBLANK('WEEK 23'!F24)),"",IF('WEEK 23'!F28&gt;3,7,"")))</f>
        <v/>
      </c>
      <c r="B33" s="254" t="str">
        <f>IF('WEEK 23'!F28&lt;4,"",IF(OR(ISBLANK('WEEK 23'!F26),ISBLANK('WEEK 23'!F25),ISBLANK('WEEK 23'!F24)),"",IF('WEEK 23'!F28&lt;6,mround('WEEK 23'!B34*0.65,5),IF('WEEK 23'!F28&lt;10,mround('WEEK 23'!B34*0.7,5),mround(B34*0.65,5)))))</f>
        <v/>
      </c>
      <c r="C33" s="253" t="str">
        <f>IF('WEEK 23'!F28&lt;4,"",IF(OR(ISBLANK('WEEK 23'!F26),ISBLANK('WEEK 23'!F25),ISBLANK('WEEK 23'!F24)),"","REP OUT"))</f>
        <v/>
      </c>
      <c r="D33" s="65" t="str">
        <f>IF('WEEK 23'!F28&lt;4,"",IF(OR(ISBLANK('WEEK 23'!F26),ISBLANK('WEEK 23'!F25),ISBLANK('WEEK 23'!F24)),"","1 MIN"))</f>
        <v/>
      </c>
      <c r="E33" s="84" t="str">
        <f>IF('WEEK 21'!B33='WEEK 23'!B33,'WEEK 21'!F33,"")</f>
        <v/>
      </c>
      <c r="F33" s="270"/>
      <c r="G33" s="141"/>
      <c r="H33" s="269" t="str">
        <f>IF('WEEK 23'!M28&lt;4,"",IF(OR(ISBLANK('WEEK 23'!M26),ISBLANK('WEEK 23'!M25),ISBLANK('WEEK 23'!M24)),"",IF('WEEK 23'!M28&gt;3,7,"")))</f>
        <v/>
      </c>
      <c r="I33" s="254" t="str">
        <f>IF('WEEK 23'!M28&lt;4,"",IF(OR(ISBLANK('WEEK 23'!M26),ISBLANK('WEEK 23'!M25),ISBLANK('WEEK 23'!M24)),"",IF('WEEK 23'!M28&lt;6,mround('WEEK 23'!I34*0.65,5),IF('WEEK 23'!M28&lt;10,mround('WEEK 23'!I34*0.7,5),mround(I34*0.75,5)))))</f>
        <v/>
      </c>
      <c r="J33" s="253" t="str">
        <f>IF('WEEK 23'!M28&lt;4,"",IF(OR(ISBLANK('WEEK 23'!M26),ISBLANK('WEEK 23'!M25),ISBLANK('WEEK 23'!M24)),"","REP OUT"))</f>
        <v/>
      </c>
      <c r="K33" s="65" t="str">
        <f>IF('WEEK 23'!M28&lt;4,"",IF(OR(ISBLANK('WEEK 23'!M26),ISBLANK('WEEK 23'!M25),ISBLANK('WEEK 23'!M24)),"","1 MIN"))</f>
        <v/>
      </c>
      <c r="L33" s="84" t="str">
        <f>IF('WEEK 21'!I33='WEEK 23'!I33,'WEEK 21'!M33,"")</f>
        <v/>
      </c>
      <c r="M33" s="270"/>
    </row>
    <row r="34">
      <c r="A34" s="280" t="s">
        <v>124</v>
      </c>
      <c r="B34" s="273" t="str">
        <f>IF(OR(ISBLANK('WEEK 23'!F24),ISBLANK('WEEK 23'!F25),ISBLANK('WEEK 23'!F26)),"",IF('WEEK 23'!F28&gt;=4,'WEEK 23'!B28,IF('WEEK 23'!F26&lt;=3,'WEEK 23'!B26-5,'WEEK 23'!B26)))</f>
        <v/>
      </c>
      <c r="C34" s="11"/>
      <c r="D34" s="11"/>
      <c r="E34" s="11"/>
      <c r="F34" s="46"/>
      <c r="G34" s="141"/>
      <c r="H34" s="280" t="s">
        <v>124</v>
      </c>
      <c r="I34" s="273" t="str">
        <f>IF(OR(ISBLANK('WEEK 12'!M24),ISBLANK('WEEK 12'!M25),ISBLANK('WEEK 12'!M26)),"",IF('WEEK 12'!M28&gt;=4,'WEEK 12'!I28,IF('WEEK 12'!M26&lt;=3,'WEEK 12'!I26-5,'WEEK 12'!I26)))</f>
        <v/>
      </c>
      <c r="J34" s="11"/>
      <c r="K34" s="11"/>
      <c r="L34" s="11"/>
      <c r="M34" s="46"/>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row>
    <row r="38">
      <c r="A38" s="226" t="s">
        <v>228</v>
      </c>
      <c r="B38" s="548" t="str">
        <f>if('WEEK 23'!B34="",'WEEK 23'!B21,'WEEK 23'!B34)</f>
        <v/>
      </c>
      <c r="C38" s="13"/>
      <c r="D38" s="13"/>
      <c r="E38" s="13"/>
      <c r="F38" s="57"/>
      <c r="G38" s="247" t="s">
        <v>123</v>
      </c>
      <c r="H38" s="226" t="s">
        <v>228</v>
      </c>
      <c r="I38" s="548" t="str">
        <f>'WEEK 23'!B38</f>
        <v/>
      </c>
      <c r="J38" s="13"/>
      <c r="K38" s="13"/>
      <c r="L38" s="13"/>
      <c r="M38" s="57"/>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15'!B38*0.29,2.5)</f>
        <v>0</v>
      </c>
      <c r="C40" s="241">
        <v>15.0</v>
      </c>
      <c r="D40" s="83" t="s">
        <v>57</v>
      </c>
      <c r="E40" s="84" t="str">
        <f>IF('WEEK 21'!B40='WEEK 23'!B40,'WEEK 21'!F40,"")</f>
        <v/>
      </c>
      <c r="F40" s="85"/>
      <c r="G40" s="659"/>
      <c r="H40" s="240">
        <v>1.0</v>
      </c>
      <c r="I40" s="254">
        <f>mround('WEEK 23'!I38*2*0.75,10)</f>
        <v>0</v>
      </c>
      <c r="J40" s="241">
        <v>15.0</v>
      </c>
      <c r="K40" s="83" t="s">
        <v>57</v>
      </c>
      <c r="L40" s="84" t="str">
        <f>IF('WEEK 21'!I40='WEEK 23'!I40,'WEEK 21'!M40,"")</f>
        <v/>
      </c>
      <c r="M40" s="85"/>
    </row>
    <row r="41">
      <c r="A41" s="661">
        <v>2.0</v>
      </c>
      <c r="B41" s="662">
        <f>mround('WEEK 23'!B38*0.29,2.5)</f>
        <v>0</v>
      </c>
      <c r="C41" s="69">
        <v>15.0</v>
      </c>
      <c r="D41" s="88" t="s">
        <v>57</v>
      </c>
      <c r="E41" s="89" t="str">
        <f>IF('WEEK 21'!B41='WEEK 23'!B41,'WEEK 21'!F41,"")</f>
        <v/>
      </c>
      <c r="F41" s="85"/>
      <c r="H41" s="661">
        <v>2.0</v>
      </c>
      <c r="I41" s="662">
        <f>mround('WEEK 23'!I38*2*0.75,10)</f>
        <v>0</v>
      </c>
      <c r="J41" s="662">
        <v>15.0</v>
      </c>
      <c r="K41" s="88" t="s">
        <v>57</v>
      </c>
      <c r="L41" s="89" t="str">
        <f>IF('WEEK 21'!I41='WEEK 23'!I41,'WEEK 21'!M41,"")</f>
        <v/>
      </c>
      <c r="M41" s="85"/>
    </row>
    <row r="44">
      <c r="A44" s="73" t="str">
        <f>HYPERLINK("https://youtu.be/hMUUvL3FlkE","3. MACHINE HIGH ROW")</f>
        <v>3. MACHINE HIGH ROW</v>
      </c>
      <c r="B44" s="53"/>
      <c r="C44" s="53"/>
      <c r="D44" s="53"/>
      <c r="E44" s="53"/>
      <c r="F44" s="54"/>
    </row>
    <row r="45">
      <c r="A45" s="226" t="s">
        <v>119</v>
      </c>
      <c r="B45" s="227" t="str">
        <f>'WEEK 22'!B43</f>
        <v/>
      </c>
      <c r="C45" s="20"/>
      <c r="D45" s="20"/>
      <c r="E45" s="20"/>
      <c r="F45" s="95"/>
    </row>
    <row r="46">
      <c r="A46" s="231" t="s">
        <v>50</v>
      </c>
      <c r="B46" s="232" t="s">
        <v>51</v>
      </c>
      <c r="C46" s="232" t="s">
        <v>52</v>
      </c>
      <c r="D46" s="232" t="s">
        <v>53</v>
      </c>
      <c r="E46" s="233" t="s">
        <v>54</v>
      </c>
      <c r="F46" s="61" t="s">
        <v>55</v>
      </c>
    </row>
    <row r="47">
      <c r="A47" s="236">
        <v>1.0</v>
      </c>
      <c r="B47" s="237">
        <f>mround('WEEK 23'!B45*0.35,5)</f>
        <v>0</v>
      </c>
      <c r="C47" s="237">
        <v>6.0</v>
      </c>
      <c r="D47" s="238" t="s">
        <v>120</v>
      </c>
      <c r="E47" s="727" t="str">
        <f>IF('WEEK 23'!B47='WEEK 19'!B42,'WEEK 19'!F42,"")</f>
        <v/>
      </c>
      <c r="F47" s="67"/>
    </row>
    <row r="48">
      <c r="A48" s="236">
        <v>2.0</v>
      </c>
      <c r="B48" s="237">
        <f>mround('WEEK 23'!B45*0.65,5)</f>
        <v>0</v>
      </c>
      <c r="C48" s="238">
        <v>3.0</v>
      </c>
      <c r="D48" s="238" t="s">
        <v>121</v>
      </c>
      <c r="E48" s="727" t="str">
        <f>IF('WEEK 23'!B48='WEEK 19'!B43,'WEEK 19'!F43,"")</f>
        <v/>
      </c>
      <c r="F48" s="67"/>
    </row>
    <row r="49">
      <c r="A49" s="242">
        <v>3.0</v>
      </c>
      <c r="B49" s="237">
        <f>mround('WEEK 23'!B45*0.9,5)</f>
        <v>0</v>
      </c>
      <c r="C49" s="63">
        <v>2.0</v>
      </c>
      <c r="D49" s="238" t="s">
        <v>121</v>
      </c>
      <c r="E49" s="727" t="str">
        <f>IF('WEEK 23'!B49='WEEK 19'!B44,'WEEK 19'!F44,"")</f>
        <v/>
      </c>
      <c r="F49" s="67"/>
    </row>
    <row r="50">
      <c r="A50" s="243">
        <v>4.0</v>
      </c>
      <c r="B50" s="237" t="str">
        <f>'WEEK 23'!B45</f>
        <v/>
      </c>
      <c r="C50" s="257">
        <v>3.0</v>
      </c>
      <c r="D50" s="238" t="s">
        <v>122</v>
      </c>
      <c r="E50" s="727" t="str">
        <f>IF('WEEK 23'!B50='WEEK 19'!B45,'WEEK 19'!F45,"")</f>
        <v/>
      </c>
      <c r="F50" s="67"/>
    </row>
    <row r="51">
      <c r="A51" s="246" t="str">
        <f>IF('WEEK 23'!F50&lt;3,"PROCEED TO DOWN SETS","NEW 4 REP MAX ATTEMPT")</f>
        <v>PROCEED TO DOWN SETS</v>
      </c>
      <c r="B51" s="20"/>
      <c r="C51" s="20"/>
      <c r="D51" s="20"/>
      <c r="E51" s="20"/>
      <c r="F51" s="95"/>
    </row>
    <row r="52">
      <c r="A52" s="249" t="str">
        <f>if('WEEK 23'!F50&lt;=2,"",5)</f>
        <v/>
      </c>
      <c r="B52" s="175" t="str">
        <f>IF('WEEK 23'!F50&lt;=2,"",'WEEK 23'!B50+5)</f>
        <v/>
      </c>
      <c r="C52" s="238" t="str">
        <f>if('WEEK 23'!F50&lt;=2,"",4)</f>
        <v/>
      </c>
      <c r="D52" s="238" t="str">
        <f>if('WEEK 23'!F50&lt;=2,"","1-5 MIN")</f>
        <v/>
      </c>
      <c r="E52" s="727" t="str">
        <f>IF('WEEK 23'!B52='WEEK 19'!B47,'WEEK 19'!F47,"")</f>
        <v/>
      </c>
      <c r="F52" s="67"/>
    </row>
    <row r="53">
      <c r="A53" s="259" t="str">
        <f>IF('WEEK 23'!F52&lt;4,"","6")</f>
        <v/>
      </c>
      <c r="B53" s="237" t="str">
        <f>IF('WEEK 23'!F52&lt;4,"",'WEEK 23'!B52+5)</f>
        <v/>
      </c>
      <c r="C53" s="257" t="str">
        <f>IF('WEEK 23'!F52&lt;4,"","4")</f>
        <v/>
      </c>
      <c r="D53" s="257" t="str">
        <f>IF('WEEK 23'!F52&lt;4,"","1-5 MIN")</f>
        <v/>
      </c>
      <c r="E53" s="727" t="str">
        <f>IF('WEEK 23'!B53='WEEK 19'!B48,'WEEK 19'!F48,"")</f>
        <v/>
      </c>
      <c r="F53" s="67"/>
    </row>
    <row r="54">
      <c r="A54" s="246" t="s">
        <v>133</v>
      </c>
      <c r="B54" s="20"/>
      <c r="C54" s="20"/>
      <c r="D54" s="20"/>
      <c r="E54" s="20"/>
      <c r="F54" s="95"/>
    </row>
    <row r="55">
      <c r="A55" s="264">
        <f>IF('WEEK 23'!F52&gt;=1,7,IF('WEEK 23'!F50&lt;1,5,6))</f>
        <v>5</v>
      </c>
      <c r="B55" s="265">
        <f>MROUND('WEEK 23'!B57*0.8,5)</f>
        <v>0</v>
      </c>
      <c r="C55" s="266" t="s">
        <v>65</v>
      </c>
      <c r="D55" s="267" t="s">
        <v>127</v>
      </c>
      <c r="E55" s="727" t="str">
        <f>IF('WEEK 23'!B55='WEEK 19'!B50,'WEEK 19'!F50,"")</f>
        <v/>
      </c>
      <c r="F55" s="67"/>
    </row>
    <row r="56">
      <c r="A56" s="243">
        <f>IF('WEEK 23'!F52&gt;=1,8,IF('WEEK 23'!F50&lt;1,6,7))</f>
        <v>6</v>
      </c>
      <c r="B56" s="237">
        <f>mround('WEEK 23'!B57*0.7,5)</f>
        <v>0</v>
      </c>
      <c r="C56" s="245" t="s">
        <v>65</v>
      </c>
      <c r="D56" s="65" t="s">
        <v>127</v>
      </c>
      <c r="E56" s="727" t="str">
        <f>IF('WEEK 23'!B56='WEEK 19'!B51,'WEEK 19'!F51,"")</f>
        <v/>
      </c>
      <c r="F56" s="271"/>
    </row>
    <row r="57">
      <c r="A57" s="228" t="s">
        <v>124</v>
      </c>
      <c r="B57" s="549" t="str">
        <f>IF(OR(ISBLANK('WEEK 23'!F50),ISBLANK('WEEK 23'!F49),ISBLANK('WEEK 23'!F48)),"",IF('WEEK 23'!F53&gt;=4,'WEEK 23'!B53,IF('WEEK 23'!F52&gt;=1,'WEEK 23'!B52,IF('WEEK 23'!F50&lt;3,'WEEK 23'!B50-5,'WEEK 23'!B50))))</f>
        <v/>
      </c>
      <c r="F57" s="28"/>
    </row>
    <row r="58">
      <c r="A58" s="750"/>
      <c r="B58" s="750"/>
      <c r="C58" s="750"/>
      <c r="D58" s="750"/>
      <c r="E58" s="750"/>
      <c r="F58" s="750"/>
    </row>
    <row r="59">
      <c r="A59" s="751" t="str">
        <f>HYPERLINK("https://www.youtube.com/watch?v=PnaDzYh2axA","4. LAT PULL DOWN")</f>
        <v>4. LAT PULL DOWN</v>
      </c>
      <c r="B59" s="13"/>
      <c r="C59" s="13"/>
      <c r="D59" s="13"/>
      <c r="E59" s="13"/>
      <c r="F59" s="57"/>
    </row>
    <row r="60">
      <c r="A60" s="226" t="s">
        <v>119</v>
      </c>
      <c r="B60" s="691" t="str">
        <f>'WEEK 22'!B51</f>
        <v/>
      </c>
      <c r="C60" s="13"/>
      <c r="D60" s="13"/>
      <c r="E60" s="13"/>
      <c r="F60" s="57"/>
    </row>
    <row r="61">
      <c r="A61" s="96" t="s">
        <v>50</v>
      </c>
      <c r="B61" s="97" t="s">
        <v>51</v>
      </c>
      <c r="C61" s="97" t="s">
        <v>52</v>
      </c>
      <c r="D61" s="97" t="s">
        <v>53</v>
      </c>
      <c r="E61" s="341" t="s">
        <v>54</v>
      </c>
      <c r="F61" s="235" t="s">
        <v>55</v>
      </c>
    </row>
    <row r="62">
      <c r="A62" s="725">
        <v>1.0</v>
      </c>
      <c r="B62" s="344">
        <f> mround('WEEK 23'!B60*0.9,5)</f>
        <v>0</v>
      </c>
      <c r="C62" s="437" t="s">
        <v>65</v>
      </c>
      <c r="D62" s="343" t="s">
        <v>57</v>
      </c>
      <c r="E62" s="727" t="str">
        <f>IF('WEEK 23'!B62='WEEK 22'!B53,'WEEK 22'!F53,"")</f>
        <v/>
      </c>
      <c r="F62" s="85">
        <v>3.0</v>
      </c>
    </row>
    <row r="63">
      <c r="A63" s="725">
        <v>2.0</v>
      </c>
      <c r="B63" s="344">
        <f>IF('WEEK 23'!F62&lt;6,MROUND('WEEK 23'!B62*0.8,5),IF('WEEK 23'!F62&lt;=11,MROUND('WEEK 23'!B62*0.8,5),'WEEK 23'!B62))</f>
        <v>0</v>
      </c>
      <c r="C63" s="437" t="s">
        <v>65</v>
      </c>
      <c r="D63" s="343" t="s">
        <v>57</v>
      </c>
      <c r="E63" s="727" t="str">
        <f>IF('WEEK 23'!B63='WEEK 22'!B54,'WEEK 22'!F54,"")</f>
        <v/>
      </c>
      <c r="F63" s="85">
        <v>3.0</v>
      </c>
    </row>
    <row r="64">
      <c r="A64" s="753">
        <v>3.0</v>
      </c>
      <c r="B64" s="754">
        <f>IF('WEEK 23'!F63&lt;6,MROUND('WEEK 23'!B63*0.75,5),IF('WEEK 23'!F63&lt;=11,MROUND('WEEK 23'!B63*0.85,5),'WEEK 23'!B63))</f>
        <v>0</v>
      </c>
      <c r="C64" s="733" t="s">
        <v>65</v>
      </c>
      <c r="D64" s="486" t="s">
        <v>57</v>
      </c>
      <c r="E64" s="734" t="str">
        <f>IF('WEEK 23'!B64='WEEK 22'!B55,'WEEK 22'!F55,"")</f>
        <v/>
      </c>
      <c r="F64" s="85"/>
    </row>
    <row r="65">
      <c r="A65" s="756"/>
      <c r="B65" s="756"/>
      <c r="C65" s="756"/>
      <c r="D65" s="756"/>
      <c r="E65" s="757"/>
      <c r="F65" s="419"/>
    </row>
    <row r="66">
      <c r="A66" s="756"/>
      <c r="B66" s="756"/>
      <c r="C66" s="756"/>
      <c r="D66" s="756"/>
      <c r="E66" s="757"/>
      <c r="F66" s="419"/>
    </row>
    <row r="67">
      <c r="A67" s="73" t="str">
        <f>HYPERLINK("https://youtu.be/9YH1YvZbiY0","5. LOW ROW ")</f>
        <v>5. LOW ROW </v>
      </c>
      <c r="B67" s="53"/>
      <c r="C67" s="53"/>
      <c r="D67" s="53"/>
      <c r="E67" s="53"/>
      <c r="F67" s="54"/>
    </row>
    <row r="68">
      <c r="A68" s="226" t="s">
        <v>119</v>
      </c>
      <c r="B68" s="691">
        <f>IF('WEEK 22'!B40="",'WEEK 22'!B28,'WEEK 22'!B40)</f>
        <v>270</v>
      </c>
      <c r="C68" s="13"/>
      <c r="D68" s="13"/>
      <c r="E68" s="13"/>
      <c r="F68" s="57"/>
    </row>
    <row r="69">
      <c r="A69" s="96" t="s">
        <v>50</v>
      </c>
      <c r="B69" s="97" t="s">
        <v>51</v>
      </c>
      <c r="C69" s="97" t="s">
        <v>52</v>
      </c>
      <c r="D69" s="97" t="s">
        <v>53</v>
      </c>
      <c r="E69" s="341" t="s">
        <v>54</v>
      </c>
      <c r="F69" s="235" t="s">
        <v>55</v>
      </c>
    </row>
    <row r="70">
      <c r="A70" s="725">
        <v>1.0</v>
      </c>
      <c r="B70" s="344">
        <f>mround('WEEK 23'!B68*0.85,5)</f>
        <v>230</v>
      </c>
      <c r="C70" s="437" t="s">
        <v>65</v>
      </c>
      <c r="D70" s="343" t="s">
        <v>127</v>
      </c>
      <c r="E70" s="727" t="str">
        <f>IF('WEEK 23'!B70='WEEK 21'!B63,'WEEK 21'!F63,"")</f>
        <v/>
      </c>
      <c r="F70" s="85"/>
    </row>
    <row r="71">
      <c r="A71" s="725">
        <v>2.0</v>
      </c>
      <c r="B71" s="344">
        <f>IF('WEEK 23'!F70&lt;6,MROUND('WEEK 23'!B70*0.75,5),IF('WEEK 23'!F70&lt;=11,MROUND('WEEK 23'!B70*0.75,5),'WEEK 23'!B70))</f>
        <v>175</v>
      </c>
      <c r="C71" s="437" t="s">
        <v>65</v>
      </c>
      <c r="D71" s="343" t="s">
        <v>127</v>
      </c>
      <c r="E71" s="727" t="str">
        <f>IF('WEEK 23'!B71='WEEK 21'!B64,'WEEK 21'!F64,"")</f>
        <v/>
      </c>
      <c r="F71" s="85"/>
    </row>
    <row r="72">
      <c r="A72" s="753">
        <v>3.0</v>
      </c>
      <c r="B72" s="754">
        <f>IF('WEEK 23'!F71&lt;6,MROUND('WEEK 23'!B71*0.8,5),IF('WEEK 23'!F71&lt;=11,MROUND('WEEK 23'!B68*0.75,5),'WEEK 23'!B71))</f>
        <v>140</v>
      </c>
      <c r="C72" s="733" t="s">
        <v>65</v>
      </c>
      <c r="D72" s="486" t="s">
        <v>127</v>
      </c>
      <c r="E72" s="734" t="str">
        <f>IF('WEEK 23'!B72='WEEK 21'!B65,'WEEK 21'!F65,"")</f>
        <v/>
      </c>
      <c r="F72" s="85"/>
    </row>
    <row r="73">
      <c r="A73" s="758"/>
      <c r="B73" s="736"/>
      <c r="C73" s="759"/>
      <c r="D73" s="760"/>
      <c r="E73" s="761"/>
      <c r="F73" s="762"/>
    </row>
    <row r="74">
      <c r="A74" s="310" t="str">
        <f>HYPERLINK("https://docs.google.com/a/fitnessresults.com/forms/d/e/1FAIpQLSd7MoczESe8Yjv6BKpmwAZGn9Aiymrs9-UdgfYIUpbr9t5NXg/viewform?usp=pp_url&amp;entry.93370101","CLICK TO COMPLETE WORKOUT")</f>
        <v>CLICK TO COMPLETE WORKOUT</v>
      </c>
      <c r="B74" s="36"/>
      <c r="C74" s="36"/>
      <c r="D74" s="36"/>
      <c r="E74" s="36"/>
      <c r="F74" s="37"/>
    </row>
    <row r="75">
      <c r="A75" s="763"/>
      <c r="B75" s="764"/>
      <c r="C75" s="764"/>
      <c r="D75" s="764"/>
      <c r="E75" s="764"/>
      <c r="F75" s="764"/>
    </row>
    <row r="76">
      <c r="A76" s="50" t="s">
        <v>128</v>
      </c>
      <c r="B76" s="36"/>
      <c r="C76" s="36"/>
      <c r="D76" s="36"/>
      <c r="E76" s="36"/>
      <c r="F76" s="37"/>
    </row>
    <row r="79">
      <c r="A79" s="1355" t="str">
        <f>HYPERLINK("https://www.youtube.com/watch?v=5UOeRbRoFOI","1. MACHINE SQUAT")</f>
        <v>1. MACHINE SQUAT</v>
      </c>
      <c r="B79" s="53"/>
      <c r="C79" s="53"/>
      <c r="D79" s="53"/>
      <c r="E79" s="53"/>
      <c r="F79" s="54"/>
    </row>
    <row r="80">
      <c r="A80" s="1262" t="s">
        <v>119</v>
      </c>
      <c r="B80" s="1035">
        <f>'WEEK 14'!B93</f>
        <v>100</v>
      </c>
      <c r="C80" s="13"/>
      <c r="D80" s="13"/>
      <c r="E80" s="13"/>
      <c r="F80" s="57"/>
    </row>
    <row r="81">
      <c r="A81" s="231" t="s">
        <v>50</v>
      </c>
      <c r="B81" s="232" t="s">
        <v>51</v>
      </c>
      <c r="C81" s="232" t="s">
        <v>52</v>
      </c>
      <c r="D81" s="232" t="s">
        <v>53</v>
      </c>
      <c r="E81" s="233" t="s">
        <v>54</v>
      </c>
      <c r="F81" s="61" t="s">
        <v>55</v>
      </c>
    </row>
    <row r="82">
      <c r="A82" s="236">
        <v>1.0</v>
      </c>
      <c r="B82" s="237">
        <f>mround('WEEK 23'!B80*0.35,5)</f>
        <v>35</v>
      </c>
      <c r="C82" s="238">
        <v>10.0</v>
      </c>
      <c r="D82" s="238" t="s">
        <v>120</v>
      </c>
      <c r="E82" s="66" t="str">
        <f>IF('WEEK 23'!B82='WEEK 14'!B83,'WEEK 14'!F83,"")</f>
        <v/>
      </c>
      <c r="F82" s="67"/>
    </row>
    <row r="83">
      <c r="A83" s="236">
        <v>2.0</v>
      </c>
      <c r="B83" s="237">
        <f>mround('WEEK 23'!B80*0.65,5)</f>
        <v>65</v>
      </c>
      <c r="C83" s="238">
        <v>10.0</v>
      </c>
      <c r="D83" s="238" t="s">
        <v>121</v>
      </c>
      <c r="E83" s="66" t="str">
        <f>IF('WEEK 23'!B83='WEEK 14'!B84,'WEEK 14'!F84,"")</f>
        <v/>
      </c>
      <c r="F83" s="67"/>
    </row>
    <row r="84">
      <c r="A84" s="242">
        <v>3.0</v>
      </c>
      <c r="B84" s="237">
        <f>mround('WEEK 23'!B80*0.9,5)</f>
        <v>90</v>
      </c>
      <c r="C84" s="238">
        <v>10.0</v>
      </c>
      <c r="D84" s="238" t="s">
        <v>121</v>
      </c>
      <c r="E84" s="66" t="str">
        <f>IF('WEEK 23'!B84='WEEK 14'!B85,'WEEK 14'!F85,"")</f>
        <v/>
      </c>
      <c r="F84" s="67"/>
    </row>
    <row r="85">
      <c r="A85" s="249">
        <v>4.0</v>
      </c>
      <c r="B85" s="175">
        <f>if('WEEK 23'!F84&lt;4,MROUND('WEEK 23'!B84-('WEEK 23'!B84*20%),5),'WEEK 23'!B80)</f>
        <v>70</v>
      </c>
      <c r="C85" s="238">
        <v>10.0</v>
      </c>
      <c r="D85" s="238" t="s">
        <v>122</v>
      </c>
      <c r="E85" s="66" t="str">
        <f>IF('WEEK 23'!B85='WEEK 14'!B86,'WEEK 14'!F86,"")</f>
        <v/>
      </c>
      <c r="F85" s="67"/>
    </row>
    <row r="86">
      <c r="A86" s="249">
        <v>5.0</v>
      </c>
      <c r="B86" s="175">
        <f>IF((AND('WEEK 23'!B85&lt;='WEEK 23'!B84,'WEEK 23'!F85&gt;=4)),'WEEK 23'!B85,IF('WEEK 23'!F85&lt;4,MROUND('WEEK 23'!B85-('WEEK 23'!B85*20%),5),if( 'WEEK 23'!F85&lt;4,MROUND('WEEK 23'!B85-('WEEK 23'!B85*10%),5),MROUND('WEEK 23'!B85+('WEEK 23'!B85*10%),5))))</f>
        <v>55</v>
      </c>
      <c r="C86" s="238">
        <v>10.0</v>
      </c>
      <c r="D86" s="238" t="s">
        <v>122</v>
      </c>
      <c r="E86" s="66" t="str">
        <f>IF('WEEK 23'!B86='WEEK 14'!B87,'WEEK 14'!F87,"")</f>
        <v/>
      </c>
      <c r="F86" s="1037"/>
    </row>
    <row r="87">
      <c r="A87" s="249">
        <f>if('WEEK 23'!F85&lt;4,6,6)</f>
        <v>6</v>
      </c>
      <c r="B87" s="175">
        <f>IF((AND('WEEK 23'!B86&lt;='WEEK 23'!B85,'WEEK 23'!F86&gt;=4)),'WEEK 23'!B86,IF('WEEK 23'!F86&lt;4,MROUND('WEEK 23'!B86-('WEEK 23'!B86*20%),5),if( 'WEEK 23'!F86&lt;4,MROUND('WEEK 23'!B86-('WEEK 23'!B86*10%),5),MROUND('WEEK 23'!B86+('WEEK 23'!B86*10%),5))))</f>
        <v>45</v>
      </c>
      <c r="C87" s="238">
        <v>10.0</v>
      </c>
      <c r="D87" s="238" t="s">
        <v>122</v>
      </c>
      <c r="E87" s="66" t="str">
        <f>IF('WEEK 23'!B87='WEEK 14'!B88,'WEEK 14'!F88,"")</f>
        <v/>
      </c>
      <c r="F87" s="67"/>
    </row>
    <row r="88">
      <c r="A88" s="1038">
        <f>IF('WEEK 23'!F87&lt;4,7,"7")</f>
        <v>7</v>
      </c>
      <c r="B88" s="175">
        <f>IF((AND('WEEK 23'!B87&lt;='WEEK 23'!B86,'WEEK 23'!F87&gt;=4)),'WEEK 23'!B87,IF('WEEK 23'!F87&lt;4,MROUND('WEEK 23'!B87-('WEEK 23'!B87*20%),5),if( 'WEEK 23'!F87&lt;4,MROUND('WEEK 23'!B87-('WEEK 23'!B87*10%),5),MROUND('WEEK 23'!B87+('WEEK 23'!B87*10%),5))))</f>
        <v>35</v>
      </c>
      <c r="C88" s="238">
        <v>10.0</v>
      </c>
      <c r="D88" s="238" t="s">
        <v>122</v>
      </c>
      <c r="E88" s="66" t="str">
        <f>IF('WEEK 23'!B88='WEEK 14'!B89,'WEEK 14'!F89,"")</f>
        <v/>
      </c>
      <c r="F88" s="67"/>
    </row>
    <row r="89">
      <c r="A89" s="249">
        <f>IF('WEEK 23'!F88&lt;4,8,"8")</f>
        <v>8</v>
      </c>
      <c r="B89" s="175">
        <f>IF((AND('WEEK 23'!B88&lt;='WEEK 23'!B87,'WEEK 23'!F88&gt;=4)),'WEEK 23'!B88,IF('WEEK 23'!F88&lt;4,MROUND('WEEK 23'!B88-('WEEK 23'!B88*20%),5),if( 'WEEK 23'!F88&lt;4,MROUND('WEEK 23'!B88-('WEEK 23'!B88*10%),5),MROUND('WEEK 23'!B88+('WEEK 23'!B88*10%),5))))</f>
        <v>30</v>
      </c>
      <c r="C89" s="238">
        <v>10.0</v>
      </c>
      <c r="D89" s="238" t="s">
        <v>122</v>
      </c>
      <c r="E89" s="66" t="str">
        <f>IF('WEEK 23'!B89='WEEK 14'!B90,'WEEK 14'!F90,"")</f>
        <v/>
      </c>
      <c r="F89" s="67"/>
    </row>
    <row r="90">
      <c r="A90" s="1038">
        <f>IF('WEEK 23'!F89&lt;4,9,"9")</f>
        <v>9</v>
      </c>
      <c r="B90" s="175">
        <f>IF((AND('WEEK 23'!B89&lt;='WEEK 23'!B88,'WEEK 23'!F89&gt;=4)),'WEEK 23'!B89,IF('WEEK 23'!F89&lt;4,MROUND('WEEK 23'!B89-('WEEK 23'!B89*20%),5),if( 'WEEK 23'!F89&lt;4,MROUND('WEEK 23'!B89-('WEEK 23'!B89*10%),5),MROUND('WEEK 23'!B89+('WEEK 23'!B89*10%),5))))</f>
        <v>25</v>
      </c>
      <c r="C90" s="238">
        <v>10.0</v>
      </c>
      <c r="D90" s="238" t="s">
        <v>122</v>
      </c>
      <c r="E90" s="66" t="str">
        <f>IF('WEEK 23'!B90='WEEK 14'!B91,'WEEK 14'!F91,"")</f>
        <v/>
      </c>
      <c r="F90" s="67"/>
    </row>
    <row r="91">
      <c r="A91" s="1038" t="str">
        <f>IF('WEEK 23'!F90&lt;4,"10","10")</f>
        <v>10</v>
      </c>
      <c r="B91" s="175">
        <f>IF((AND('WEEK 23'!B90&lt;='WEEK 23'!B89,'WEEK 23'!F90&gt;=4)),'WEEK 23'!B90,IF('WEEK 23'!F90&lt;4,MROUND('WEEK 23'!B90-('WEEK 23'!B90*20%),5),if( 'WEEK 23'!F90&lt;4,MROUND('WEEK 23'!B90-('WEEK 23'!B90*10%),5),MROUND('WEEK 23'!B90+('WEEK 23'!B90*10%),5))))</f>
        <v>20</v>
      </c>
      <c r="C91" s="238">
        <v>10.0</v>
      </c>
      <c r="D91" s="238" t="s">
        <v>122</v>
      </c>
      <c r="E91" s="66" t="str">
        <f>IF('WEEK 23'!B91='WEEK 14'!B92,'WEEK 14'!F92,"")</f>
        <v/>
      </c>
      <c r="F91" s="67"/>
    </row>
    <row r="92">
      <c r="A92" s="272" t="s">
        <v>216</v>
      </c>
      <c r="B92" s="1109">
        <f>IF(OR(ISBLANK('WEEK 23'!F82),ISBLANK('WEEK 23'!F83)),'WEEK 23'!B80,IF((AND('WEEK 23'!F91&gt;=4,'WEEK 23'!B91&gt;'WEEK 23'!B90)),'WEEK 23'!B91,IF((AND('WEEK 23'!F90&gt;=4,'WEEK 23'!B90&gt;'WEEK 23'!B89)),'WEEK 23'!B90,IF((AND('WEEK 23'!F89&gt;=4,'WEEK 23'!B89&gt;'WEEK 23'!B88)),'WEEK 23'!B89,IF((AND('WEEK 23'!F88&gt;=4,'WEEK 23'!B88&gt;'WEEK 23'!B87)),'WEEK 23'!B88,IF((AND('WEEK 23'!F87&gt;=4,'WEEK 23'!B87&gt;'WEEK 23'!B86)),'WEEK 23'!B87,IF((AND('WEEK 23'!F86&gt;=4,'WEEK 23'!B86&gt;'WEEK 23'!B85)),'WEEK 23'!B86,IF((AND('WEEK 23'!F85&gt;=4,'WEEK 23'!B85&gt;'WEEK 23'!B84)),'WEEK 23'!B85,IF((AND('WEEK 23'!F84&gt;=4,'WEEK 23'!B84&gt;'WEEK 23'!B83)),'WEEK 23'!B84,IF((AND('WEEK 23'!F83&gt;=4,'WEEK 23'!B83&gt;'WEEK 23'!B82)),'WEEK 23'!B83))))))))))</f>
        <v>100</v>
      </c>
      <c r="C92" s="11"/>
      <c r="D92" s="11"/>
      <c r="E92" s="11"/>
      <c r="F92" s="46"/>
    </row>
    <row r="95">
      <c r="A95" s="1285" t="str">
        <f>HYPERLINK("https://www.youtube.com/watch?v=NZ9KiFtbiMs","2. LEG EXTENSION")</f>
        <v>2. LEG EXTENSION</v>
      </c>
      <c r="B95" s="53"/>
      <c r="C95" s="53"/>
      <c r="D95" s="53"/>
      <c r="E95" s="53"/>
      <c r="F95" s="54"/>
    </row>
    <row r="96">
      <c r="A96" s="1045" t="s">
        <v>119</v>
      </c>
      <c r="B96" s="1367">
        <f>IF('WEEK 22'!B81='WEEK 22'!B83,'WEEK 22'!B81+5,IF('WEEK 22'!F81&lt;=9,MROUND('WEEK 22'!B79*0.95,5),'WEEK 22'!B81))</f>
        <v>50</v>
      </c>
      <c r="C96" s="20"/>
      <c r="D96" s="20"/>
      <c r="E96" s="20"/>
      <c r="F96" s="95"/>
    </row>
    <row r="97">
      <c r="A97" s="567" t="s">
        <v>50</v>
      </c>
      <c r="B97" s="568" t="s">
        <v>51</v>
      </c>
      <c r="C97" s="568" t="s">
        <v>52</v>
      </c>
      <c r="D97" s="568" t="s">
        <v>53</v>
      </c>
      <c r="E97" s="1047" t="s">
        <v>54</v>
      </c>
      <c r="F97" s="1048" t="s">
        <v>55</v>
      </c>
    </row>
    <row r="98">
      <c r="A98" s="1049">
        <v>1.0</v>
      </c>
      <c r="B98" s="1050">
        <f>'WEEK 23'!B96</f>
        <v>50</v>
      </c>
      <c r="C98" s="1051" t="s">
        <v>61</v>
      </c>
      <c r="D98" s="1430" t="s">
        <v>121</v>
      </c>
      <c r="E98" s="1130" t="str">
        <f>IF('WEEK 22'!B81='WEEK 23'!B98,'WEEK 22'!F81,"")</f>
        <v/>
      </c>
      <c r="F98" s="1017"/>
    </row>
    <row r="99">
      <c r="A99" s="1049">
        <v>2.0</v>
      </c>
      <c r="B99" s="1050">
        <f>if('WEEK 23'!F98&lt;12,mround('WEEK 23'!B98*0.8,5),IF('WEEK 23'!F98&lt;=14,MROUND('WEEK 23'!B98*0.95,5),'WEEK 23'!B98))</f>
        <v>40</v>
      </c>
      <c r="C99" s="1051" t="s">
        <v>61</v>
      </c>
      <c r="D99" s="1430" t="s">
        <v>121</v>
      </c>
      <c r="E99" s="1130" t="str">
        <f>IF('WEEK 22'!B82='WEEK 23'!B99,'WEEK 22'!F82,"")</f>
        <v/>
      </c>
      <c r="F99" s="1017"/>
    </row>
    <row r="100">
      <c r="A100" s="1053">
        <v>3.0</v>
      </c>
      <c r="B100" s="1054">
        <f>if('WEEK 23'!F99&lt;12,mround('WEEK 23'!B99*0.8,5),IF('WEEK 23'!F99&lt;=14,MROUND('WEEK 23'!B99*0.95,5),'WEEK 23'!B99))</f>
        <v>30</v>
      </c>
      <c r="C100" s="1055" t="s">
        <v>61</v>
      </c>
      <c r="D100" s="1453" t="s">
        <v>121</v>
      </c>
      <c r="E100" s="1348" t="str">
        <f>IF('WEEK 22'!B83='WEEK 23'!B100,'WEEK 22'!F83,"")</f>
        <v/>
      </c>
      <c r="F100" s="1017"/>
    </row>
    <row r="103">
      <c r="A103" s="323" t="str">
        <f>HYPERLINK("https://www.youtube.com/watch?v=XepOfsnGFJg","3. MACHINE LEG CURL")</f>
        <v>3. MACHINE LEG CURL</v>
      </c>
      <c r="B103" s="53"/>
      <c r="C103" s="53"/>
      <c r="D103" s="53"/>
      <c r="E103" s="53"/>
      <c r="F103" s="54"/>
      <c r="G103" s="141"/>
      <c r="H103" s="323" t="str">
        <f>HYPERLINK("https://youtu.be/kmN9cJ79PDE","3. PRONE LEG CURL")</f>
        <v>3. PRONE LEG CURL</v>
      </c>
      <c r="I103" s="53"/>
      <c r="J103" s="53"/>
      <c r="K103" s="53"/>
      <c r="L103" s="53"/>
      <c r="M103" s="54"/>
    </row>
    <row r="104">
      <c r="A104" s="1045" t="s">
        <v>119</v>
      </c>
      <c r="B104" s="1367">
        <f>IF('WEEK 22'!B89='WEEK 22'!B91,'WEEK 22'!B89+5,IF('WEEK 22'!F89&lt;=9,MROUND('WEEK 22'!B87*0.95,5),'WEEK 22'!B89))</f>
        <v>15</v>
      </c>
      <c r="C104" s="20"/>
      <c r="D104" s="20"/>
      <c r="E104" s="20"/>
      <c r="F104" s="95"/>
      <c r="H104" s="1045" t="s">
        <v>119</v>
      </c>
      <c r="I104" s="1046">
        <f>'WEEK 23'!B104</f>
        <v>15</v>
      </c>
      <c r="J104" s="13"/>
      <c r="K104" s="13"/>
      <c r="L104" s="13"/>
      <c r="M104" s="57"/>
    </row>
    <row r="105">
      <c r="A105" s="567" t="s">
        <v>50</v>
      </c>
      <c r="B105" s="568" t="s">
        <v>51</v>
      </c>
      <c r="C105" s="568" t="s">
        <v>52</v>
      </c>
      <c r="D105" s="568" t="s">
        <v>53</v>
      </c>
      <c r="E105" s="1047" t="s">
        <v>54</v>
      </c>
      <c r="F105" s="1048" t="s">
        <v>55</v>
      </c>
      <c r="H105" s="567" t="s">
        <v>50</v>
      </c>
      <c r="I105" s="568" t="s">
        <v>51</v>
      </c>
      <c r="J105" s="568" t="s">
        <v>52</v>
      </c>
      <c r="K105" s="568" t="s">
        <v>53</v>
      </c>
      <c r="L105" s="1047" t="s">
        <v>54</v>
      </c>
      <c r="M105" s="1048" t="s">
        <v>55</v>
      </c>
    </row>
    <row r="106">
      <c r="A106" s="1049">
        <v>1.0</v>
      </c>
      <c r="B106" s="1050">
        <f>'WEEK 23'!B104</f>
        <v>15</v>
      </c>
      <c r="C106" s="1051" t="s">
        <v>61</v>
      </c>
      <c r="D106" s="1430" t="s">
        <v>121</v>
      </c>
      <c r="E106" s="1130" t="str">
        <f>IF('WEEK 22'!B89='WEEK 23'!B106,'WEEK 22'!F89,"")</f>
        <v/>
      </c>
      <c r="F106" s="1017"/>
      <c r="G106" s="434" t="s">
        <v>123</v>
      </c>
      <c r="H106" s="1049">
        <v>1.0</v>
      </c>
      <c r="I106" s="1050">
        <f>'WEEK 23'!I104</f>
        <v>15</v>
      </c>
      <c r="J106" s="1051" t="s">
        <v>61</v>
      </c>
      <c r="K106" s="1430" t="s">
        <v>121</v>
      </c>
      <c r="L106" s="1130" t="str">
        <f>IF('WEEK 22'!I89='WEEK 23'!I106,'WEEK 22'!M89,"")</f>
        <v/>
      </c>
      <c r="M106" s="1017"/>
    </row>
    <row r="107">
      <c r="A107" s="1049">
        <v>2.0</v>
      </c>
      <c r="B107" s="1050">
        <f>if('WEEK 23'!F106&lt;12,mround('WEEK 23'!B106*0.8,5),IF('WEEK 23'!F106&lt;=14,MROUND('WEEK 23'!B106*0.95,5),'WEEK 23'!B106))</f>
        <v>10</v>
      </c>
      <c r="C107" s="1051" t="s">
        <v>61</v>
      </c>
      <c r="D107" s="1430" t="s">
        <v>121</v>
      </c>
      <c r="E107" s="1130" t="str">
        <f>IF('WEEK 22'!B90='WEEK 23'!B107,'WEEK 22'!F90,"")</f>
        <v/>
      </c>
      <c r="F107" s="1017"/>
      <c r="H107" s="1049">
        <v>2.0</v>
      </c>
      <c r="I107" s="1050">
        <f>if('WEEK 23'!M106&lt;12,mround('WEEK 23'!I106*0.8,5),IF('WEEK 23'!M106&lt;=14,MROUND('WEEK 23'!I106*0.95,5),'WEEK 23'!I106))</f>
        <v>10</v>
      </c>
      <c r="J107" s="1051" t="s">
        <v>61</v>
      </c>
      <c r="K107" s="1430" t="s">
        <v>121</v>
      </c>
      <c r="L107" s="1130" t="str">
        <f>IF('WEEK 22'!I90='WEEK 23'!I107,'WEEK 22'!M90,"")</f>
        <v/>
      </c>
      <c r="M107" s="1017"/>
    </row>
    <row r="108">
      <c r="A108" s="1053">
        <v>3.0</v>
      </c>
      <c r="B108" s="1054">
        <f>if('WEEK 23'!F107&lt;12,mround('WEEK 23'!B107*0.8,5),IF('WEEK 23'!F107&lt;=14,MROUND('WEEK 23'!B107*0.95,5),'WEEK 23'!B107))</f>
        <v>10</v>
      </c>
      <c r="C108" s="1055" t="s">
        <v>61</v>
      </c>
      <c r="D108" s="1453" t="s">
        <v>121</v>
      </c>
      <c r="E108" s="1348" t="str">
        <f>IF('WEEK 22'!B91='WEEK 23'!B108,'WEEK 22'!F91,"")</f>
        <v/>
      </c>
      <c r="F108" s="1017"/>
      <c r="G108" s="682"/>
      <c r="H108" s="1053">
        <v>3.0</v>
      </c>
      <c r="I108" s="1054">
        <f>if('WEEK 23'!M107&lt;12,mround('WEEK 23'!I107*0.8,5),IF('WEEK 23'!M107&lt;=14,MROUND('WEEK 23'!I107*0.95,5),'WEEK 23'!I107))</f>
        <v>10</v>
      </c>
      <c r="J108" s="1055" t="s">
        <v>61</v>
      </c>
      <c r="K108" s="1453" t="s">
        <v>121</v>
      </c>
      <c r="L108" s="1348" t="str">
        <f>IF('WEEK 22'!I91='WEEK 23'!I108,'WEEK 22'!M91,"")</f>
        <v/>
      </c>
      <c r="M108" s="1017"/>
    </row>
    <row r="109">
      <c r="A109" s="849"/>
      <c r="B109" s="849"/>
      <c r="C109" s="849"/>
      <c r="D109" s="849"/>
      <c r="E109" s="849"/>
      <c r="F109" s="849"/>
      <c r="H109" s="849"/>
      <c r="I109" s="850"/>
      <c r="J109" s="850"/>
      <c r="K109" s="850"/>
      <c r="L109" s="850"/>
      <c r="M109" s="850"/>
    </row>
    <row r="111">
      <c r="A111" s="1120" t="s">
        <v>62</v>
      </c>
      <c r="B111" s="36"/>
      <c r="C111" s="36"/>
      <c r="D111" s="36"/>
      <c r="E111" s="36"/>
      <c r="F111" s="37"/>
    </row>
    <row r="114">
      <c r="A114" s="960" t="str">
        <f>HYPERLINK("https://youtu.be/ZhZ733bUA9Q","1. SHOULDER CLEANS")</f>
        <v>1. SHOULDER CLEANS</v>
      </c>
      <c r="B114" s="53"/>
      <c r="C114" s="53"/>
      <c r="D114" s="53"/>
      <c r="E114" s="53"/>
      <c r="F114" s="54"/>
    </row>
    <row r="115">
      <c r="A115" s="961" t="s">
        <v>119</v>
      </c>
      <c r="B115" s="76">
        <f>IF('WEEK 20'!B104='WEEK 20'!B106,'WEEK 20'!B104+5,IF('WEEK 20'!F104&lt;=15,MROUND('WEEK 20'!B102*0.85,5),'WEEK 20'!B104))</f>
        <v>45</v>
      </c>
      <c r="C115" s="13"/>
      <c r="D115" s="13"/>
      <c r="E115" s="13"/>
      <c r="F115" s="57"/>
    </row>
    <row r="116">
      <c r="A116" s="962" t="s">
        <v>50</v>
      </c>
      <c r="B116" s="963" t="s">
        <v>51</v>
      </c>
      <c r="C116" s="963" t="s">
        <v>52</v>
      </c>
      <c r="D116" s="981" t="s">
        <v>53</v>
      </c>
      <c r="E116" s="1312" t="s">
        <v>54</v>
      </c>
      <c r="F116" s="1404" t="s">
        <v>55</v>
      </c>
    </row>
    <row r="117">
      <c r="A117" s="967">
        <v>1.0</v>
      </c>
      <c r="B117" s="968">
        <f>MROUND('WEEK 23'!B115,2.5)</f>
        <v>45</v>
      </c>
      <c r="C117" s="968">
        <v>20.0</v>
      </c>
      <c r="D117" s="969" t="s">
        <v>57</v>
      </c>
      <c r="E117" s="1130" t="str">
        <f>IF('WEEK 20'!B104='WEEK 23'!B117,'WEEK 20'!F104,"")</f>
        <v/>
      </c>
      <c r="F117" s="455"/>
    </row>
    <row r="118">
      <c r="A118" s="967">
        <v>2.0</v>
      </c>
      <c r="B118" s="968">
        <f>if('WEEK 23'!F117&lt;20,mround('WEEK 23'!B117*0.75,5),'WEEK 23'!B117)</f>
        <v>35</v>
      </c>
      <c r="C118" s="968">
        <v>20.0</v>
      </c>
      <c r="D118" s="969" t="s">
        <v>57</v>
      </c>
      <c r="E118" s="1130" t="str">
        <f>IF('WEEK 20'!B105='WEEK 23'!B118,'WEEK 20'!F105,"")</f>
        <v/>
      </c>
      <c r="F118" s="1495"/>
    </row>
    <row r="119">
      <c r="A119" s="971">
        <v>3.0</v>
      </c>
      <c r="B119" s="972">
        <f>if('WEEK 23'!F118&lt;20,mround('WEEK 23'!B118*0.6,5),'WEEK 23'!B118)</f>
        <v>20</v>
      </c>
      <c r="C119" s="972">
        <v>20.0</v>
      </c>
      <c r="D119" s="973" t="s">
        <v>57</v>
      </c>
      <c r="E119" s="1348" t="str">
        <f>IF('WEEK 20'!B106='WEEK 23'!B119,'WEEK 20'!F106,"")</f>
        <v/>
      </c>
      <c r="F119" s="1495"/>
    </row>
    <row r="121">
      <c r="A121" s="361" t="str">
        <f>HYPERLINK("https://www.youtube.com/watch?v=gxWVN6F_uxo","2.  CABLE HIGH PULLEY ROW")</f>
        <v>2.  CABLE HIGH PULLEY ROW</v>
      </c>
      <c r="B121" s="53"/>
      <c r="C121" s="53"/>
      <c r="D121" s="53"/>
      <c r="E121" s="53"/>
      <c r="F121" s="54"/>
    </row>
    <row r="122">
      <c r="A122" s="226" t="s">
        <v>134</v>
      </c>
      <c r="B122" s="90">
        <f>IF('WEEK 22'!I113="",'WEEK 22'!I101,'WEEK 22'!I113)</f>
        <v>10</v>
      </c>
      <c r="C122" s="13"/>
      <c r="D122" s="13"/>
      <c r="E122" s="13"/>
      <c r="F122" s="57"/>
    </row>
    <row r="123">
      <c r="A123" s="77" t="s">
        <v>50</v>
      </c>
      <c r="B123" s="78" t="s">
        <v>51</v>
      </c>
      <c r="C123" s="78" t="s">
        <v>52</v>
      </c>
      <c r="D123" s="78" t="s">
        <v>53</v>
      </c>
      <c r="E123" s="80" t="s">
        <v>54</v>
      </c>
      <c r="F123" s="235" t="s">
        <v>55</v>
      </c>
    </row>
    <row r="124">
      <c r="A124" s="81">
        <v>1.0</v>
      </c>
      <c r="B124" s="82">
        <f> mround('WEEK 23'!B122*2*0.7,5)</f>
        <v>15</v>
      </c>
      <c r="C124" s="65">
        <v>20.0</v>
      </c>
      <c r="D124" s="83" t="s">
        <v>58</v>
      </c>
      <c r="E124" s="84" t="str">
        <f>IF('WEEK 19'!B115='WEEK 23'!B124,'WEEK 19'!F115,"")</f>
        <v/>
      </c>
      <c r="F124" s="85"/>
    </row>
    <row r="125">
      <c r="A125" s="81">
        <v>2.0</v>
      </c>
      <c r="B125" s="82">
        <f>if('WEEK 23'!F124&lt;10,mround(B124*0.8,5),IF('WEEK 23'!F124&lt;=14,MROUND('WEEK 23'!B124*0.95,5),'WEEK 23'!B124))</f>
        <v>10</v>
      </c>
      <c r="C125" s="65">
        <v>20.0</v>
      </c>
      <c r="D125" s="83" t="s">
        <v>58</v>
      </c>
      <c r="E125" s="84" t="str">
        <f>IF('WEEK 19'!B116='WEEK 23'!B125,'WEEK 19'!F116,"")</f>
        <v/>
      </c>
      <c r="F125" s="85"/>
    </row>
    <row r="126">
      <c r="A126" s="86">
        <v>3.0</v>
      </c>
      <c r="B126" s="87">
        <f>if('WEEK 23'!F125&lt;8,mround('WEEK 23'!B125*0.8,5),IF('WEEK 23'!F125&lt;=14,MROUND('WEEK 23'!B125*0.95,5),'WEEK 23'!B125))</f>
        <v>10</v>
      </c>
      <c r="C126" s="71">
        <v>20.0</v>
      </c>
      <c r="D126" s="88" t="s">
        <v>58</v>
      </c>
      <c r="E126" s="89" t="str">
        <f>IF('WEEK 19'!B117='WEEK 23'!B126,'WEEK 19'!F117,"")</f>
        <v/>
      </c>
      <c r="F126" s="85"/>
    </row>
    <row r="128">
      <c r="A128" s="513" t="str">
        <f>HYPERLINK("https://youtu.be/QUNZvtb6mnY","3. DUMBBELL SIDE LATERAL RAISE")</f>
        <v>3. DUMBBELL SIDE LATERAL RAISE</v>
      </c>
      <c r="B128" s="53"/>
      <c r="C128" s="53"/>
      <c r="D128" s="53"/>
      <c r="E128" s="53"/>
      <c r="F128" s="54"/>
    </row>
    <row r="129">
      <c r="A129" s="226" t="s">
        <v>134</v>
      </c>
      <c r="B129" s="90">
        <f>IF('WEEK 22'!I113="",'WEEK 22'!I101,'WEEK 22'!I113)</f>
        <v>10</v>
      </c>
      <c r="C129" s="13"/>
      <c r="D129" s="13"/>
      <c r="E129" s="13"/>
      <c r="F129" s="57"/>
    </row>
    <row r="130">
      <c r="A130" s="376" t="s">
        <v>50</v>
      </c>
      <c r="B130" s="79" t="s">
        <v>51</v>
      </c>
      <c r="C130" s="79" t="s">
        <v>52</v>
      </c>
      <c r="D130" s="79" t="s">
        <v>53</v>
      </c>
      <c r="E130" s="98" t="s">
        <v>54</v>
      </c>
      <c r="F130" s="377" t="s">
        <v>55</v>
      </c>
    </row>
    <row r="131">
      <c r="A131" s="81">
        <v>1.0</v>
      </c>
      <c r="B131" s="82">
        <f>mround('WEEK 23'!B129*0.2,5)</f>
        <v>0</v>
      </c>
      <c r="C131" s="65">
        <v>20.0</v>
      </c>
      <c r="D131" s="83" t="s">
        <v>57</v>
      </c>
      <c r="E131" s="84" t="str">
        <f>IF('WEEK 22'!B127='WEEK 23'!B131,'WEEK 22'!F127,"")</f>
        <v/>
      </c>
      <c r="F131" s="796"/>
    </row>
    <row r="132">
      <c r="A132" s="81">
        <v>2.0</v>
      </c>
      <c r="B132" s="82">
        <f>if('WEEK 23'!F131&lt;12,mround('WEEK 23'!B129*0.15,2.5),'WEEK 23'!B131)</f>
        <v>2.5</v>
      </c>
      <c r="C132" s="65">
        <v>20.0</v>
      </c>
      <c r="D132" s="83" t="s">
        <v>57</v>
      </c>
      <c r="E132" s="84" t="str">
        <f>IF('WEEK 22'!B128='WEEK 23'!B132,'WEEK 22'!F128,"")</f>
        <v/>
      </c>
      <c r="F132" s="330"/>
    </row>
    <row r="133">
      <c r="A133" s="86">
        <v>3.0</v>
      </c>
      <c r="B133" s="87">
        <f>if('WEEK 23'!F132&lt;12,mround('WEEK 23'!B129*0.1,2.5),'WEEK 23'!B132)</f>
        <v>0</v>
      </c>
      <c r="C133" s="71">
        <v>20.0</v>
      </c>
      <c r="D133" s="88" t="s">
        <v>57</v>
      </c>
      <c r="E133" s="89" t="str">
        <f>IF('WEEK 22'!B129='WEEK 23'!B133,'WEEK 22'!F129,"")</f>
        <v/>
      </c>
      <c r="F133" s="85"/>
    </row>
    <row r="135">
      <c r="A135" s="73" t="str">
        <f>HYPERLINK("https://youtu.be/Yke__29qVfo","4. TRICEP PUSH DOWNS")</f>
        <v>4. TRICEP PUSH DOWNS</v>
      </c>
      <c r="B135" s="53"/>
      <c r="C135" s="53"/>
      <c r="D135" s="53"/>
      <c r="E135" s="53"/>
      <c r="F135" s="54"/>
      <c r="G135" s="697"/>
      <c r="H135" s="697"/>
      <c r="I135" s="697"/>
      <c r="J135" s="697"/>
      <c r="K135" s="697"/>
      <c r="L135" s="697"/>
      <c r="M135" s="697"/>
    </row>
    <row r="136">
      <c r="A136" s="226" t="s">
        <v>119</v>
      </c>
      <c r="B136" s="90">
        <f>IF('WEEK 20'!B128='WEEK 20'!B130,'WEEK 20'!B128+5,IF('WEEK 20'!F128&lt;=9,MROUND('WEEK 20'!B126*0.95,5),'WEEK 20'!B128))</f>
        <v>30</v>
      </c>
      <c r="C136" s="13"/>
      <c r="D136" s="13"/>
      <c r="E136" s="13"/>
      <c r="F136" s="57"/>
      <c r="G136" s="697"/>
      <c r="H136" s="697"/>
      <c r="I136" s="697"/>
      <c r="J136" s="697"/>
      <c r="K136" s="697"/>
      <c r="L136" s="697"/>
      <c r="M136" s="697"/>
    </row>
    <row r="137">
      <c r="A137" s="77" t="s">
        <v>50</v>
      </c>
      <c r="B137" s="78" t="s">
        <v>51</v>
      </c>
      <c r="C137" s="78" t="s">
        <v>52</v>
      </c>
      <c r="D137" s="78" t="s">
        <v>53</v>
      </c>
      <c r="E137" s="80" t="s">
        <v>54</v>
      </c>
      <c r="F137" s="235" t="s">
        <v>55</v>
      </c>
      <c r="G137" s="697"/>
      <c r="H137" s="697"/>
      <c r="I137" s="697"/>
      <c r="J137" s="697"/>
      <c r="K137" s="697"/>
      <c r="L137" s="697"/>
      <c r="M137" s="697"/>
    </row>
    <row r="138">
      <c r="A138" s="81">
        <v>1.0</v>
      </c>
      <c r="B138" s="82">
        <f>'WEEK 23'!B136</f>
        <v>30</v>
      </c>
      <c r="C138" s="65">
        <v>20.0</v>
      </c>
      <c r="D138" s="83" t="s">
        <v>58</v>
      </c>
      <c r="E138" s="84" t="str">
        <f>IF('WEEK 20'!B128='WEEK 23'!B138,'WEEK 20'!F128,"")</f>
        <v/>
      </c>
      <c r="F138" s="85"/>
      <c r="G138" s="697"/>
      <c r="H138" s="697"/>
      <c r="I138" s="697"/>
      <c r="J138" s="697"/>
      <c r="K138" s="697"/>
      <c r="L138" s="697"/>
      <c r="M138" s="697"/>
    </row>
    <row r="139">
      <c r="A139" s="81">
        <v>2.0</v>
      </c>
      <c r="B139" s="82">
        <f>if('WEEK 23'!F138&lt;10,mround('WEEK 23'!B138*0.8,5),IF('WEEK 23'!F138&lt;=14,MROUND('WEEK 23'!B136*0.95,5),'WEEK 23'!B138))</f>
        <v>25</v>
      </c>
      <c r="C139" s="65">
        <v>20.0</v>
      </c>
      <c r="D139" s="83" t="s">
        <v>58</v>
      </c>
      <c r="E139" s="84" t="str">
        <f>IF('WEEK 20'!B129='WEEK 23'!B139,'WEEK 20'!F129,"")</f>
        <v/>
      </c>
      <c r="F139" s="85"/>
      <c r="G139" s="697"/>
      <c r="H139" s="697"/>
      <c r="I139" s="697"/>
      <c r="J139" s="697"/>
      <c r="K139" s="697"/>
      <c r="L139" s="697"/>
      <c r="M139" s="697"/>
    </row>
    <row r="140">
      <c r="A140" s="86">
        <v>3.0</v>
      </c>
      <c r="B140" s="87">
        <f>if('WEEK 23'!F139&lt;10,mround('WEEK 23'!B139*0.8,5),IF('WEEK 23'!F139&lt;=14,MROUND('WEEK 23'!B139*0.95,5),'WEEK 23'!B139))</f>
        <v>20</v>
      </c>
      <c r="C140" s="71">
        <v>20.0</v>
      </c>
      <c r="D140" s="88" t="s">
        <v>58</v>
      </c>
      <c r="E140" s="89" t="str">
        <f>IF('WEEK 20'!B130='WEEK 23'!B140,'WEEK 20'!F130,"")</f>
        <v/>
      </c>
      <c r="F140" s="85"/>
      <c r="G140" s="697"/>
      <c r="H140" s="697"/>
      <c r="I140" s="697"/>
      <c r="J140" s="697"/>
      <c r="K140" s="697"/>
      <c r="L140" s="697"/>
      <c r="M140" s="697"/>
    </row>
    <row r="141">
      <c r="G141" s="697"/>
      <c r="H141" s="697"/>
      <c r="I141" s="697"/>
      <c r="J141" s="697"/>
      <c r="K141" s="697"/>
      <c r="L141" s="697"/>
      <c r="M141" s="697"/>
    </row>
    <row r="142">
      <c r="G142" s="697"/>
      <c r="H142" s="697"/>
      <c r="I142" s="697"/>
      <c r="J142" s="697"/>
      <c r="K142" s="697"/>
      <c r="L142" s="697"/>
      <c r="M142" s="697"/>
    </row>
    <row r="143">
      <c r="A143" s="75" t="str">
        <f>HYPERLINK("https://www.youtube.com/watch?v=9IqvmIhFxtY","5. BICEP CABLE CURL")</f>
        <v>5. BICEP CABLE CURL</v>
      </c>
      <c r="B143" s="53"/>
      <c r="C143" s="53"/>
      <c r="D143" s="53"/>
      <c r="E143" s="53"/>
      <c r="F143" s="54"/>
      <c r="G143" s="698"/>
      <c r="H143" s="75" t="s">
        <v>178</v>
      </c>
      <c r="I143" s="53"/>
      <c r="J143" s="53"/>
      <c r="K143" s="53"/>
      <c r="L143" s="53"/>
      <c r="M143" s="54"/>
    </row>
    <row r="144">
      <c r="A144" s="226" t="s">
        <v>119</v>
      </c>
      <c r="B144" s="76">
        <f>IF('WEEK 21'!B154='WEEK 21'!B156,'WEEK 21'!B154,IF('WEEK 21'!F154&lt;=15,MROUND('WEEK 21'!B152*0.95,5),'WEEK 21'!B154))</f>
        <v>30</v>
      </c>
      <c r="C144" s="13"/>
      <c r="D144" s="13"/>
      <c r="E144" s="13"/>
      <c r="F144" s="57"/>
      <c r="G144" s="985"/>
      <c r="H144" s="226" t="s">
        <v>119</v>
      </c>
      <c r="I144" s="76">
        <f>IF('WEEK 21'!I154='WEEK 21'!I156,'WEEK 21'!I154,IF('WEEK 21'!M154&lt;=15,MROUND('WEEK 21'!I152*0.95,5),'WEEK 21'!I154))</f>
        <v>15</v>
      </c>
      <c r="J144" s="13"/>
      <c r="K144" s="13"/>
      <c r="L144" s="13"/>
      <c r="M144" s="57"/>
    </row>
    <row r="145">
      <c r="A145" s="77" t="s">
        <v>50</v>
      </c>
      <c r="B145" s="78" t="s">
        <v>51</v>
      </c>
      <c r="C145" s="78" t="s">
        <v>52</v>
      </c>
      <c r="D145" s="78" t="s">
        <v>53</v>
      </c>
      <c r="E145" s="80" t="s">
        <v>54</v>
      </c>
      <c r="F145" s="235" t="s">
        <v>55</v>
      </c>
      <c r="G145" s="985"/>
      <c r="H145" s="77" t="s">
        <v>50</v>
      </c>
      <c r="I145" s="78" t="s">
        <v>51</v>
      </c>
      <c r="J145" s="78" t="s">
        <v>52</v>
      </c>
      <c r="K145" s="78" t="s">
        <v>53</v>
      </c>
      <c r="L145" s="80" t="s">
        <v>54</v>
      </c>
      <c r="M145" s="235" t="s">
        <v>55</v>
      </c>
    </row>
    <row r="146">
      <c r="A146" s="81">
        <v>1.0</v>
      </c>
      <c r="B146" s="82">
        <f>MROUND('WEEK 23'!B144,5)</f>
        <v>30</v>
      </c>
      <c r="C146" s="65">
        <v>20.0</v>
      </c>
      <c r="D146" s="83" t="s">
        <v>58</v>
      </c>
      <c r="E146" s="84" t="str">
        <f>IF('WEEK 21'!B154='WEEK 23'!B146,'WEEK 21'!F154,"")</f>
        <v/>
      </c>
      <c r="F146" s="85"/>
      <c r="G146" s="985"/>
      <c r="H146" s="81">
        <v>1.0</v>
      </c>
      <c r="I146" s="82">
        <f>MROUND('WEEK 23'!I144,5)</f>
        <v>15</v>
      </c>
      <c r="J146" s="65">
        <v>20.0</v>
      </c>
      <c r="K146" s="83" t="s">
        <v>58</v>
      </c>
      <c r="L146" s="84" t="str">
        <f>IF('WEEK 21'!I154='WEEK 23'!I146,'WEEK 21'!M154,"")</f>
        <v/>
      </c>
      <c r="M146" s="85"/>
    </row>
    <row r="147">
      <c r="A147" s="81">
        <v>2.0</v>
      </c>
      <c r="B147" s="82">
        <f>if('WEEK 23'!F146&lt;15,mround('WEEK 23'!B146*0.8,5),IF('WEEK 23'!F146&lt;=18,MROUND('WEEK 23'!B144*0.95,5),'WEEK 23'!B146))</f>
        <v>25</v>
      </c>
      <c r="C147" s="65">
        <v>20.0</v>
      </c>
      <c r="D147" s="83" t="s">
        <v>58</v>
      </c>
      <c r="E147" s="84" t="str">
        <f>IF('WEEK 21'!B155='WEEK 23'!B147,'WEEK 21'!F155,"")</f>
        <v/>
      </c>
      <c r="F147" s="85"/>
      <c r="G147" s="985"/>
      <c r="H147" s="81">
        <v>2.0</v>
      </c>
      <c r="I147" s="82">
        <f>if('WEEK 23'!M146&lt;15,mround('WEEK 23'!I146*0.8,5),IF('WEEK 23'!M146&lt;=18,MROUND('WEEK 23'!I144*0.95,5),'WEEK 23'!I146))</f>
        <v>10</v>
      </c>
      <c r="J147" s="65">
        <v>20.0</v>
      </c>
      <c r="K147" s="83" t="s">
        <v>58</v>
      </c>
      <c r="L147" s="84" t="str">
        <f>IF('WEEK 21'!I155='WEEK 23'!I147,'WEEK 21'!M155,"")</f>
        <v/>
      </c>
      <c r="M147" s="85"/>
    </row>
    <row r="148">
      <c r="A148" s="86">
        <v>3.0</v>
      </c>
      <c r="B148" s="87">
        <f>if('WEEK 23'!F147&lt;15,mround('WEEK 23'!B147*0.8,5),IF('WEEK 23'!F147&lt;=18,MROUND('WEEK 23'!B145*0.95,5),'WEEK 23'!B147))</f>
        <v>20</v>
      </c>
      <c r="C148" s="71">
        <v>20.0</v>
      </c>
      <c r="D148" s="88" t="s">
        <v>58</v>
      </c>
      <c r="E148" s="89" t="str">
        <f>IF('WEEK 21'!B156='WEEK 23'!B148,'WEEK 21'!F156,"")</f>
        <v/>
      </c>
      <c r="F148" s="85"/>
      <c r="G148" s="985"/>
      <c r="H148" s="86">
        <v>3.0</v>
      </c>
      <c r="I148" s="87">
        <f>if('WEEK 23'!M147&lt;15,mround('WEEK 23'!I147*0.8,5),IF('WEEK 23'!M147&lt;=18,MROUND('WEEK 23'!I145*0.95,5),'WEEK 23'!I147))</f>
        <v>10</v>
      </c>
      <c r="J148" s="71">
        <v>20.0</v>
      </c>
      <c r="K148" s="88" t="s">
        <v>58</v>
      </c>
      <c r="L148" s="89" t="str">
        <f>IF('WEEK 21'!I156='WEEK 23'!I148,'WEEK 21'!M156,"")</f>
        <v/>
      </c>
      <c r="M148" s="85"/>
    </row>
    <row r="151">
      <c r="A151" s="310" t="str">
        <f>HYPERLINK("https://docs.google.com/a/fitnessresults.com/forms/d/e/1FAIpQLSd7MoczESe8Yjv6BKpmwAZGn9Aiymrs9-UdgfYIUpbr9t5NXg/viewform?usp=pp_url&amp;entry.93370101","CLICK TO COMPLETE WORKOUT")</f>
        <v>CLICK TO COMPLETE WORKOUT</v>
      </c>
      <c r="B151" s="36"/>
      <c r="C151" s="36"/>
      <c r="D151" s="36"/>
      <c r="E151" s="36"/>
      <c r="F151" s="37"/>
    </row>
    <row r="152">
      <c r="A152" s="598"/>
      <c r="B152" s="598"/>
      <c r="C152" s="598"/>
      <c r="D152" s="598"/>
      <c r="E152" s="598"/>
      <c r="F152" s="598"/>
    </row>
    <row r="153">
      <c r="A153" s="639" t="s">
        <v>135</v>
      </c>
      <c r="B153" s="36"/>
      <c r="C153" s="36"/>
      <c r="D153" s="36"/>
      <c r="E153" s="36"/>
      <c r="F153" s="37"/>
    </row>
    <row r="154">
      <c r="A154" s="883"/>
    </row>
    <row r="155">
      <c r="A155" s="884" t="str">
        <f>HYPERLINK("https://www.amazon.com/30-Minute-Body-Investment-Champion/dp/0692791892/ref=sr_1_1?ie=UTF8&amp;qid=1490447969&amp;sr=8-1&amp;keywords=30+minute+body","WANT TO LEARN MORE?")</f>
        <v>WANT TO LEARN MORE?</v>
      </c>
      <c r="B155" s="16"/>
      <c r="C155" s="16"/>
      <c r="D155" s="16"/>
      <c r="E155" s="16"/>
      <c r="F155" s="17"/>
    </row>
    <row r="156">
      <c r="A156" s="18"/>
      <c r="B156" s="13"/>
      <c r="C156" s="13"/>
      <c r="D156" s="13"/>
      <c r="E156" s="13"/>
      <c r="F156" s="14"/>
    </row>
    <row r="157">
      <c r="A157" s="885"/>
      <c r="B157" s="886"/>
      <c r="C157" s="644" t="s">
        <v>67</v>
      </c>
      <c r="D157" s="25"/>
      <c r="E157" s="25"/>
      <c r="F157" s="26"/>
    </row>
    <row r="158">
      <c r="A158" s="887"/>
      <c r="B158" s="888"/>
      <c r="C158" s="529"/>
      <c r="F158" s="28"/>
    </row>
    <row r="159">
      <c r="A159" s="887"/>
      <c r="B159" s="888"/>
      <c r="C159" s="529"/>
      <c r="F159" s="28"/>
    </row>
    <row r="160">
      <c r="A160" s="887"/>
      <c r="B160" s="888"/>
      <c r="C160" s="529"/>
      <c r="F160" s="28"/>
    </row>
    <row r="161">
      <c r="A161" s="887"/>
      <c r="B161" s="888"/>
      <c r="C161" s="529"/>
      <c r="F161" s="28"/>
    </row>
    <row r="162">
      <c r="A162" s="887"/>
      <c r="B162" s="888"/>
      <c r="C162" s="529"/>
      <c r="F162" s="28"/>
    </row>
    <row r="163">
      <c r="A163" s="889"/>
      <c r="B163" s="888"/>
      <c r="C163" s="529"/>
      <c r="F163" s="28"/>
    </row>
    <row r="164">
      <c r="A164" s="887"/>
      <c r="B164" s="888"/>
      <c r="C164" s="529"/>
      <c r="F164" s="28"/>
    </row>
    <row r="165">
      <c r="A165" s="887"/>
      <c r="B165" s="888"/>
      <c r="C165" s="529"/>
      <c r="F165" s="28"/>
    </row>
    <row r="166">
      <c r="A166" s="890"/>
      <c r="B166" s="888"/>
      <c r="C166" s="529"/>
      <c r="F166" s="28"/>
    </row>
    <row r="167">
      <c r="A167" s="887"/>
      <c r="B167" s="888"/>
      <c r="C167" s="529"/>
      <c r="F167" s="28"/>
    </row>
    <row r="168">
      <c r="A168" s="887"/>
      <c r="B168" s="888"/>
      <c r="C168" s="529"/>
      <c r="F168" s="28"/>
    </row>
    <row r="169">
      <c r="A169" s="887"/>
      <c r="B169" s="888"/>
      <c r="C169" s="529"/>
      <c r="F169" s="28"/>
    </row>
    <row r="170">
      <c r="A170" s="887"/>
      <c r="B170" s="888"/>
      <c r="C170" s="529"/>
      <c r="F170" s="28"/>
    </row>
    <row r="171">
      <c r="A171" s="891"/>
      <c r="B171" s="892"/>
      <c r="C171" s="336"/>
      <c r="D171" s="11"/>
      <c r="E171" s="11"/>
      <c r="F171" s="46"/>
    </row>
  </sheetData>
  <mergeCells count="76">
    <mergeCell ref="A95:F95"/>
    <mergeCell ref="B96:F96"/>
    <mergeCell ref="A103:F103"/>
    <mergeCell ref="G103:G105"/>
    <mergeCell ref="H103:M103"/>
    <mergeCell ref="B104:F104"/>
    <mergeCell ref="I104:M104"/>
    <mergeCell ref="G106:G107"/>
    <mergeCell ref="G108:G109"/>
    <mergeCell ref="A111:F111"/>
    <mergeCell ref="A114:F114"/>
    <mergeCell ref="B115:F115"/>
    <mergeCell ref="A121:F121"/>
    <mergeCell ref="B122:F122"/>
    <mergeCell ref="A143:F143"/>
    <mergeCell ref="B144:F144"/>
    <mergeCell ref="A141:F142"/>
    <mergeCell ref="A151:F151"/>
    <mergeCell ref="A153:F153"/>
    <mergeCell ref="A154:F154"/>
    <mergeCell ref="A155:F156"/>
    <mergeCell ref="C157:F171"/>
    <mergeCell ref="A128:F128"/>
    <mergeCell ref="B129:F129"/>
    <mergeCell ref="A135:F135"/>
    <mergeCell ref="B136:F136"/>
    <mergeCell ref="G143:G148"/>
    <mergeCell ref="H143:M143"/>
    <mergeCell ref="I144:M144"/>
    <mergeCell ref="H16:M16"/>
    <mergeCell ref="A17:M18"/>
    <mergeCell ref="A19:F19"/>
    <mergeCell ref="H19:M19"/>
    <mergeCell ref="H20:M20"/>
    <mergeCell ref="I21:M21"/>
    <mergeCell ref="H27:M27"/>
    <mergeCell ref="H29:M29"/>
    <mergeCell ref="A9:F9"/>
    <mergeCell ref="H9:M9"/>
    <mergeCell ref="A10:F11"/>
    <mergeCell ref="H10:M10"/>
    <mergeCell ref="A12:F12"/>
    <mergeCell ref="A13:F13"/>
    <mergeCell ref="H15:M15"/>
    <mergeCell ref="A15:F15"/>
    <mergeCell ref="A16:F16"/>
    <mergeCell ref="G19:G26"/>
    <mergeCell ref="A20:F20"/>
    <mergeCell ref="B21:F21"/>
    <mergeCell ref="A27:F27"/>
    <mergeCell ref="A29:F29"/>
    <mergeCell ref="B34:F34"/>
    <mergeCell ref="H37:M37"/>
    <mergeCell ref="I38:M38"/>
    <mergeCell ref="G40:G41"/>
    <mergeCell ref="G27:G28"/>
    <mergeCell ref="G29:G31"/>
    <mergeCell ref="I34:M34"/>
    <mergeCell ref="A35:M36"/>
    <mergeCell ref="A37:F37"/>
    <mergeCell ref="B38:F38"/>
    <mergeCell ref="G38:G39"/>
    <mergeCell ref="A44:F44"/>
    <mergeCell ref="B45:F45"/>
    <mergeCell ref="A51:F51"/>
    <mergeCell ref="A54:F54"/>
    <mergeCell ref="B57:F57"/>
    <mergeCell ref="A59:F59"/>
    <mergeCell ref="B60:F60"/>
    <mergeCell ref="A67:F67"/>
    <mergeCell ref="B68:F68"/>
    <mergeCell ref="A74:F74"/>
    <mergeCell ref="A76:F76"/>
    <mergeCell ref="A79:F79"/>
    <mergeCell ref="B80:F80"/>
    <mergeCell ref="B92:F92"/>
  </mergeCells>
  <dataValidations>
    <dataValidation type="decimal" operator="greaterThanOrEqual" allowBlank="1" showDropDown="1" showErrorMessage="1" sqref="M12:M14 F22:F26 F39:F41 F130:F133">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14 F81:F85 F87">
      <formula1>0.0</formula1>
    </dataValidation>
  </dataValidations>
  <drawing r:id="rId2"/>
  <legacyDrawing r:id="rId3"/>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'MSW23'!A1</f>
        <v/>
      </c>
    </row>
    <row r="8">
      <c r="A8" s="11"/>
      <c r="B8" s="11"/>
      <c r="C8" s="11"/>
      <c r="D8" s="11"/>
      <c r="E8" s="11"/>
      <c r="F8" s="11"/>
      <c r="G8" s="11"/>
      <c r="H8" s="11"/>
      <c r="I8" s="11"/>
      <c r="J8" s="11"/>
      <c r="K8" s="11"/>
      <c r="L8" s="11"/>
      <c r="M8" s="11"/>
    </row>
    <row r="9">
      <c r="A9" s="12" t="str">
        <f>'MSW23'!A9</f>
        <v>Week 23</v>
      </c>
      <c r="B9" s="13"/>
      <c r="C9" s="13"/>
      <c r="D9" s="13"/>
      <c r="E9" s="13"/>
      <c r="F9" s="14"/>
      <c r="G9" s="103" t="str">
        <f>'MSW23'!G9</f>
        <v/>
      </c>
      <c r="H9" s="24" t="s">
        <v>35</v>
      </c>
      <c r="I9" s="25"/>
      <c r="J9" s="25"/>
      <c r="K9" s="25"/>
      <c r="L9" s="25"/>
      <c r="M9" s="26"/>
    </row>
    <row r="10">
      <c r="A10" s="15" t="str">
        <f>'MSW23'!A10</f>
        <v>PRESS TO RECORD BODY WEIGHT</v>
      </c>
      <c r="B10" s="16"/>
      <c r="C10" s="16"/>
      <c r="D10" s="16"/>
      <c r="E10" s="16"/>
      <c r="F10" s="17"/>
      <c r="H10" s="27" t="s">
        <v>295</v>
      </c>
      <c r="M10" s="28"/>
    </row>
    <row r="11">
      <c r="A11" s="18"/>
      <c r="B11" s="13"/>
      <c r="C11" s="13"/>
      <c r="D11" s="13"/>
      <c r="E11" s="13"/>
      <c r="F11" s="14"/>
      <c r="H11" s="29" t="s">
        <v>296</v>
      </c>
      <c r="I11" s="30"/>
      <c r="J11" s="30"/>
      <c r="K11" s="30"/>
      <c r="L11" s="30"/>
      <c r="M11" s="31"/>
    </row>
    <row r="12">
      <c r="A12" s="19" t="str">
        <f>'MSW23'!A12</f>
        <v>This Weeks Goals</v>
      </c>
      <c r="B12" s="20"/>
      <c r="C12" s="20"/>
      <c r="D12" s="20"/>
      <c r="E12" s="20"/>
      <c r="F12" s="21"/>
      <c r="G12" s="103" t="str">
        <f>'MSW23'!G12</f>
        <v/>
      </c>
    </row>
    <row r="13">
      <c r="A13" s="22" t="str">
        <f>'MSW23'!A13</f>
        <v>Working hard this week establishing new maxes in a few areas. Give it everything you've got. Pay close attention to rest times and rep counts. </v>
      </c>
      <c r="B13" s="20"/>
      <c r="C13" s="20"/>
      <c r="D13" s="20"/>
      <c r="E13" s="20"/>
      <c r="F13" s="21"/>
    </row>
    <row r="14">
      <c r="A14" s="219" t="str">
        <f>'MSW23'!A14</f>
        <v/>
      </c>
    </row>
    <row r="16">
      <c r="A16" s="50" t="str">
        <f>'MSW23'!A16</f>
        <v>DAY 1</v>
      </c>
      <c r="B16" s="36"/>
      <c r="C16" s="36"/>
      <c r="D16" s="36"/>
      <c r="E16" s="36"/>
      <c r="F16" s="37"/>
      <c r="G16" s="141" t="str">
        <f>'MSW23'!G16</f>
        <v/>
      </c>
      <c r="H16" s="50" t="str">
        <f>'MSW23'!H16</f>
        <v>ALTERNATE WORKOUTS</v>
      </c>
      <c r="I16" s="36"/>
      <c r="J16" s="36"/>
      <c r="K16" s="36"/>
      <c r="L16" s="36"/>
      <c r="M16" s="37"/>
    </row>
    <row r="17">
      <c r="A17" s="657" t="str">
        <f>'MSW23'!A17</f>
        <v/>
      </c>
    </row>
    <row r="19">
      <c r="A19" s="1344" t="str">
        <f>'MSW23'!A19</f>
        <v>CHEST &amp; BACK </v>
      </c>
      <c r="B19" s="36"/>
      <c r="C19" s="36"/>
      <c r="D19" s="36"/>
      <c r="E19" s="36"/>
      <c r="F19" s="37"/>
      <c r="G19" s="141" t="str">
        <f>'MSW23'!G19</f>
        <v/>
      </c>
      <c r="H19" s="51" t="str">
        <f>'MSW23'!H19</f>
        <v>CHEST &amp; BACK </v>
      </c>
      <c r="I19" s="36"/>
      <c r="J19" s="36"/>
      <c r="K19" s="36"/>
      <c r="L19" s="36"/>
      <c r="M19" s="37"/>
    </row>
    <row r="20">
      <c r="A20" s="52" t="str">
        <f>'MSW23'!A20</f>
        <v>1. DUMBBELL INCLINE PRESS</v>
      </c>
      <c r="B20" s="53"/>
      <c r="C20" s="53"/>
      <c r="D20" s="53"/>
      <c r="E20" s="53"/>
      <c r="F20" s="54"/>
      <c r="H20" s="52" t="str">
        <f>'MSW23'!H20</f>
        <v>1. MACHINE PRESS</v>
      </c>
      <c r="I20" s="53"/>
      <c r="J20" s="53"/>
      <c r="K20" s="53"/>
      <c r="L20" s="53"/>
      <c r="M20" s="54"/>
    </row>
    <row r="21">
      <c r="A21" s="228" t="str">
        <f>'MSW23'!A21</f>
        <v>CURRENT MAX</v>
      </c>
      <c r="B21" s="229" t="str">
        <f>'MSW23'!B21</f>
        <v/>
      </c>
      <c r="C21" s="16"/>
      <c r="D21" s="16"/>
      <c r="E21" s="16"/>
      <c r="F21" s="230"/>
      <c r="H21" s="228" t="str">
        <f>'MSW23'!H21</f>
        <v>CURRENT MAX</v>
      </c>
      <c r="I21" s="229" t="str">
        <f>'MSW23'!I21</f>
        <v/>
      </c>
      <c r="J21" s="16"/>
      <c r="K21" s="16"/>
      <c r="L21" s="16"/>
      <c r="M21" s="230"/>
    </row>
    <row r="22">
      <c r="A22" s="96" t="str">
        <f>'MSW23'!A22</f>
        <v>SET</v>
      </c>
      <c r="B22" s="97" t="str">
        <f>'MSW23'!B22</f>
        <v>WEIGHT</v>
      </c>
      <c r="C22" s="97" t="str">
        <f>'MSW23'!C22</f>
        <v>REPS</v>
      </c>
      <c r="D22" s="97" t="str">
        <f>'MSW23'!D22</f>
        <v>REST</v>
      </c>
      <c r="E22" s="98" t="str">
        <f>'MSW23'!E22</f>
        <v>PREVIOUS</v>
      </c>
      <c r="F22" s="235" t="str">
        <f>'MSW23'!F22</f>
        <v>REP LOG</v>
      </c>
      <c r="H22" s="96" t="str">
        <f>'MSW23'!H22</f>
        <v>SET</v>
      </c>
      <c r="I22" s="97" t="str">
        <f>'MSW23'!I22</f>
        <v>WEIGHT</v>
      </c>
      <c r="J22" s="97" t="str">
        <f>'MSW23'!J22</f>
        <v>REPS</v>
      </c>
      <c r="K22" s="97" t="str">
        <f>'MSW23'!K22</f>
        <v>REST</v>
      </c>
      <c r="L22" s="98" t="str">
        <f>'MSW23'!L22</f>
        <v>PREVIOUS</v>
      </c>
      <c r="M22" s="235" t="str">
        <f>'MSW23'!M22</f>
        <v>REP LOG</v>
      </c>
    </row>
    <row r="23">
      <c r="A23" s="244">
        <f>'MSW23'!A23</f>
        <v>1</v>
      </c>
      <c r="B23" s="241">
        <f>'MSW23'!B23</f>
        <v>0</v>
      </c>
      <c r="C23" s="63">
        <f>'MSW23'!C23</f>
        <v>6</v>
      </c>
      <c r="D23" s="83" t="str">
        <f>'MSW23'!D23</f>
        <v>1 MIN</v>
      </c>
      <c r="E23" s="84" t="str">
        <f>'MSW23'!E23</f>
        <v/>
      </c>
      <c r="F23" s="85" t="str">
        <f>'MSW23'!F23</f>
        <v/>
      </c>
      <c r="H23" s="244">
        <f>'MSW23'!H23</f>
        <v>1</v>
      </c>
      <c r="I23" s="241">
        <f>'MSW23'!I23</f>
        <v>0</v>
      </c>
      <c r="J23" s="63">
        <f>'MSW23'!J23</f>
        <v>6</v>
      </c>
      <c r="K23" s="83" t="str">
        <f>'MSW23'!K23</f>
        <v>1 MIN</v>
      </c>
      <c r="L23" s="84" t="str">
        <f>'MSW23'!L23</f>
        <v/>
      </c>
      <c r="M23" s="85" t="str">
        <f>'MSW23'!M23</f>
        <v/>
      </c>
    </row>
    <row r="24">
      <c r="A24" s="240">
        <f>'MSW23'!A24</f>
        <v>2</v>
      </c>
      <c r="B24" s="241">
        <f>'MSW23'!B24</f>
        <v>0</v>
      </c>
      <c r="C24" s="241">
        <f>'MSW23'!C24</f>
        <v>1</v>
      </c>
      <c r="D24" s="83" t="str">
        <f>'MSW23'!D24</f>
        <v>1 MIN</v>
      </c>
      <c r="E24" s="84" t="str">
        <f>'MSW23'!E24</f>
        <v/>
      </c>
      <c r="F24" s="85" t="str">
        <f>'MSW23'!F24</f>
        <v/>
      </c>
      <c r="H24" s="240">
        <f>'MSW23'!H24</f>
        <v>2</v>
      </c>
      <c r="I24" s="241">
        <f>'MSW23'!I24</f>
        <v>0</v>
      </c>
      <c r="J24" s="241">
        <f>'MSW23'!J24</f>
        <v>1</v>
      </c>
      <c r="K24" s="83" t="str">
        <f>'MSW23'!K24</f>
        <v>1 MIN</v>
      </c>
      <c r="L24" s="84" t="str">
        <f>'MSW23'!L24</f>
        <v/>
      </c>
      <c r="M24" s="85" t="str">
        <f>'MSW23'!M24</f>
        <v/>
      </c>
    </row>
    <row r="25">
      <c r="A25" s="240">
        <f>'MSW23'!A25</f>
        <v>3</v>
      </c>
      <c r="B25" s="241">
        <f>'MSW23'!B25</f>
        <v>0</v>
      </c>
      <c r="C25" s="63">
        <f>'MSW23'!C25</f>
        <v>1</v>
      </c>
      <c r="D25" s="83" t="str">
        <f>'MSW23'!D25</f>
        <v>1 MIN</v>
      </c>
      <c r="E25" s="84" t="str">
        <f>'MSW23'!E25</f>
        <v/>
      </c>
      <c r="F25" s="85" t="str">
        <f>'MSW23'!F25</f>
        <v/>
      </c>
      <c r="H25" s="240">
        <f>'MSW23'!H25</f>
        <v>3</v>
      </c>
      <c r="I25" s="241">
        <f>'MSW23'!I25</f>
        <v>0</v>
      </c>
      <c r="J25" s="241">
        <f>'MSW23'!J25</f>
        <v>1</v>
      </c>
      <c r="K25" s="83" t="str">
        <f>'MSW23'!K25</f>
        <v>1 MIN</v>
      </c>
      <c r="L25" s="84" t="str">
        <f>'MSW23'!L25</f>
        <v/>
      </c>
      <c r="M25" s="85" t="str">
        <f>'MSW23'!M25</f>
        <v/>
      </c>
    </row>
    <row r="26">
      <c r="A26" s="240">
        <f>'MSW23'!A26</f>
        <v>4</v>
      </c>
      <c r="B26" s="241">
        <f>'MSW23'!B26</f>
        <v>0</v>
      </c>
      <c r="C26" s="245" t="str">
        <f>'MSW23'!C26</f>
        <v>REP OUT</v>
      </c>
      <c r="D26" s="83" t="str">
        <f>'MSW23'!D26</f>
        <v>1 MIN</v>
      </c>
      <c r="E26" s="84" t="str">
        <f>'MSW23'!E26</f>
        <v/>
      </c>
      <c r="F26" s="85" t="str">
        <f>'MSW23'!F26</f>
        <v/>
      </c>
      <c r="H26" s="240">
        <f>'MSW23'!H26</f>
        <v>4</v>
      </c>
      <c r="I26" s="241">
        <f>'MSW23'!I26</f>
        <v>0</v>
      </c>
      <c r="J26" s="245" t="str">
        <f>'MSW23'!J26</f>
        <v>REP OUT</v>
      </c>
      <c r="K26" s="83" t="str">
        <f>'MSW23'!K26</f>
        <v>1 MIN</v>
      </c>
      <c r="L26" s="84" t="str">
        <f>'MSW23'!L26</f>
        <v/>
      </c>
      <c r="M26" s="85" t="str">
        <f>'MSW23'!M26</f>
        <v/>
      </c>
    </row>
    <row r="27">
      <c r="A27" s="248" t="str">
        <f>'MSW23'!A27</f>
        <v>PROCEED TO DOWNSETS</v>
      </c>
      <c r="F27" s="28"/>
      <c r="G27" s="247" t="str">
        <f>'MSW23'!G27</f>
        <v>ALTERNATE</v>
      </c>
      <c r="H27" s="248" t="str">
        <f>'MSW23'!H27</f>
        <v>PROCEED TO DOWNSETS</v>
      </c>
      <c r="M27" s="28"/>
    </row>
    <row r="28">
      <c r="A28" s="251" t="str">
        <f>'MSW23'!A28</f>
        <v/>
      </c>
      <c r="B28" s="252" t="str">
        <f>'MSW23'!B28</f>
        <v/>
      </c>
      <c r="C28" s="253" t="str">
        <f>'MSW23'!C28</f>
        <v/>
      </c>
      <c r="D28" s="254" t="str">
        <f>'MSW23'!D28</f>
        <v/>
      </c>
      <c r="E28" s="84" t="str">
        <f>'MSW23'!E28</f>
        <v/>
      </c>
      <c r="F28" s="67" t="str">
        <f>'MSW23'!F28</f>
        <v/>
      </c>
      <c r="H28" s="251" t="str">
        <f>'MSW23'!H28</f>
        <v/>
      </c>
      <c r="I28" s="252" t="str">
        <f>'MSW23'!I28</f>
        <v/>
      </c>
      <c r="J28" s="253" t="str">
        <f>'MSW23'!J28</f>
        <v/>
      </c>
      <c r="K28" s="254" t="str">
        <f>'MSW23'!K28</f>
        <v/>
      </c>
      <c r="L28" s="84" t="str">
        <f>'MSW23'!L28</f>
        <v/>
      </c>
      <c r="M28" s="67" t="str">
        <f>'MSW23'!M28</f>
        <v/>
      </c>
    </row>
    <row r="29">
      <c r="A29" s="260" t="str">
        <f>'MSW23'!A29</f>
        <v>FILL OUT REP LOG FIRST</v>
      </c>
      <c r="B29" s="16"/>
      <c r="C29" s="16"/>
      <c r="D29" s="16"/>
      <c r="E29" s="16"/>
      <c r="F29" s="230"/>
      <c r="G29" s="141" t="str">
        <f>'MSW23'!G29</f>
        <v/>
      </c>
      <c r="H29" s="260" t="str">
        <f>'MSW23'!H29</f>
        <v>FILL OUT REP LOG FIRST</v>
      </c>
      <c r="I29" s="16"/>
      <c r="J29" s="16"/>
      <c r="K29" s="16"/>
      <c r="L29" s="16"/>
      <c r="M29" s="230"/>
    </row>
    <row r="30">
      <c r="A30" s="545" t="str">
        <f>'MSW23'!A30</f>
        <v/>
      </c>
      <c r="B30" s="261" t="str">
        <f>'MSW23'!B30</f>
        <v/>
      </c>
      <c r="C30" s="262" t="str">
        <f>'MSW23'!C30</f>
        <v/>
      </c>
      <c r="D30" s="65" t="str">
        <f>'MSW23'!D30</f>
        <v/>
      </c>
      <c r="E30" s="84" t="str">
        <f>'MSW23'!E30</f>
        <v/>
      </c>
      <c r="F30" s="263" t="str">
        <f>'MSW23'!F30</f>
        <v/>
      </c>
      <c r="H30" s="91" t="str">
        <f>'MSW23'!H30</f>
        <v/>
      </c>
      <c r="I30" s="261" t="str">
        <f>'MSW23'!I30</f>
        <v/>
      </c>
      <c r="J30" s="262" t="str">
        <f>'MSW23'!J30</f>
        <v/>
      </c>
      <c r="K30" s="65" t="str">
        <f>'MSW23'!K30</f>
        <v/>
      </c>
      <c r="L30" s="84" t="str">
        <f>'MSW23'!L30</f>
        <v/>
      </c>
      <c r="M30" s="263" t="str">
        <f>'MSW23'!M30</f>
        <v/>
      </c>
    </row>
    <row r="31">
      <c r="A31" s="546" t="str">
        <f>'MSW23'!A31</f>
        <v/>
      </c>
      <c r="B31" s="254" t="str">
        <f>'MSW23'!B31</f>
        <v/>
      </c>
      <c r="C31" s="253" t="str">
        <f>'MSW23'!C31</f>
        <v/>
      </c>
      <c r="D31" s="65" t="str">
        <f>'MSW23'!D31</f>
        <v/>
      </c>
      <c r="E31" s="84" t="str">
        <f>'MSW23'!E31</f>
        <v/>
      </c>
      <c r="F31" s="270" t="str">
        <f>'MSW23'!F31</f>
        <v/>
      </c>
      <c r="H31" s="269" t="str">
        <f>'MSW23'!H31</f>
        <v/>
      </c>
      <c r="I31" s="254" t="str">
        <f>'MSW23'!I31</f>
        <v/>
      </c>
      <c r="J31" s="253" t="str">
        <f>'MSW23'!J31</f>
        <v/>
      </c>
      <c r="K31" s="65" t="str">
        <f>'MSW23'!K31</f>
        <v/>
      </c>
      <c r="L31" s="84" t="str">
        <f>'MSW23'!L31</f>
        <v/>
      </c>
      <c r="M31" s="270" t="str">
        <f>'MSW23'!M31</f>
        <v/>
      </c>
    </row>
    <row r="32">
      <c r="A32" s="546" t="str">
        <f>'MSW23'!A32</f>
        <v/>
      </c>
      <c r="B32" s="254" t="str">
        <f>'MSW23'!B32</f>
        <v/>
      </c>
      <c r="C32" s="253" t="str">
        <f>'MSW23'!C32</f>
        <v/>
      </c>
      <c r="D32" s="65" t="str">
        <f>'MSW23'!D32</f>
        <v/>
      </c>
      <c r="E32" s="84" t="str">
        <f>'MSW23'!E32</f>
        <v/>
      </c>
      <c r="F32" s="270" t="str">
        <f>'MSW23'!F32</f>
        <v/>
      </c>
      <c r="G32" s="141" t="str">
        <f>'MSW23'!G32</f>
        <v/>
      </c>
      <c r="H32" s="269" t="str">
        <f>'MSW23'!H32</f>
        <v/>
      </c>
      <c r="I32" s="254" t="str">
        <f>'MSW23'!I32</f>
        <v/>
      </c>
      <c r="J32" s="253" t="str">
        <f>'MSW23'!J32</f>
        <v/>
      </c>
      <c r="K32" s="65" t="str">
        <f>'MSW23'!K32</f>
        <v/>
      </c>
      <c r="L32" s="84" t="str">
        <f>'MSW23'!L32</f>
        <v/>
      </c>
      <c r="M32" s="270" t="str">
        <f>'MSW23'!M32</f>
        <v/>
      </c>
    </row>
    <row r="33">
      <c r="A33" s="546" t="str">
        <f>'MSW23'!A33</f>
        <v/>
      </c>
      <c r="B33" s="254" t="str">
        <f>'MSW23'!B33</f>
        <v/>
      </c>
      <c r="C33" s="253" t="str">
        <f>'MSW23'!C33</f>
        <v/>
      </c>
      <c r="D33" s="65" t="str">
        <f>'MSW23'!D33</f>
        <v/>
      </c>
      <c r="E33" s="84" t="str">
        <f>'MSW23'!E33</f>
        <v/>
      </c>
      <c r="F33" s="270" t="str">
        <f>'MSW23'!F33</f>
        <v/>
      </c>
      <c r="G33" s="141" t="str">
        <f>'MSW23'!G33</f>
        <v/>
      </c>
      <c r="H33" s="269" t="str">
        <f>'MSW23'!H33</f>
        <v/>
      </c>
      <c r="I33" s="254" t="str">
        <f>'MSW23'!I33</f>
        <v/>
      </c>
      <c r="J33" s="253" t="str">
        <f>'MSW23'!J33</f>
        <v/>
      </c>
      <c r="K33" s="65" t="str">
        <f>'MSW23'!K33</f>
        <v/>
      </c>
      <c r="L33" s="84" t="str">
        <f>'MSW23'!L33</f>
        <v/>
      </c>
      <c r="M33" s="270" t="str">
        <f>'MSW23'!M33</f>
        <v/>
      </c>
    </row>
    <row r="34">
      <c r="A34" s="280" t="str">
        <f>'MSW23'!A34</f>
        <v>FINAL MAX</v>
      </c>
      <c r="B34" s="273" t="str">
        <f>'MSW23'!B34</f>
        <v/>
      </c>
      <c r="C34" s="11"/>
      <c r="D34" s="11"/>
      <c r="E34" s="11"/>
      <c r="F34" s="46"/>
      <c r="G34" s="141" t="str">
        <f>'MSW23'!G34</f>
        <v/>
      </c>
      <c r="H34" s="280" t="str">
        <f>'MSW23'!H34</f>
        <v>FINAL MAX</v>
      </c>
      <c r="I34" s="273" t="str">
        <f>'MSW23'!I34</f>
        <v/>
      </c>
      <c r="J34" s="11"/>
      <c r="K34" s="11"/>
      <c r="L34" s="11"/>
      <c r="M34" s="46"/>
    </row>
    <row r="35">
      <c r="A35" s="658" t="str">
        <f>'MSW23'!A35</f>
        <v/>
      </c>
    </row>
    <row r="37">
      <c r="A37" s="440" t="str">
        <f>'MSW23'!A37</f>
        <v>2. DUMBBELL CHEST FLY</v>
      </c>
      <c r="B37" s="53"/>
      <c r="C37" s="53"/>
      <c r="D37" s="53"/>
      <c r="E37" s="53"/>
      <c r="F37" s="54"/>
      <c r="G37" s="659" t="str">
        <f>'MSW23'!G37</f>
        <v/>
      </c>
      <c r="H37" s="504" t="str">
        <f>'MSW23'!H37</f>
        <v>2. MACHINE CHEST FLY</v>
      </c>
      <c r="I37" s="53"/>
      <c r="J37" s="53"/>
      <c r="K37" s="53"/>
      <c r="L37" s="53"/>
      <c r="M37" s="54"/>
    </row>
    <row r="38">
      <c r="A38" s="226" t="str">
        <f>'MSW23'!A38</f>
        <v>DB INCL PRSS MAX</v>
      </c>
      <c r="B38" s="548" t="str">
        <f>'MSW23'!B38</f>
        <v/>
      </c>
      <c r="C38" s="13"/>
      <c r="D38" s="13"/>
      <c r="E38" s="13"/>
      <c r="F38" s="57"/>
      <c r="G38" s="247" t="str">
        <f>'MSW23'!G38</f>
        <v>ALTERNATE</v>
      </c>
      <c r="H38" s="226" t="str">
        <f>'MSW23'!H38</f>
        <v>DB INCL PRSS MAX</v>
      </c>
      <c r="I38" s="548" t="str">
        <f>'MSW23'!I38</f>
        <v/>
      </c>
      <c r="J38" s="13"/>
      <c r="K38" s="13"/>
      <c r="L38" s="13"/>
      <c r="M38" s="57"/>
    </row>
    <row r="39">
      <c r="A39" s="96" t="str">
        <f>'MSW23'!A39</f>
        <v>SET</v>
      </c>
      <c r="B39" s="97" t="str">
        <f>'MSW23'!B39</f>
        <v>WEIGHT</v>
      </c>
      <c r="C39" s="97" t="str">
        <f>'MSW23'!C39</f>
        <v>REPS</v>
      </c>
      <c r="D39" s="97" t="str">
        <f>'MSW23'!D39</f>
        <v>REST</v>
      </c>
      <c r="E39" s="98" t="str">
        <f>'MSW23'!E39</f>
        <v>PREVIOUS</v>
      </c>
      <c r="F39" s="235" t="str">
        <f>'MSW23'!F39</f>
        <v>REP LOG</v>
      </c>
      <c r="H39" s="96" t="str">
        <f>'MSW23'!H39</f>
        <v>SET</v>
      </c>
      <c r="I39" s="97" t="str">
        <f>'MSW23'!I39</f>
        <v>WEIGHT</v>
      </c>
      <c r="J39" s="97" t="str">
        <f>'MSW23'!J39</f>
        <v>REPS</v>
      </c>
      <c r="K39" s="97" t="str">
        <f>'MSW23'!K39</f>
        <v>REST</v>
      </c>
      <c r="L39" s="341" t="str">
        <f>'MSW23'!L39</f>
        <v>PREVIOUS</v>
      </c>
      <c r="M39" s="235" t="str">
        <f>'MSW23'!M39</f>
        <v>REP LOG</v>
      </c>
    </row>
    <row r="40">
      <c r="A40" s="240">
        <f>'MSW23'!A40</f>
        <v>1</v>
      </c>
      <c r="B40" s="254">
        <f>'MSW23'!B40</f>
        <v>0</v>
      </c>
      <c r="C40" s="241">
        <f>'MSW23'!C40</f>
        <v>15</v>
      </c>
      <c r="D40" s="83" t="str">
        <f>'MSW23'!D40</f>
        <v>1 MIN</v>
      </c>
      <c r="E40" s="84" t="str">
        <f>'MSW23'!E40</f>
        <v/>
      </c>
      <c r="F40" s="85" t="str">
        <f>'MSW23'!F40</f>
        <v/>
      </c>
      <c r="G40" s="659" t="str">
        <f>'MSW23'!G40</f>
        <v/>
      </c>
      <c r="H40" s="240">
        <f>'MSW23'!H40</f>
        <v>1</v>
      </c>
      <c r="I40" s="254">
        <f>'MSW23'!I40</f>
        <v>0</v>
      </c>
      <c r="J40" s="241">
        <f>'MSW23'!J40</f>
        <v>15</v>
      </c>
      <c r="K40" s="83" t="str">
        <f>'MSW23'!K40</f>
        <v>1 MIN</v>
      </c>
      <c r="L40" s="84" t="str">
        <f>'MSW23'!L40</f>
        <v/>
      </c>
      <c r="M40" s="85" t="str">
        <f>'MSW23'!M40</f>
        <v/>
      </c>
    </row>
    <row r="41">
      <c r="A41" s="661">
        <f>'MSW23'!A41</f>
        <v>2</v>
      </c>
      <c r="B41" s="662">
        <f>'MSW23'!B41</f>
        <v>0</v>
      </c>
      <c r="C41" s="69">
        <f>'MSW23'!C41</f>
        <v>15</v>
      </c>
      <c r="D41" s="88" t="str">
        <f>'MSW23'!D41</f>
        <v>1 MIN</v>
      </c>
      <c r="E41" s="89" t="str">
        <f>'MSW23'!E41</f>
        <v/>
      </c>
      <c r="F41" s="85" t="str">
        <f>'MSW23'!F41</f>
        <v/>
      </c>
      <c r="H41" s="661">
        <f>'MSW23'!H41</f>
        <v>2</v>
      </c>
      <c r="I41" s="662">
        <f>'MSW23'!I41</f>
        <v>0</v>
      </c>
      <c r="J41" s="662">
        <f>'MSW23'!J41</f>
        <v>15</v>
      </c>
      <c r="K41" s="88" t="str">
        <f>'MSW23'!K41</f>
        <v>1 MIN</v>
      </c>
      <c r="L41" s="89" t="str">
        <f>'MSW23'!L41</f>
        <v/>
      </c>
      <c r="M41" s="85" t="str">
        <f>'MSW23'!M41</f>
        <v/>
      </c>
    </row>
    <row r="42">
      <c r="A42" t="str">
        <f>'MSW23'!A42</f>
        <v/>
      </c>
      <c r="G42" t="str">
        <f>'MSW23'!G42</f>
        <v/>
      </c>
    </row>
    <row r="44">
      <c r="A44" s="73" t="str">
        <f>'MSW23'!A44</f>
        <v>3. MACHINE HIGH ROW</v>
      </c>
      <c r="B44" s="53"/>
      <c r="C44" s="53"/>
      <c r="D44" s="53"/>
      <c r="E44" s="53"/>
      <c r="F44" s="54"/>
    </row>
    <row r="45">
      <c r="A45" s="226" t="str">
        <f>'MSW23'!A45</f>
        <v>CURRENT MAX</v>
      </c>
      <c r="B45" s="227" t="str">
        <f>'MSW23'!B45</f>
        <v/>
      </c>
      <c r="C45" s="20"/>
      <c r="D45" s="20"/>
      <c r="E45" s="20"/>
      <c r="F45" s="95"/>
    </row>
    <row r="46">
      <c r="A46" s="231" t="str">
        <f>'MSW23'!A46</f>
        <v>SET</v>
      </c>
      <c r="B46" s="232" t="str">
        <f>'MSW23'!B46</f>
        <v>WEIGHT</v>
      </c>
      <c r="C46" s="232" t="str">
        <f>'MSW23'!C46</f>
        <v>REPS</v>
      </c>
      <c r="D46" s="232" t="str">
        <f>'MSW23'!D46</f>
        <v>REST</v>
      </c>
      <c r="E46" s="233" t="str">
        <f>'MSW23'!E46</f>
        <v>PREVIOUS</v>
      </c>
      <c r="F46" s="61" t="str">
        <f>'MSW23'!F46</f>
        <v>REP LOG</v>
      </c>
    </row>
    <row r="47">
      <c r="A47" s="236">
        <f>'MSW23'!A47</f>
        <v>1</v>
      </c>
      <c r="B47" s="237">
        <f>'MSW23'!B47</f>
        <v>0</v>
      </c>
      <c r="C47" s="237">
        <f>'MSW23'!C47</f>
        <v>6</v>
      </c>
      <c r="D47" s="238" t="str">
        <f>'MSW23'!D47</f>
        <v>30s</v>
      </c>
      <c r="E47" s="727" t="str">
        <f>'MSW23'!E47</f>
        <v/>
      </c>
      <c r="F47" s="67" t="str">
        <f>'MSW23'!F47</f>
        <v/>
      </c>
    </row>
    <row r="48">
      <c r="A48" s="236">
        <f>'MSW23'!A48</f>
        <v>2</v>
      </c>
      <c r="B48" s="237">
        <f>'MSW23'!B48</f>
        <v>0</v>
      </c>
      <c r="C48" s="238">
        <f>'MSW23'!C48</f>
        <v>3</v>
      </c>
      <c r="D48" s="238" t="str">
        <f>'MSW23'!D48</f>
        <v>1-2 MIN</v>
      </c>
      <c r="E48" s="727" t="str">
        <f>'MSW23'!E48</f>
        <v/>
      </c>
      <c r="F48" s="67" t="str">
        <f>'MSW23'!F48</f>
        <v/>
      </c>
    </row>
    <row r="49">
      <c r="A49" s="242">
        <f>'MSW23'!A49</f>
        <v>3</v>
      </c>
      <c r="B49" s="237">
        <f>'MSW23'!B49</f>
        <v>0</v>
      </c>
      <c r="C49" s="63">
        <f>'MSW23'!C49</f>
        <v>2</v>
      </c>
      <c r="D49" s="238" t="str">
        <f>'MSW23'!D49</f>
        <v>1-2 MIN</v>
      </c>
      <c r="E49" s="727" t="str">
        <f>'MSW23'!E49</f>
        <v/>
      </c>
      <c r="F49" s="67" t="str">
        <f>'MSW23'!F49</f>
        <v/>
      </c>
    </row>
    <row r="50">
      <c r="A50" s="243">
        <f>'MSW23'!A50</f>
        <v>4</v>
      </c>
      <c r="B50" s="237" t="str">
        <f>'MSW23'!B50</f>
        <v/>
      </c>
      <c r="C50" s="257">
        <f>'MSW23'!C50</f>
        <v>3</v>
      </c>
      <c r="D50" s="238" t="str">
        <f>'MSW23'!D50</f>
        <v>1-5 MIN</v>
      </c>
      <c r="E50" s="727" t="str">
        <f>'MSW23'!E50</f>
        <v/>
      </c>
      <c r="F50" s="67" t="str">
        <f>'MSW23'!F50</f>
        <v/>
      </c>
    </row>
    <row r="51">
      <c r="A51" s="246" t="str">
        <f>'MSW23'!A51</f>
        <v>PROCEED TO DOWN SETS</v>
      </c>
      <c r="B51" s="20"/>
      <c r="C51" s="20"/>
      <c r="D51" s="20"/>
      <c r="E51" s="20"/>
      <c r="F51" s="95"/>
    </row>
    <row r="52">
      <c r="A52" s="249" t="str">
        <f>'MSW23'!A52</f>
        <v/>
      </c>
      <c r="B52" s="175" t="str">
        <f>'MSW23'!B52</f>
        <v/>
      </c>
      <c r="C52" s="238" t="str">
        <f>'MSW23'!C52</f>
        <v/>
      </c>
      <c r="D52" s="238" t="str">
        <f>'MSW23'!D52</f>
        <v/>
      </c>
      <c r="E52" s="727" t="str">
        <f>'MSW23'!E52</f>
        <v/>
      </c>
      <c r="F52" s="67" t="str">
        <f>'MSW23'!F52</f>
        <v/>
      </c>
    </row>
    <row r="53">
      <c r="A53" s="259" t="str">
        <f>'MSW23'!A53</f>
        <v/>
      </c>
      <c r="B53" s="237" t="str">
        <f>'MSW23'!B53</f>
        <v/>
      </c>
      <c r="C53" s="257" t="str">
        <f>'MSW23'!C53</f>
        <v/>
      </c>
      <c r="D53" s="257" t="str">
        <f>'MSW23'!D53</f>
        <v/>
      </c>
      <c r="E53" s="727" t="str">
        <f>'MSW23'!E53</f>
        <v/>
      </c>
      <c r="F53" s="67" t="str">
        <f>'MSW23'!F53</f>
        <v/>
      </c>
    </row>
    <row r="54">
      <c r="A54" s="246" t="str">
        <f>'MSW23'!A54</f>
        <v>DOWN SETS</v>
      </c>
      <c r="B54" s="20"/>
      <c r="C54" s="20"/>
      <c r="D54" s="20"/>
      <c r="E54" s="20"/>
      <c r="F54" s="95"/>
    </row>
    <row r="55">
      <c r="A55" s="264">
        <f>'MSW23'!A55</f>
        <v>5</v>
      </c>
      <c r="B55" s="265">
        <f>'MSW23'!B55</f>
        <v>0</v>
      </c>
      <c r="C55" s="266" t="str">
        <f>'MSW23'!C55</f>
        <v>REP OUT</v>
      </c>
      <c r="D55" s="267" t="str">
        <f>'MSW23'!D55</f>
        <v>1-3 MIN</v>
      </c>
      <c r="E55" s="727" t="str">
        <f>'MSW23'!E55</f>
        <v/>
      </c>
      <c r="F55" s="67" t="str">
        <f>'MSW23'!F55</f>
        <v/>
      </c>
    </row>
    <row r="56">
      <c r="A56" s="243">
        <f>'MSW23'!A56</f>
        <v>6</v>
      </c>
      <c r="B56" s="237">
        <f>'MSW23'!B56</f>
        <v>0</v>
      </c>
      <c r="C56" s="245" t="str">
        <f>'MSW23'!C56</f>
        <v>REP OUT</v>
      </c>
      <c r="D56" s="65" t="str">
        <f>'MSW23'!D56</f>
        <v>1-3 MIN</v>
      </c>
      <c r="E56" s="727" t="str">
        <f>'MSW23'!E56</f>
        <v/>
      </c>
      <c r="F56" s="271" t="str">
        <f>'MSW23'!F56</f>
        <v/>
      </c>
    </row>
    <row r="57">
      <c r="A57" s="228" t="str">
        <f>'MSW23'!A57</f>
        <v>FINAL MAX</v>
      </c>
      <c r="B57" s="549" t="str">
        <f>'MSW23'!B57</f>
        <v/>
      </c>
      <c r="F57" s="28"/>
    </row>
    <row r="58">
      <c r="A58" s="750" t="str">
        <f>'MSW23'!A58</f>
        <v/>
      </c>
      <c r="B58" s="36"/>
      <c r="C58" s="36"/>
      <c r="D58" s="36"/>
      <c r="E58" s="36"/>
      <c r="F58" s="36"/>
    </row>
    <row r="59">
      <c r="A59" s="751" t="str">
        <f>'MSW23'!A59</f>
        <v>4. LAT PULL DOWN</v>
      </c>
      <c r="B59" s="13"/>
      <c r="C59" s="13"/>
      <c r="D59" s="13"/>
      <c r="E59" s="13"/>
      <c r="F59" s="57"/>
    </row>
    <row r="60">
      <c r="A60" s="226" t="str">
        <f>'MSW23'!A60</f>
        <v>CURRENT MAX</v>
      </c>
      <c r="B60" s="691" t="str">
        <f>'MSW23'!B60</f>
        <v/>
      </c>
      <c r="C60" s="13"/>
      <c r="D60" s="13"/>
      <c r="E60" s="13"/>
      <c r="F60" s="57"/>
    </row>
    <row r="61">
      <c r="A61" s="96" t="str">
        <f>'MSW23'!A61</f>
        <v>SET</v>
      </c>
      <c r="B61" s="97" t="str">
        <f>'MSW23'!B61</f>
        <v>WEIGHT</v>
      </c>
      <c r="C61" s="97" t="str">
        <f>'MSW23'!C61</f>
        <v>REPS</v>
      </c>
      <c r="D61" s="97" t="str">
        <f>'MSW23'!D61</f>
        <v>REST</v>
      </c>
      <c r="E61" s="341" t="str">
        <f>'MSW23'!E61</f>
        <v>PREVIOUS</v>
      </c>
      <c r="F61" s="235" t="str">
        <f>'MSW23'!F61</f>
        <v>REP LOG</v>
      </c>
    </row>
    <row r="62">
      <c r="A62" s="725">
        <f>'MSW23'!A62</f>
        <v>1</v>
      </c>
      <c r="B62" s="344">
        <f>'MSW23'!B62</f>
        <v>0</v>
      </c>
      <c r="C62" s="437" t="str">
        <f>'MSW23'!C62</f>
        <v>REP OUT</v>
      </c>
      <c r="D62" s="343" t="str">
        <f>'MSW23'!D62</f>
        <v>1 MIN</v>
      </c>
      <c r="E62" s="727" t="str">
        <f>'MSW23'!E62</f>
        <v/>
      </c>
      <c r="F62" s="85"/>
    </row>
    <row r="63">
      <c r="A63" s="725">
        <f>'MSW23'!A63</f>
        <v>2</v>
      </c>
      <c r="B63" s="344">
        <f>'MSW23'!B63</f>
        <v>0</v>
      </c>
      <c r="C63" s="437" t="str">
        <f>'MSW23'!C63</f>
        <v>REP OUT</v>
      </c>
      <c r="D63" s="343" t="str">
        <f>'MSW23'!D63</f>
        <v>1 MIN</v>
      </c>
      <c r="E63" s="727" t="str">
        <f>'MSW23'!E63</f>
        <v/>
      </c>
      <c r="F63" s="85"/>
    </row>
    <row r="64">
      <c r="A64" s="753">
        <f>'MSW23'!A64</f>
        <v>3</v>
      </c>
      <c r="B64" s="754">
        <f>'MSW23'!B64</f>
        <v>0</v>
      </c>
      <c r="C64" s="733" t="str">
        <f>'MSW23'!C64</f>
        <v>REP OUT</v>
      </c>
      <c r="D64" s="486" t="str">
        <f>'MSW23'!D64</f>
        <v>1 MIN</v>
      </c>
      <c r="E64" s="734" t="str">
        <f>'MSW23'!E64</f>
        <v/>
      </c>
      <c r="F64" s="85" t="str">
        <f>'MSW23'!F64</f>
        <v/>
      </c>
    </row>
    <row r="65">
      <c r="A65" s="756" t="str">
        <f>'MSW23'!A65</f>
        <v/>
      </c>
    </row>
    <row r="67">
      <c r="A67" s="73" t="str">
        <f>'MSW23'!A67</f>
        <v>5. LOW ROW </v>
      </c>
      <c r="B67" s="53"/>
      <c r="C67" s="53"/>
      <c r="D67" s="53"/>
      <c r="E67" s="53"/>
      <c r="F67" s="54"/>
    </row>
    <row r="68">
      <c r="A68" s="226" t="str">
        <f>'MSW23'!A68</f>
        <v>CURRENT MAX</v>
      </c>
      <c r="B68" s="691">
        <f>'MSW23'!B68</f>
        <v>270</v>
      </c>
      <c r="C68" s="13"/>
      <c r="D68" s="13"/>
      <c r="E68" s="13"/>
      <c r="F68" s="57"/>
    </row>
    <row r="69">
      <c r="A69" s="96" t="str">
        <f>'MSW23'!A69</f>
        <v>SET</v>
      </c>
      <c r="B69" s="97" t="str">
        <f>'MSW23'!B69</f>
        <v>WEIGHT</v>
      </c>
      <c r="C69" s="97" t="str">
        <f>'MSW23'!C69</f>
        <v>REPS</v>
      </c>
      <c r="D69" s="97" t="str">
        <f>'MSW23'!D69</f>
        <v>REST</v>
      </c>
      <c r="E69" s="341" t="str">
        <f>'MSW23'!E69</f>
        <v>PREVIOUS</v>
      </c>
      <c r="F69" s="235" t="str">
        <f>'MSW23'!F69</f>
        <v>REP LOG</v>
      </c>
    </row>
    <row r="70">
      <c r="A70" s="725">
        <f>'MSW23'!A70</f>
        <v>1</v>
      </c>
      <c r="B70" s="344">
        <f>'MSW23'!B70</f>
        <v>230</v>
      </c>
      <c r="C70" s="437" t="str">
        <f>'MSW23'!C70</f>
        <v>REP OUT</v>
      </c>
      <c r="D70" s="343" t="str">
        <f>'MSW23'!D70</f>
        <v>1-3 MIN</v>
      </c>
      <c r="E70" s="727" t="str">
        <f>'MSW23'!E70</f>
        <v/>
      </c>
      <c r="F70" s="85" t="str">
        <f>'MSW23'!F70</f>
        <v/>
      </c>
    </row>
    <row r="71">
      <c r="A71" s="725">
        <f>'MSW23'!A71</f>
        <v>2</v>
      </c>
      <c r="B71" s="344">
        <f>'MSW23'!B71</f>
        <v>175</v>
      </c>
      <c r="C71" s="437" t="str">
        <f>'MSW23'!C71</f>
        <v>REP OUT</v>
      </c>
      <c r="D71" s="343" t="str">
        <f>'MSW23'!D71</f>
        <v>1-3 MIN</v>
      </c>
      <c r="E71" s="727" t="str">
        <f>'MSW23'!E71</f>
        <v/>
      </c>
      <c r="F71" s="85" t="str">
        <f>'MSW23'!F71</f>
        <v/>
      </c>
    </row>
    <row r="72">
      <c r="A72" s="753">
        <f>'MSW23'!A72</f>
        <v>3</v>
      </c>
      <c r="B72" s="754">
        <f>'MSW23'!B72</f>
        <v>140</v>
      </c>
      <c r="C72" s="733" t="str">
        <f>'MSW23'!C72</f>
        <v>REP OUT</v>
      </c>
      <c r="D72" s="486" t="str">
        <f>'MSW23'!D72</f>
        <v>1-3 MIN</v>
      </c>
      <c r="E72" s="734" t="str">
        <f>'MSW23'!E72</f>
        <v/>
      </c>
      <c r="F72" s="85" t="str">
        <f>'MSW23'!F72</f>
        <v/>
      </c>
    </row>
    <row r="73">
      <c r="A73" s="1157" t="str">
        <f>'MSW23'!A73</f>
        <v/>
      </c>
      <c r="F73" s="39"/>
    </row>
    <row r="74">
      <c r="A74" s="310" t="str">
        <f>'MSW23'!A74</f>
        <v>CLICK TO COMPLETE WORKOUT</v>
      </c>
      <c r="B74" s="36"/>
      <c r="C74" s="36"/>
      <c r="D74" s="36"/>
      <c r="E74" s="36"/>
      <c r="F74" s="37"/>
    </row>
    <row r="75">
      <c r="A75" s="763" t="str">
        <f>'MSW23'!A75</f>
        <v/>
      </c>
      <c r="B75" s="11"/>
      <c r="C75" s="11"/>
      <c r="D75" s="11"/>
      <c r="E75" s="11"/>
      <c r="F75" s="11"/>
    </row>
    <row r="76">
      <c r="A76" s="50" t="str">
        <f>'MSW23'!A76</f>
        <v>DAY 2 </v>
      </c>
      <c r="B76" s="36"/>
      <c r="C76" s="36"/>
      <c r="D76" s="36"/>
      <c r="E76" s="36"/>
      <c r="F76" s="37"/>
    </row>
    <row r="77">
      <c r="A77" t="str">
        <f>'MSW23'!A77</f>
        <v/>
      </c>
    </row>
    <row r="79">
      <c r="A79" s="1355" t="str">
        <f>'MSW23'!A79</f>
        <v>1. MACHINE SQUAT</v>
      </c>
      <c r="B79" s="53"/>
      <c r="C79" s="53"/>
      <c r="D79" s="53"/>
      <c r="E79" s="53"/>
      <c r="F79" s="54"/>
    </row>
    <row r="80">
      <c r="A80" s="1262" t="str">
        <f>'MSW23'!A80</f>
        <v>CURRENT MAX</v>
      </c>
      <c r="B80" s="1035">
        <f>'MSW23'!B80</f>
        <v>100</v>
      </c>
      <c r="C80" s="13"/>
      <c r="D80" s="13"/>
      <c r="E80" s="13"/>
      <c r="F80" s="57"/>
    </row>
    <row r="81">
      <c r="A81" s="231" t="str">
        <f>'MSW23'!A81</f>
        <v>SET</v>
      </c>
      <c r="B81" s="232" t="str">
        <f>'MSW23'!B81</f>
        <v>WEIGHT</v>
      </c>
      <c r="C81" s="232" t="str">
        <f>'MSW23'!C81</f>
        <v>REPS</v>
      </c>
      <c r="D81" s="232" t="str">
        <f>'MSW23'!D81</f>
        <v>REST</v>
      </c>
      <c r="E81" s="233" t="str">
        <f>'MSW23'!E81</f>
        <v>PREVIOUS</v>
      </c>
      <c r="F81" s="61" t="str">
        <f>'MSW23'!F81</f>
        <v>REP LOG</v>
      </c>
    </row>
    <row r="82">
      <c r="A82" s="236">
        <f>'MSW23'!A82</f>
        <v>1</v>
      </c>
      <c r="B82" s="237">
        <f>'MSW23'!B82</f>
        <v>35</v>
      </c>
      <c r="C82" s="238">
        <f>'MSW23'!C82</f>
        <v>10</v>
      </c>
      <c r="D82" s="238" t="str">
        <f>'MSW23'!D82</f>
        <v>30s</v>
      </c>
      <c r="E82" s="66" t="str">
        <f>'MSW23'!E82</f>
        <v/>
      </c>
      <c r="F82" s="1300" t="str">
        <f>'MSW23'!F82</f>
        <v/>
      </c>
    </row>
    <row r="83">
      <c r="A83" s="236">
        <f>'MSW23'!A83</f>
        <v>2</v>
      </c>
      <c r="B83" s="237">
        <f>'MSW23'!B83</f>
        <v>65</v>
      </c>
      <c r="C83" s="238">
        <f>'MSW23'!C83</f>
        <v>10</v>
      </c>
      <c r="D83" s="238" t="str">
        <f>'MSW23'!D83</f>
        <v>1-2 MIN</v>
      </c>
      <c r="E83" s="66" t="str">
        <f>'MSW23'!E83</f>
        <v/>
      </c>
      <c r="F83" s="1300" t="str">
        <f>'MSW23'!F83</f>
        <v/>
      </c>
    </row>
    <row r="84">
      <c r="A84" s="242">
        <f>'MSW23'!A84</f>
        <v>3</v>
      </c>
      <c r="B84" s="237">
        <f>'MSW23'!B84</f>
        <v>90</v>
      </c>
      <c r="C84" s="238">
        <f>'MSW23'!C84</f>
        <v>10</v>
      </c>
      <c r="D84" s="238" t="str">
        <f>'MSW23'!D84</f>
        <v>1-2 MIN</v>
      </c>
      <c r="E84" s="66" t="str">
        <f>'MSW23'!E84</f>
        <v/>
      </c>
      <c r="F84" s="1300" t="str">
        <f>'MSW23'!F84</f>
        <v/>
      </c>
    </row>
    <row r="85">
      <c r="A85" s="249">
        <f>'MSW23'!A85</f>
        <v>4</v>
      </c>
      <c r="B85" s="175">
        <f>'MSW23'!B85</f>
        <v>70</v>
      </c>
      <c r="C85" s="238">
        <f>'MSW23'!C85</f>
        <v>10</v>
      </c>
      <c r="D85" s="238" t="str">
        <f>'MSW23'!D85</f>
        <v>1-5 MIN</v>
      </c>
      <c r="E85" s="66" t="str">
        <f>'MSW23'!E85</f>
        <v/>
      </c>
      <c r="F85" s="1300" t="str">
        <f>'MSW23'!F85</f>
        <v/>
      </c>
    </row>
    <row r="86">
      <c r="A86" s="249">
        <f>'MSW23'!A86</f>
        <v>5</v>
      </c>
      <c r="B86" s="175">
        <f>'MSW23'!B86</f>
        <v>55</v>
      </c>
      <c r="C86" s="238">
        <f>'MSW23'!C86</f>
        <v>10</v>
      </c>
      <c r="D86" s="238" t="str">
        <f>'MSW23'!D86</f>
        <v>1-5 MIN</v>
      </c>
      <c r="E86" s="66" t="str">
        <f>'MSW23'!E86</f>
        <v/>
      </c>
      <c r="F86" s="1301" t="str">
        <f>'MSW23'!F86</f>
        <v/>
      </c>
    </row>
    <row r="87">
      <c r="A87" s="249">
        <f>'MSW23'!A87</f>
        <v>6</v>
      </c>
      <c r="B87" s="175">
        <f>'MSW23'!B87</f>
        <v>45</v>
      </c>
      <c r="C87" s="238">
        <f>'MSW23'!C87</f>
        <v>10</v>
      </c>
      <c r="D87" s="238" t="str">
        <f>'MSW23'!D87</f>
        <v>1-5 MIN</v>
      </c>
      <c r="E87" s="66" t="str">
        <f>'MSW23'!E87</f>
        <v/>
      </c>
      <c r="F87" s="1300" t="str">
        <f>'MSW23'!F87</f>
        <v/>
      </c>
    </row>
    <row r="88">
      <c r="A88" s="1038">
        <f>'MSW23'!A88</f>
        <v>7</v>
      </c>
      <c r="B88" s="175">
        <f>'MSW23'!B88</f>
        <v>35</v>
      </c>
      <c r="C88" s="238">
        <f>'MSW23'!C88</f>
        <v>10</v>
      </c>
      <c r="D88" s="238" t="str">
        <f>'MSW23'!D88</f>
        <v>1-5 MIN</v>
      </c>
      <c r="E88" s="66" t="str">
        <f>'MSW23'!E88</f>
        <v/>
      </c>
      <c r="F88" s="1300" t="str">
        <f>'MSW23'!F88</f>
        <v/>
      </c>
    </row>
    <row r="89">
      <c r="A89" s="249">
        <f>'MSW23'!A89</f>
        <v>8</v>
      </c>
      <c r="B89" s="175">
        <f>'MSW23'!B89</f>
        <v>30</v>
      </c>
      <c r="C89" s="238">
        <f>'MSW23'!C89</f>
        <v>10</v>
      </c>
      <c r="D89" s="238" t="str">
        <f>'MSW23'!D89</f>
        <v>1-5 MIN</v>
      </c>
      <c r="E89" s="66" t="str">
        <f>'MSW23'!E89</f>
        <v/>
      </c>
      <c r="F89" s="1300" t="str">
        <f>'MSW23'!F89</f>
        <v/>
      </c>
    </row>
    <row r="90">
      <c r="A90" s="1038">
        <f>'MSW23'!A90</f>
        <v>9</v>
      </c>
      <c r="B90" s="175">
        <f>'MSW23'!B90</f>
        <v>25</v>
      </c>
      <c r="C90" s="238">
        <f>'MSW23'!C90</f>
        <v>10</v>
      </c>
      <c r="D90" s="238" t="str">
        <f>'MSW23'!D90</f>
        <v>1-5 MIN</v>
      </c>
      <c r="E90" s="1108" t="str">
        <f>'MSW23'!E90</f>
        <v/>
      </c>
      <c r="F90" s="1300" t="str">
        <f>'MSW23'!F90</f>
        <v/>
      </c>
    </row>
    <row r="91">
      <c r="A91" s="1038" t="str">
        <f>'MSW23'!A91</f>
        <v>10</v>
      </c>
      <c r="B91" s="175">
        <f>'MSW23'!B91</f>
        <v>20</v>
      </c>
      <c r="C91" s="238">
        <f>'MSW23'!C91</f>
        <v>10</v>
      </c>
      <c r="D91" s="238" t="str">
        <f>'MSW23'!D91</f>
        <v>1-5 MIN</v>
      </c>
      <c r="E91" s="1108" t="str">
        <f>'MSW23'!E91</f>
        <v/>
      </c>
      <c r="F91" s="1300" t="str">
        <f>'MSW23'!F91</f>
        <v/>
      </c>
    </row>
    <row r="92">
      <c r="A92" s="272" t="str">
        <f>'MSW23'!A92</f>
        <v>4 REP MAX</v>
      </c>
      <c r="B92" s="1109">
        <f>'MSW23'!B92</f>
        <v>100</v>
      </c>
      <c r="C92" s="11"/>
      <c r="D92" s="11"/>
      <c r="E92" s="11"/>
      <c r="F92" s="46"/>
    </row>
    <row r="93">
      <c r="A93" t="str">
        <f>'MSW23'!A93</f>
        <v/>
      </c>
    </row>
    <row r="95">
      <c r="A95" s="1285" t="str">
        <f>'MSW23'!A95</f>
        <v>2. LEG EXTENSION</v>
      </c>
      <c r="B95" s="53"/>
      <c r="C95" s="53"/>
      <c r="D95" s="53"/>
      <c r="E95" s="53"/>
      <c r="F95" s="54"/>
    </row>
    <row r="96">
      <c r="A96" s="1045" t="str">
        <f>'MSW23'!A96</f>
        <v>CURRENT MAX</v>
      </c>
      <c r="B96" s="1367">
        <f>'MSW23'!B96</f>
        <v>50</v>
      </c>
      <c r="C96" s="20"/>
      <c r="D96" s="20"/>
      <c r="E96" s="20"/>
      <c r="F96" s="95"/>
    </row>
    <row r="97">
      <c r="A97" s="567" t="str">
        <f>'MSW23'!A97</f>
        <v>SET</v>
      </c>
      <c r="B97" s="568" t="str">
        <f>'MSW23'!B97</f>
        <v>WEIGHT</v>
      </c>
      <c r="C97" s="568" t="str">
        <f>'MSW23'!C97</f>
        <v>REPS</v>
      </c>
      <c r="D97" s="568" t="str">
        <f>'MSW23'!D97</f>
        <v>REST</v>
      </c>
      <c r="E97" s="1047" t="str">
        <f>'MSW23'!E97</f>
        <v>PREVIOUS</v>
      </c>
      <c r="F97" s="1048" t="str">
        <f>'MSW23'!F97</f>
        <v>REP LOG</v>
      </c>
    </row>
    <row r="98">
      <c r="A98" s="1049">
        <f>'MSW23'!A98</f>
        <v>1</v>
      </c>
      <c r="B98" s="1050">
        <f>'MSW23'!B98</f>
        <v>50</v>
      </c>
      <c r="C98" s="1051" t="str">
        <f>'MSW23'!C98</f>
        <v>10 - 15</v>
      </c>
      <c r="D98" s="1430" t="str">
        <f>'MSW23'!D98</f>
        <v>1-2 MIN</v>
      </c>
      <c r="E98" s="1130" t="str">
        <f>'MSW23'!E98</f>
        <v/>
      </c>
      <c r="F98" s="1017" t="str">
        <f>'MSW23'!F98</f>
        <v/>
      </c>
    </row>
    <row r="99">
      <c r="A99" s="1049">
        <f>'MSW23'!A99</f>
        <v>2</v>
      </c>
      <c r="B99" s="1050">
        <f>'MSW23'!B99</f>
        <v>40</v>
      </c>
      <c r="C99" s="1051" t="str">
        <f>'MSW23'!C99</f>
        <v>10 - 15</v>
      </c>
      <c r="D99" s="1430" t="str">
        <f>'MSW23'!D99</f>
        <v>1-2 MIN</v>
      </c>
      <c r="E99" s="1130" t="str">
        <f>'MSW23'!E99</f>
        <v/>
      </c>
      <c r="F99" s="1017" t="str">
        <f>'MSW23'!F99</f>
        <v/>
      </c>
    </row>
    <row r="100">
      <c r="A100" s="1053">
        <f>'MSW23'!A100</f>
        <v>3</v>
      </c>
      <c r="B100" s="1054">
        <f>'MSW23'!B100</f>
        <v>30</v>
      </c>
      <c r="C100" s="1055" t="str">
        <f>'MSW23'!C100</f>
        <v>10 - 15</v>
      </c>
      <c r="D100" s="1453" t="str">
        <f>'MSW23'!D100</f>
        <v>1-2 MIN</v>
      </c>
      <c r="E100" s="1348" t="str">
        <f>'MSW23'!E100</f>
        <v/>
      </c>
      <c r="F100" s="1017" t="str">
        <f>'MSW23'!F100</f>
        <v/>
      </c>
    </row>
    <row r="101">
      <c r="A101" t="str">
        <f>'MSW23'!A101</f>
        <v/>
      </c>
    </row>
    <row r="103">
      <c r="A103" s="323" t="str">
        <f>'MSW23'!A103</f>
        <v>3. MACHINE LEG CURL</v>
      </c>
      <c r="B103" s="53"/>
      <c r="C103" s="53"/>
      <c r="D103" s="53"/>
      <c r="E103" s="53"/>
      <c r="F103" s="54"/>
      <c r="G103" s="141" t="str">
        <f>'MSW23'!G103</f>
        <v/>
      </c>
      <c r="H103" s="323" t="str">
        <f>'MSW23'!H103</f>
        <v>3. PRONE LEG CURL</v>
      </c>
      <c r="I103" s="53"/>
      <c r="J103" s="53"/>
      <c r="K103" s="53"/>
      <c r="L103" s="53"/>
      <c r="M103" s="54"/>
    </row>
    <row r="104">
      <c r="A104" s="1045" t="str">
        <f>'MSW23'!A104</f>
        <v>CURRENT MAX</v>
      </c>
      <c r="B104" s="1367">
        <f>'MSW23'!B104</f>
        <v>15</v>
      </c>
      <c r="C104" s="20"/>
      <c r="D104" s="20"/>
      <c r="E104" s="20"/>
      <c r="F104" s="95"/>
      <c r="H104" s="1045" t="str">
        <f>'MSW23'!H104</f>
        <v>CURRENT MAX</v>
      </c>
      <c r="I104" s="1046">
        <f>'MSW23'!I104</f>
        <v>15</v>
      </c>
      <c r="J104" s="13"/>
      <c r="K104" s="13"/>
      <c r="L104" s="13"/>
      <c r="M104" s="57"/>
    </row>
    <row r="105">
      <c r="A105" s="567" t="str">
        <f>'MSW23'!A105</f>
        <v>SET</v>
      </c>
      <c r="B105" s="568" t="str">
        <f>'MSW23'!B105</f>
        <v>WEIGHT</v>
      </c>
      <c r="C105" s="568" t="str">
        <f>'MSW23'!C105</f>
        <v>REPS</v>
      </c>
      <c r="D105" s="568" t="str">
        <f>'MSW23'!D105</f>
        <v>REST</v>
      </c>
      <c r="E105" s="1047" t="str">
        <f>'MSW23'!E105</f>
        <v>PREVIOUS</v>
      </c>
      <c r="F105" s="1048" t="str">
        <f>'MSW23'!F105</f>
        <v>REP LOG</v>
      </c>
      <c r="H105" s="567" t="str">
        <f>'MSW23'!H105</f>
        <v>SET</v>
      </c>
      <c r="I105" s="568" t="str">
        <f>'MSW23'!I105</f>
        <v>WEIGHT</v>
      </c>
      <c r="J105" s="568" t="str">
        <f>'MSW23'!J105</f>
        <v>REPS</v>
      </c>
      <c r="K105" s="568" t="str">
        <f>'MSW23'!K105</f>
        <v>REST</v>
      </c>
      <c r="L105" s="1047" t="str">
        <f>'MSW23'!L105</f>
        <v>PREVIOUS</v>
      </c>
      <c r="M105" s="1048" t="str">
        <f>'MSW23'!M105</f>
        <v>REP LOG</v>
      </c>
    </row>
    <row r="106">
      <c r="A106" s="1049">
        <f>'MSW23'!A106</f>
        <v>1</v>
      </c>
      <c r="B106" s="1050">
        <f>'MSW23'!B106</f>
        <v>15</v>
      </c>
      <c r="C106" s="1051" t="str">
        <f>'MSW23'!C106</f>
        <v>10 - 15</v>
      </c>
      <c r="D106" s="1430" t="str">
        <f>'MSW23'!D106</f>
        <v>1-2 MIN</v>
      </c>
      <c r="E106" s="1130" t="str">
        <f>'MSW23'!E106</f>
        <v/>
      </c>
      <c r="F106" s="1017" t="str">
        <f>'MSW23'!F106</f>
        <v/>
      </c>
      <c r="G106" s="434" t="str">
        <f>'MSW23'!G106</f>
        <v>ALTERNATE</v>
      </c>
      <c r="H106" s="1049">
        <f>'MSW23'!H106</f>
        <v>1</v>
      </c>
      <c r="I106" s="1050">
        <f>'MSW23'!I106</f>
        <v>15</v>
      </c>
      <c r="J106" s="1051" t="str">
        <f>'MSW23'!J106</f>
        <v>10 - 15</v>
      </c>
      <c r="K106" s="1430" t="str">
        <f>'MSW23'!K106</f>
        <v>1-2 MIN</v>
      </c>
      <c r="L106" s="1130" t="str">
        <f>'MSW23'!L106</f>
        <v/>
      </c>
      <c r="M106" s="1017" t="str">
        <f>'MSW23'!M106</f>
        <v/>
      </c>
    </row>
    <row r="107">
      <c r="A107" s="1049">
        <f>'MSW23'!A107</f>
        <v>2</v>
      </c>
      <c r="B107" s="1050">
        <f>'MSW23'!B107</f>
        <v>10</v>
      </c>
      <c r="C107" s="1051" t="str">
        <f>'MSW23'!C107</f>
        <v>10 - 15</v>
      </c>
      <c r="D107" s="1430" t="str">
        <f>'MSW23'!D107</f>
        <v>1-2 MIN</v>
      </c>
      <c r="E107" s="1130" t="str">
        <f>'MSW23'!E107</f>
        <v/>
      </c>
      <c r="F107" s="1017" t="str">
        <f>'MSW23'!F107</f>
        <v/>
      </c>
      <c r="H107" s="1049">
        <f>'MSW23'!H107</f>
        <v>2</v>
      </c>
      <c r="I107" s="1050">
        <f>'MSW23'!I107</f>
        <v>10</v>
      </c>
      <c r="J107" s="1051" t="str">
        <f>'MSW23'!J107</f>
        <v>10 - 15</v>
      </c>
      <c r="K107" s="1430" t="str">
        <f>'MSW23'!K107</f>
        <v>1-2 MIN</v>
      </c>
      <c r="L107" s="1130" t="str">
        <f>'MSW23'!L107</f>
        <v/>
      </c>
      <c r="M107" s="1017" t="str">
        <f>'MSW23'!M107</f>
        <v/>
      </c>
    </row>
    <row r="108">
      <c r="A108" s="1053">
        <f>'MSW23'!A108</f>
        <v>3</v>
      </c>
      <c r="B108" s="1054">
        <f>'MSW23'!B108</f>
        <v>10</v>
      </c>
      <c r="C108" s="1055" t="str">
        <f>'MSW23'!C108</f>
        <v>10 - 15</v>
      </c>
      <c r="D108" s="1453" t="str">
        <f>'MSW23'!D108</f>
        <v>1-2 MIN</v>
      </c>
      <c r="E108" s="1348" t="str">
        <f>'MSW23'!E108</f>
        <v/>
      </c>
      <c r="F108" s="1017" t="str">
        <f>'MSW23'!F108</f>
        <v/>
      </c>
      <c r="G108" s="682" t="str">
        <f>'MSW23'!G108</f>
        <v/>
      </c>
      <c r="H108" s="1053">
        <f>'MSW23'!H108</f>
        <v>3</v>
      </c>
      <c r="I108" s="1054">
        <f>'MSW23'!I108</f>
        <v>10</v>
      </c>
      <c r="J108" s="1055" t="str">
        <f>'MSW23'!J108</f>
        <v>10 - 15</v>
      </c>
      <c r="K108" s="1453" t="str">
        <f>'MSW23'!K108</f>
        <v>1-2 MIN</v>
      </c>
      <c r="L108" s="1348" t="str">
        <f>'MSW23'!L108</f>
        <v/>
      </c>
      <c r="M108" s="1017" t="str">
        <f>'MSW23'!M108</f>
        <v/>
      </c>
    </row>
    <row r="109">
      <c r="A109" s="849" t="str">
        <f>'MSW23'!A109</f>
        <v/>
      </c>
      <c r="G109" s="849" t="str">
        <f>'MSW23'!H109</f>
        <v/>
      </c>
    </row>
    <row r="111">
      <c r="A111" s="1120" t="str">
        <f>'MSW23'!A111</f>
        <v>DAY 3</v>
      </c>
      <c r="B111" s="36"/>
      <c r="C111" s="36"/>
      <c r="D111" s="36"/>
      <c r="E111" s="36"/>
      <c r="F111" s="37"/>
    </row>
    <row r="112">
      <c r="A112" t="str">
        <f>'MSW23'!A112</f>
        <v/>
      </c>
    </row>
    <row r="114">
      <c r="A114" s="960" t="str">
        <f>'MSW23'!A114</f>
        <v>1. SHOULDER CLEANS</v>
      </c>
      <c r="B114" s="53"/>
      <c r="C114" s="53"/>
      <c r="D114" s="53"/>
      <c r="E114" s="53"/>
      <c r="F114" s="54"/>
    </row>
    <row r="115">
      <c r="A115" s="961" t="str">
        <f>'MSW23'!A115</f>
        <v>CURRENT MAX</v>
      </c>
      <c r="B115" s="76">
        <f>'MSW23'!B115</f>
        <v>45</v>
      </c>
      <c r="C115" s="13"/>
      <c r="D115" s="13"/>
      <c r="E115" s="13"/>
      <c r="F115" s="57"/>
    </row>
    <row r="116">
      <c r="A116" s="962" t="str">
        <f>'MSW23'!A116</f>
        <v>SET</v>
      </c>
      <c r="B116" s="963" t="str">
        <f>'MSW23'!B116</f>
        <v>WEIGHT</v>
      </c>
      <c r="C116" s="963" t="str">
        <f>'MSW23'!C116</f>
        <v>REPS</v>
      </c>
      <c r="D116" s="981" t="str">
        <f>'MSW23'!D116</f>
        <v>REST</v>
      </c>
      <c r="E116" s="1312" t="str">
        <f>'MSW23'!E116</f>
        <v>PREVIOUS</v>
      </c>
      <c r="F116" s="1404" t="str">
        <f>'MSW23'!F116</f>
        <v>REP LOG</v>
      </c>
    </row>
    <row r="117">
      <c r="A117" s="967">
        <f>'MSW23'!A117</f>
        <v>1</v>
      </c>
      <c r="B117" s="968">
        <f>'MSW23'!B117</f>
        <v>45</v>
      </c>
      <c r="C117" s="968">
        <f>'MSW23'!C117</f>
        <v>20</v>
      </c>
      <c r="D117" s="969" t="str">
        <f>'MSW23'!D117</f>
        <v>1 MIN</v>
      </c>
      <c r="E117" s="1130" t="str">
        <f>'MSW23'!E117</f>
        <v/>
      </c>
      <c r="F117" s="455"/>
    </row>
    <row r="118">
      <c r="A118" s="967">
        <f>'MSW23'!A118</f>
        <v>2</v>
      </c>
      <c r="B118" s="968">
        <f>'MSW23'!B118</f>
        <v>35</v>
      </c>
      <c r="C118" s="968">
        <f>'MSW23'!C118</f>
        <v>20</v>
      </c>
      <c r="D118" s="969" t="str">
        <f>'MSW23'!D118</f>
        <v>1 MIN</v>
      </c>
      <c r="E118" s="1130" t="str">
        <f>'MSW23'!E118</f>
        <v/>
      </c>
      <c r="F118" s="455"/>
    </row>
    <row r="119">
      <c r="A119" s="971">
        <f>'MSW23'!A119</f>
        <v>3</v>
      </c>
      <c r="B119" s="972">
        <f>'MSW23'!B119</f>
        <v>20</v>
      </c>
      <c r="C119" s="972">
        <f>'MSW23'!C119</f>
        <v>20</v>
      </c>
      <c r="D119" s="973" t="str">
        <f>'MSW23'!D119</f>
        <v>1 MIN</v>
      </c>
      <c r="E119" s="1348" t="str">
        <f>'MSW23'!E119</f>
        <v/>
      </c>
      <c r="F119" s="455"/>
    </row>
    <row r="120">
      <c r="A120" t="str">
        <f>'MSW23'!A120</f>
        <v/>
      </c>
    </row>
    <row r="121">
      <c r="A121" s="361" t="str">
        <f>'MSW23'!A121</f>
        <v>2.  CABLE HIGH PULLEY ROW</v>
      </c>
      <c r="B121" s="53"/>
      <c r="C121" s="53"/>
      <c r="D121" s="53"/>
      <c r="E121" s="53"/>
      <c r="F121" s="54"/>
    </row>
    <row r="122">
      <c r="A122" s="226" t="str">
        <f>'MSW23'!A122</f>
        <v>SHLDR PRSS MAX</v>
      </c>
      <c r="B122" s="90">
        <f>'MSW23'!B122</f>
        <v>10</v>
      </c>
      <c r="C122" s="13"/>
      <c r="D122" s="13"/>
      <c r="E122" s="13"/>
      <c r="F122" s="57"/>
    </row>
    <row r="123">
      <c r="A123" s="77" t="str">
        <f>'MSW23'!A123</f>
        <v>SET</v>
      </c>
      <c r="B123" s="78" t="str">
        <f>'MSW23'!B123</f>
        <v>WEIGHT</v>
      </c>
      <c r="C123" s="78" t="str">
        <f>'MSW23'!C123</f>
        <v>REPS</v>
      </c>
      <c r="D123" s="78" t="str">
        <f>'MSW23'!D123</f>
        <v>REST</v>
      </c>
      <c r="E123" s="80" t="str">
        <f>'MSW23'!E123</f>
        <v>PREVIOUS</v>
      </c>
      <c r="F123" s="235" t="str">
        <f>'MSW23'!F123</f>
        <v>REP LOG</v>
      </c>
    </row>
    <row r="124">
      <c r="A124" s="81">
        <f>'MSW23'!A124</f>
        <v>1</v>
      </c>
      <c r="B124" s="82">
        <f>'MSW23'!B124</f>
        <v>15</v>
      </c>
      <c r="C124" s="65">
        <f>'MSW23'!C124</f>
        <v>20</v>
      </c>
      <c r="D124" s="83" t="str">
        <f>'MSW23'!D124</f>
        <v>1MIN</v>
      </c>
      <c r="E124" s="84" t="str">
        <f>'MSW23'!E124</f>
        <v/>
      </c>
      <c r="F124" s="85"/>
    </row>
    <row r="125">
      <c r="A125" s="81">
        <f>'MSW23'!A125</f>
        <v>2</v>
      </c>
      <c r="B125" s="82">
        <f>'MSW23'!B125</f>
        <v>10</v>
      </c>
      <c r="C125" s="65">
        <f>'MSW23'!C125</f>
        <v>20</v>
      </c>
      <c r="D125" s="83" t="str">
        <f>'MSW23'!D125</f>
        <v>1MIN</v>
      </c>
      <c r="E125" s="84" t="str">
        <f>'MSW23'!E125</f>
        <v/>
      </c>
      <c r="F125" s="85"/>
    </row>
    <row r="126">
      <c r="A126" s="86">
        <f>'MSW23'!A126</f>
        <v>3</v>
      </c>
      <c r="B126" s="87">
        <f>'MSW23'!B126</f>
        <v>10</v>
      </c>
      <c r="C126" s="71">
        <f>'MSW23'!C126</f>
        <v>20</v>
      </c>
      <c r="D126" s="88" t="str">
        <f>'MSW23'!D126</f>
        <v>1MIN</v>
      </c>
      <c r="E126" s="89" t="str">
        <f>'MSW23'!E126</f>
        <v/>
      </c>
      <c r="F126" s="85" t="str">
        <f>'MSW23'!F126</f>
        <v/>
      </c>
    </row>
    <row r="127">
      <c r="A127" t="str">
        <f>'MSW23'!A127</f>
        <v/>
      </c>
    </row>
    <row r="128">
      <c r="A128" s="513" t="str">
        <f>'MSW23'!A128</f>
        <v>3. DUMBBELL SIDE LATERAL RAISE</v>
      </c>
      <c r="B128" s="53"/>
      <c r="C128" s="53"/>
      <c r="D128" s="53"/>
      <c r="E128" s="53"/>
      <c r="F128" s="54"/>
    </row>
    <row r="129">
      <c r="A129" s="226" t="str">
        <f>'MSW23'!A129</f>
        <v>SHLDR PRSS MAX</v>
      </c>
      <c r="B129" s="90">
        <f>'MSW23'!B129</f>
        <v>10</v>
      </c>
      <c r="C129" s="13"/>
      <c r="D129" s="13"/>
      <c r="E129" s="13"/>
      <c r="F129" s="57"/>
    </row>
    <row r="130">
      <c r="A130" s="376" t="str">
        <f>'MSW23'!A130</f>
        <v>SET</v>
      </c>
      <c r="B130" s="79" t="str">
        <f>'MSW23'!B130</f>
        <v>WEIGHT</v>
      </c>
      <c r="C130" s="79" t="str">
        <f>'MSW23'!C130</f>
        <v>REPS</v>
      </c>
      <c r="D130" s="79" t="str">
        <f>'MSW23'!D130</f>
        <v>REST</v>
      </c>
      <c r="E130" s="98" t="str">
        <f>'MSW23'!E130</f>
        <v>PREVIOUS</v>
      </c>
      <c r="F130" s="377" t="str">
        <f>'MSW23'!F130</f>
        <v>REP LOG</v>
      </c>
    </row>
    <row r="131">
      <c r="A131" s="81">
        <f>'MSW23'!A131</f>
        <v>1</v>
      </c>
      <c r="B131" s="82">
        <f>'MSW23'!B131</f>
        <v>0</v>
      </c>
      <c r="C131" s="65">
        <f>'MSW23'!C131</f>
        <v>20</v>
      </c>
      <c r="D131" s="83" t="str">
        <f>'MSW23'!D131</f>
        <v>1 MIN</v>
      </c>
      <c r="E131" s="84" t="str">
        <f>'MSW23'!E131</f>
        <v/>
      </c>
      <c r="F131" s="796" t="str">
        <f>'MSW23'!F131</f>
        <v/>
      </c>
    </row>
    <row r="132">
      <c r="A132" s="81">
        <f>'MSW23'!A132</f>
        <v>2</v>
      </c>
      <c r="B132" s="82">
        <f>'MSW23'!B132</f>
        <v>2.5</v>
      </c>
      <c r="C132" s="65">
        <f>'MSW23'!C132</f>
        <v>20</v>
      </c>
      <c r="D132" s="83" t="str">
        <f>'MSW23'!D132</f>
        <v>1 MIN</v>
      </c>
      <c r="E132" s="84" t="str">
        <f>'MSW23'!E132</f>
        <v/>
      </c>
      <c r="F132" s="330"/>
    </row>
    <row r="133">
      <c r="A133" s="86">
        <f>'MSW23'!A133</f>
        <v>3</v>
      </c>
      <c r="B133" s="87">
        <f>'MSW23'!B133</f>
        <v>0</v>
      </c>
      <c r="C133" s="71">
        <f>'MSW23'!C133</f>
        <v>20</v>
      </c>
      <c r="D133" s="88" t="str">
        <f>'MSW23'!D133</f>
        <v>1 MIN</v>
      </c>
      <c r="E133" s="89" t="str">
        <f>'MSW23'!E133</f>
        <v/>
      </c>
      <c r="F133" s="85" t="str">
        <f>'MSW23'!F133</f>
        <v/>
      </c>
    </row>
    <row r="134">
      <c r="A134" t="str">
        <f>'MSW23'!A134</f>
        <v/>
      </c>
    </row>
    <row r="135">
      <c r="A135" s="73" t="str">
        <f>'MSW23'!A135</f>
        <v>4. TRICEP PUSH DOWNS</v>
      </c>
      <c r="B135" s="53"/>
      <c r="C135" s="53"/>
      <c r="D135" s="53"/>
      <c r="E135" s="53"/>
      <c r="F135" s="54"/>
    </row>
    <row r="136">
      <c r="A136" s="226" t="str">
        <f>'MSW23'!A136</f>
        <v>CURRENT MAX</v>
      </c>
      <c r="B136" s="90">
        <f>'MSW23'!B136</f>
        <v>30</v>
      </c>
      <c r="C136" s="13"/>
      <c r="D136" s="13"/>
      <c r="E136" s="13"/>
      <c r="F136" s="57"/>
    </row>
    <row r="137">
      <c r="A137" s="77" t="str">
        <f>'MSW23'!A137</f>
        <v>SET</v>
      </c>
      <c r="B137" s="78" t="str">
        <f>'MSW23'!B137</f>
        <v>WEIGHT</v>
      </c>
      <c r="C137" s="78" t="str">
        <f>'MSW23'!C137</f>
        <v>REPS</v>
      </c>
      <c r="D137" s="78" t="str">
        <f>'MSW23'!D137</f>
        <v>REST</v>
      </c>
      <c r="E137" s="80" t="str">
        <f>'MSW23'!E137</f>
        <v>PREVIOUS</v>
      </c>
      <c r="F137" s="235" t="str">
        <f>'MSW23'!F137</f>
        <v>REP LOG</v>
      </c>
    </row>
    <row r="138">
      <c r="A138" s="81">
        <f>'MSW23'!A138</f>
        <v>1</v>
      </c>
      <c r="B138" s="82">
        <f>'MSW23'!B138</f>
        <v>30</v>
      </c>
      <c r="C138" s="65">
        <f>'MSW23'!C138</f>
        <v>20</v>
      </c>
      <c r="D138" s="83" t="str">
        <f>'MSW23'!D138</f>
        <v>1MIN</v>
      </c>
      <c r="E138" s="84" t="str">
        <f>'MSW23'!E138</f>
        <v/>
      </c>
      <c r="F138" s="85" t="str">
        <f>'MSW23'!F138</f>
        <v/>
      </c>
    </row>
    <row r="139">
      <c r="A139" s="81">
        <f>'MSW23'!A139</f>
        <v>2</v>
      </c>
      <c r="B139" s="82">
        <f>'MSW23'!B139</f>
        <v>25</v>
      </c>
      <c r="C139" s="65">
        <f>'MSW23'!C139</f>
        <v>20</v>
      </c>
      <c r="D139" s="83" t="str">
        <f>'MSW23'!D139</f>
        <v>1MIN</v>
      </c>
      <c r="E139" s="84" t="str">
        <f>'MSW23'!E139</f>
        <v/>
      </c>
      <c r="F139" s="85" t="str">
        <f>'MSW23'!F139</f>
        <v/>
      </c>
    </row>
    <row r="140">
      <c r="A140" s="86">
        <f>'MSW23'!A140</f>
        <v>3</v>
      </c>
      <c r="B140" s="87">
        <f>'MSW23'!B140</f>
        <v>20</v>
      </c>
      <c r="C140" s="71">
        <f>'MSW23'!C140</f>
        <v>20</v>
      </c>
      <c r="D140" s="88" t="str">
        <f>'MSW23'!D140</f>
        <v>1MIN</v>
      </c>
      <c r="E140" s="89" t="str">
        <f>'MSW23'!E140</f>
        <v/>
      </c>
      <c r="F140" s="85" t="str">
        <f>'MSW23'!F140</f>
        <v/>
      </c>
    </row>
    <row r="141">
      <c r="A141" t="str">
        <f>'MSW23'!A141</f>
        <v/>
      </c>
    </row>
    <row r="143">
      <c r="A143" s="75" t="str">
        <f>'MSW23'!A143</f>
        <v>5. BICEP CABLE CURL</v>
      </c>
      <c r="B143" s="53"/>
      <c r="C143" s="53"/>
      <c r="D143" s="53"/>
      <c r="E143" s="53"/>
      <c r="F143" s="54"/>
      <c r="G143" s="698" t="str">
        <f>'MSW23'!G143</f>
        <v/>
      </c>
      <c r="H143" s="75" t="str">
        <f>'MSW23'!H143</f>
        <v>4. BICEP BAR CURL</v>
      </c>
      <c r="I143" s="53"/>
      <c r="J143" s="53"/>
      <c r="K143" s="53"/>
      <c r="L143" s="53"/>
      <c r="M143" s="54"/>
    </row>
    <row r="144">
      <c r="A144" s="226" t="str">
        <f>'MSW23'!A144</f>
        <v>CURRENT MAX</v>
      </c>
      <c r="B144" s="76">
        <f>'MSW23'!B144</f>
        <v>30</v>
      </c>
      <c r="C144" s="13"/>
      <c r="D144" s="13"/>
      <c r="E144" s="13"/>
      <c r="F144" s="57"/>
      <c r="G144" s="985"/>
      <c r="H144" s="226" t="str">
        <f>'MSW23'!H144</f>
        <v>CURRENT MAX</v>
      </c>
      <c r="I144" s="76">
        <f>'MSW23'!I144</f>
        <v>15</v>
      </c>
      <c r="J144" s="13"/>
      <c r="K144" s="13"/>
      <c r="L144" s="13"/>
      <c r="M144" s="57"/>
    </row>
    <row r="145">
      <c r="A145" s="77" t="str">
        <f>'MSW23'!A145</f>
        <v>SET</v>
      </c>
      <c r="B145" s="78" t="str">
        <f>'MSW23'!B145</f>
        <v>WEIGHT</v>
      </c>
      <c r="C145" s="78" t="str">
        <f>'MSW23'!C145</f>
        <v>REPS</v>
      </c>
      <c r="D145" s="78" t="str">
        <f>'MSW23'!D145</f>
        <v>REST</v>
      </c>
      <c r="E145" s="80" t="str">
        <f>'MSW23'!E145</f>
        <v>PREVIOUS</v>
      </c>
      <c r="F145" s="235" t="str">
        <f>'MSW23'!F145</f>
        <v>REP LOG</v>
      </c>
      <c r="G145" s="985"/>
      <c r="H145" s="77" t="str">
        <f>'MSW23'!H145</f>
        <v>SET</v>
      </c>
      <c r="I145" s="78" t="str">
        <f>'MSW23'!I145</f>
        <v>WEIGHT</v>
      </c>
      <c r="J145" s="78" t="str">
        <f>'MSW23'!J145</f>
        <v>REPS</v>
      </c>
      <c r="K145" s="78" t="str">
        <f>'MSW23'!K145</f>
        <v>REST</v>
      </c>
      <c r="L145" s="80" t="str">
        <f>'MSW23'!L145</f>
        <v>PREVIOUS</v>
      </c>
      <c r="M145" s="235" t="str">
        <f>'MSW23'!M145</f>
        <v>REP LOG</v>
      </c>
    </row>
    <row r="146">
      <c r="A146" s="81">
        <f>'MSW23'!A146</f>
        <v>1</v>
      </c>
      <c r="B146" s="82">
        <f>'MSW23'!B146</f>
        <v>30</v>
      </c>
      <c r="C146" s="65">
        <f>'MSW23'!C146</f>
        <v>20</v>
      </c>
      <c r="D146" s="83" t="str">
        <f>'MSW23'!D146</f>
        <v>1MIN</v>
      </c>
      <c r="E146" s="84" t="str">
        <f>'MSW23'!E146</f>
        <v/>
      </c>
      <c r="F146" s="85" t="str">
        <f>'MSW23'!F146</f>
        <v/>
      </c>
      <c r="G146" s="985"/>
      <c r="H146" s="81">
        <f>'MSW23'!H146</f>
        <v>1</v>
      </c>
      <c r="I146" s="82">
        <f>'MSW23'!I146</f>
        <v>15</v>
      </c>
      <c r="J146" s="65">
        <f>'MSW23'!J146</f>
        <v>20</v>
      </c>
      <c r="K146" s="83" t="str">
        <f>'MSW23'!K146</f>
        <v>1MIN</v>
      </c>
      <c r="L146" s="84" t="str">
        <f>'MSW23'!L146</f>
        <v/>
      </c>
      <c r="M146" s="85" t="str">
        <f>'MSW23'!M146</f>
        <v/>
      </c>
    </row>
    <row r="147">
      <c r="A147" s="81">
        <f>'MSW23'!A147</f>
        <v>2</v>
      </c>
      <c r="B147" s="82">
        <f>'MSW23'!B147</f>
        <v>25</v>
      </c>
      <c r="C147" s="65">
        <f>'MSW23'!C147</f>
        <v>20</v>
      </c>
      <c r="D147" s="83" t="str">
        <f>'MSW23'!D147</f>
        <v>1MIN</v>
      </c>
      <c r="E147" s="84" t="str">
        <f>'MSW23'!E147</f>
        <v/>
      </c>
      <c r="F147" s="85" t="str">
        <f>'MSW23'!F147</f>
        <v/>
      </c>
      <c r="G147" s="985"/>
      <c r="H147" s="81">
        <f>'MSW23'!H147</f>
        <v>2</v>
      </c>
      <c r="I147" s="82">
        <f>'MSW23'!I147</f>
        <v>10</v>
      </c>
      <c r="J147" s="65">
        <f>'MSW23'!J147</f>
        <v>20</v>
      </c>
      <c r="K147" s="83" t="str">
        <f>'MSW23'!K147</f>
        <v>1MIN</v>
      </c>
      <c r="L147" s="84" t="str">
        <f>'MSW23'!L147</f>
        <v/>
      </c>
      <c r="M147" s="85" t="str">
        <f>'MSW23'!M147</f>
        <v/>
      </c>
    </row>
    <row r="148">
      <c r="A148" s="86">
        <f>'MSW23'!A148</f>
        <v>3</v>
      </c>
      <c r="B148" s="87">
        <f>'MSW23'!B148</f>
        <v>20</v>
      </c>
      <c r="C148" s="71">
        <f>'MSW23'!C148</f>
        <v>20</v>
      </c>
      <c r="D148" s="88" t="str">
        <f>'MSW23'!D148</f>
        <v>1MIN</v>
      </c>
      <c r="E148" s="89" t="str">
        <f>'MSW23'!E148</f>
        <v/>
      </c>
      <c r="F148" s="85" t="str">
        <f>'MSW23'!F148</f>
        <v/>
      </c>
      <c r="G148" s="985"/>
      <c r="H148" s="86">
        <f>'MSW23'!H148</f>
        <v>3</v>
      </c>
      <c r="I148" s="87">
        <f>'MSW23'!I148</f>
        <v>10</v>
      </c>
      <c r="J148" s="71">
        <f>'MSW23'!J148</f>
        <v>20</v>
      </c>
      <c r="K148" s="88" t="str">
        <f>'MSW23'!K148</f>
        <v>1MIN</v>
      </c>
      <c r="L148" s="89" t="str">
        <f>'MSW23'!L148</f>
        <v/>
      </c>
      <c r="M148" s="85" t="str">
        <f>'MSW23'!M148</f>
        <v/>
      </c>
    </row>
    <row r="149">
      <c r="A149" t="str">
        <f>'MSW23'!A149</f>
        <v/>
      </c>
      <c r="G149" t="str">
        <f>'MSW23'!G149</f>
        <v/>
      </c>
    </row>
    <row r="151">
      <c r="A151" s="310" t="str">
        <f>'MSW23'!A151</f>
        <v>CLICK TO COMPLETE WORKOUT</v>
      </c>
      <c r="B151" s="36"/>
      <c r="C151" s="36"/>
      <c r="D151" s="36"/>
      <c r="E151" s="36"/>
      <c r="F151" s="37"/>
    </row>
    <row r="152">
      <c r="A152" s="598" t="str">
        <f>'MSW23'!A152</f>
        <v/>
      </c>
    </row>
    <row r="153">
      <c r="A153" s="639" t="str">
        <f>'MSW23'!A153</f>
        <v>WORKOUT COMPLETE!</v>
      </c>
      <c r="B153" s="36"/>
      <c r="C153" s="36"/>
      <c r="D153" s="36"/>
      <c r="E153" s="36"/>
      <c r="F153" s="37"/>
    </row>
    <row r="154">
      <c r="A154" s="883" t="str">
        <f>'MSW23'!A154</f>
        <v/>
      </c>
    </row>
    <row r="155">
      <c r="A155" s="884" t="str">
        <f>'MSW23'!A155</f>
        <v>WANT TO LEARN MORE?</v>
      </c>
      <c r="B155" s="16"/>
      <c r="C155" s="16"/>
      <c r="D155" s="16"/>
      <c r="E155" s="16"/>
      <c r="F155" s="17"/>
    </row>
    <row r="156">
      <c r="A156" s="18"/>
      <c r="B156" s="13"/>
      <c r="C156" s="13"/>
      <c r="D156" s="13"/>
      <c r="E156" s="13"/>
      <c r="F156" s="14"/>
    </row>
    <row r="157">
      <c r="A157" s="1496"/>
      <c r="B157" s="886" t="str">
        <f>'MSW23'!B157</f>
        <v/>
      </c>
      <c r="C157" s="644" t="str">
        <f>'MSW23'!C157</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57" s="25"/>
      <c r="E157" s="25"/>
      <c r="F157" s="26"/>
    </row>
    <row r="158">
      <c r="A158" s="887" t="str">
        <f>'MSW23'!A158</f>
        <v/>
      </c>
      <c r="B158" s="888" t="str">
        <f>'MSW23'!B158</f>
        <v/>
      </c>
      <c r="C158" s="529"/>
      <c r="F158" s="28"/>
    </row>
    <row r="159">
      <c r="A159" s="887" t="str">
        <f>'MSW23'!A159</f>
        <v/>
      </c>
      <c r="B159" s="888" t="str">
        <f>'MSW23'!B159</f>
        <v/>
      </c>
      <c r="C159" s="529"/>
      <c r="F159" s="28"/>
    </row>
    <row r="160">
      <c r="A160" s="887" t="str">
        <f>'MSW23'!A160</f>
        <v/>
      </c>
      <c r="B160" s="888" t="str">
        <f>'MSW23'!B160</f>
        <v/>
      </c>
      <c r="C160" s="529"/>
      <c r="F160" s="28"/>
    </row>
    <row r="161">
      <c r="A161" s="887" t="str">
        <f>'MSW23'!A161</f>
        <v/>
      </c>
      <c r="B161" s="888" t="str">
        <f>'MSW23'!B161</f>
        <v/>
      </c>
      <c r="C161" s="529"/>
      <c r="F161" s="28"/>
    </row>
    <row r="162">
      <c r="A162" s="887" t="str">
        <f>'MSW23'!A162</f>
        <v/>
      </c>
      <c r="B162" s="888" t="str">
        <f>'MSW23'!B162</f>
        <v/>
      </c>
      <c r="C162" s="529"/>
      <c r="F162" s="28"/>
    </row>
    <row r="163">
      <c r="A163" s="889" t="str">
        <f>'MSW23'!A163</f>
        <v/>
      </c>
      <c r="B163" s="888" t="str">
        <f>'MSW23'!B163</f>
        <v/>
      </c>
      <c r="C163" s="529"/>
      <c r="F163" s="28"/>
    </row>
    <row r="164">
      <c r="A164" s="887" t="str">
        <f>'MSW23'!A164</f>
        <v/>
      </c>
      <c r="B164" s="888" t="str">
        <f>'MSW23'!B164</f>
        <v/>
      </c>
      <c r="C164" s="529"/>
      <c r="F164" s="28"/>
    </row>
    <row r="165">
      <c r="A165" s="887" t="str">
        <f>'MSW23'!A165</f>
        <v/>
      </c>
      <c r="B165" s="888" t="str">
        <f>'MSW23'!B165</f>
        <v/>
      </c>
      <c r="C165" s="529"/>
      <c r="F165" s="28"/>
    </row>
    <row r="166">
      <c r="A166" s="890" t="str">
        <f>'MSW23'!A166</f>
        <v/>
      </c>
      <c r="B166" s="888" t="str">
        <f>'MSW23'!B166</f>
        <v/>
      </c>
      <c r="C166" s="529"/>
      <c r="F166" s="28"/>
    </row>
    <row r="167">
      <c r="A167" s="887" t="str">
        <f>'MSW23'!A167</f>
        <v/>
      </c>
      <c r="B167" s="888" t="str">
        <f>'MSW23'!B167</f>
        <v/>
      </c>
      <c r="C167" s="529"/>
      <c r="F167" s="28"/>
    </row>
    <row r="168">
      <c r="A168" s="887" t="str">
        <f>'MSW23'!A168</f>
        <v/>
      </c>
      <c r="B168" s="888" t="str">
        <f>'MSW23'!B168</f>
        <v/>
      </c>
      <c r="C168" s="529"/>
      <c r="F168" s="28"/>
    </row>
    <row r="169">
      <c r="A169" s="887" t="str">
        <f>'MSW23'!A169</f>
        <v/>
      </c>
      <c r="B169" s="888" t="str">
        <f>'MSW23'!B169</f>
        <v/>
      </c>
      <c r="C169" s="529"/>
      <c r="F169" s="28"/>
    </row>
    <row r="170">
      <c r="A170" s="887" t="str">
        <f>'MSW23'!A170</f>
        <v/>
      </c>
      <c r="B170" s="888" t="str">
        <f>'MSW23'!B170</f>
        <v/>
      </c>
      <c r="C170" s="529"/>
      <c r="F170" s="28"/>
    </row>
    <row r="171">
      <c r="A171" s="891" t="str">
        <f>'MSW23'!A171</f>
        <v/>
      </c>
      <c r="B171" s="892" t="str">
        <f>'MSW23'!B171</f>
        <v/>
      </c>
      <c r="C171" s="336"/>
      <c r="D171" s="11"/>
      <c r="E171" s="11"/>
      <c r="F171" s="46"/>
    </row>
    <row r="172">
      <c r="A172" t="str">
        <f>'MSW23'!A172</f>
        <v/>
      </c>
    </row>
  </sheetData>
  <mergeCells count="96">
    <mergeCell ref="B57:F57"/>
    <mergeCell ref="A58:F58"/>
    <mergeCell ref="A37:F37"/>
    <mergeCell ref="B38:F38"/>
    <mergeCell ref="A42:F43"/>
    <mergeCell ref="A44:F44"/>
    <mergeCell ref="B45:F45"/>
    <mergeCell ref="A51:F51"/>
    <mergeCell ref="A54:F54"/>
    <mergeCell ref="A74:F74"/>
    <mergeCell ref="A75:F75"/>
    <mergeCell ref="B34:F34"/>
    <mergeCell ref="A59:F59"/>
    <mergeCell ref="B60:F60"/>
    <mergeCell ref="A65:F66"/>
    <mergeCell ref="A67:F67"/>
    <mergeCell ref="B68:F68"/>
    <mergeCell ref="A73:F73"/>
    <mergeCell ref="H103:M103"/>
    <mergeCell ref="I104:M104"/>
    <mergeCell ref="G106:G107"/>
    <mergeCell ref="G109:M142"/>
    <mergeCell ref="G143:G148"/>
    <mergeCell ref="H143:M143"/>
    <mergeCell ref="I144:M144"/>
    <mergeCell ref="G149:M172"/>
    <mergeCell ref="G19:G26"/>
    <mergeCell ref="G27:G28"/>
    <mergeCell ref="G29:G31"/>
    <mergeCell ref="G38:G39"/>
    <mergeCell ref="G40:G41"/>
    <mergeCell ref="G42:M102"/>
    <mergeCell ref="G103:G105"/>
    <mergeCell ref="A93:F94"/>
    <mergeCell ref="A95:F95"/>
    <mergeCell ref="B96:F96"/>
    <mergeCell ref="A101:F102"/>
    <mergeCell ref="A103:F103"/>
    <mergeCell ref="B104:F104"/>
    <mergeCell ref="A109:F110"/>
    <mergeCell ref="A111:F111"/>
    <mergeCell ref="A112:F113"/>
    <mergeCell ref="A114:F114"/>
    <mergeCell ref="B115:F115"/>
    <mergeCell ref="A120:F120"/>
    <mergeCell ref="A121:F121"/>
    <mergeCell ref="B122:F122"/>
    <mergeCell ref="A155:F156"/>
    <mergeCell ref="C157:F171"/>
    <mergeCell ref="A172:F172"/>
    <mergeCell ref="A143:F143"/>
    <mergeCell ref="B144:F144"/>
    <mergeCell ref="A149:F150"/>
    <mergeCell ref="A151:F151"/>
    <mergeCell ref="A152:F152"/>
    <mergeCell ref="A153:F153"/>
    <mergeCell ref="A154:F154"/>
    <mergeCell ref="A1:M8"/>
    <mergeCell ref="A9:F9"/>
    <mergeCell ref="G9:G11"/>
    <mergeCell ref="H9:M9"/>
    <mergeCell ref="A10:F11"/>
    <mergeCell ref="H10:M10"/>
    <mergeCell ref="G12:M13"/>
    <mergeCell ref="H19:M19"/>
    <mergeCell ref="H20:M20"/>
    <mergeCell ref="B21:F21"/>
    <mergeCell ref="I21:M21"/>
    <mergeCell ref="A14:M15"/>
    <mergeCell ref="A16:F16"/>
    <mergeCell ref="H16:M16"/>
    <mergeCell ref="A17:M18"/>
    <mergeCell ref="A19:F19"/>
    <mergeCell ref="A20:F20"/>
    <mergeCell ref="H27:M27"/>
    <mergeCell ref="A27:F27"/>
    <mergeCell ref="A29:F29"/>
    <mergeCell ref="H29:M29"/>
    <mergeCell ref="I34:M34"/>
    <mergeCell ref="A35:M36"/>
    <mergeCell ref="H37:M37"/>
    <mergeCell ref="I38:M38"/>
    <mergeCell ref="A12:F12"/>
    <mergeCell ref="A13:F13"/>
    <mergeCell ref="A76:F76"/>
    <mergeCell ref="A77:F78"/>
    <mergeCell ref="A79:F79"/>
    <mergeCell ref="B80:F80"/>
    <mergeCell ref="B92:F92"/>
    <mergeCell ref="A127:F127"/>
    <mergeCell ref="A128:F128"/>
    <mergeCell ref="B129:F129"/>
    <mergeCell ref="A134:F134"/>
    <mergeCell ref="A135:F135"/>
    <mergeCell ref="B136:F136"/>
    <mergeCell ref="A141:F142"/>
  </mergeCells>
  <dataValidations>
    <dataValidation type="decimal" allowBlank="1" showDropDown="1" showInputMessage="1" showErrorMessage="1" prompt="Enter a number between 0 and 30" sqref="F22:F26 M22:M26 F28 M28 F30:F33 M30:M33 F39:F41 M39:M41 F46:F50 F52:F53 F55:F56 F61:F64 F69:F72 F81:F91 F97:F100 F105:F108 M105:M108 F116:F119 F123:F126 F130:F133 F137:F140 F145:F148 M145:M148">
      <formula1>0.0</formula1>
      <formula2>30.0</formula2>
    </dataValidation>
    <dataValidation type="decimal" operator="greaterThan" allowBlank="1" showDropDown="1" showErrorMessage="1" sqref="M11">
      <formula1>0.0</formula1>
    </dataValidation>
  </dataValidations>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293" t="s">
        <v>297</v>
      </c>
      <c r="B9" s="36"/>
      <c r="C9" s="36"/>
      <c r="D9" s="36"/>
      <c r="E9" s="36"/>
      <c r="F9" s="37"/>
      <c r="G9" s="419"/>
      <c r="H9" s="419"/>
      <c r="I9" s="419"/>
      <c r="J9" s="419"/>
      <c r="K9" s="419"/>
      <c r="L9" s="717"/>
      <c r="M9" s="419"/>
    </row>
    <row r="10">
      <c r="A10" s="719" t="str">
        <f>HYPERLINK("https://goo.gl/forms/3ibooB993Hi7SS2d2","PRESS TO RECORD BODY WEIGHT")</f>
        <v>PRESS TO RECORD BODY WEIGHT</v>
      </c>
      <c r="B10" s="25"/>
      <c r="C10" s="25"/>
      <c r="D10" s="25"/>
      <c r="E10" s="25"/>
      <c r="F10" s="26"/>
      <c r="G10" s="419"/>
      <c r="H10" s="419"/>
      <c r="I10" s="419"/>
      <c r="J10" s="419"/>
      <c r="K10" s="419"/>
      <c r="L10" s="717"/>
      <c r="M10" s="419"/>
    </row>
    <row r="11">
      <c r="A11" s="336"/>
      <c r="B11" s="11"/>
      <c r="C11" s="11"/>
      <c r="D11" s="11"/>
      <c r="E11" s="11"/>
      <c r="F11" s="46"/>
      <c r="G11" s="419"/>
      <c r="H11" s="419"/>
      <c r="I11" s="419"/>
      <c r="J11" s="419"/>
      <c r="K11" s="419"/>
      <c r="L11" s="717"/>
      <c r="M11" s="419"/>
    </row>
    <row r="12">
      <c r="A12" s="720" t="s">
        <v>69</v>
      </c>
      <c r="B12" s="36"/>
      <c r="C12" s="36"/>
      <c r="D12" s="36"/>
      <c r="E12" s="36"/>
      <c r="F12" s="37"/>
      <c r="G12" s="419"/>
      <c r="H12" s="419"/>
      <c r="I12" s="419"/>
      <c r="J12" s="419"/>
      <c r="K12" s="419"/>
      <c r="L12" s="717"/>
      <c r="M12" s="419"/>
    </row>
    <row r="13">
      <c r="A13" s="721" t="s">
        <v>149</v>
      </c>
      <c r="B13" s="36"/>
      <c r="C13" s="36"/>
      <c r="D13" s="36"/>
      <c r="E13" s="36"/>
      <c r="F13" s="37"/>
      <c r="G13" s="419"/>
      <c r="H13" s="419"/>
      <c r="I13" s="419"/>
      <c r="J13" s="419"/>
      <c r="K13" s="419"/>
      <c r="L13" s="717"/>
      <c r="M13" s="419"/>
    </row>
    <row r="14">
      <c r="A14" s="653"/>
      <c r="B14" s="653"/>
      <c r="C14" s="653"/>
      <c r="D14" s="653"/>
      <c r="E14" s="654"/>
      <c r="F14" s="141"/>
      <c r="G14" s="419"/>
      <c r="H14" s="419"/>
      <c r="I14" s="419"/>
      <c r="J14" s="419"/>
      <c r="K14" s="419"/>
      <c r="L14" s="717"/>
      <c r="M14" s="419"/>
    </row>
    <row r="15">
      <c r="A15" s="50" t="s">
        <v>47</v>
      </c>
      <c r="B15" s="36"/>
      <c r="C15" s="36"/>
      <c r="D15" s="36"/>
      <c r="E15" s="36"/>
      <c r="F15" s="37"/>
      <c r="G15" s="722"/>
      <c r="H15" s="429" t="s">
        <v>118</v>
      </c>
      <c r="I15" s="36"/>
      <c r="J15" s="36"/>
      <c r="K15" s="36"/>
      <c r="L15" s="36"/>
      <c r="M15" s="37"/>
    </row>
    <row r="16">
      <c r="A16" s="657"/>
      <c r="B16" s="657"/>
      <c r="C16" s="657"/>
      <c r="D16" s="657"/>
      <c r="E16" s="657"/>
      <c r="F16" s="657"/>
      <c r="G16" s="722"/>
      <c r="H16" s="657"/>
      <c r="I16" s="657"/>
      <c r="J16" s="657"/>
      <c r="K16" s="657"/>
      <c r="L16" s="657"/>
      <c r="M16" s="657"/>
    </row>
    <row r="17">
      <c r="A17" s="657"/>
      <c r="B17" s="657"/>
      <c r="C17" s="657"/>
      <c r="D17" s="657"/>
      <c r="E17" s="657"/>
      <c r="F17" s="657"/>
      <c r="G17" s="722"/>
      <c r="H17" s="657"/>
      <c r="I17" s="657"/>
      <c r="J17" s="657"/>
      <c r="K17" s="657"/>
      <c r="L17" s="657"/>
      <c r="M17" s="657"/>
    </row>
    <row r="18">
      <c r="A18" s="51" t="s">
        <v>48</v>
      </c>
      <c r="B18" s="36"/>
      <c r="C18" s="36"/>
      <c r="D18" s="36"/>
      <c r="E18" s="36"/>
      <c r="F18" s="37"/>
      <c r="G18" s="722"/>
      <c r="H18" s="51" t="s">
        <v>48</v>
      </c>
      <c r="I18" s="36"/>
      <c r="J18" s="36"/>
      <c r="K18" s="36"/>
      <c r="L18" s="36"/>
      <c r="M18" s="37"/>
    </row>
    <row r="19">
      <c r="A19" s="93" t="str">
        <f>HYPERLINK("https://youtu.be/iLgUDezDMbU","1. BENCH PRESS")</f>
        <v>1. BENCH PRESS</v>
      </c>
      <c r="B19" s="53"/>
      <c r="C19" s="53"/>
      <c r="D19" s="53"/>
      <c r="E19" s="53"/>
      <c r="F19" s="54"/>
      <c r="G19" s="722"/>
      <c r="H19" s="93" t="str">
        <f>HYPERLINK("https://youtu.be/75e_H9Vq_Lw","1. MACHINE PRESS")</f>
        <v>1. MACHINE PRESS</v>
      </c>
      <c r="I19" s="53"/>
      <c r="J19" s="53"/>
      <c r="K19" s="53"/>
      <c r="L19" s="53"/>
      <c r="M19" s="54"/>
    </row>
    <row r="20">
      <c r="A20" s="226" t="s">
        <v>119</v>
      </c>
      <c r="B20" s="691" t="str">
        <f>'WEEK 22'!B17</f>
        <v/>
      </c>
      <c r="C20" s="13"/>
      <c r="D20" s="13"/>
      <c r="E20" s="13"/>
      <c r="F20" s="57"/>
      <c r="G20" s="722"/>
      <c r="H20" s="226" t="s">
        <v>119</v>
      </c>
      <c r="I20" s="691" t="str">
        <f>IF('WEEK 23'!I34="",'WEEK 23'!I21,'WEEK 23'!I34)</f>
        <v/>
      </c>
      <c r="J20" s="13"/>
      <c r="K20" s="13"/>
      <c r="L20" s="13"/>
      <c r="M20" s="57"/>
    </row>
    <row r="21">
      <c r="A21" s="96" t="s">
        <v>50</v>
      </c>
      <c r="B21" s="97" t="s">
        <v>51</v>
      </c>
      <c r="C21" s="97" t="s">
        <v>52</v>
      </c>
      <c r="D21" s="97" t="s">
        <v>53</v>
      </c>
      <c r="E21" s="341" t="s">
        <v>54</v>
      </c>
      <c r="F21" s="235" t="s">
        <v>55</v>
      </c>
      <c r="G21" s="723"/>
      <c r="H21" s="96" t="s">
        <v>50</v>
      </c>
      <c r="I21" s="97" t="s">
        <v>51</v>
      </c>
      <c r="J21" s="97" t="s">
        <v>52</v>
      </c>
      <c r="K21" s="97" t="s">
        <v>53</v>
      </c>
      <c r="L21" s="341" t="s">
        <v>54</v>
      </c>
      <c r="M21" s="235" t="s">
        <v>55</v>
      </c>
    </row>
    <row r="22">
      <c r="A22" s="725">
        <v>1.0</v>
      </c>
      <c r="B22" s="1473">
        <f>IF( 'WEEK 24'!B20&lt;125,45, mround('WEEK 24'!B20*0.9*0.35,5))</f>
        <v>0</v>
      </c>
      <c r="C22" s="344">
        <v>6.0</v>
      </c>
      <c r="D22" s="343" t="s">
        <v>150</v>
      </c>
      <c r="E22" s="66" t="str">
        <f>IF('WEEK 24'!B22='WEEK 24'!B22,'WEEK 24'!F22,"")</f>
        <v/>
      </c>
      <c r="F22" s="85"/>
      <c r="G22" s="423"/>
      <c r="H22" s="725">
        <v>1.0</v>
      </c>
      <c r="I22" s="344">
        <f>mround('WEEK 24'!I20*0.9*0.35,5)</f>
        <v>0</v>
      </c>
      <c r="J22" s="344">
        <v>6.0</v>
      </c>
      <c r="K22" s="343" t="s">
        <v>150</v>
      </c>
      <c r="L22" s="66" t="str">
        <f>IF('WEEK 24'!I22='WEEK 24'!I22,'WEEK 24'!M22,"")</f>
        <v/>
      </c>
      <c r="M22" s="85"/>
    </row>
    <row r="23">
      <c r="A23" s="725">
        <v>2.0</v>
      </c>
      <c r="B23" s="1474">
        <f>IF( 'WEEK 24'!B20&lt;70,MROUND('WEEK 24'!B20*0.78,5),MROUND('WEEK 24'!B20*0.9*0.72,5))</f>
        <v>0</v>
      </c>
      <c r="C23" s="344">
        <v>1.0</v>
      </c>
      <c r="D23" s="343" t="s">
        <v>151</v>
      </c>
      <c r="E23" s="66" t="str">
        <f>IF('WEEK 24'!B23='WEEK 24'!B23,'WEEK 24'!F23,"")</f>
        <v/>
      </c>
      <c r="F23" s="85"/>
      <c r="G23" s="423"/>
      <c r="H23" s="725">
        <v>2.0</v>
      </c>
      <c r="I23" s="344">
        <f>mround('WEEK 24'!I20*0.9*0.72,5)</f>
        <v>0</v>
      </c>
      <c r="J23" s="344">
        <v>1.0</v>
      </c>
      <c r="K23" s="343" t="s">
        <v>151</v>
      </c>
      <c r="L23" s="66" t="str">
        <f>IF('WEEK 24'!I23='WEEK 24'!I23,'WEEK 24'!M23,"")</f>
        <v/>
      </c>
      <c r="M23" s="85"/>
    </row>
    <row r="24">
      <c r="A24" s="725">
        <v>3.0</v>
      </c>
      <c r="B24" s="344">
        <f>mround('WEEK 24'!B20*0.9*0.9,5)</f>
        <v>0</v>
      </c>
      <c r="C24" s="344">
        <v>1.0</v>
      </c>
      <c r="D24" s="343" t="s">
        <v>57</v>
      </c>
      <c r="E24" s="66" t="str">
        <f>IF('WEEK 24'!B24='WEEK 24'!B24,'WEEK 24'!F24,"")</f>
        <v/>
      </c>
      <c r="F24" s="85"/>
      <c r="G24" s="423"/>
      <c r="H24" s="725">
        <v>3.0</v>
      </c>
      <c r="I24" s="344">
        <f>mround('WEEK 24'!I20*0.9*0.9,5)</f>
        <v>0</v>
      </c>
      <c r="J24" s="344">
        <v>1.0</v>
      </c>
      <c r="K24" s="343" t="s">
        <v>57</v>
      </c>
      <c r="L24" s="66" t="str">
        <f>IF('WEEK 24'!I24='WEEK 24'!I24,'WEEK 24'!M24,"")</f>
        <v/>
      </c>
      <c r="M24" s="85"/>
    </row>
    <row r="25">
      <c r="A25" s="730" t="s">
        <v>152</v>
      </c>
      <c r="B25" s="13"/>
      <c r="C25" s="13"/>
      <c r="D25" s="13"/>
      <c r="E25" s="13"/>
      <c r="F25" s="57"/>
      <c r="G25" s="731" t="s">
        <v>123</v>
      </c>
      <c r="H25" s="730" t="s">
        <v>152</v>
      </c>
      <c r="I25" s="13"/>
      <c r="J25" s="13"/>
      <c r="K25" s="13"/>
      <c r="L25" s="13"/>
      <c r="M25" s="57"/>
    </row>
    <row r="26">
      <c r="A26" s="96" t="s">
        <v>50</v>
      </c>
      <c r="B26" s="97" t="s">
        <v>51</v>
      </c>
      <c r="C26" s="97" t="s">
        <v>52</v>
      </c>
      <c r="D26" s="97" t="s">
        <v>53</v>
      </c>
      <c r="E26" s="341" t="s">
        <v>54</v>
      </c>
      <c r="F26" s="235" t="s">
        <v>55</v>
      </c>
      <c r="H26" s="96" t="s">
        <v>50</v>
      </c>
      <c r="I26" s="97" t="s">
        <v>51</v>
      </c>
      <c r="J26" s="97" t="s">
        <v>52</v>
      </c>
      <c r="K26" s="97" t="s">
        <v>53</v>
      </c>
      <c r="L26" s="341" t="s">
        <v>54</v>
      </c>
      <c r="M26" s="235" t="s">
        <v>55</v>
      </c>
    </row>
    <row r="27">
      <c r="A27" s="342">
        <v>1.0</v>
      </c>
      <c r="B27" s="348">
        <f>mround('WEEK 24'!B20*1*0.9,5)</f>
        <v>0</v>
      </c>
      <c r="C27" s="437" t="s">
        <v>65</v>
      </c>
      <c r="D27" s="343" t="s">
        <v>122</v>
      </c>
      <c r="E27" s="66" t="str">
        <f>IF('WEEK 24'!B27='WEEK 24'!B27,'WEEK 24'!F27,"")</f>
        <v/>
      </c>
      <c r="F27" s="85"/>
      <c r="G27" s="423"/>
      <c r="H27" s="725">
        <v>1.0</v>
      </c>
      <c r="I27" s="348">
        <f>mround('WEEK 24'!I20*1*0.9,5)</f>
        <v>0</v>
      </c>
      <c r="J27" s="437" t="s">
        <v>65</v>
      </c>
      <c r="K27" s="343" t="s">
        <v>122</v>
      </c>
      <c r="L27" s="66" t="str">
        <f>IF('WEEK 24'!I27='WEEK 24'!I27,'WEEK 24'!M27,"")</f>
        <v/>
      </c>
      <c r="M27" s="85"/>
    </row>
    <row r="28">
      <c r="A28" s="725">
        <v>2.0</v>
      </c>
      <c r="B28" s="348">
        <f>IF('WEEK 24'!F27&lt;3,MROUND('WEEK 24'!B27*0.75,5),IF('WEEK 24'!F27&lt;6,MROUND('WEEK 24'!B27*0.85,5),mround('WEEK 24'!B27*0.9,5)))</f>
        <v>0</v>
      </c>
      <c r="C28" s="437" t="s">
        <v>65</v>
      </c>
      <c r="D28" s="343" t="s">
        <v>122</v>
      </c>
      <c r="E28" s="66" t="str">
        <f>IF('WEEK 24'!B28='WEEK 24'!B28,'WEEK 24'!F28,"")</f>
        <v/>
      </c>
      <c r="F28" s="85"/>
      <c r="G28" s="722"/>
      <c r="H28" s="725">
        <v>2.0</v>
      </c>
      <c r="I28" s="348">
        <f>IF('WEEK 24'!M27&lt;3,MROUND('WEEK 24'!I27*0.75,5),IF('WEEK 24'!M27&lt;6,MROUND('WEEK 24'!I27*0.85,5),mround('WEEK 24'!I27*0.9,5)))</f>
        <v>0</v>
      </c>
      <c r="J28" s="437" t="s">
        <v>65</v>
      </c>
      <c r="K28" s="343" t="s">
        <v>122</v>
      </c>
      <c r="L28" s="66" t="str">
        <f>IF('WEEK 24'!I28='WEEK 24'!I28,'WEEK 24'!M28,"")</f>
        <v/>
      </c>
      <c r="M28" s="85"/>
    </row>
    <row r="29">
      <c r="A29" s="485">
        <v>3.0</v>
      </c>
      <c r="B29" s="732">
        <f>IF('WEEK 19'!F28&lt;3,MROUND('WEEK 19'!B28*0.75,5),IF('WEEK 19'!F28&lt;6,MROUND('WEEK 19'!B28*0.85,5),mround('WEEK 19'!B28*0.9,5)))</f>
        <v>0</v>
      </c>
      <c r="C29" s="733" t="s">
        <v>65</v>
      </c>
      <c r="D29" s="486" t="s">
        <v>122</v>
      </c>
      <c r="E29" s="72" t="str">
        <f>IF('WEEK 24'!B29='WEEK 24'!B29,'WEEK 24'!F29,"")</f>
        <v/>
      </c>
      <c r="F29" s="85"/>
      <c r="G29" s="722"/>
      <c r="H29" s="735">
        <v>3.0</v>
      </c>
      <c r="I29" s="736">
        <f>IF('WEEK 24'!M28&lt;3,MROUND('WEEK 24'!I28*0.75,5),IF('WEEK 24'!M28&lt;6,MROUND('WEEK 24'!I28*0.85,5),mround('WEEK 24'!I28*0.9,5)))</f>
        <v>0</v>
      </c>
      <c r="J29" s="737" t="s">
        <v>65</v>
      </c>
      <c r="K29" s="738" t="s">
        <v>122</v>
      </c>
      <c r="L29" s="66" t="str">
        <f>IF('WEEK 24'!I29='WEEK 24'!I29,'WEEK 24'!M29,"")</f>
        <v/>
      </c>
      <c r="M29" s="330"/>
    </row>
    <row r="30">
      <c r="A30" s="740"/>
      <c r="B30" s="740"/>
      <c r="C30" s="740"/>
      <c r="D30" s="740"/>
      <c r="E30" s="741"/>
      <c r="F30" s="419"/>
      <c r="G30" s="722"/>
      <c r="H30" s="742"/>
      <c r="I30" s="742"/>
      <c r="J30" s="742"/>
      <c r="K30" s="742"/>
      <c r="L30" s="742"/>
      <c r="M30" s="742"/>
    </row>
    <row r="31">
      <c r="A31" s="740"/>
      <c r="B31" s="740"/>
      <c r="C31" s="740"/>
      <c r="D31" s="740"/>
      <c r="E31" s="741"/>
      <c r="F31" s="419"/>
      <c r="G31" s="419"/>
      <c r="H31" s="657"/>
      <c r="I31" s="657"/>
      <c r="J31" s="657"/>
      <c r="K31" s="657"/>
      <c r="L31" s="657"/>
      <c r="M31" s="657"/>
    </row>
    <row r="32">
      <c r="A32" s="440" t="str">
        <f>HYPERLINK("https://www.youtube.com/watch?v=mGv8D2DGyNQ","2. DB CHEST FLY")</f>
        <v>2. DB CHEST FLY</v>
      </c>
      <c r="B32" s="53"/>
      <c r="C32" s="53"/>
      <c r="D32" s="53"/>
      <c r="E32" s="53"/>
      <c r="F32" s="54"/>
      <c r="G32" s="419"/>
      <c r="H32" s="504" t="str">
        <f>HYPERLINK("https://www.youtube.com/watch?v=THb0dhfIu1k","2. MACHINE CHEST FLY")</f>
        <v>2. MACHINE CHEST FLY</v>
      </c>
      <c r="I32" s="53"/>
      <c r="J32" s="53"/>
      <c r="K32" s="53"/>
      <c r="L32" s="53"/>
      <c r="M32" s="54"/>
    </row>
    <row r="33">
      <c r="A33" s="226" t="s">
        <v>228</v>
      </c>
      <c r="B33" s="691" t="str">
        <f>IF('WEEK 23'!B34="",'WEEK 23'!B21,'WEEK 23'!B34)</f>
        <v/>
      </c>
      <c r="C33" s="13"/>
      <c r="D33" s="13"/>
      <c r="E33" s="13"/>
      <c r="F33" s="57"/>
      <c r="G33" s="419"/>
      <c r="H33" s="226" t="s">
        <v>228</v>
      </c>
      <c r="I33" s="548" t="str">
        <f>'WEEK 24'!B33</f>
        <v/>
      </c>
      <c r="J33" s="13"/>
      <c r="K33" s="13"/>
      <c r="L33" s="13"/>
      <c r="M33" s="57"/>
    </row>
    <row r="34">
      <c r="A34" s="743" t="s">
        <v>50</v>
      </c>
      <c r="B34" s="744" t="s">
        <v>51</v>
      </c>
      <c r="C34" s="744" t="s">
        <v>52</v>
      </c>
      <c r="D34" s="744" t="s">
        <v>53</v>
      </c>
      <c r="E34" s="745" t="s">
        <v>54</v>
      </c>
      <c r="F34" s="746" t="s">
        <v>55</v>
      </c>
      <c r="G34" s="724"/>
      <c r="H34" s="96" t="s">
        <v>50</v>
      </c>
      <c r="I34" s="97" t="s">
        <v>51</v>
      </c>
      <c r="J34" s="97" t="s">
        <v>52</v>
      </c>
      <c r="K34" s="97" t="s">
        <v>53</v>
      </c>
      <c r="L34" s="341" t="s">
        <v>54</v>
      </c>
      <c r="M34" s="235" t="s">
        <v>55</v>
      </c>
    </row>
    <row r="35">
      <c r="A35" s="725">
        <v>1.0</v>
      </c>
      <c r="B35" s="254">
        <f>mround('WEEK 24'!B33*0.29,2.5)</f>
        <v>0</v>
      </c>
      <c r="C35" s="344">
        <v>15.0</v>
      </c>
      <c r="D35" s="343" t="s">
        <v>57</v>
      </c>
      <c r="E35" s="66" t="str">
        <f>IF('WEEK 24'!B35='WEEK 23'!B40,'WEEK 23'!F40,"")</f>
        <v/>
      </c>
      <c r="F35" s="85"/>
      <c r="G35" s="728"/>
      <c r="H35" s="240">
        <v>1.0</v>
      </c>
      <c r="I35" s="254">
        <f>mround('WEEK 24'!I33*2*0.75,10)</f>
        <v>0</v>
      </c>
      <c r="J35" s="241">
        <v>15.0</v>
      </c>
      <c r="K35" s="83" t="s">
        <v>57</v>
      </c>
      <c r="L35" s="66" t="str">
        <f>IF('WEEK 24'!I35='WEEK 23'!I40,'WEEK 23'!M40,"")</f>
        <v/>
      </c>
      <c r="M35" s="85"/>
    </row>
    <row r="36">
      <c r="A36" s="747">
        <v>2.0</v>
      </c>
      <c r="B36" s="662">
        <f>mround('WEEK 24'!B33*0.29,2.5)</f>
        <v>0</v>
      </c>
      <c r="C36" s="813">
        <v>15.0</v>
      </c>
      <c r="D36" s="486" t="s">
        <v>57</v>
      </c>
      <c r="E36" s="72" t="str">
        <f>IF('WEEK 24'!B36='WEEK 23'!B41,'WEEK 23'!F41,"")</f>
        <v/>
      </c>
      <c r="F36" s="85"/>
      <c r="G36" s="728"/>
      <c r="H36" s="661">
        <v>2.0</v>
      </c>
      <c r="I36" s="662">
        <f>mround('WEEK 24'!I33*2*0.75,10)</f>
        <v>0</v>
      </c>
      <c r="J36" s="662">
        <v>15.0</v>
      </c>
      <c r="K36" s="88" t="s">
        <v>57</v>
      </c>
      <c r="L36" s="72" t="str">
        <f>IF('WEEK 24'!I36='WEEK 23'!I41,'WEEK 23'!M41,"")</f>
        <v/>
      </c>
      <c r="M36" s="85"/>
    </row>
    <row r="39">
      <c r="A39" s="1497" t="str">
        <f>HYPERLINK("https://www.youtube.com/watch?v=JDPkRuVBZ90","3. SUPER SET")</f>
        <v>3. SUPER SET</v>
      </c>
      <c r="B39" s="36"/>
      <c r="C39" s="36"/>
      <c r="D39" s="36"/>
      <c r="E39" s="36"/>
      <c r="F39" s="37"/>
    </row>
    <row r="40">
      <c r="A40" s="1177" t="s">
        <v>119</v>
      </c>
      <c r="B40" s="1178" t="str">
        <f>IF('WEEK 23'!B57="",'WEEK 23'!B45,'WEEK 23'!B57)</f>
        <v/>
      </c>
      <c r="C40" s="46"/>
      <c r="D40" s="1178">
        <f>'WEEK 23'!B68</f>
        <v>270</v>
      </c>
      <c r="E40" s="11"/>
      <c r="F40" s="46"/>
    </row>
    <row r="41">
      <c r="A41" s="1179" t="s">
        <v>50</v>
      </c>
      <c r="B41" s="1180" t="s">
        <v>200</v>
      </c>
      <c r="C41" s="1181" t="s">
        <v>51</v>
      </c>
      <c r="D41" s="1181" t="s">
        <v>52</v>
      </c>
      <c r="E41" s="1182" t="s">
        <v>54</v>
      </c>
      <c r="F41" s="1006" t="s">
        <v>55</v>
      </c>
    </row>
    <row r="42">
      <c r="A42" s="1183">
        <v>1.0</v>
      </c>
      <c r="B42" s="1393" t="str">
        <f>HYPERLINK("https://www.youtube.com/watch?v=hMUUvL3FlkE&amp;feature=youtu.be","MACH HIGH ROW")</f>
        <v>MACH HIGH ROW</v>
      </c>
      <c r="C42" s="1185">
        <f>MROUND('WEEK 24'!B40*0.45,5)</f>
        <v>0</v>
      </c>
      <c r="D42" s="1186">
        <v>20.0</v>
      </c>
      <c r="E42" s="1187"/>
      <c r="F42" s="1188"/>
    </row>
    <row r="43">
      <c r="A43" s="1189"/>
      <c r="B43" s="1190" t="str">
        <f>HYPERLINK("https://www.youtube.com/watch?v=9YH1YvZbiY0","LOW ROW")</f>
        <v>LOW ROW</v>
      </c>
      <c r="C43" s="1191">
        <f>MROUND('WEEK 24'!D40*0.45,5)</f>
        <v>120</v>
      </c>
      <c r="D43" s="1192">
        <v>20.0</v>
      </c>
      <c r="E43" s="1193"/>
      <c r="F43" s="1188"/>
    </row>
    <row r="44">
      <c r="A44" s="1194" t="s">
        <v>201</v>
      </c>
      <c r="B44" s="11"/>
      <c r="C44" s="11"/>
      <c r="D44" s="11"/>
      <c r="E44" s="11"/>
      <c r="F44" s="46"/>
    </row>
    <row r="45">
      <c r="A45" s="1195">
        <v>2.0</v>
      </c>
      <c r="B45" s="1393" t="str">
        <f>HYPERLINK("https://www.youtube.com/watch?v=hMUUvL3FlkE&amp;feature=youtu.be","MACH HIGH ROW")</f>
        <v>MACH HIGH ROW</v>
      </c>
      <c r="C45" s="1185">
        <f>IF('WEEK 24'!F42&gt;=15,'WEEK 24'!C42,MROUND('WEEK 24'!C42*0.9,5))</f>
        <v>0</v>
      </c>
      <c r="D45" s="1186">
        <v>20.0</v>
      </c>
      <c r="E45" s="1187"/>
      <c r="F45" s="1188"/>
    </row>
    <row r="46">
      <c r="A46" s="1196"/>
      <c r="B46" s="1190" t="str">
        <f>HYPERLINK("https://www.youtube.com/watch?v=9YH1YvZbiY0","LOW ROW")</f>
        <v>LOW ROW</v>
      </c>
      <c r="C46" s="1191">
        <f>IF('WEEK 24'!F43&gt;=15,'WEEK 24'!C43,MROUND('WEEK 24'!C43*0.9,5))</f>
        <v>110</v>
      </c>
      <c r="D46" s="1192">
        <v>20.0</v>
      </c>
      <c r="E46" s="1193"/>
      <c r="F46" s="1188"/>
    </row>
    <row r="47">
      <c r="A47" s="1194" t="s">
        <v>201</v>
      </c>
      <c r="B47" s="11"/>
      <c r="C47" s="11"/>
      <c r="D47" s="11"/>
      <c r="E47" s="11"/>
      <c r="F47" s="46"/>
    </row>
    <row r="48">
      <c r="A48" s="1195">
        <v>3.0</v>
      </c>
      <c r="B48" s="1393" t="str">
        <f>HYPERLINK("https://www.youtube.com/watch?v=hMUUvL3FlkE&amp;feature=youtu.be","MACH HIGH ROW")</f>
        <v>MACH HIGH ROW</v>
      </c>
      <c r="C48" s="1185">
        <f>IF('WEEK 24'!F45&gt;=15,'WEEK 24'!C45,MROUND('WEEK 24'!C45*0.9,5))</f>
        <v>0</v>
      </c>
      <c r="D48" s="1186">
        <v>20.0</v>
      </c>
      <c r="E48" s="1187"/>
      <c r="F48" s="1133"/>
    </row>
    <row r="49">
      <c r="A49" s="1196"/>
      <c r="B49" s="1190" t="str">
        <f>HYPERLINK("https://www.youtube.com/watch?v=9YH1YvZbiY0","LOW ROW")</f>
        <v>LOW ROW</v>
      </c>
      <c r="C49" s="1191">
        <f>IF('WEEK 24'!F46&gt;=15,'WEEK 24'!C46,MROUND('WEEK 24'!C46*0.9,5))</f>
        <v>100</v>
      </c>
      <c r="D49" s="1192">
        <v>20.0</v>
      </c>
      <c r="E49" s="1193"/>
      <c r="F49" s="1133"/>
    </row>
    <row r="50">
      <c r="A50" s="1194" t="s">
        <v>201</v>
      </c>
      <c r="B50" s="11"/>
      <c r="C50" s="11"/>
      <c r="D50" s="11"/>
      <c r="E50" s="11"/>
      <c r="F50" s="46"/>
    </row>
    <row r="51">
      <c r="A51" s="1197">
        <v>4.0</v>
      </c>
      <c r="B51" s="1393" t="str">
        <f>HYPERLINK("https://www.youtube.com/watch?v=hMUUvL3FlkE&amp;feature=youtu.be","MACH HIGH ROW")</f>
        <v>MACH HIGH ROW</v>
      </c>
      <c r="C51" s="1185">
        <f>IF('WEEK 24'!F48&gt;=15,'WEEK 24'!C48,MROUND('WEEK 24'!C48*0.9,5))</f>
        <v>0</v>
      </c>
      <c r="D51" s="1186">
        <v>20.0</v>
      </c>
      <c r="E51" s="1187"/>
      <c r="F51" s="1133"/>
    </row>
    <row r="52">
      <c r="A52" s="1196"/>
      <c r="B52" s="1190" t="str">
        <f>HYPERLINK("https://www.youtube.com/watch?v=9YH1YvZbiY0","LOW ROW")</f>
        <v>LOW ROW</v>
      </c>
      <c r="C52" s="1191">
        <f>IF('WEEK 24'!F49&gt;=15,'WEEK 24'!C49,MROUND('WEEK 24'!C49*0.9,5))</f>
        <v>90</v>
      </c>
      <c r="D52" s="1192">
        <v>20.0</v>
      </c>
      <c r="E52" s="1193"/>
      <c r="F52" s="1133"/>
    </row>
    <row r="54">
      <c r="A54" s="103"/>
      <c r="B54" s="103"/>
      <c r="C54" s="103"/>
      <c r="D54" s="103"/>
      <c r="E54" s="222"/>
      <c r="F54" s="103"/>
    </row>
    <row r="55">
      <c r="A55" s="310" t="str">
        <f>HYPERLINK("https://docs.google.com/a/fitnessresults.com/forms/d/e/1FAIpQLSd7MoczESe8Yjv6BKpmwAZGn9Aiymrs9-UdgfYIUpbr9t5NXg/viewform?usp=pp_url&amp;entry.93370101","CLICK TO COMPLETE WORKOUT")</f>
        <v>CLICK TO COMPLETE WORKOUT</v>
      </c>
      <c r="B55" s="36"/>
      <c r="C55" s="36"/>
      <c r="D55" s="36"/>
      <c r="E55" s="36"/>
      <c r="F55" s="37"/>
    </row>
    <row r="57">
      <c r="A57" s="224" t="s">
        <v>128</v>
      </c>
      <c r="B57" s="36"/>
      <c r="C57" s="36"/>
      <c r="D57" s="36"/>
      <c r="E57" s="36"/>
      <c r="F57" s="37"/>
    </row>
    <row r="60">
      <c r="A60" s="1355" t="str">
        <f>HYPERLINK("https://www.youtube.com/watch?v=5UOeRbRoFOI","1. MACHINE SQUAT")</f>
        <v>1. MACHINE SQUAT</v>
      </c>
      <c r="B60" s="53"/>
      <c r="C60" s="53"/>
      <c r="D60" s="53"/>
      <c r="E60" s="53"/>
      <c r="F60" s="54"/>
    </row>
    <row r="61">
      <c r="A61" s="1262" t="s">
        <v>268</v>
      </c>
      <c r="B61" s="1035">
        <f>'WEEK 18'!B75</f>
        <v>100</v>
      </c>
      <c r="C61" s="13"/>
      <c r="D61" s="13"/>
      <c r="E61" s="13"/>
      <c r="F61" s="57"/>
    </row>
    <row r="62">
      <c r="A62" s="231" t="s">
        <v>50</v>
      </c>
      <c r="B62" s="232" t="s">
        <v>51</v>
      </c>
      <c r="C62" s="232" t="s">
        <v>52</v>
      </c>
      <c r="D62" s="232" t="s">
        <v>53</v>
      </c>
      <c r="E62" s="233" t="s">
        <v>54</v>
      </c>
      <c r="F62" s="61" t="s">
        <v>55</v>
      </c>
    </row>
    <row r="63">
      <c r="A63" s="236">
        <v>1.0</v>
      </c>
      <c r="B63" s="237">
        <f>mround('WEEK 24'!B61*0.35,5)</f>
        <v>35</v>
      </c>
      <c r="C63" s="238">
        <v>10.0</v>
      </c>
      <c r="D63" s="238" t="s">
        <v>120</v>
      </c>
      <c r="E63" s="1130" t="str">
        <f>IF('WEEK 18'!D65='WEEK 24'!D63,'WEEK 18'!H65,"")</f>
        <v/>
      </c>
      <c r="F63" s="67"/>
    </row>
    <row r="64">
      <c r="A64" s="236">
        <v>2.0</v>
      </c>
      <c r="B64" s="237">
        <f>mround('WEEK 24'!B61*0.65,5)</f>
        <v>65</v>
      </c>
      <c r="C64" s="238">
        <v>10.0</v>
      </c>
      <c r="D64" s="238" t="s">
        <v>121</v>
      </c>
      <c r="E64" s="1130" t="str">
        <f>IF('WEEK 18'!D66='WEEK 24'!D64,'WEEK 18'!H66,"")</f>
        <v/>
      </c>
      <c r="F64" s="67"/>
    </row>
    <row r="65">
      <c r="A65" s="242">
        <v>3.0</v>
      </c>
      <c r="B65" s="237">
        <f>mround('WEEK 24'!B61*0.9,5)</f>
        <v>90</v>
      </c>
      <c r="C65" s="238">
        <v>10.0</v>
      </c>
      <c r="D65" s="238" t="s">
        <v>121</v>
      </c>
      <c r="E65" s="1130" t="str">
        <f>IF('WEEK 18'!D67='WEEK 24'!D65,'WEEK 18'!H67,"")</f>
        <v/>
      </c>
      <c r="F65" s="67"/>
    </row>
    <row r="66">
      <c r="A66" s="249">
        <v>4.0</v>
      </c>
      <c r="B66" s="175">
        <f>if('WEEK 24'!F65&lt;1,MROUND('WEEK 24'!B65-('WEEK 24'!B65*20%),5),'WEEK 24'!B61)</f>
        <v>70</v>
      </c>
      <c r="C66" s="238">
        <v>10.0</v>
      </c>
      <c r="D66" s="238" t="s">
        <v>122</v>
      </c>
      <c r="E66" s="1130" t="str">
        <f>IF('WEEK 18'!D68='WEEK 24'!D66,'WEEK 18'!H68,"")</f>
        <v/>
      </c>
      <c r="F66" s="67"/>
    </row>
    <row r="67">
      <c r="A67" s="249">
        <v>5.0</v>
      </c>
      <c r="B67" s="175">
        <f>IF((AND('WEEK 24'!B66&lt;='WEEK 24'!B65,'WEEK 24'!F66&gt;=1)),'WEEK 24'!B66,IF('WEEK 24'!F66&lt;1,MROUND('WEEK 24'!B66-('WEEK 24'!B66*20%),5),if( 'WEEK 24'!F66&lt;1,,MROUND('WEEK 24'!B66-('WEEK 24'!B66*10%),5),MROUND('WEEK 24'!B66+('WEEK 24'!B66*10%),5))))</f>
        <v>55</v>
      </c>
      <c r="C67" s="238">
        <v>10.0</v>
      </c>
      <c r="D67" s="238" t="s">
        <v>122</v>
      </c>
      <c r="E67" s="1130" t="str">
        <f>IF('WEEK 18'!D69='WEEK 24'!D67,'WEEK 18'!H69,"")</f>
        <v/>
      </c>
      <c r="F67" s="1037"/>
    </row>
    <row r="68">
      <c r="A68" s="249">
        <f>if('WEEK 24'!F66&lt;1,6,6)</f>
        <v>6</v>
      </c>
      <c r="B68" s="175">
        <f>IF((AND('WEEK 24'!B67&lt;='WEEK 24'!B66,'WEEK 24'!F67&gt;=1)),'WEEK 24'!B67,IF('WEEK 24'!F67&lt;1,MROUND('WEEK 24'!B67-('WEEK 24'!B67*20%),5),if( 'WEEK 24'!F67&lt;1,,MROUND('WEEK 24'!B67-('WEEK 24'!B67*10%),5),MROUND('WEEK 24'!B67+('WEEK 24'!B67*10%),5))))</f>
        <v>45</v>
      </c>
      <c r="C68" s="238">
        <v>10.0</v>
      </c>
      <c r="D68" s="238" t="s">
        <v>122</v>
      </c>
      <c r="E68" s="1130" t="str">
        <f>IF('WEEK 18'!D70='WEEK 24'!D68,'WEEK 18'!H70,"")</f>
        <v/>
      </c>
      <c r="F68" s="67"/>
    </row>
    <row r="69">
      <c r="A69" s="1038">
        <f>IF('WEEK 24'!F68&lt;1,7,"7")</f>
        <v>7</v>
      </c>
      <c r="B69" s="175">
        <f>IF((AND('WEEK 24'!B68&lt;='WEEK 24'!B67,'WEEK 24'!F68&gt;=1)),'WEEK 24'!B68,IF('WEEK 24'!F68&lt;1,MROUND('WEEK 24'!B68-('WEEK 24'!B68*20%),5),if( 'WEEK 24'!F68&lt;1,,MROUND('WEEK 24'!B68-('WEEK 24'!B68*10%),5),MROUND('WEEK 24'!B68+('WEEK 24'!B68*10%),5))))</f>
        <v>35</v>
      </c>
      <c r="C69" s="238">
        <v>10.0</v>
      </c>
      <c r="D69" s="238" t="s">
        <v>122</v>
      </c>
      <c r="E69" s="1130" t="str">
        <f>IF('WEEK 18'!D71='WEEK 24'!D69,'WEEK 18'!H71,"")</f>
        <v/>
      </c>
      <c r="F69" s="67"/>
    </row>
    <row r="70">
      <c r="A70" s="249">
        <f>IF('WEEK 24'!F69&lt;1,8,"8")</f>
        <v>8</v>
      </c>
      <c r="B70" s="175">
        <f>IF((AND('WEEK 24'!B69&lt;='WEEK 24'!B68,'WEEK 24'!F69&gt;=1)),'WEEK 24'!B69,IF('WEEK 24'!F69&lt;1,MROUND('WEEK 24'!B69-('WEEK 24'!B69*20%),5),if( 'WEEK 24'!F69&lt;1,,MROUND('WEEK 24'!B69-('WEEK 24'!B69*10%),5),MROUND('WEEK 24'!B69+('WEEK 24'!B69*10%),5))))</f>
        <v>30</v>
      </c>
      <c r="C70" s="238">
        <v>10.0</v>
      </c>
      <c r="D70" s="238" t="s">
        <v>122</v>
      </c>
      <c r="E70" s="1130" t="str">
        <f>IF('WEEK 18'!D72='WEEK 24'!D70,'WEEK 18'!H72,"")</f>
        <v/>
      </c>
      <c r="F70" s="67"/>
    </row>
    <row r="71">
      <c r="A71" s="1038">
        <f>IF('WEEK 24'!F70&lt;1,9,"9")</f>
        <v>9</v>
      </c>
      <c r="B71" s="175">
        <f>IF((AND('WEEK 24'!B70&lt;='WEEK 24'!B69,'WEEK 24'!F70&gt;=1)),'WEEK 24'!B70,IF('WEEK 24'!F70&lt;1,MROUND('WEEK 24'!B70-('WEEK 24'!B70*20%),5),if( 'WEEK 24'!F70&lt;1,,MROUND('WEEK 24'!B70-('WEEK 24'!B70*10%),5),MROUND('WEEK 24'!B70+('WEEK 24'!B70*10%),5))))</f>
        <v>25</v>
      </c>
      <c r="C71" s="238">
        <v>10.0</v>
      </c>
      <c r="D71" s="238" t="s">
        <v>122</v>
      </c>
      <c r="E71" s="1130" t="str">
        <f>IF('WEEK 18'!D73='WEEK 24'!D71,'WEEK 18'!H73,"")</f>
        <v/>
      </c>
      <c r="F71" s="67"/>
    </row>
    <row r="72">
      <c r="A72" s="1038" t="str">
        <f>IF('WEEK 24'!F71&lt;1,"10","10")</f>
        <v>10</v>
      </c>
      <c r="B72" s="175">
        <f>IF((AND('WEEK 24'!B71&lt;='WEEK 24'!B70,'WEEK 24'!F71&gt;=1)),'WEEK 24'!B71,IF('WEEK 24'!F71&lt;1,MROUND('WEEK 24'!B71-('WEEK 24'!B71*20%),5),if( 'WEEK 24'!F71&lt;1,,MROUND('WEEK 24'!B71-('WEEK 24'!B71*10%),5),MROUND('WEEK 24'!B71+('WEEK 24'!B71*10%),5))))</f>
        <v>20</v>
      </c>
      <c r="C72" s="238">
        <v>10.0</v>
      </c>
      <c r="D72" s="238" t="s">
        <v>122</v>
      </c>
      <c r="E72" s="1130" t="str">
        <f>IF('WEEK 18'!D74='WEEK 24'!D72,'WEEK 18'!H74,"")</f>
        <v/>
      </c>
      <c r="F72" s="67"/>
    </row>
    <row r="73">
      <c r="A73" s="272" t="s">
        <v>298</v>
      </c>
      <c r="B73" s="1109">
        <f>IF(OR(ISBLANK('WEEK 24'!F63),ISBLANK('WEEK 24'!F64)),'WEEK 24'!B61,IF((AND('WEEK 24'!F72&gt;=1,'WEEK 24'!B72&gt;'WEEK 24'!B71)),'WEEK 24'!B72,IF((AND('WEEK 24'!F71&gt;=1,'WEEK 24'!B71&gt;'WEEK 24'!B70)),'WEEK 24'!B71,IF((AND('WEEK 24'!F70&gt;=1,'WEEK 24'!B70&gt;'WEEK 24'!B69)),'WEEK 24'!B70,IF((AND('WEEK 24'!F69&gt;=1,'WEEK 24'!B69&gt;'WEEK 24'!B68)),'WEEK 24'!B69,IF((AND('WEEK 24'!F68&gt;=1,'WEEK 24'!B68&gt;'WEEK 24'!B67)),'WEEK 24'!B68,IF((AND('WEEK 24'!F67&gt;=1,'WEEK 24'!B67&gt;'WEEK 24'!B66)),'WEEK 24'!B67,IF((AND('WEEK 24'!F66&gt;=1,'WEEK 24'!B66&gt;'WEEK 24'!B65)),'WEEK 24'!B66,IF((AND('WEEK 24'!F65&gt;=1,'WEEK 24'!B65&gt;'WEEK 24'!B64)),'WEEK 24'!B65,IF((AND('WEEK 24'!F64&gt;=1,'WEEK 24'!B64&gt;'WEEK 24'!B63)),'WEEK 24'!B64))))))))))</f>
        <v>100</v>
      </c>
      <c r="C73" s="11"/>
      <c r="D73" s="11"/>
      <c r="E73" s="11"/>
      <c r="F73" s="46"/>
    </row>
    <row r="76">
      <c r="A76" s="1285" t="str">
        <f>HYPERLINK("https://www.youtube.com/watch?v=NZ9KiFtbiMs","2. LEG EXTENSION")</f>
        <v>2. LEG EXTENSION</v>
      </c>
      <c r="B76" s="53"/>
      <c r="C76" s="53"/>
      <c r="D76" s="53"/>
      <c r="E76" s="53"/>
      <c r="F76" s="54"/>
    </row>
    <row r="77">
      <c r="A77" s="1045" t="s">
        <v>119</v>
      </c>
      <c r="B77" s="1367">
        <f>IF('WEEK 23'!B98='WEEK 23'!B100,'WEEK 23'!B98+5,IF('WEEK 23'!F98&lt;=9,MROUND('WEEK 23'!B96*0.95,5),'WEEK 23'!B98))</f>
        <v>50</v>
      </c>
      <c r="C77" s="20"/>
      <c r="D77" s="20"/>
      <c r="E77" s="20"/>
      <c r="F77" s="95"/>
    </row>
    <row r="78">
      <c r="A78" s="567" t="s">
        <v>50</v>
      </c>
      <c r="B78" s="568" t="s">
        <v>51</v>
      </c>
      <c r="C78" s="568" t="s">
        <v>52</v>
      </c>
      <c r="D78" s="568" t="s">
        <v>53</v>
      </c>
      <c r="E78" s="1047" t="s">
        <v>54</v>
      </c>
      <c r="F78" s="1048" t="s">
        <v>55</v>
      </c>
    </row>
    <row r="79">
      <c r="A79" s="1049">
        <v>1.0</v>
      </c>
      <c r="B79" s="1050">
        <f>'WEEK 24'!B77</f>
        <v>50</v>
      </c>
      <c r="C79" s="1051" t="s">
        <v>61</v>
      </c>
      <c r="D79" s="1430" t="s">
        <v>121</v>
      </c>
      <c r="E79" s="1130" t="str">
        <f>IF('WEEK 23'!B98='WEEK 24'!B79,'WEEK 23'!F98,"")</f>
        <v/>
      </c>
      <c r="F79" s="1017"/>
    </row>
    <row r="80">
      <c r="A80" s="1049">
        <v>2.0</v>
      </c>
      <c r="B80" s="1050">
        <f>if('WEEK 24'!F79&lt;12,mround('WEEK 24'!B79*0.8,5),IF('WEEK 24'!F79&lt;=14,MROUND('WEEK 24'!B79*0.95,5),'WEEK 24'!B79))</f>
        <v>40</v>
      </c>
      <c r="C80" s="1051" t="s">
        <v>61</v>
      </c>
      <c r="D80" s="1430" t="s">
        <v>121</v>
      </c>
      <c r="E80" s="1130" t="str">
        <f>IF('WEEK 23'!B99='WEEK 24'!B80,'WEEK 23'!F99,"")</f>
        <v/>
      </c>
      <c r="F80" s="1017"/>
    </row>
    <row r="81">
      <c r="A81" s="1053">
        <v>3.0</v>
      </c>
      <c r="B81" s="1054">
        <f>if('WEEK 24'!F80&lt;12,mround('WEEK 24'!B80*0.8,5),IF('WEEK 24'!F80&lt;=14,MROUND('WEEK 24'!B80*0.95,5),'WEEK 24'!B80))</f>
        <v>30</v>
      </c>
      <c r="C81" s="1055" t="s">
        <v>61</v>
      </c>
      <c r="D81" s="1453" t="s">
        <v>121</v>
      </c>
      <c r="E81" s="1348" t="str">
        <f>IF('WEEK 23'!B100='WEEK 24'!B81,'WEEK 23'!F100,"")</f>
        <v/>
      </c>
      <c r="F81" s="1017"/>
    </row>
    <row r="84">
      <c r="A84" s="323" t="str">
        <f>HYPERLINK("https://www.youtube.com/watch?v=XepOfsnGFJg","3. MACHINE LEG CURL")</f>
        <v>3. MACHINE LEG CURL</v>
      </c>
      <c r="B84" s="53"/>
      <c r="C84" s="53"/>
      <c r="D84" s="53"/>
      <c r="E84" s="53"/>
      <c r="F84" s="54"/>
      <c r="G84" s="141"/>
      <c r="H84" s="323" t="str">
        <f>HYPERLINK("https://youtu.be/kmN9cJ79PDE","3. PRONE LEG CURL")</f>
        <v>3. PRONE LEG CURL</v>
      </c>
      <c r="I84" s="53"/>
      <c r="J84" s="53"/>
      <c r="K84" s="53"/>
      <c r="L84" s="53"/>
      <c r="M84" s="54"/>
    </row>
    <row r="85">
      <c r="A85" s="1045" t="s">
        <v>119</v>
      </c>
      <c r="B85" s="1367">
        <f>IF('WEEK 23'!B106='WEEK 23'!B108,'WEEK 23'!B106+5,IF('WEEK 23'!F106&lt;=9,MROUND('WEEK 23'!B104*0.95,5),'WEEK 23'!B106))</f>
        <v>15</v>
      </c>
      <c r="C85" s="20"/>
      <c r="D85" s="20"/>
      <c r="E85" s="20"/>
      <c r="F85" s="95"/>
      <c r="H85" s="1045" t="s">
        <v>119</v>
      </c>
      <c r="I85" s="1498">
        <f>IF('WEEK 23'!I106='WEEK 23'!I108,'WEEK 23'!I106+5,IF('WEEK 23'!M106&lt;=9,MROUND('WEEK 23'!I104*0.95,5),'WEEK 23'!I106))</f>
        <v>15</v>
      </c>
      <c r="J85" s="33"/>
      <c r="K85" s="33"/>
      <c r="L85" s="33"/>
      <c r="M85" s="34"/>
    </row>
    <row r="86">
      <c r="A86" s="567" t="s">
        <v>50</v>
      </c>
      <c r="B86" s="568" t="s">
        <v>51</v>
      </c>
      <c r="C86" s="568" t="s">
        <v>52</v>
      </c>
      <c r="D86" s="568" t="s">
        <v>53</v>
      </c>
      <c r="E86" s="1047" t="s">
        <v>54</v>
      </c>
      <c r="F86" s="1048" t="s">
        <v>55</v>
      </c>
      <c r="H86" s="567" t="s">
        <v>50</v>
      </c>
      <c r="I86" s="568" t="s">
        <v>51</v>
      </c>
      <c r="J86" s="568" t="s">
        <v>52</v>
      </c>
      <c r="K86" s="568" t="s">
        <v>53</v>
      </c>
      <c r="L86" s="1047" t="s">
        <v>54</v>
      </c>
      <c r="M86" s="1048" t="s">
        <v>55</v>
      </c>
    </row>
    <row r="87">
      <c r="A87" s="1049">
        <v>1.0</v>
      </c>
      <c r="B87" s="1050">
        <f>'WEEK 24'!B85</f>
        <v>15</v>
      </c>
      <c r="C87" s="1051" t="s">
        <v>61</v>
      </c>
      <c r="D87" s="1430" t="s">
        <v>121</v>
      </c>
      <c r="E87" s="1130" t="str">
        <f>IF('WEEK 23'!B106='WEEK 24'!B87,'WEEK 23'!F106,"")</f>
        <v/>
      </c>
      <c r="F87" s="1017"/>
      <c r="G87" s="434" t="s">
        <v>123</v>
      </c>
      <c r="H87" s="1049">
        <v>1.0</v>
      </c>
      <c r="I87" s="1050">
        <f>'WEEK 24'!I85</f>
        <v>15</v>
      </c>
      <c r="J87" s="1051" t="s">
        <v>61</v>
      </c>
      <c r="K87" s="1430" t="s">
        <v>121</v>
      </c>
      <c r="L87" s="1130" t="str">
        <f>IF('WEEK 23'!I106='WEEK 24'!I87,'WEEK 23'!M106,"")</f>
        <v/>
      </c>
      <c r="M87" s="1017"/>
    </row>
    <row r="88">
      <c r="A88" s="1049">
        <v>2.0</v>
      </c>
      <c r="B88" s="1050">
        <f>if('WEEK 24'!F87&lt;12,mround('WEEK 24'!B87*0.8,5),IF('WEEK 24'!F87&lt;=14,MROUND('WEEK 24'!B87*0.95,5),'WEEK 24'!B87))</f>
        <v>10</v>
      </c>
      <c r="C88" s="1051" t="s">
        <v>61</v>
      </c>
      <c r="D88" s="1430" t="s">
        <v>121</v>
      </c>
      <c r="E88" s="1130" t="str">
        <f>IF('WEEK 23'!B107='WEEK 24'!B88,'WEEK 23'!F107,"")</f>
        <v/>
      </c>
      <c r="F88" s="1017"/>
      <c r="H88" s="1049">
        <v>2.0</v>
      </c>
      <c r="I88" s="1050">
        <f>if('WEEK 24'!M87&lt;12,mround('WEEK 24'!I87*0.8,5),IF('WEEK 24'!M87&lt;=14,MROUND('WEEK 24'!I87*0.95,5),'WEEK 24'!I87))</f>
        <v>10</v>
      </c>
      <c r="J88" s="1051" t="s">
        <v>61</v>
      </c>
      <c r="K88" s="1430" t="s">
        <v>121</v>
      </c>
      <c r="L88" s="1130" t="str">
        <f>IF('WEEK 23'!I107='WEEK 24'!I88,'WEEK 23'!M107,"")</f>
        <v/>
      </c>
      <c r="M88" s="1017"/>
    </row>
    <row r="89">
      <c r="A89" s="1053">
        <v>3.0</v>
      </c>
      <c r="B89" s="1054">
        <f>if('WEEK 24'!F88&lt;12,mround('WEEK 24'!B88*0.8,5),IF('WEEK 24'!F88&lt;=14,MROUND('WEEK 24'!B88*0.95,5),'WEEK 24'!B88))</f>
        <v>10</v>
      </c>
      <c r="C89" s="1055" t="s">
        <v>61</v>
      </c>
      <c r="D89" s="1453" t="s">
        <v>121</v>
      </c>
      <c r="E89" s="1348" t="str">
        <f>IF('WEEK 23'!B108='WEEK 24'!B89,'WEEK 23'!F108,"")</f>
        <v/>
      </c>
      <c r="F89" s="1017"/>
      <c r="G89" s="682"/>
      <c r="H89" s="1053">
        <v>3.0</v>
      </c>
      <c r="I89" s="1054">
        <f>if('WEEK 24'!M88&lt;12,mround('WEEK 24'!I88*0.8,5),IF('WEEK 24'!M88&lt;=14,MROUND('WEEK 24'!I88*0.95,5),'WEEK 24'!I88))</f>
        <v>10</v>
      </c>
      <c r="J89" s="1055" t="s">
        <v>61</v>
      </c>
      <c r="K89" s="1453" t="s">
        <v>121</v>
      </c>
      <c r="L89" s="1348" t="str">
        <f>IF('WEEK 23'!I108='WEEK 24'!I89,'WEEK 23'!M108,"")</f>
        <v/>
      </c>
      <c r="M89" s="1017"/>
    </row>
    <row r="90">
      <c r="A90" s="849"/>
      <c r="B90" s="849"/>
      <c r="C90" s="849"/>
      <c r="D90" s="849"/>
      <c r="E90" s="849"/>
      <c r="F90" s="849"/>
      <c r="H90" s="849"/>
      <c r="I90" s="850"/>
      <c r="J90" s="850"/>
      <c r="K90" s="850"/>
      <c r="L90" s="850"/>
      <c r="M90" s="850"/>
    </row>
    <row r="92">
      <c r="A92" s="1120" t="s">
        <v>62</v>
      </c>
      <c r="B92" s="36"/>
      <c r="C92" s="36"/>
      <c r="D92" s="36"/>
      <c r="E92" s="36"/>
      <c r="F92" s="37"/>
    </row>
    <row r="95">
      <c r="A95" s="51" t="s">
        <v>131</v>
      </c>
      <c r="B95" s="36"/>
      <c r="C95" s="36"/>
      <c r="D95" s="36"/>
      <c r="E95" s="36"/>
      <c r="F95" s="37"/>
      <c r="G95" s="419"/>
      <c r="H95" s="51" t="s">
        <v>131</v>
      </c>
      <c r="I95" s="36"/>
      <c r="J95" s="36"/>
      <c r="K95" s="36"/>
      <c r="L95" s="36"/>
      <c r="M95" s="37"/>
    </row>
    <row r="96">
      <c r="A96" s="504" t="str">
        <f>HYPERLINK("https://youtu.be/rmxOkkd2hUk","1. SHOULDER PRESS")</f>
        <v>1. SHOULDER PRESS</v>
      </c>
      <c r="B96" s="53"/>
      <c r="C96" s="53"/>
      <c r="D96" s="53"/>
      <c r="E96" s="53"/>
      <c r="F96" s="54"/>
      <c r="G96" s="419"/>
      <c r="H96" s="778" t="str">
        <f>HYPERLINK("https://www.youtube.com/watch?v=-cSBPE-y38M","1. MACHINE SHOULDER PRESS")</f>
        <v>1. MACHINE SHOULDER PRESS</v>
      </c>
      <c r="I96" s="53"/>
      <c r="J96" s="53"/>
      <c r="K96" s="53"/>
      <c r="L96" s="53"/>
      <c r="M96" s="54"/>
    </row>
    <row r="97">
      <c r="A97" s="589" t="s">
        <v>119</v>
      </c>
      <c r="B97" s="227">
        <f>IF('WEEK 22'!I113="",'WEEK 22'!I101,'WEEK 22'!I113)</f>
        <v>10</v>
      </c>
      <c r="C97" s="20"/>
      <c r="D97" s="20"/>
      <c r="E97" s="20"/>
      <c r="F97" s="95"/>
      <c r="G97" s="419"/>
      <c r="H97" s="589" t="s">
        <v>119</v>
      </c>
      <c r="I97" s="227">
        <f>IF('WEEK 22'!B113="",'WEEK 22'!B101,'WEEK 22'!B113)</f>
        <v>105</v>
      </c>
      <c r="J97" s="20"/>
      <c r="K97" s="20"/>
      <c r="L97" s="20"/>
      <c r="M97" s="95"/>
    </row>
    <row r="98">
      <c r="A98" s="364" t="s">
        <v>50</v>
      </c>
      <c r="B98" s="365" t="s">
        <v>51</v>
      </c>
      <c r="C98" s="365" t="s">
        <v>52</v>
      </c>
      <c r="D98" s="365" t="s">
        <v>53</v>
      </c>
      <c r="E98" s="609" t="s">
        <v>54</v>
      </c>
      <c r="F98" s="61" t="s">
        <v>55</v>
      </c>
      <c r="G98" s="724"/>
      <c r="H98" s="364" t="s">
        <v>50</v>
      </c>
      <c r="I98" s="365" t="s">
        <v>51</v>
      </c>
      <c r="J98" s="365" t="s">
        <v>52</v>
      </c>
      <c r="K98" s="365" t="s">
        <v>53</v>
      </c>
      <c r="L98" s="609" t="s">
        <v>54</v>
      </c>
      <c r="M98" s="61" t="s">
        <v>55</v>
      </c>
    </row>
    <row r="99">
      <c r="A99" s="236">
        <v>1.0</v>
      </c>
      <c r="B99" s="237">
        <f>mround('WEEK 24'!B97*0.35,5)</f>
        <v>5</v>
      </c>
      <c r="C99" s="237">
        <v>6.0</v>
      </c>
      <c r="D99" s="238" t="s">
        <v>120</v>
      </c>
      <c r="E99" s="1130" t="str">
        <f>IF('WEEK 21'!B120='WEEK 24'!B99,'WEEK 21'!F120,"")</f>
        <v/>
      </c>
      <c r="F99" s="67"/>
      <c r="G99" s="728"/>
      <c r="H99" s="236">
        <v>1.0</v>
      </c>
      <c r="I99" s="237">
        <f>mround('WEEK 24'!I97*0.35,5)</f>
        <v>35</v>
      </c>
      <c r="J99" s="237">
        <v>6.0</v>
      </c>
      <c r="K99" s="238" t="s">
        <v>120</v>
      </c>
      <c r="L99" s="1130" t="str">
        <f>IF('WEEK 21'!I120='WEEK 24'!I99,'WEEK 21'!M120,"")</f>
        <v/>
      </c>
      <c r="M99" s="67"/>
    </row>
    <row r="100">
      <c r="A100" s="236">
        <v>2.0</v>
      </c>
      <c r="B100" s="237">
        <f>mround('WEEK 24'!B97*0.65,5)</f>
        <v>5</v>
      </c>
      <c r="C100" s="237">
        <v>1.0</v>
      </c>
      <c r="D100" s="238" t="s">
        <v>57</v>
      </c>
      <c r="E100" s="1130" t="str">
        <f>IF('WEEK 21'!B121='WEEK 24'!B100,'WEEK 21'!F121,"")</f>
        <v/>
      </c>
      <c r="F100" s="67"/>
      <c r="G100" s="728"/>
      <c r="H100" s="236">
        <v>2.0</v>
      </c>
      <c r="I100" s="237">
        <f>mround('WEEK 24'!I97*0.65,5)</f>
        <v>70</v>
      </c>
      <c r="J100" s="237">
        <v>1.0</v>
      </c>
      <c r="K100" s="238" t="s">
        <v>57</v>
      </c>
      <c r="L100" s="1130" t="str">
        <f>IF('WEEK 21'!I121='WEEK 24'!I100,'WEEK 21'!M121,"")</f>
        <v/>
      </c>
      <c r="M100" s="67"/>
    </row>
    <row r="101">
      <c r="A101" s="779">
        <v>3.0</v>
      </c>
      <c r="B101" s="780">
        <f> mround('WEEK 24'!B97*0.9,5)</f>
        <v>10</v>
      </c>
      <c r="C101" s="781" t="s">
        <v>65</v>
      </c>
      <c r="D101" s="782" t="s">
        <v>57</v>
      </c>
      <c r="E101" s="1130" t="str">
        <f>IF('WEEK 21'!B122='WEEK 24'!B101,'WEEK 21'!F122,"")</f>
        <v/>
      </c>
      <c r="F101" s="784"/>
      <c r="G101" s="728"/>
      <c r="H101" s="779">
        <v>3.0</v>
      </c>
      <c r="I101" s="780">
        <f> mround('WEEK 24'!I97*0.9,5)</f>
        <v>95</v>
      </c>
      <c r="J101" s="781" t="s">
        <v>65</v>
      </c>
      <c r="K101" s="782" t="s">
        <v>57</v>
      </c>
      <c r="L101" s="1130" t="str">
        <f>IF('WEEK 21'!I122='WEEK 24'!I101,'WEEK 21'!M122,"")</f>
        <v/>
      </c>
      <c r="M101" s="784"/>
    </row>
    <row r="102">
      <c r="A102" s="785">
        <v>4.0</v>
      </c>
      <c r="B102" s="388">
        <f>if('WEEK 24'!F101&lt;20,mround('WEEK 24'!B101*0.85,5),'WEEK 24'!B101)</f>
        <v>10</v>
      </c>
      <c r="C102" s="781" t="s">
        <v>65</v>
      </c>
      <c r="D102" s="390" t="s">
        <v>57</v>
      </c>
      <c r="E102" s="1130" t="str">
        <f>IF('WEEK 21'!B123='WEEK 24'!B102,'WEEK 21'!F123,"")</f>
        <v/>
      </c>
      <c r="F102" s="392"/>
      <c r="G102" s="728"/>
      <c r="H102" s="785">
        <v>4.0</v>
      </c>
      <c r="I102" s="388">
        <f>if('WEEK 24'!M101&lt;20,mround('WEEK 24'!I101*0.85,5),'WEEK 24'!I101)</f>
        <v>80</v>
      </c>
      <c r="J102" s="781" t="s">
        <v>65</v>
      </c>
      <c r="K102" s="390" t="s">
        <v>57</v>
      </c>
      <c r="L102" s="1130" t="str">
        <f>IF('WEEK 21'!I123='WEEK 24'!I102,'WEEK 21'!M123,"")</f>
        <v/>
      </c>
      <c r="M102" s="392"/>
    </row>
    <row r="103">
      <c r="A103" s="787">
        <v>5.0</v>
      </c>
      <c r="B103" s="788">
        <f>if('WEEK 24'!F102&lt;20,mround('WEEK 24'!B102*0.85,2.5),'WEEK 24'!B102)</f>
        <v>7.5</v>
      </c>
      <c r="C103" s="789" t="s">
        <v>65</v>
      </c>
      <c r="D103" s="397" t="s">
        <v>57</v>
      </c>
      <c r="E103" s="1348" t="str">
        <f>IF('WEEK 21'!B124='WEEK 24'!B103,'WEEK 21'!F124,"")</f>
        <v/>
      </c>
      <c r="F103" s="392"/>
      <c r="G103" s="724"/>
      <c r="H103" s="787">
        <v>5.0</v>
      </c>
      <c r="I103" s="788">
        <f>if('WEEK 24'!M102&lt;20,mround('WEEK 24'!I102*0.85,10),'WEEK 24'!I102)</f>
        <v>70</v>
      </c>
      <c r="J103" s="789" t="s">
        <v>65</v>
      </c>
      <c r="K103" s="397" t="s">
        <v>57</v>
      </c>
      <c r="L103" s="1348" t="str">
        <f>IF('WEEK 21'!I124='WEEK 24'!I103,'WEEK 21'!M124,"")</f>
        <v/>
      </c>
      <c r="M103" s="392"/>
    </row>
    <row r="104">
      <c r="A104" s="623"/>
      <c r="B104" s="623"/>
      <c r="C104" s="623"/>
      <c r="D104" s="623"/>
      <c r="E104" s="1058"/>
      <c r="F104" s="623"/>
      <c r="G104" s="987"/>
      <c r="H104" s="987"/>
      <c r="I104" s="987"/>
      <c r="J104" s="987"/>
      <c r="K104" s="987"/>
      <c r="L104" s="987"/>
      <c r="M104" s="987"/>
    </row>
    <row r="105">
      <c r="A105" s="995"/>
      <c r="B105" s="995"/>
      <c r="C105" s="995"/>
      <c r="D105" s="995"/>
      <c r="E105" s="1066"/>
      <c r="F105" s="995"/>
      <c r="G105" s="987"/>
      <c r="H105" s="987"/>
      <c r="I105" s="987"/>
      <c r="J105" s="987"/>
      <c r="K105" s="987"/>
      <c r="L105" s="987"/>
      <c r="M105" s="987"/>
    </row>
    <row r="106">
      <c r="A106" s="361" t="str">
        <f>HYPERLINK("https://www.youtube.com/watch?v=gxWVN6F_uxo","2.  CABLE HIGH PULLEY ROW")</f>
        <v>2.  CABLE HIGH PULLEY ROW</v>
      </c>
      <c r="B106" s="53"/>
      <c r="C106" s="53"/>
      <c r="D106" s="53"/>
      <c r="E106" s="53"/>
      <c r="F106" s="54"/>
      <c r="G106" s="987"/>
      <c r="H106" s="987"/>
      <c r="I106" s="987"/>
      <c r="J106" s="987"/>
      <c r="K106" s="987"/>
      <c r="L106" s="987"/>
      <c r="M106" s="987"/>
    </row>
    <row r="107">
      <c r="A107" s="226" t="s">
        <v>134</v>
      </c>
      <c r="B107" s="94">
        <f>'WEEK 24'!B97</f>
        <v>10</v>
      </c>
      <c r="C107" s="20"/>
      <c r="D107" s="20"/>
      <c r="E107" s="20"/>
      <c r="F107" s="95"/>
      <c r="G107" s="987"/>
      <c r="H107" s="987"/>
      <c r="I107" s="987"/>
      <c r="J107" s="987"/>
      <c r="K107" s="987"/>
      <c r="L107" s="987"/>
      <c r="M107" s="987"/>
    </row>
    <row r="108">
      <c r="A108" s="962" t="s">
        <v>50</v>
      </c>
      <c r="B108" s="963" t="s">
        <v>51</v>
      </c>
      <c r="C108" s="963" t="s">
        <v>52</v>
      </c>
      <c r="D108" s="963" t="s">
        <v>53</v>
      </c>
      <c r="E108" s="1005" t="s">
        <v>54</v>
      </c>
      <c r="F108" s="1006" t="s">
        <v>55</v>
      </c>
      <c r="G108" s="1007"/>
      <c r="H108" s="1007"/>
      <c r="I108" s="1007"/>
      <c r="J108" s="1007"/>
      <c r="K108" s="1007"/>
      <c r="L108" s="1007"/>
      <c r="M108" s="1007"/>
    </row>
    <row r="109">
      <c r="A109" s="967">
        <v>1.0</v>
      </c>
      <c r="B109" s="1028">
        <f> mround('WEEK 24'!B107*2*0.7,5)</f>
        <v>15</v>
      </c>
      <c r="C109" s="1067" t="s">
        <v>61</v>
      </c>
      <c r="D109" s="968" t="s">
        <v>121</v>
      </c>
      <c r="E109" s="1348" t="str">
        <f>IF('WEEK 23'!B124='WEEK 24'!B109,'WEEK 23'!F124,"")</f>
        <v/>
      </c>
      <c r="F109" s="1017"/>
      <c r="G109" s="1012"/>
      <c r="H109" s="1012"/>
      <c r="I109" s="1012"/>
      <c r="J109" s="1012"/>
      <c r="K109" s="1012"/>
      <c r="L109" s="1012"/>
      <c r="M109" s="1012"/>
    </row>
    <row r="110">
      <c r="A110" s="242">
        <v>2.0</v>
      </c>
      <c r="B110" s="99">
        <f>if('WEEK 24'!F109&lt;15,mround('WEEK 24'!B109*0.85,10),'WEEK 24'!B109)</f>
        <v>10</v>
      </c>
      <c r="C110" s="1067" t="s">
        <v>61</v>
      </c>
      <c r="D110" s="968" t="s">
        <v>121</v>
      </c>
      <c r="E110" s="1348" t="str">
        <f>IF('WEEK 23'!B125='WEEK 24'!B110,'WEEK 23'!F125,"")</f>
        <v/>
      </c>
      <c r="F110" s="1017"/>
      <c r="G110" s="1012"/>
      <c r="H110" s="1012"/>
      <c r="I110" s="1012"/>
      <c r="J110" s="1012"/>
      <c r="K110" s="1012"/>
      <c r="L110" s="1012"/>
      <c r="M110" s="1012"/>
    </row>
    <row r="111">
      <c r="A111" s="289">
        <v>3.0</v>
      </c>
      <c r="B111" s="101">
        <f>if('WEEK 24'!F110&lt;15,mround('WEEK 24'!B110*0.85,10),'WEEK 24'!B110)</f>
        <v>10</v>
      </c>
      <c r="C111" s="1220" t="s">
        <v>61</v>
      </c>
      <c r="D111" s="972" t="s">
        <v>121</v>
      </c>
      <c r="E111" s="1348" t="str">
        <f>IF('WEEK 23'!B126='WEEK 24'!B111,'WEEK 23'!F126,"")</f>
        <v/>
      </c>
      <c r="F111" s="1017"/>
      <c r="G111" s="1012"/>
      <c r="H111" s="1012"/>
      <c r="I111" s="1012"/>
      <c r="J111" s="1012"/>
      <c r="K111" s="1012"/>
      <c r="L111" s="1012"/>
      <c r="M111" s="1012"/>
    </row>
    <row r="112">
      <c r="A112" s="1068"/>
      <c r="B112" s="1068"/>
      <c r="C112" s="1068"/>
      <c r="D112" s="623"/>
      <c r="E112" s="1058"/>
      <c r="F112" s="623"/>
      <c r="G112" s="987"/>
      <c r="H112" s="987"/>
      <c r="I112" s="987"/>
      <c r="J112" s="987"/>
      <c r="K112" s="987"/>
      <c r="L112" s="987"/>
      <c r="M112" s="987"/>
    </row>
    <row r="113">
      <c r="A113" s="1069"/>
      <c r="B113" s="1069"/>
      <c r="C113" s="1069"/>
      <c r="D113" s="995"/>
      <c r="E113" s="1066"/>
      <c r="F113" s="995"/>
      <c r="G113" s="987"/>
      <c r="H113" s="987"/>
      <c r="I113" s="987"/>
      <c r="J113" s="987"/>
      <c r="K113" s="987"/>
      <c r="L113" s="987"/>
      <c r="M113" s="987"/>
    </row>
    <row r="114">
      <c r="A114" s="1070" t="str">
        <f>HYPERLINK("https://youtu.be/QUNZvtb6mnY","3. DUMBBELL SIDE LATERAL RAISE")</f>
        <v>3. DUMBBELL SIDE LATERAL RAISE</v>
      </c>
      <c r="B114" s="13"/>
      <c r="C114" s="13"/>
      <c r="D114" s="13"/>
      <c r="E114" s="13"/>
      <c r="F114" s="57"/>
      <c r="G114" s="987"/>
      <c r="H114" s="987"/>
      <c r="I114" s="987"/>
      <c r="J114" s="987"/>
      <c r="K114" s="987"/>
      <c r="L114" s="987"/>
      <c r="M114" s="987"/>
    </row>
    <row r="115">
      <c r="A115" s="226" t="s">
        <v>134</v>
      </c>
      <c r="B115" s="76">
        <f>'WEEK 24'!B97</f>
        <v>10</v>
      </c>
      <c r="C115" s="13"/>
      <c r="D115" s="13"/>
      <c r="E115" s="13"/>
      <c r="F115" s="57"/>
      <c r="G115" s="987"/>
      <c r="H115" s="987"/>
      <c r="I115" s="987"/>
      <c r="J115" s="987"/>
      <c r="K115" s="987"/>
      <c r="L115" s="987"/>
      <c r="M115" s="987"/>
    </row>
    <row r="116">
      <c r="A116" s="1071" t="s">
        <v>50</v>
      </c>
      <c r="B116" s="1072" t="s">
        <v>51</v>
      </c>
      <c r="C116" s="1072" t="s">
        <v>52</v>
      </c>
      <c r="D116" s="1072" t="s">
        <v>53</v>
      </c>
      <c r="E116" s="1499" t="s">
        <v>54</v>
      </c>
      <c r="F116" s="1006" t="s">
        <v>55</v>
      </c>
      <c r="G116" s="987"/>
      <c r="H116" s="987"/>
      <c r="I116" s="987"/>
      <c r="J116" s="987"/>
      <c r="K116" s="987"/>
      <c r="L116" s="987"/>
      <c r="M116" s="987"/>
    </row>
    <row r="117">
      <c r="A117" s="1074">
        <v>1.0</v>
      </c>
      <c r="B117" s="968">
        <f> mround('WEEK 24'!B115*0.2,5)</f>
        <v>0</v>
      </c>
      <c r="C117" s="1075" t="s">
        <v>61</v>
      </c>
      <c r="D117" s="1500" t="s">
        <v>57</v>
      </c>
      <c r="E117" s="1424" t="str">
        <f>IF('WEEK 23'!B132='WEEK 24'!B117,'WEEK 23'!F132,"")</f>
        <v/>
      </c>
      <c r="F117" s="1017"/>
      <c r="G117" s="987"/>
      <c r="H117" s="987"/>
      <c r="I117" s="987"/>
      <c r="J117" s="987"/>
      <c r="K117" s="987"/>
      <c r="L117" s="987"/>
      <c r="M117" s="987"/>
    </row>
    <row r="118">
      <c r="A118" s="1074">
        <v>2.0</v>
      </c>
      <c r="B118" s="968">
        <f>if('WEEK 24'!F120&lt;15,mround('WEEK 24'!B115*0.15,2.5),'WEEK 24'!B117)</f>
        <v>2.5</v>
      </c>
      <c r="C118" s="1075" t="s">
        <v>61</v>
      </c>
      <c r="D118" s="1500" t="s">
        <v>57</v>
      </c>
      <c r="E118" s="1424" t="str">
        <f>IF('WEEK 23'!B133='WEEK 24'!B118,'WEEK 23'!F133,"")</f>
        <v/>
      </c>
      <c r="F118" s="1017"/>
      <c r="G118" s="987"/>
      <c r="H118" s="987"/>
      <c r="I118" s="987"/>
      <c r="J118" s="987"/>
      <c r="K118" s="987"/>
      <c r="L118" s="987"/>
      <c r="M118" s="987"/>
    </row>
    <row r="119">
      <c r="A119" s="1078">
        <v>3.0</v>
      </c>
      <c r="B119" s="972">
        <f>if('WEEK 24'!F121&lt;15,mround('WEEK 24'!B115*0.1,2.5),'WEEK 24'!B118)</f>
        <v>0</v>
      </c>
      <c r="C119" s="1079" t="s">
        <v>61</v>
      </c>
      <c r="D119" s="1501" t="s">
        <v>57</v>
      </c>
      <c r="E119" s="1502" t="str">
        <f>IF('WEEK 23'!B134='WEEK 24'!B119,'WEEK 23'!F134,"")</f>
        <v/>
      </c>
      <c r="F119" s="1017"/>
      <c r="G119" s="987"/>
      <c r="H119" s="987"/>
      <c r="I119" s="987"/>
      <c r="J119" s="987"/>
      <c r="K119" s="987"/>
      <c r="L119" s="987"/>
      <c r="M119" s="987"/>
    </row>
    <row r="122">
      <c r="A122" s="1295" t="str">
        <f>HYPERLINK("https://www.youtube.com/watch?v=NlchRoKP7s8","3. DUMBBELL TRICEP EXTENSIONS")</f>
        <v>3. DUMBBELL TRICEP EXTENSIONS</v>
      </c>
      <c r="B122" s="53"/>
      <c r="C122" s="53"/>
      <c r="D122" s="53"/>
      <c r="E122" s="53"/>
      <c r="F122" s="54"/>
    </row>
    <row r="123">
      <c r="A123" s="1268" t="s">
        <v>119</v>
      </c>
      <c r="B123" s="1367">
        <f>'WEEK 10'!B142</f>
        <v>30</v>
      </c>
      <c r="C123" s="20"/>
      <c r="D123" s="20"/>
      <c r="E123" s="20"/>
      <c r="F123" s="95"/>
    </row>
    <row r="124">
      <c r="A124" s="1071" t="s">
        <v>50</v>
      </c>
      <c r="B124" s="1072" t="s">
        <v>51</v>
      </c>
      <c r="C124" s="1072" t="s">
        <v>52</v>
      </c>
      <c r="D124" s="1072" t="s">
        <v>53</v>
      </c>
      <c r="E124" s="1073" t="s">
        <v>54</v>
      </c>
      <c r="F124" s="1006" t="s">
        <v>55</v>
      </c>
    </row>
    <row r="125">
      <c r="A125" s="1074">
        <v>1.0</v>
      </c>
      <c r="B125" s="968">
        <f> mround('WEEK 24'!B123,5)</f>
        <v>30</v>
      </c>
      <c r="C125" s="1075" t="s">
        <v>168</v>
      </c>
      <c r="D125" s="1076" t="s">
        <v>57</v>
      </c>
      <c r="E125" s="1235" t="str">
        <f>IF('WEEK 24'!B125='WEEK 9'!B122,'WEEK 9'!F122,"")</f>
        <v/>
      </c>
      <c r="F125" s="1017"/>
    </row>
    <row r="126">
      <c r="A126" s="1074">
        <v>2.0</v>
      </c>
      <c r="B126" s="968">
        <f>if('WEEK 24'!F125&lt;15,mround('WEEK 24'!B125*0.9,2.5),'WEEK 24'!B125)</f>
        <v>27.5</v>
      </c>
      <c r="C126" s="1075" t="s">
        <v>168</v>
      </c>
      <c r="D126" s="1076" t="s">
        <v>57</v>
      </c>
      <c r="E126" s="1235" t="str">
        <f>IF('WEEK 24'!B126='WEEK 9'!B123,'WEEK 9'!F123,"")</f>
        <v/>
      </c>
      <c r="F126" s="1017"/>
    </row>
    <row r="127">
      <c r="A127" s="1078">
        <v>3.0</v>
      </c>
      <c r="B127" s="972">
        <f>if('WEEK 24'!F126&lt;15,mround('WEEK 24'!B123*0.8,2.5),'WEEK 24'!B126)</f>
        <v>25</v>
      </c>
      <c r="C127" s="1079" t="s">
        <v>168</v>
      </c>
      <c r="D127" s="1080" t="s">
        <v>57</v>
      </c>
      <c r="E127" s="1271" t="str">
        <f>IF('WEEK 24'!B127='WEEK 9'!B124,'WEEK 9'!F124,"")</f>
        <v/>
      </c>
      <c r="F127" s="1017"/>
    </row>
    <row r="130">
      <c r="A130" s="113" t="str">
        <f>HYPERLINK("https://www.youtube.com/watch?v=TorWpKwLCSg","5. ALTERNATING BICEP CURLS ")</f>
        <v>5. ALTERNATING BICEP CURLS </v>
      </c>
      <c r="B130" s="53"/>
      <c r="C130" s="53"/>
      <c r="D130" s="53"/>
      <c r="E130" s="53"/>
      <c r="F130" s="54"/>
    </row>
    <row r="131">
      <c r="A131" s="226" t="s">
        <v>119</v>
      </c>
      <c r="B131" s="839">
        <f>IF('WEEK 22'!B143='WEEK 22'!B145,'WEEK 22'!B145,IF('WEEK 22'!F145&lt;=15,MROUND('WEEK 22'!B143*0.9,5),'WEEK 22'!B145))</f>
        <v>25</v>
      </c>
      <c r="F131" s="28"/>
    </row>
    <row r="132">
      <c r="A132" s="77" t="s">
        <v>50</v>
      </c>
      <c r="B132" s="78" t="s">
        <v>51</v>
      </c>
      <c r="C132" s="78" t="s">
        <v>52</v>
      </c>
      <c r="D132" s="78" t="s">
        <v>53</v>
      </c>
      <c r="E132" s="80" t="s">
        <v>54</v>
      </c>
      <c r="F132" s="235" t="s">
        <v>55</v>
      </c>
    </row>
    <row r="133">
      <c r="A133" s="81">
        <v>1.0</v>
      </c>
      <c r="B133" s="82">
        <f>MROUND('WEEK 24'!B131,5)</f>
        <v>25</v>
      </c>
      <c r="C133" s="65" t="s">
        <v>61</v>
      </c>
      <c r="D133" s="83" t="s">
        <v>58</v>
      </c>
      <c r="E133" s="84" t="str">
        <f>IF('WEEK 22'!B145='WEEK 24'!B133,'WEEK 22'!F145,"")</f>
        <v/>
      </c>
      <c r="F133" s="85"/>
    </row>
    <row r="134">
      <c r="A134" s="81">
        <v>2.0</v>
      </c>
      <c r="B134" s="82">
        <f>if('WEEK 24'!F133&lt;15,mround('WEEK 24'!B133*0.8,5),IF('WEEK 24'!F133&lt;=18,MROUND('WEEK 24'!B131*0.95,5),'WEEK 24'!B133))</f>
        <v>20</v>
      </c>
      <c r="C134" s="65" t="s">
        <v>61</v>
      </c>
      <c r="D134" s="83" t="s">
        <v>58</v>
      </c>
      <c r="E134" s="84" t="str">
        <f>IF('WEEK 22'!B146='WEEK 24'!B134,'WEEK 22'!F146,"")</f>
        <v/>
      </c>
      <c r="F134" s="85"/>
    </row>
    <row r="135">
      <c r="A135" s="629">
        <v>3.0</v>
      </c>
      <c r="B135" s="630">
        <f>if('WEEK 24'!F134&lt;15,mround('WEEK 24'!B134*0.8,5),IF('WEEK 24'!F134&lt;=18,MROUND('WEEK 24'!B132*0.95,5),'WEEK 24'!B134))</f>
        <v>15</v>
      </c>
      <c r="C135" s="631" t="s">
        <v>61</v>
      </c>
      <c r="D135" s="328" t="s">
        <v>58</v>
      </c>
      <c r="E135" s="84" t="str">
        <f>IF('WEEK 22'!B147='WEEK 24'!B135,'WEEK 22'!F147,"")</f>
        <v/>
      </c>
      <c r="F135" s="330"/>
    </row>
    <row r="136">
      <c r="A136" s="633"/>
      <c r="B136" s="633"/>
      <c r="C136" s="633"/>
      <c r="D136" s="633"/>
      <c r="E136" s="633"/>
      <c r="F136" s="633"/>
    </row>
    <row r="137">
      <c r="A137" s="598"/>
    </row>
    <row r="138">
      <c r="A138" s="310" t="str">
        <f>HYPERLINK("https://docs.google.com/a/fitnessresults.com/forms/d/e/1FAIpQLSd7MoczESe8Yjv6BKpmwAZGn9Aiymrs9-UdgfYIUpbr9t5NXg/viewform?usp=pp_url&amp;entry.93370101","CLICK TO COMPLETE WORKOUT")</f>
        <v>CLICK TO COMPLETE WORKOUT</v>
      </c>
      <c r="B138" s="36"/>
      <c r="C138" s="36"/>
      <c r="D138" s="36"/>
      <c r="E138" s="36"/>
      <c r="F138" s="37"/>
    </row>
    <row r="139">
      <c r="A139" s="598"/>
      <c r="B139" s="598"/>
      <c r="C139" s="598"/>
      <c r="D139" s="598"/>
      <c r="E139" s="598"/>
      <c r="F139" s="598"/>
    </row>
    <row r="140">
      <c r="A140" s="639" t="s">
        <v>135</v>
      </c>
      <c r="B140" s="36"/>
      <c r="C140" s="36"/>
      <c r="D140" s="36"/>
      <c r="E140" s="36"/>
      <c r="F140" s="37"/>
    </row>
    <row r="141">
      <c r="A141" s="883"/>
    </row>
    <row r="142">
      <c r="A142" s="884" t="str">
        <f>HYPERLINK("https://www.amazon.com/30-Minute-Body-Investment-Champion/dp/0692791892/ref=sr_1_1?ie=UTF8&amp;qid=1490447969&amp;sr=8-1&amp;keywords=30+minute+body","WANT TO LEARN MORE?")</f>
        <v>WANT TO LEARN MORE?</v>
      </c>
      <c r="B142" s="16"/>
      <c r="C142" s="16"/>
      <c r="D142" s="16"/>
      <c r="E142" s="16"/>
      <c r="F142" s="17"/>
    </row>
    <row r="143">
      <c r="A143" s="18"/>
      <c r="B143" s="13"/>
      <c r="C143" s="13"/>
      <c r="D143" s="13"/>
      <c r="E143" s="13"/>
      <c r="F143" s="14"/>
    </row>
    <row r="144">
      <c r="A144" s="885"/>
      <c r="B144" s="886"/>
      <c r="C144" s="644" t="s">
        <v>67</v>
      </c>
      <c r="D144" s="25"/>
      <c r="E144" s="25"/>
      <c r="F144" s="26"/>
    </row>
    <row r="145">
      <c r="A145" s="887"/>
      <c r="B145" s="888"/>
      <c r="C145" s="529"/>
      <c r="F145" s="28"/>
    </row>
    <row r="146">
      <c r="A146" s="887"/>
      <c r="B146" s="888"/>
      <c r="C146" s="529"/>
      <c r="F146" s="28"/>
    </row>
    <row r="147">
      <c r="A147" s="887"/>
      <c r="B147" s="888"/>
      <c r="C147" s="529"/>
      <c r="F147" s="28"/>
    </row>
    <row r="148">
      <c r="A148" s="887"/>
      <c r="B148" s="888"/>
      <c r="C148" s="529"/>
      <c r="F148" s="28"/>
    </row>
    <row r="149">
      <c r="A149" s="887"/>
      <c r="B149" s="888"/>
      <c r="C149" s="529"/>
      <c r="F149" s="28"/>
    </row>
    <row r="150">
      <c r="A150" s="889"/>
      <c r="B150" s="888"/>
      <c r="C150" s="529"/>
      <c r="F150" s="28"/>
    </row>
    <row r="151">
      <c r="A151" s="887"/>
      <c r="B151" s="888"/>
      <c r="C151" s="529"/>
      <c r="F151" s="28"/>
    </row>
    <row r="152">
      <c r="A152" s="887"/>
      <c r="B152" s="888"/>
      <c r="C152" s="529"/>
      <c r="F152" s="28"/>
    </row>
    <row r="153">
      <c r="A153" s="890"/>
      <c r="B153" s="888"/>
      <c r="C153" s="529"/>
      <c r="F153" s="28"/>
    </row>
    <row r="154">
      <c r="A154" s="887"/>
      <c r="B154" s="888"/>
      <c r="C154" s="529"/>
      <c r="F154" s="28"/>
    </row>
    <row r="155">
      <c r="A155" s="887"/>
      <c r="B155" s="888"/>
      <c r="C155" s="529"/>
      <c r="F155" s="28"/>
    </row>
    <row r="156">
      <c r="A156" s="887"/>
      <c r="B156" s="888"/>
      <c r="C156" s="529"/>
      <c r="F156" s="28"/>
    </row>
    <row r="157">
      <c r="A157" s="887"/>
      <c r="B157" s="888"/>
      <c r="C157" s="529"/>
      <c r="F157" s="28"/>
    </row>
    <row r="158">
      <c r="A158" s="891"/>
      <c r="B158" s="892"/>
      <c r="C158" s="336"/>
      <c r="D158" s="11"/>
      <c r="E158" s="11"/>
      <c r="F158" s="46"/>
    </row>
  </sheetData>
  <mergeCells count="64">
    <mergeCell ref="A96:F96"/>
    <mergeCell ref="B97:F97"/>
    <mergeCell ref="A106:F106"/>
    <mergeCell ref="B107:F107"/>
    <mergeCell ref="A114:F114"/>
    <mergeCell ref="B115:F115"/>
    <mergeCell ref="A122:F122"/>
    <mergeCell ref="A142:F143"/>
    <mergeCell ref="C144:F158"/>
    <mergeCell ref="B123:F123"/>
    <mergeCell ref="A130:F130"/>
    <mergeCell ref="B131:F131"/>
    <mergeCell ref="A137:F137"/>
    <mergeCell ref="A138:F138"/>
    <mergeCell ref="A140:F140"/>
    <mergeCell ref="A141:F141"/>
    <mergeCell ref="H19:M19"/>
    <mergeCell ref="I20:M20"/>
    <mergeCell ref="H25:M25"/>
    <mergeCell ref="H32:M32"/>
    <mergeCell ref="I33:M33"/>
    <mergeCell ref="A9:F9"/>
    <mergeCell ref="A10:F11"/>
    <mergeCell ref="A12:F12"/>
    <mergeCell ref="A13:F13"/>
    <mergeCell ref="A15:F15"/>
    <mergeCell ref="H15:M15"/>
    <mergeCell ref="H18:M18"/>
    <mergeCell ref="A18:F18"/>
    <mergeCell ref="A19:F19"/>
    <mergeCell ref="B20:F20"/>
    <mergeCell ref="A25:F25"/>
    <mergeCell ref="G25:G26"/>
    <mergeCell ref="A32:F32"/>
    <mergeCell ref="B33:F33"/>
    <mergeCell ref="A39:F39"/>
    <mergeCell ref="B40:C40"/>
    <mergeCell ref="D40:F40"/>
    <mergeCell ref="A42:A43"/>
    <mergeCell ref="A44:F44"/>
    <mergeCell ref="A45:A46"/>
    <mergeCell ref="A47:F47"/>
    <mergeCell ref="A48:A49"/>
    <mergeCell ref="A50:F50"/>
    <mergeCell ref="A51:A52"/>
    <mergeCell ref="A55:F55"/>
    <mergeCell ref="A57:F57"/>
    <mergeCell ref="A60:F60"/>
    <mergeCell ref="B61:F61"/>
    <mergeCell ref="B73:F73"/>
    <mergeCell ref="A76:F76"/>
    <mergeCell ref="B77:F77"/>
    <mergeCell ref="A84:F84"/>
    <mergeCell ref="H84:M84"/>
    <mergeCell ref="B85:F85"/>
    <mergeCell ref="I85:M85"/>
    <mergeCell ref="G84:G86"/>
    <mergeCell ref="G87:G88"/>
    <mergeCell ref="G89:G90"/>
    <mergeCell ref="A92:F92"/>
    <mergeCell ref="A95:F95"/>
    <mergeCell ref="H95:M95"/>
    <mergeCell ref="H96:M96"/>
    <mergeCell ref="I97:M97"/>
  </mergeCells>
  <dataValidations>
    <dataValidation type="decimal" operator="greaterThanOrEqual" allowBlank="1" showDropDown="1" sqref="F54 F62:F66 F68">
      <formula1>0.0</formula1>
    </dataValidation>
  </dataValidations>
  <drawing r:id="rId2"/>
  <legacyDrawing r:id="rId3"/>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'MSW24'!A1</f>
        <v/>
      </c>
    </row>
    <row r="8">
      <c r="A8" s="11"/>
      <c r="B8" s="11"/>
      <c r="C8" s="11"/>
      <c r="D8" s="11"/>
      <c r="E8" s="11"/>
      <c r="F8" s="11"/>
      <c r="G8" s="11"/>
      <c r="H8" s="11"/>
      <c r="I8" s="11"/>
      <c r="J8" s="11"/>
      <c r="K8" s="11"/>
      <c r="L8" s="11"/>
      <c r="M8" s="11"/>
    </row>
    <row r="9">
      <c r="A9" s="1293" t="str">
        <f>'MSW24'!A9</f>
        <v>Week 24</v>
      </c>
      <c r="B9" s="36"/>
      <c r="C9" s="36"/>
      <c r="D9" s="36"/>
      <c r="E9" s="36"/>
      <c r="F9" s="37"/>
      <c r="G9" s="419" t="str">
        <f>'MSW24'!G9</f>
        <v/>
      </c>
      <c r="H9" s="24" t="s">
        <v>35</v>
      </c>
      <c r="I9" s="25"/>
      <c r="J9" s="25"/>
      <c r="K9" s="25"/>
      <c r="L9" s="25"/>
      <c r="M9" s="26"/>
    </row>
    <row r="10">
      <c r="A10" s="719" t="str">
        <f>'MSW24'!A10</f>
        <v>PRESS TO RECORD BODY WEIGHT</v>
      </c>
      <c r="B10" s="25"/>
      <c r="C10" s="25"/>
      <c r="D10" s="25"/>
      <c r="E10" s="25"/>
      <c r="F10" s="26"/>
      <c r="H10" s="27" t="s">
        <v>299</v>
      </c>
      <c r="M10" s="28"/>
    </row>
    <row r="11">
      <c r="A11" s="336"/>
      <c r="B11" s="11"/>
      <c r="C11" s="11"/>
      <c r="D11" s="11"/>
      <c r="E11" s="11"/>
      <c r="F11" s="46"/>
      <c r="H11" s="29" t="s">
        <v>300</v>
      </c>
      <c r="I11" s="30"/>
      <c r="J11" s="30"/>
      <c r="K11" s="30"/>
      <c r="L11" s="30"/>
      <c r="M11" s="31"/>
    </row>
    <row r="12">
      <c r="A12" s="720" t="str">
        <f>'MSW24'!A12</f>
        <v>This Weeks Goals</v>
      </c>
      <c r="B12" s="36"/>
      <c r="C12" s="36"/>
      <c r="D12" s="36"/>
      <c r="E12" s="36"/>
      <c r="F12" s="37"/>
      <c r="H12" s="419"/>
    </row>
    <row r="13">
      <c r="A13" s="721" t="str">
        <f>'MSW24'!A13</f>
        <v>This is what we call percentage week. For the most part we are going to work your body just under it's maximum potential and go for more repititions. There are however a few areas that are excluded from this principle but the general theme of the week is working under your max. </v>
      </c>
      <c r="B13" s="36"/>
      <c r="C13" s="36"/>
      <c r="D13" s="36"/>
      <c r="E13" s="36"/>
      <c r="F13" s="37"/>
    </row>
    <row r="14">
      <c r="A14" s="653" t="str">
        <f>'MSW24'!A14</f>
        <v/>
      </c>
    </row>
    <row r="15">
      <c r="A15" s="50" t="str">
        <f>'MSW24'!A15</f>
        <v>DAY 1 </v>
      </c>
      <c r="B15" s="36"/>
      <c r="C15" s="36"/>
      <c r="D15" s="36"/>
      <c r="E15" s="36"/>
      <c r="F15" s="37"/>
      <c r="G15" s="722" t="str">
        <f>'MSW24'!G15</f>
        <v/>
      </c>
      <c r="H15" s="429" t="str">
        <f>'MSW24'!H15</f>
        <v>ALTERNATE WORKOUTS</v>
      </c>
      <c r="I15" s="36"/>
      <c r="J15" s="36"/>
      <c r="K15" s="36"/>
      <c r="L15" s="36"/>
      <c r="M15" s="37"/>
    </row>
    <row r="16">
      <c r="A16" s="657" t="str">
        <f>'MSW24'!A16</f>
        <v/>
      </c>
    </row>
    <row r="18">
      <c r="A18" s="51" t="str">
        <f>'MSW24'!A18</f>
        <v>CHEST &amp; BACK </v>
      </c>
      <c r="B18" s="36"/>
      <c r="C18" s="36"/>
      <c r="D18" s="36"/>
      <c r="E18" s="36"/>
      <c r="F18" s="37"/>
      <c r="G18" s="722" t="str">
        <f>'MSW24'!G18</f>
        <v/>
      </c>
      <c r="H18" s="51" t="str">
        <f>'MSW24'!H18</f>
        <v>CHEST &amp; BACK </v>
      </c>
      <c r="I18" s="36"/>
      <c r="J18" s="36"/>
      <c r="K18" s="36"/>
      <c r="L18" s="36"/>
      <c r="M18" s="37"/>
    </row>
    <row r="19">
      <c r="A19" s="93" t="str">
        <f>'MSW24'!A19</f>
        <v>1. BENCH PRESS</v>
      </c>
      <c r="B19" s="53"/>
      <c r="C19" s="53"/>
      <c r="D19" s="53"/>
      <c r="E19" s="53"/>
      <c r="F19" s="54"/>
      <c r="H19" s="93" t="str">
        <f>'MSW24'!H19</f>
        <v>1. MACHINE PRESS</v>
      </c>
      <c r="I19" s="53"/>
      <c r="J19" s="53"/>
      <c r="K19" s="53"/>
      <c r="L19" s="53"/>
      <c r="M19" s="54"/>
    </row>
    <row r="20">
      <c r="A20" s="226" t="str">
        <f>'MSW24'!A20</f>
        <v>CURRENT MAX</v>
      </c>
      <c r="B20" s="691" t="str">
        <f>'MSW24'!B20</f>
        <v/>
      </c>
      <c r="C20" s="13"/>
      <c r="D20" s="13"/>
      <c r="E20" s="13"/>
      <c r="F20" s="57"/>
      <c r="H20" s="226" t="str">
        <f>'MSW24'!H20</f>
        <v>CURRENT MAX</v>
      </c>
      <c r="I20" s="691" t="str">
        <f>'MSW24'!I20</f>
        <v/>
      </c>
      <c r="J20" s="13"/>
      <c r="K20" s="13"/>
      <c r="L20" s="13"/>
      <c r="M20" s="57"/>
    </row>
    <row r="21">
      <c r="A21" s="96" t="str">
        <f>'MSW24'!A21</f>
        <v>SET</v>
      </c>
      <c r="B21" s="97" t="str">
        <f>'MSW24'!B21</f>
        <v>WEIGHT</v>
      </c>
      <c r="C21" s="97" t="str">
        <f>'MSW24'!C21</f>
        <v>REPS</v>
      </c>
      <c r="D21" s="97" t="str">
        <f>'MSW24'!D21</f>
        <v>REST</v>
      </c>
      <c r="E21" s="341" t="str">
        <f>'MSW24'!E21</f>
        <v>PREVIOUS</v>
      </c>
      <c r="F21" s="235" t="str">
        <f>'MSW24'!F21</f>
        <v>REP LOG</v>
      </c>
      <c r="H21" s="96" t="str">
        <f>'MSW24'!H21</f>
        <v>SET</v>
      </c>
      <c r="I21" s="97" t="str">
        <f>'MSW24'!I21</f>
        <v>WEIGHT</v>
      </c>
      <c r="J21" s="97" t="str">
        <f>'MSW24'!J21</f>
        <v>REPS</v>
      </c>
      <c r="K21" s="97" t="str">
        <f>'MSW24'!K21</f>
        <v>REST</v>
      </c>
      <c r="L21" s="341" t="str">
        <f>'MSW24'!L21</f>
        <v>PREVIOUS</v>
      </c>
      <c r="M21" s="235" t="str">
        <f>'MSW24'!M21</f>
        <v>REP LOG</v>
      </c>
    </row>
    <row r="22">
      <c r="A22" s="725">
        <f>'MSW24'!A22</f>
        <v>1</v>
      </c>
      <c r="B22" s="344">
        <f>'MSW24'!B22</f>
        <v>0</v>
      </c>
      <c r="C22" s="344">
        <f>'MSW24'!C22</f>
        <v>6</v>
      </c>
      <c r="D22" s="343" t="str">
        <f>'MSW24'!D22</f>
        <v>30 sec</v>
      </c>
      <c r="E22" s="66" t="str">
        <f>'MSW24'!E22</f>
        <v/>
      </c>
      <c r="F22" s="85" t="str">
        <f>'MSW24'!F22</f>
        <v/>
      </c>
      <c r="H22" s="725">
        <f>'MSW24'!H22</f>
        <v>1</v>
      </c>
      <c r="I22" s="344">
        <f>'MSW24'!I22</f>
        <v>0</v>
      </c>
      <c r="J22" s="344">
        <f>'MSW24'!J22</f>
        <v>6</v>
      </c>
      <c r="K22" s="343" t="str">
        <f>'MSW24'!K22</f>
        <v>30 sec</v>
      </c>
      <c r="L22" s="66" t="str">
        <f>'MSW24'!L22</f>
        <v/>
      </c>
      <c r="M22" s="85" t="str">
        <f>'MSW24'!M22</f>
        <v/>
      </c>
    </row>
    <row r="23">
      <c r="A23" s="725">
        <f>'MSW24'!A23</f>
        <v>2</v>
      </c>
      <c r="B23" s="344">
        <f>'MSW24'!B23</f>
        <v>0</v>
      </c>
      <c r="C23" s="344">
        <f>'MSW24'!C23</f>
        <v>1</v>
      </c>
      <c r="D23" s="343" t="str">
        <f>'MSW24'!D23</f>
        <v>45 sec</v>
      </c>
      <c r="E23" s="66" t="str">
        <f>'MSW24'!E23</f>
        <v/>
      </c>
      <c r="F23" s="85" t="str">
        <f>'MSW24'!F23</f>
        <v/>
      </c>
      <c r="H23" s="725">
        <f>'MSW24'!H23</f>
        <v>2</v>
      </c>
      <c r="I23" s="344">
        <f>'MSW24'!I23</f>
        <v>0</v>
      </c>
      <c r="J23" s="344">
        <f>'MSW24'!J23</f>
        <v>1</v>
      </c>
      <c r="K23" s="343" t="str">
        <f>'MSW24'!K23</f>
        <v>45 sec</v>
      </c>
      <c r="L23" s="66" t="str">
        <f>'MSW24'!L23</f>
        <v/>
      </c>
      <c r="M23" s="85" t="str">
        <f>'MSW24'!M23</f>
        <v/>
      </c>
    </row>
    <row r="24">
      <c r="A24" s="725">
        <f>'MSW24'!A24</f>
        <v>3</v>
      </c>
      <c r="B24" s="344">
        <f>'MSW24'!B24</f>
        <v>0</v>
      </c>
      <c r="C24" s="344">
        <f>'MSW24'!C24</f>
        <v>1</v>
      </c>
      <c r="D24" s="343" t="str">
        <f>'MSW24'!D24</f>
        <v>1 MIN</v>
      </c>
      <c r="E24" s="66" t="str">
        <f>'MSW24'!E24</f>
        <v/>
      </c>
      <c r="F24" s="85" t="str">
        <f>'MSW24'!F24</f>
        <v/>
      </c>
      <c r="H24" s="725">
        <f>'MSW24'!H24</f>
        <v>3</v>
      </c>
      <c r="I24" s="344">
        <f>'MSW24'!I24</f>
        <v>0</v>
      </c>
      <c r="J24" s="344">
        <f>'MSW24'!J24</f>
        <v>1</v>
      </c>
      <c r="K24" s="343" t="str">
        <f>'MSW24'!K24</f>
        <v>1 MIN</v>
      </c>
      <c r="L24" s="66" t="str">
        <f>'MSW24'!L24</f>
        <v/>
      </c>
      <c r="M24" s="85" t="str">
        <f>'MSW24'!M24</f>
        <v/>
      </c>
    </row>
    <row r="25">
      <c r="A25" s="730" t="str">
        <f>'MSW24'!A25</f>
        <v>Working Set</v>
      </c>
      <c r="B25" s="13"/>
      <c r="C25" s="13"/>
      <c r="D25" s="13"/>
      <c r="E25" s="13"/>
      <c r="F25" s="57"/>
      <c r="G25" s="434" t="str">
        <f>'MSW24'!G25</f>
        <v>ALTERNATE</v>
      </c>
      <c r="H25" s="730" t="str">
        <f>'MSW24'!H25</f>
        <v>Working Set</v>
      </c>
      <c r="I25" s="13"/>
      <c r="J25" s="13"/>
      <c r="K25" s="13"/>
      <c r="L25" s="13"/>
      <c r="M25" s="57"/>
    </row>
    <row r="26">
      <c r="A26" s="96" t="str">
        <f>'MSW24'!A26</f>
        <v>SET</v>
      </c>
      <c r="B26" s="97" t="str">
        <f>'MSW24'!B26</f>
        <v>WEIGHT</v>
      </c>
      <c r="C26" s="97" t="str">
        <f>'MSW24'!C26</f>
        <v>REPS</v>
      </c>
      <c r="D26" s="97" t="str">
        <f>'MSW24'!D26</f>
        <v>REST</v>
      </c>
      <c r="E26" s="341" t="str">
        <f>'MSW24'!E26</f>
        <v>PREVIOUS</v>
      </c>
      <c r="F26" s="235" t="str">
        <f>'MSW24'!F26</f>
        <v>REP LOG</v>
      </c>
      <c r="H26" s="96" t="str">
        <f>'MSW24'!H26</f>
        <v>SET</v>
      </c>
      <c r="I26" s="97" t="str">
        <f>'MSW24'!I26</f>
        <v>WEIGHT</v>
      </c>
      <c r="J26" s="97" t="str">
        <f>'MSW24'!J26</f>
        <v>REPS</v>
      </c>
      <c r="K26" s="97" t="str">
        <f>'MSW24'!K26</f>
        <v>REST</v>
      </c>
      <c r="L26" s="341" t="str">
        <f>'MSW24'!L26</f>
        <v>PREVIOUS</v>
      </c>
      <c r="M26" s="235" t="str">
        <f>'MSW24'!M26</f>
        <v>REP LOG</v>
      </c>
    </row>
    <row r="27">
      <c r="A27" s="342">
        <f>'MSW24'!A27</f>
        <v>1</v>
      </c>
      <c r="B27" s="348">
        <f>'MSW24'!B27</f>
        <v>0</v>
      </c>
      <c r="C27" s="437" t="str">
        <f>'MSW24'!C27</f>
        <v>REP OUT</v>
      </c>
      <c r="D27" s="343" t="str">
        <f>'MSW24'!D27</f>
        <v>1-5 MIN</v>
      </c>
      <c r="E27" s="66" t="str">
        <f>'MSW24'!E27</f>
        <v/>
      </c>
      <c r="F27" s="85" t="str">
        <f>'MSW24'!F27</f>
        <v/>
      </c>
      <c r="H27" s="725">
        <f>'MSW24'!H27</f>
        <v>1</v>
      </c>
      <c r="I27" s="348">
        <f>'MSW24'!I27</f>
        <v>0</v>
      </c>
      <c r="J27" s="437" t="str">
        <f>'MSW24'!J27</f>
        <v>REP OUT</v>
      </c>
      <c r="K27" s="343" t="str">
        <f>'MSW24'!K27</f>
        <v>1-5 MIN</v>
      </c>
      <c r="L27" s="66" t="str">
        <f>'MSW24'!L27</f>
        <v/>
      </c>
      <c r="M27" s="85" t="str">
        <f>'MSW24'!M27</f>
        <v/>
      </c>
    </row>
    <row r="28">
      <c r="A28" s="725">
        <f>'MSW24'!A28</f>
        <v>2</v>
      </c>
      <c r="B28" s="348">
        <f>'MSW24'!B28</f>
        <v>0</v>
      </c>
      <c r="C28" s="437" t="str">
        <f>'MSW24'!C28</f>
        <v>REP OUT</v>
      </c>
      <c r="D28" s="343" t="str">
        <f>'MSW24'!D28</f>
        <v>1-5 MIN</v>
      </c>
      <c r="E28" s="66" t="str">
        <f>'MSW24'!E28</f>
        <v/>
      </c>
      <c r="F28" s="85" t="str">
        <f>'MSW24'!F28</f>
        <v/>
      </c>
      <c r="G28" s="722" t="str">
        <f>'MSW24'!G28</f>
        <v/>
      </c>
      <c r="H28" s="725">
        <f>'MSW24'!H28</f>
        <v>2</v>
      </c>
      <c r="I28" s="348">
        <f>'MSW24'!I28</f>
        <v>0</v>
      </c>
      <c r="J28" s="437" t="str">
        <f>'MSW24'!J28</f>
        <v>REP OUT</v>
      </c>
      <c r="K28" s="343" t="str">
        <f>'MSW24'!K28</f>
        <v>1-5 MIN</v>
      </c>
      <c r="L28" s="66" t="str">
        <f>'MSW24'!L28</f>
        <v/>
      </c>
      <c r="M28" s="85" t="str">
        <f>'MSW24'!M28</f>
        <v/>
      </c>
    </row>
    <row r="29">
      <c r="A29" s="485">
        <f>'MSW24'!A29</f>
        <v>3</v>
      </c>
      <c r="B29" s="732">
        <f>'MSW24'!B29</f>
        <v>0</v>
      </c>
      <c r="C29" s="733" t="str">
        <f>'MSW24'!C29</f>
        <v>REP OUT</v>
      </c>
      <c r="D29" s="486" t="str">
        <f>'MSW24'!D29</f>
        <v>1-5 MIN</v>
      </c>
      <c r="E29" s="72" t="str">
        <f>'MSW24'!E29</f>
        <v/>
      </c>
      <c r="F29" s="85" t="str">
        <f>'MSW24'!F29</f>
        <v/>
      </c>
      <c r="H29" s="753">
        <f>'MSW24'!H29</f>
        <v>3</v>
      </c>
      <c r="I29" s="732">
        <f>'MSW24'!I29</f>
        <v>0</v>
      </c>
      <c r="J29" s="733" t="str">
        <f>'MSW24'!J29</f>
        <v>REP OUT</v>
      </c>
      <c r="K29" s="486" t="str">
        <f>'MSW24'!K29</f>
        <v>1-5 MIN</v>
      </c>
      <c r="L29" s="72" t="str">
        <f>'MSW24'!L29</f>
        <v/>
      </c>
      <c r="M29" s="85" t="str">
        <f>'MSW24'!M29</f>
        <v/>
      </c>
    </row>
    <row r="30">
      <c r="A30" s="740" t="str">
        <f>'MSW24'!A30</f>
        <v/>
      </c>
    </row>
    <row r="32">
      <c r="A32" s="440" t="str">
        <f>'MSW24'!A32</f>
        <v>2. DB CHEST FLY</v>
      </c>
      <c r="B32" s="53"/>
      <c r="C32" s="53"/>
      <c r="D32" s="53"/>
      <c r="E32" s="53"/>
      <c r="F32" s="54"/>
      <c r="G32" s="419" t="str">
        <f>'MSW24'!G32</f>
        <v/>
      </c>
      <c r="H32" s="504" t="str">
        <f>'MSW24'!H32</f>
        <v>2. MACHINE CHEST FLY</v>
      </c>
      <c r="I32" s="53"/>
      <c r="J32" s="53"/>
      <c r="K32" s="53"/>
      <c r="L32" s="53"/>
      <c r="M32" s="54"/>
    </row>
    <row r="33">
      <c r="A33" s="226" t="str">
        <f>'MSW24'!A33</f>
        <v>DB INCL PRSS MAX</v>
      </c>
      <c r="B33" s="691" t="str">
        <f>'MSW24'!B33</f>
        <v/>
      </c>
      <c r="C33" s="13"/>
      <c r="D33" s="13"/>
      <c r="E33" s="13"/>
      <c r="F33" s="57"/>
      <c r="H33" s="226" t="str">
        <f>'MSW24'!H33</f>
        <v>DB INCL PRSS MAX</v>
      </c>
      <c r="I33" s="548" t="str">
        <f>'MSW24'!I33</f>
        <v/>
      </c>
      <c r="J33" s="13"/>
      <c r="K33" s="13"/>
      <c r="L33" s="13"/>
      <c r="M33" s="57"/>
    </row>
    <row r="34">
      <c r="A34" s="743" t="str">
        <f>'MSW24'!A34</f>
        <v>SET</v>
      </c>
      <c r="B34" s="744" t="str">
        <f>'MSW24'!B34</f>
        <v>WEIGHT</v>
      </c>
      <c r="C34" s="744" t="str">
        <f>'MSW24'!C34</f>
        <v>REPS</v>
      </c>
      <c r="D34" s="744" t="str">
        <f>'MSW24'!D34</f>
        <v>REST</v>
      </c>
      <c r="E34" s="745" t="str">
        <f>'MSW24'!E34</f>
        <v>PREVIOUS</v>
      </c>
      <c r="F34" s="746" t="str">
        <f>'MSW24'!F34</f>
        <v>REP LOG</v>
      </c>
      <c r="H34" s="96" t="str">
        <f>'MSW24'!H34</f>
        <v>SET</v>
      </c>
      <c r="I34" s="97" t="str">
        <f>'MSW24'!I34</f>
        <v>WEIGHT</v>
      </c>
      <c r="J34" s="97" t="str">
        <f>'MSW24'!J34</f>
        <v>REPS</v>
      </c>
      <c r="K34" s="97" t="str">
        <f>'MSW24'!K34</f>
        <v>REST</v>
      </c>
      <c r="L34" s="341" t="str">
        <f>'MSW24'!L34</f>
        <v>PREVIOUS</v>
      </c>
      <c r="M34" s="235" t="str">
        <f>'MSW24'!M34</f>
        <v>REP LOG</v>
      </c>
    </row>
    <row r="35">
      <c r="A35" s="725">
        <f>'MSW24'!A35</f>
        <v>1</v>
      </c>
      <c r="B35" s="254">
        <f>'MSW24'!B35</f>
        <v>0</v>
      </c>
      <c r="C35" s="344">
        <f>'MSW24'!C35</f>
        <v>15</v>
      </c>
      <c r="D35" s="343" t="str">
        <f>'MSW24'!D35</f>
        <v>1 MIN</v>
      </c>
      <c r="E35" s="66" t="str">
        <f>'MSW24'!E35</f>
        <v/>
      </c>
      <c r="F35" s="85" t="str">
        <f>'MSW24'!F35</f>
        <v/>
      </c>
      <c r="H35" s="240">
        <f>'MSW24'!H35</f>
        <v>1</v>
      </c>
      <c r="I35" s="254">
        <f>'MSW24'!I35</f>
        <v>0</v>
      </c>
      <c r="J35" s="241">
        <f>'MSW24'!J35</f>
        <v>15</v>
      </c>
      <c r="K35" s="83" t="str">
        <f>'MSW24'!K35</f>
        <v>1 MIN</v>
      </c>
      <c r="L35" s="66" t="str">
        <f>'MSW24'!L35</f>
        <v/>
      </c>
      <c r="M35" s="85" t="str">
        <f>'MSW24'!M35</f>
        <v/>
      </c>
    </row>
    <row r="36">
      <c r="A36" s="747">
        <f>'MSW24'!A36</f>
        <v>2</v>
      </c>
      <c r="B36" s="662">
        <f>'MSW24'!B36</f>
        <v>0</v>
      </c>
      <c r="C36" s="813">
        <f>'MSW24'!C36</f>
        <v>15</v>
      </c>
      <c r="D36" s="486" t="str">
        <f>'MSW24'!D36</f>
        <v>1 MIN</v>
      </c>
      <c r="E36" s="72" t="str">
        <f>'MSW24'!E36</f>
        <v/>
      </c>
      <c r="F36" s="85" t="str">
        <f>'MSW24'!F36</f>
        <v/>
      </c>
      <c r="H36" s="661">
        <f>'MSW24'!H36</f>
        <v>2</v>
      </c>
      <c r="I36" s="662">
        <f>'MSW24'!I36</f>
        <v>0</v>
      </c>
      <c r="J36" s="662">
        <f>'MSW24'!J36</f>
        <v>15</v>
      </c>
      <c r="K36" s="88" t="str">
        <f>'MSW24'!K36</f>
        <v>1 MIN</v>
      </c>
      <c r="L36" s="72" t="str">
        <f>'MSW24'!L36</f>
        <v/>
      </c>
      <c r="M36" s="85" t="str">
        <f>'MSW24'!M36</f>
        <v/>
      </c>
    </row>
    <row r="37">
      <c r="A37" t="str">
        <f>'MSW24'!A37</f>
        <v/>
      </c>
    </row>
    <row r="39">
      <c r="A39" s="1497" t="str">
        <f>'MSW24'!A39</f>
        <v>3. SUPER SET</v>
      </c>
      <c r="B39" s="36"/>
      <c r="C39" s="36"/>
      <c r="D39" s="36"/>
      <c r="E39" s="36"/>
      <c r="F39" s="37"/>
      <c r="G39" t="str">
        <f>'MSW24'!G39</f>
        <v/>
      </c>
    </row>
    <row r="40">
      <c r="A40" s="1177" t="str">
        <f>'MSW24'!A40</f>
        <v>CURRENT MAX</v>
      </c>
      <c r="B40" s="1178" t="str">
        <f>'MSW24'!B40</f>
        <v/>
      </c>
      <c r="C40" s="46"/>
      <c r="D40" s="1178">
        <f>'MSW24'!D40</f>
        <v>270</v>
      </c>
      <c r="E40" s="11"/>
      <c r="F40" s="46"/>
    </row>
    <row r="41">
      <c r="A41" s="1179" t="str">
        <f>'MSW24'!A41</f>
        <v>SET</v>
      </c>
      <c r="B41" s="1180" t="str">
        <f>'MSW24'!B41</f>
        <v>EXERCISE</v>
      </c>
      <c r="C41" s="1181" t="str">
        <f>'MSW24'!C41</f>
        <v>WEIGHT</v>
      </c>
      <c r="D41" s="1181" t="str">
        <f>'MSW24'!D41</f>
        <v>REPS</v>
      </c>
      <c r="E41" s="1182" t="str">
        <f>'MSW24'!E41</f>
        <v>PREVIOUS</v>
      </c>
      <c r="F41" s="1006" t="str">
        <f>'MSW24'!F41</f>
        <v>REP LOG</v>
      </c>
    </row>
    <row r="42">
      <c r="A42" s="1183">
        <f>'MSW24'!A42</f>
        <v>1</v>
      </c>
      <c r="B42" s="1393" t="str">
        <f>'MSW24'!B42</f>
        <v>MACH HIGH ROW</v>
      </c>
      <c r="C42" s="1185">
        <f>'MSW24'!C42</f>
        <v>0</v>
      </c>
      <c r="D42" s="1186">
        <f>'MSW24'!D42</f>
        <v>20</v>
      </c>
      <c r="E42" s="1187" t="str">
        <f>'MSW24'!E42</f>
        <v/>
      </c>
      <c r="F42" s="1188" t="str">
        <f>'MSW24'!F42</f>
        <v/>
      </c>
    </row>
    <row r="43">
      <c r="A43" s="1189"/>
      <c r="B43" s="1190" t="str">
        <f>'MSW24'!B43</f>
        <v>LOW ROW</v>
      </c>
      <c r="C43" s="1191">
        <f>'MSW24'!C43</f>
        <v>120</v>
      </c>
      <c r="D43" s="1192">
        <f>'MSW24'!D43</f>
        <v>20</v>
      </c>
      <c r="E43" s="1193" t="str">
        <f>'MSW24'!E43</f>
        <v/>
      </c>
      <c r="F43" s="1188" t="str">
        <f>'MSW24'!F43</f>
        <v/>
      </c>
    </row>
    <row r="44">
      <c r="A44" s="1194" t="str">
        <f>'MSW24'!A44</f>
        <v>REST 1 MIN</v>
      </c>
      <c r="B44" s="11"/>
      <c r="C44" s="11"/>
      <c r="D44" s="11"/>
      <c r="E44" s="11"/>
      <c r="F44" s="46"/>
    </row>
    <row r="45">
      <c r="A45" s="1195">
        <f>'MSW24'!A45</f>
        <v>2</v>
      </c>
      <c r="B45" s="1393" t="str">
        <f>'MSW24'!B45</f>
        <v>MACH HIGH ROW</v>
      </c>
      <c r="C45" s="1185">
        <f>'MSW24'!C45</f>
        <v>0</v>
      </c>
      <c r="D45" s="1186">
        <f>'MSW24'!D45</f>
        <v>20</v>
      </c>
      <c r="E45" s="1187" t="str">
        <f>'MSW24'!E45</f>
        <v/>
      </c>
      <c r="F45" s="1188" t="str">
        <f>'MSW24'!F45</f>
        <v/>
      </c>
    </row>
    <row r="46">
      <c r="A46" s="1196"/>
      <c r="B46" s="1190" t="str">
        <f>'MSW24'!B46</f>
        <v>LOW ROW</v>
      </c>
      <c r="C46" s="1191">
        <f>'MSW24'!C46</f>
        <v>110</v>
      </c>
      <c r="D46" s="1192">
        <f>'MSW24'!D46</f>
        <v>20</v>
      </c>
      <c r="E46" s="1193" t="str">
        <f>'MSW24'!E46</f>
        <v/>
      </c>
      <c r="F46" s="1188" t="str">
        <f>'MSW24'!F46</f>
        <v/>
      </c>
    </row>
    <row r="47">
      <c r="A47" s="1194" t="str">
        <f>'MSW24'!A47</f>
        <v>REST 1 MIN</v>
      </c>
      <c r="B47" s="11"/>
      <c r="C47" s="11"/>
      <c r="D47" s="11"/>
      <c r="E47" s="11"/>
      <c r="F47" s="46"/>
    </row>
    <row r="48">
      <c r="A48" s="1195">
        <f>'MSW24'!A48</f>
        <v>3</v>
      </c>
      <c r="B48" s="1393" t="str">
        <f>'MSW24'!B48</f>
        <v>MACH HIGH ROW</v>
      </c>
      <c r="C48" s="1185">
        <f>'MSW24'!C48</f>
        <v>0</v>
      </c>
      <c r="D48" s="1186">
        <f>'MSW24'!D48</f>
        <v>20</v>
      </c>
      <c r="E48" s="1187" t="str">
        <f>'MSW24'!E48</f>
        <v/>
      </c>
      <c r="F48" s="1133" t="str">
        <f>'MSW24'!F48</f>
        <v/>
      </c>
    </row>
    <row r="49">
      <c r="A49" s="1196"/>
      <c r="B49" s="1190" t="str">
        <f>'MSW24'!B49</f>
        <v>LOW ROW</v>
      </c>
      <c r="C49" s="1191">
        <f>'MSW24'!C49</f>
        <v>100</v>
      </c>
      <c r="D49" s="1192">
        <f>'MSW24'!D49</f>
        <v>20</v>
      </c>
      <c r="E49" s="1193" t="str">
        <f>'MSW24'!E49</f>
        <v/>
      </c>
      <c r="F49" s="1133" t="str">
        <f>'MSW24'!F49</f>
        <v/>
      </c>
    </row>
    <row r="50">
      <c r="A50" s="1194" t="str">
        <f>'MSW24'!A50</f>
        <v>REST 1 MIN</v>
      </c>
      <c r="B50" s="11"/>
      <c r="C50" s="11"/>
      <c r="D50" s="11"/>
      <c r="E50" s="11"/>
      <c r="F50" s="46"/>
    </row>
    <row r="51">
      <c r="A51" s="1197">
        <f>'MSW24'!A51</f>
        <v>4</v>
      </c>
      <c r="B51" s="1393" t="str">
        <f>'MSW24'!B51</f>
        <v>MACH HIGH ROW</v>
      </c>
      <c r="C51" s="1185">
        <f>'MSW24'!C51</f>
        <v>0</v>
      </c>
      <c r="D51" s="1186">
        <f>'MSW24'!D51</f>
        <v>20</v>
      </c>
      <c r="E51" s="1187" t="str">
        <f>'MSW24'!E51</f>
        <v/>
      </c>
      <c r="F51" s="1133" t="str">
        <f>'MSW24'!F51</f>
        <v/>
      </c>
    </row>
    <row r="52">
      <c r="A52" s="1196"/>
      <c r="B52" s="1190" t="str">
        <f>'MSW24'!B52</f>
        <v>LOW ROW</v>
      </c>
      <c r="C52" s="1191">
        <f>'MSW24'!C52</f>
        <v>90</v>
      </c>
      <c r="D52" s="1192">
        <f>'MSW24'!D52</f>
        <v>20</v>
      </c>
      <c r="E52" s="1193" t="str">
        <f>'MSW24'!E52</f>
        <v/>
      </c>
      <c r="F52" s="1133" t="str">
        <f>'MSW24'!F52</f>
        <v/>
      </c>
    </row>
    <row r="53">
      <c r="A53" t="str">
        <f>'MSW24'!A53</f>
        <v/>
      </c>
    </row>
    <row r="55">
      <c r="A55" s="310" t="str">
        <f>'MSW24'!A55</f>
        <v>CLICK TO COMPLETE WORKOUT</v>
      </c>
      <c r="B55" s="36"/>
      <c r="C55" s="36"/>
      <c r="D55" s="36"/>
      <c r="E55" s="36"/>
      <c r="F55" s="37"/>
    </row>
    <row r="56">
      <c r="A56" t="str">
        <f>'MSW24'!A56</f>
        <v/>
      </c>
    </row>
    <row r="57">
      <c r="A57" s="224" t="str">
        <f>'MSW24'!A57</f>
        <v>DAY 2 </v>
      </c>
      <c r="B57" s="36"/>
      <c r="C57" s="36"/>
      <c r="D57" s="36"/>
      <c r="E57" s="36"/>
      <c r="F57" s="37"/>
    </row>
    <row r="58">
      <c r="A58" t="str">
        <f>'MSW24'!A58</f>
        <v/>
      </c>
    </row>
    <row r="60">
      <c r="A60" s="1355" t="str">
        <f>'MSW24'!A60</f>
        <v>1. MACHINE SQUAT</v>
      </c>
      <c r="B60" s="53"/>
      <c r="C60" s="53"/>
      <c r="D60" s="53"/>
      <c r="E60" s="53"/>
      <c r="F60" s="54"/>
    </row>
    <row r="61">
      <c r="A61" s="1262" t="str">
        <f>'MSW24'!A61</f>
        <v>2 REP MAX</v>
      </c>
      <c r="B61" s="1035">
        <f>'MSW24'!B61</f>
        <v>100</v>
      </c>
      <c r="C61" s="13"/>
      <c r="D61" s="13"/>
      <c r="E61" s="13"/>
      <c r="F61" s="57"/>
    </row>
    <row r="62">
      <c r="A62" s="231" t="str">
        <f>'MSW24'!A62</f>
        <v>SET</v>
      </c>
      <c r="B62" s="232" t="str">
        <f>'MSW24'!B62</f>
        <v>WEIGHT</v>
      </c>
      <c r="C62" s="232" t="str">
        <f>'MSW24'!C62</f>
        <v>REPS</v>
      </c>
      <c r="D62" s="232" t="str">
        <f>'MSW24'!D62</f>
        <v>REST</v>
      </c>
      <c r="E62" s="233" t="str">
        <f>'MSW24'!E62</f>
        <v>PREVIOUS</v>
      </c>
      <c r="F62" s="61" t="str">
        <f>'MSW24'!F62</f>
        <v>REP LOG</v>
      </c>
    </row>
    <row r="63">
      <c r="A63" s="236">
        <f>'MSW24'!A63</f>
        <v>1</v>
      </c>
      <c r="B63" s="237">
        <f>'MSW24'!B63</f>
        <v>35</v>
      </c>
      <c r="C63" s="238">
        <f>'MSW24'!C63</f>
        <v>10</v>
      </c>
      <c r="D63" s="238" t="str">
        <f>'MSW24'!D63</f>
        <v>30s</v>
      </c>
      <c r="E63" s="66" t="str">
        <f>'MSW24'!E63</f>
        <v/>
      </c>
      <c r="F63" s="67" t="str">
        <f>'MSW24'!F63</f>
        <v/>
      </c>
    </row>
    <row r="64">
      <c r="A64" s="236">
        <f>'MSW24'!A64</f>
        <v>2</v>
      </c>
      <c r="B64" s="237">
        <f>'MSW24'!B64</f>
        <v>65</v>
      </c>
      <c r="C64" s="238">
        <f>'MSW24'!C64</f>
        <v>10</v>
      </c>
      <c r="D64" s="238" t="str">
        <f>'MSW24'!D64</f>
        <v>1-2 MIN</v>
      </c>
      <c r="E64" s="66" t="str">
        <f>'MSW24'!E64</f>
        <v/>
      </c>
      <c r="F64" s="67" t="str">
        <f>'MSW24'!F64</f>
        <v/>
      </c>
    </row>
    <row r="65">
      <c r="A65" s="242">
        <f>'MSW24'!A65</f>
        <v>3</v>
      </c>
      <c r="B65" s="237">
        <f>'MSW24'!B65</f>
        <v>90</v>
      </c>
      <c r="C65" s="238">
        <f>'MSW24'!C65</f>
        <v>10</v>
      </c>
      <c r="D65" s="238" t="str">
        <f>'MSW24'!D65</f>
        <v>1-2 MIN</v>
      </c>
      <c r="E65" s="66" t="str">
        <f>'MSW24'!E65</f>
        <v/>
      </c>
      <c r="F65" s="67" t="str">
        <f>'MSW24'!F65</f>
        <v/>
      </c>
    </row>
    <row r="66">
      <c r="A66" s="249">
        <f>'MSW24'!A66</f>
        <v>4</v>
      </c>
      <c r="B66" s="175">
        <f>'MSW24'!B66</f>
        <v>70</v>
      </c>
      <c r="C66" s="238">
        <f>'MSW24'!C66</f>
        <v>10</v>
      </c>
      <c r="D66" s="238" t="str">
        <f>'MSW24'!D66</f>
        <v>1-5 MIN</v>
      </c>
      <c r="E66" s="66" t="str">
        <f>'MSW24'!E66</f>
        <v/>
      </c>
      <c r="F66" s="67" t="str">
        <f>'MSW24'!F66</f>
        <v/>
      </c>
    </row>
    <row r="67">
      <c r="A67" s="249">
        <f>'MSW24'!A67</f>
        <v>5</v>
      </c>
      <c r="B67" s="175">
        <f>'MSW24'!B67</f>
        <v>55</v>
      </c>
      <c r="C67" s="238">
        <f>'MSW24'!C67</f>
        <v>10</v>
      </c>
      <c r="D67" s="238" t="str">
        <f>'MSW24'!D67</f>
        <v>1-5 MIN</v>
      </c>
      <c r="E67" s="66" t="str">
        <f>'MSW24'!E67</f>
        <v/>
      </c>
      <c r="F67" s="1037" t="str">
        <f>'MSW24'!F67</f>
        <v/>
      </c>
    </row>
    <row r="68">
      <c r="A68" s="249">
        <f>'MSW24'!A68</f>
        <v>6</v>
      </c>
      <c r="B68" s="175">
        <f>'MSW24'!B68</f>
        <v>45</v>
      </c>
      <c r="C68" s="238">
        <f>'MSW24'!C68</f>
        <v>10</v>
      </c>
      <c r="D68" s="238" t="str">
        <f>'MSW24'!D68</f>
        <v>1-5 MIN</v>
      </c>
      <c r="E68" s="66" t="str">
        <f>'MSW24'!E68</f>
        <v/>
      </c>
      <c r="F68" s="67" t="str">
        <f>'MSW24'!F68</f>
        <v/>
      </c>
    </row>
    <row r="69">
      <c r="A69" s="1038">
        <f>'MSW24'!A69</f>
        <v>7</v>
      </c>
      <c r="B69" s="175">
        <f>'MSW24'!B69</f>
        <v>35</v>
      </c>
      <c r="C69" s="238">
        <f>'MSW24'!C69</f>
        <v>10</v>
      </c>
      <c r="D69" s="238" t="str">
        <f>'MSW24'!D69</f>
        <v>1-5 MIN</v>
      </c>
      <c r="E69" s="66" t="str">
        <f>'MSW24'!E69</f>
        <v/>
      </c>
      <c r="F69" s="67" t="str">
        <f>'MSW24'!F69</f>
        <v/>
      </c>
    </row>
    <row r="70">
      <c r="A70" s="249">
        <f>'MSW24'!A70</f>
        <v>8</v>
      </c>
      <c r="B70" s="175">
        <f>'MSW24'!B70</f>
        <v>30</v>
      </c>
      <c r="C70" s="238">
        <f>'MSW24'!C70</f>
        <v>10</v>
      </c>
      <c r="D70" s="238" t="str">
        <f>'MSW24'!D70</f>
        <v>1-5 MIN</v>
      </c>
      <c r="E70" s="66" t="str">
        <f>'MSW24'!E70</f>
        <v/>
      </c>
      <c r="F70" s="67" t="str">
        <f>'MSW24'!F70</f>
        <v/>
      </c>
    </row>
    <row r="71">
      <c r="A71" s="1038">
        <f>'MSW24'!A71</f>
        <v>9</v>
      </c>
      <c r="B71" s="175">
        <f>'MSW24'!B71</f>
        <v>25</v>
      </c>
      <c r="C71" s="238">
        <f>'MSW24'!C71</f>
        <v>10</v>
      </c>
      <c r="D71" s="238" t="str">
        <f>'MSW24'!D71</f>
        <v>1-5 MIN</v>
      </c>
      <c r="E71" s="66" t="str">
        <f>'MSW24'!E71</f>
        <v/>
      </c>
      <c r="F71" s="67" t="str">
        <f>'MSW24'!F71</f>
        <v/>
      </c>
    </row>
    <row r="72">
      <c r="A72" s="1038" t="str">
        <f>'MSW24'!A72</f>
        <v>10</v>
      </c>
      <c r="B72" s="175">
        <f>'MSW24'!B72</f>
        <v>20</v>
      </c>
      <c r="C72" s="238">
        <f>'MSW24'!C72</f>
        <v>10</v>
      </c>
      <c r="D72" s="238" t="str">
        <f>'MSW24'!D72</f>
        <v>1-5 MIN</v>
      </c>
      <c r="E72" s="66" t="str">
        <f>'MSW24'!E72</f>
        <v/>
      </c>
      <c r="F72" s="67" t="str">
        <f>'MSW24'!F72</f>
        <v/>
      </c>
    </row>
    <row r="73">
      <c r="A73" s="272" t="str">
        <f>'MSW24'!A73</f>
        <v>1 REP MAX</v>
      </c>
      <c r="B73" s="1109">
        <f>'MSW24'!B73</f>
        <v>100</v>
      </c>
      <c r="C73" s="11"/>
      <c r="D73" s="11"/>
      <c r="E73" s="11"/>
      <c r="F73" s="46"/>
    </row>
    <row r="74">
      <c r="A74" t="str">
        <f>'MSW24'!A74</f>
        <v/>
      </c>
    </row>
    <row r="76">
      <c r="A76" s="1285" t="str">
        <f>'MSW24'!A76</f>
        <v>2. LEG EXTENSION</v>
      </c>
      <c r="B76" s="53"/>
      <c r="C76" s="53"/>
      <c r="D76" s="53"/>
      <c r="E76" s="53"/>
      <c r="F76" s="54"/>
    </row>
    <row r="77">
      <c r="A77" s="1045" t="str">
        <f>'MSW24'!A77</f>
        <v>CURRENT MAX</v>
      </c>
      <c r="B77" s="1367">
        <f>'MSW24'!B77</f>
        <v>50</v>
      </c>
      <c r="C77" s="20"/>
      <c r="D77" s="20"/>
      <c r="E77" s="20"/>
      <c r="F77" s="95"/>
    </row>
    <row r="78">
      <c r="A78" s="567" t="str">
        <f>'MSW24'!A78</f>
        <v>SET</v>
      </c>
      <c r="B78" s="568" t="str">
        <f>'MSW24'!B78</f>
        <v>WEIGHT</v>
      </c>
      <c r="C78" s="568" t="str">
        <f>'MSW24'!C78</f>
        <v>REPS</v>
      </c>
      <c r="D78" s="568" t="str">
        <f>'MSW24'!D78</f>
        <v>REST</v>
      </c>
      <c r="E78" s="1047" t="str">
        <f>'MSW24'!E78</f>
        <v>PREVIOUS</v>
      </c>
      <c r="F78" s="1048" t="str">
        <f>'MSW24'!F78</f>
        <v>REP LOG</v>
      </c>
    </row>
    <row r="79">
      <c r="A79" s="1049">
        <f>'MSW24'!A79</f>
        <v>1</v>
      </c>
      <c r="B79" s="1050">
        <f>'MSW24'!B79</f>
        <v>50</v>
      </c>
      <c r="C79" s="1051" t="str">
        <f>'MSW24'!C79</f>
        <v>10 - 15</v>
      </c>
      <c r="D79" s="1430" t="str">
        <f>'MSW24'!D79</f>
        <v>1-2 MIN</v>
      </c>
      <c r="E79" s="1130" t="str">
        <f>'MSW24'!E79</f>
        <v/>
      </c>
      <c r="F79" s="1017" t="str">
        <f>'MSW24'!F79</f>
        <v/>
      </c>
    </row>
    <row r="80">
      <c r="A80" s="1049">
        <f>'MSW24'!A80</f>
        <v>2</v>
      </c>
      <c r="B80" s="1050">
        <f>'MSW24'!B80</f>
        <v>40</v>
      </c>
      <c r="C80" s="1051" t="str">
        <f>'MSW24'!C80</f>
        <v>10 - 15</v>
      </c>
      <c r="D80" s="1430" t="str">
        <f>'MSW24'!D80</f>
        <v>1-2 MIN</v>
      </c>
      <c r="E80" s="1130" t="str">
        <f>'MSW24'!E80</f>
        <v/>
      </c>
      <c r="F80" s="1017" t="str">
        <f>'MSW24'!F80</f>
        <v/>
      </c>
    </row>
    <row r="81">
      <c r="A81" s="1053">
        <f>'MSW24'!A81</f>
        <v>3</v>
      </c>
      <c r="B81" s="1054">
        <f>'MSW24'!B81</f>
        <v>30</v>
      </c>
      <c r="C81" s="1055" t="str">
        <f>'MSW24'!C81</f>
        <v>10 - 15</v>
      </c>
      <c r="D81" s="1453" t="str">
        <f>'MSW24'!D81</f>
        <v>1-2 MIN</v>
      </c>
      <c r="E81" s="1348" t="str">
        <f>'MSW24'!E81</f>
        <v/>
      </c>
      <c r="F81" s="1017" t="str">
        <f>'MSW24'!F81</f>
        <v/>
      </c>
    </row>
    <row r="82">
      <c r="A82" t="str">
        <f>'MSW24'!A82</f>
        <v/>
      </c>
    </row>
    <row r="84">
      <c r="A84" s="323" t="str">
        <f>'MSW24'!A84</f>
        <v>3. MACHINE LEG CURL</v>
      </c>
      <c r="B84" s="53"/>
      <c r="C84" s="53"/>
      <c r="D84" s="53"/>
      <c r="E84" s="53"/>
      <c r="F84" s="54"/>
      <c r="G84" s="141" t="str">
        <f>'MSW24'!G84</f>
        <v/>
      </c>
      <c r="H84" s="323" t="str">
        <f>'MSW24'!H84</f>
        <v>3. PRONE LEG CURL</v>
      </c>
      <c r="I84" s="53"/>
      <c r="J84" s="53"/>
      <c r="K84" s="53"/>
      <c r="L84" s="53"/>
      <c r="M84" s="54"/>
    </row>
    <row r="85">
      <c r="A85" s="1045" t="str">
        <f>'MSW24'!A85</f>
        <v>CURRENT MAX</v>
      </c>
      <c r="B85" s="1367">
        <f>'MSW24'!B85</f>
        <v>15</v>
      </c>
      <c r="C85" s="20"/>
      <c r="D85" s="20"/>
      <c r="E85" s="20"/>
      <c r="F85" s="95"/>
      <c r="H85" s="1045" t="str">
        <f>'MSW24'!H85</f>
        <v>CURRENT MAX</v>
      </c>
      <c r="I85" s="1498">
        <f>'MSW24'!I85</f>
        <v>15</v>
      </c>
      <c r="J85" s="33"/>
      <c r="K85" s="33"/>
      <c r="L85" s="33"/>
      <c r="M85" s="34"/>
    </row>
    <row r="86">
      <c r="A86" s="567" t="str">
        <f>'MSW24'!A86</f>
        <v>SET</v>
      </c>
      <c r="B86" s="568" t="str">
        <f>'MSW24'!B86</f>
        <v>WEIGHT</v>
      </c>
      <c r="C86" s="568" t="str">
        <f>'MSW24'!C86</f>
        <v>REPS</v>
      </c>
      <c r="D86" s="568" t="str">
        <f>'MSW24'!D86</f>
        <v>REST</v>
      </c>
      <c r="E86" s="1047" t="str">
        <f>'MSW24'!E86</f>
        <v>PREVIOUS</v>
      </c>
      <c r="F86" s="1048" t="str">
        <f>'MSW24'!F86</f>
        <v>REP LOG</v>
      </c>
      <c r="H86" s="567" t="str">
        <f>'MSW24'!H86</f>
        <v>SET</v>
      </c>
      <c r="I86" s="568" t="str">
        <f>'MSW24'!I86</f>
        <v>WEIGHT</v>
      </c>
      <c r="J86" s="568" t="str">
        <f>'MSW24'!J86</f>
        <v>REPS</v>
      </c>
      <c r="K86" s="568" t="str">
        <f>'MSW24'!K86</f>
        <v>REST</v>
      </c>
      <c r="L86" s="1047" t="str">
        <f>'MSW24'!L86</f>
        <v>PREVIOUS</v>
      </c>
      <c r="M86" s="1048" t="str">
        <f>'MSW24'!M86</f>
        <v>REP LOG</v>
      </c>
    </row>
    <row r="87">
      <c r="A87" s="1049">
        <f>'MSW24'!A87</f>
        <v>1</v>
      </c>
      <c r="B87" s="1050">
        <f>'MSW24'!B87</f>
        <v>15</v>
      </c>
      <c r="C87" s="1051" t="str">
        <f>'MSW24'!C87</f>
        <v>10 - 15</v>
      </c>
      <c r="D87" s="1430" t="str">
        <f>'MSW24'!D87</f>
        <v>1-2 MIN</v>
      </c>
      <c r="E87" s="1130" t="str">
        <f>'MSW24'!E87</f>
        <v/>
      </c>
      <c r="F87" s="1017" t="str">
        <f>'MSW24'!F87</f>
        <v/>
      </c>
      <c r="G87" s="434" t="str">
        <f>'MSW24'!G87</f>
        <v>ALTERNATE</v>
      </c>
      <c r="H87" s="1049">
        <f>'MSW24'!H87</f>
        <v>1</v>
      </c>
      <c r="I87" s="1050">
        <f>'MSW24'!I87</f>
        <v>15</v>
      </c>
      <c r="J87" s="1051" t="str">
        <f>'MSW24'!J87</f>
        <v>10 - 15</v>
      </c>
      <c r="K87" s="1430" t="str">
        <f>'MSW24'!K87</f>
        <v>1-2 MIN</v>
      </c>
      <c r="L87" s="1130" t="str">
        <f>'MSW24'!L87</f>
        <v/>
      </c>
      <c r="M87" s="1017" t="str">
        <f>'MSW24'!M87</f>
        <v/>
      </c>
    </row>
    <row r="88">
      <c r="A88" s="1049">
        <f>'MSW24'!A88</f>
        <v>2</v>
      </c>
      <c r="B88" s="1050">
        <f>'MSW24'!B88</f>
        <v>10</v>
      </c>
      <c r="C88" s="1051" t="str">
        <f>'MSW24'!C88</f>
        <v>10 - 15</v>
      </c>
      <c r="D88" s="1430" t="str">
        <f>'MSW24'!D88</f>
        <v>1-2 MIN</v>
      </c>
      <c r="E88" s="1130" t="str">
        <f>'MSW24'!E88</f>
        <v/>
      </c>
      <c r="F88" s="1017" t="str">
        <f>'MSW24'!F88</f>
        <v/>
      </c>
      <c r="H88" s="1049">
        <f>'MSW24'!H88</f>
        <v>2</v>
      </c>
      <c r="I88" s="1050">
        <f>'MSW24'!I88</f>
        <v>10</v>
      </c>
      <c r="J88" s="1051" t="str">
        <f>'MSW24'!J88</f>
        <v>10 - 15</v>
      </c>
      <c r="K88" s="1430" t="str">
        <f>'MSW24'!K88</f>
        <v>1-2 MIN</v>
      </c>
      <c r="L88" s="1130" t="str">
        <f>'MSW24'!L88</f>
        <v/>
      </c>
      <c r="M88" s="1017" t="str">
        <f>'MSW24'!M88</f>
        <v/>
      </c>
    </row>
    <row r="89">
      <c r="A89" s="1053">
        <f>'MSW24'!A89</f>
        <v>3</v>
      </c>
      <c r="B89" s="1054">
        <f>'MSW24'!B89</f>
        <v>10</v>
      </c>
      <c r="C89" s="1055" t="str">
        <f>'MSW24'!C89</f>
        <v>10 - 15</v>
      </c>
      <c r="D89" s="1453" t="str">
        <f>'MSW24'!D89</f>
        <v>1-2 MIN</v>
      </c>
      <c r="E89" s="1348" t="str">
        <f>'MSW24'!E89</f>
        <v/>
      </c>
      <c r="F89" s="1017" t="str">
        <f>'MSW24'!F89</f>
        <v/>
      </c>
      <c r="G89" s="682" t="str">
        <f>'MSW24'!G89</f>
        <v/>
      </c>
      <c r="H89" s="1053">
        <f>'MSW24'!H89</f>
        <v>3</v>
      </c>
      <c r="I89" s="1054">
        <f>'MSW24'!I89</f>
        <v>10</v>
      </c>
      <c r="J89" s="1055" t="str">
        <f>'MSW24'!J89</f>
        <v>10 - 15</v>
      </c>
      <c r="K89" s="1453" t="str">
        <f>'MSW24'!K89</f>
        <v>1-2 MIN</v>
      </c>
      <c r="L89" s="1348" t="str">
        <f>'MSW24'!L89</f>
        <v/>
      </c>
      <c r="M89" s="1017" t="str">
        <f>'MSW24'!M89</f>
        <v/>
      </c>
    </row>
    <row r="90">
      <c r="A90" s="849" t="str">
        <f>'MSW24'!A90</f>
        <v/>
      </c>
    </row>
    <row r="92">
      <c r="A92" s="1120" t="str">
        <f>'MSW24'!A92</f>
        <v>DAY 3</v>
      </c>
      <c r="B92" s="36"/>
      <c r="C92" s="36"/>
      <c r="D92" s="36"/>
      <c r="E92" s="36"/>
      <c r="F92" s="37"/>
      <c r="G92" t="str">
        <f>'MSW24'!G92</f>
        <v/>
      </c>
    </row>
    <row r="93">
      <c r="A93" t="str">
        <f>'MSW24'!A93</f>
        <v/>
      </c>
    </row>
    <row r="95">
      <c r="A95" s="51" t="str">
        <f>'MSW24'!A95</f>
        <v>SHOULDERS &amp; ARMS</v>
      </c>
      <c r="B95" s="36"/>
      <c r="C95" s="36"/>
      <c r="D95" s="36"/>
      <c r="E95" s="36"/>
      <c r="F95" s="37"/>
      <c r="G95" s="419" t="str">
        <f>'MSW24'!G95</f>
        <v/>
      </c>
      <c r="H95" s="51" t="str">
        <f>'MSW24'!H95</f>
        <v>SHOULDERS &amp; ARMS</v>
      </c>
      <c r="I95" s="36"/>
      <c r="J95" s="36"/>
      <c r="K95" s="36"/>
      <c r="L95" s="36"/>
      <c r="M95" s="37"/>
    </row>
    <row r="96">
      <c r="A96" s="504" t="str">
        <f>'MSW24'!A96</f>
        <v>1. SHOULDER PRESS</v>
      </c>
      <c r="B96" s="53"/>
      <c r="C96" s="53"/>
      <c r="D96" s="53"/>
      <c r="E96" s="53"/>
      <c r="F96" s="54"/>
      <c r="H96" s="778" t="str">
        <f>'MSW24'!H96</f>
        <v>1. MACHINE SHOULDER PRESS</v>
      </c>
      <c r="I96" s="53"/>
      <c r="J96" s="53"/>
      <c r="K96" s="53"/>
      <c r="L96" s="53"/>
      <c r="M96" s="54"/>
    </row>
    <row r="97">
      <c r="A97" s="589" t="str">
        <f>'MSW24'!A97</f>
        <v>CURRENT MAX</v>
      </c>
      <c r="B97" s="227">
        <f>'MSW24'!B97</f>
        <v>10</v>
      </c>
      <c r="C97" s="20"/>
      <c r="D97" s="20"/>
      <c r="E97" s="20"/>
      <c r="F97" s="95"/>
      <c r="H97" s="589" t="str">
        <f>'MSW24'!H97</f>
        <v>CURRENT MAX</v>
      </c>
      <c r="I97" s="227">
        <f>'MSW24'!I97</f>
        <v>105</v>
      </c>
      <c r="J97" s="20"/>
      <c r="K97" s="20"/>
      <c r="L97" s="20"/>
      <c r="M97" s="95"/>
    </row>
    <row r="98">
      <c r="A98" s="364" t="str">
        <f>'MSW24'!A98</f>
        <v>SET</v>
      </c>
      <c r="B98" s="365" t="str">
        <f>'MSW24'!B98</f>
        <v>WEIGHT</v>
      </c>
      <c r="C98" s="365" t="str">
        <f>'MSW24'!C98</f>
        <v>REPS</v>
      </c>
      <c r="D98" s="365" t="str">
        <f>'MSW24'!D98</f>
        <v>REST</v>
      </c>
      <c r="E98" s="609" t="str">
        <f>'MSW24'!E98</f>
        <v>PREVIOUS</v>
      </c>
      <c r="F98" s="61" t="str">
        <f>'MSW24'!F98</f>
        <v>REP LOG</v>
      </c>
      <c r="H98" s="364" t="str">
        <f>'MSW24'!H98</f>
        <v>SET</v>
      </c>
      <c r="I98" s="365" t="str">
        <f>'MSW24'!I98</f>
        <v>WEIGHT</v>
      </c>
      <c r="J98" s="365" t="str">
        <f>'MSW24'!J98</f>
        <v>REPS</v>
      </c>
      <c r="K98" s="365" t="str">
        <f>'MSW24'!K98</f>
        <v>REST</v>
      </c>
      <c r="L98" s="609" t="str">
        <f>'MSW24'!L98</f>
        <v>PREVIOUS</v>
      </c>
      <c r="M98" s="61" t="str">
        <f>'MSW24'!M98</f>
        <v>REP LOG</v>
      </c>
    </row>
    <row r="99">
      <c r="A99" s="236">
        <f>'MSW24'!A99</f>
        <v>1</v>
      </c>
      <c r="B99" s="237">
        <f>'MSW24'!B99</f>
        <v>5</v>
      </c>
      <c r="C99" s="237">
        <f>'MSW24'!C99</f>
        <v>6</v>
      </c>
      <c r="D99" s="238" t="str">
        <f>'MSW24'!D99</f>
        <v>30s</v>
      </c>
      <c r="E99" s="1130" t="str">
        <f>'MSW24'!E99</f>
        <v/>
      </c>
      <c r="F99" s="67"/>
      <c r="H99" s="236">
        <f>'MSW24'!H99</f>
        <v>1</v>
      </c>
      <c r="I99" s="237">
        <f>'MSW24'!I99</f>
        <v>35</v>
      </c>
      <c r="J99" s="237">
        <f>'MSW24'!J99</f>
        <v>6</v>
      </c>
      <c r="K99" s="238" t="str">
        <f>'MSW24'!K99</f>
        <v>30s</v>
      </c>
      <c r="L99" s="1130" t="str">
        <f>'MSW24'!L99</f>
        <v/>
      </c>
      <c r="M99" s="67"/>
    </row>
    <row r="100">
      <c r="A100" s="236">
        <f>'MSW24'!A100</f>
        <v>2</v>
      </c>
      <c r="B100" s="237">
        <f>'MSW24'!B100</f>
        <v>5</v>
      </c>
      <c r="C100" s="237">
        <f>'MSW24'!C100</f>
        <v>1</v>
      </c>
      <c r="D100" s="238" t="str">
        <f>'MSW24'!D100</f>
        <v>1 MIN</v>
      </c>
      <c r="E100" s="1130" t="str">
        <f>'MSW24'!E100</f>
        <v/>
      </c>
      <c r="F100" s="67"/>
      <c r="H100" s="236">
        <f>'MSW24'!H100</f>
        <v>2</v>
      </c>
      <c r="I100" s="237">
        <f>'MSW24'!I100</f>
        <v>70</v>
      </c>
      <c r="J100" s="237">
        <f>'MSW24'!J100</f>
        <v>1</v>
      </c>
      <c r="K100" s="238" t="str">
        <f>'MSW24'!K100</f>
        <v>1 MIN</v>
      </c>
      <c r="L100" s="1130" t="str">
        <f>'MSW24'!L100</f>
        <v/>
      </c>
      <c r="M100" s="67"/>
    </row>
    <row r="101">
      <c r="A101" s="779">
        <f>'MSW24'!A101</f>
        <v>3</v>
      </c>
      <c r="B101" s="780">
        <f>'MSW24'!B101</f>
        <v>10</v>
      </c>
      <c r="C101" s="781" t="str">
        <f>'MSW24'!C101</f>
        <v>REP OUT</v>
      </c>
      <c r="D101" s="782" t="str">
        <f>'MSW24'!D101</f>
        <v>1 MIN</v>
      </c>
      <c r="E101" s="1130" t="str">
        <f>'MSW24'!E101</f>
        <v/>
      </c>
      <c r="F101" s="1121"/>
      <c r="H101" s="779">
        <f>'MSW24'!H101</f>
        <v>3</v>
      </c>
      <c r="I101" s="780">
        <f>'MSW24'!I101</f>
        <v>95</v>
      </c>
      <c r="J101" s="781" t="str">
        <f>'MSW24'!J101</f>
        <v>REP OUT</v>
      </c>
      <c r="K101" s="782" t="str">
        <f>'MSW24'!K101</f>
        <v>1 MIN</v>
      </c>
      <c r="L101" s="1130" t="str">
        <f>'MSW24'!L101</f>
        <v/>
      </c>
      <c r="M101" s="1121"/>
    </row>
    <row r="102">
      <c r="A102" s="785">
        <f>'MSW24'!A102</f>
        <v>4</v>
      </c>
      <c r="B102" s="388">
        <f>'MSW24'!B102</f>
        <v>10</v>
      </c>
      <c r="C102" s="781" t="str">
        <f>'MSW24'!C102</f>
        <v>REP OUT</v>
      </c>
      <c r="D102" s="390" t="str">
        <f>'MSW24'!D102</f>
        <v>1 MIN</v>
      </c>
      <c r="E102" s="1130" t="str">
        <f>'MSW24'!E102</f>
        <v/>
      </c>
      <c r="F102" s="1122"/>
      <c r="H102" s="785">
        <f>'MSW24'!H102</f>
        <v>4</v>
      </c>
      <c r="I102" s="388">
        <f>'MSW24'!I102</f>
        <v>80</v>
      </c>
      <c r="J102" s="781" t="str">
        <f>'MSW24'!J102</f>
        <v>REP OUT</v>
      </c>
      <c r="K102" s="390" t="str">
        <f>'MSW24'!K102</f>
        <v>1 MIN</v>
      </c>
      <c r="L102" s="1130" t="str">
        <f>'MSW24'!L102</f>
        <v/>
      </c>
      <c r="M102" s="1122"/>
    </row>
    <row r="103">
      <c r="A103" s="787">
        <f>'MSW24'!A103</f>
        <v>5</v>
      </c>
      <c r="B103" s="788">
        <f>'MSW24'!B103</f>
        <v>7.5</v>
      </c>
      <c r="C103" s="789" t="str">
        <f>'MSW24'!C103</f>
        <v>REP OUT</v>
      </c>
      <c r="D103" s="397" t="str">
        <f>'MSW24'!D103</f>
        <v>1 MIN</v>
      </c>
      <c r="E103" s="1348" t="str">
        <f>'MSW24'!E103</f>
        <v/>
      </c>
      <c r="F103" s="392" t="str">
        <f>'MSW24'!F103</f>
        <v/>
      </c>
      <c r="H103" s="787">
        <f>'MSW24'!H103</f>
        <v>5</v>
      </c>
      <c r="I103" s="788">
        <f>'MSW24'!I103</f>
        <v>70</v>
      </c>
      <c r="J103" s="789" t="str">
        <f>'MSW24'!J103</f>
        <v>REP OUT</v>
      </c>
      <c r="K103" s="397" t="str">
        <f>'MSW24'!K103</f>
        <v>1 MIN</v>
      </c>
      <c r="L103" s="1348" t="str">
        <f>'MSW24'!L103</f>
        <v/>
      </c>
      <c r="M103" s="392" t="str">
        <f>'MSW24'!M103</f>
        <v/>
      </c>
    </row>
    <row r="104">
      <c r="A104" s="623" t="str">
        <f>'MSW24'!A104</f>
        <v/>
      </c>
    </row>
    <row r="106">
      <c r="A106" s="361" t="str">
        <f>'MSW24'!A106</f>
        <v>2.  CABLE HIGH PULLEY ROW</v>
      </c>
      <c r="B106" s="53"/>
      <c r="C106" s="53"/>
      <c r="D106" s="53"/>
      <c r="E106" s="53"/>
      <c r="F106" s="54"/>
      <c r="G106" s="987" t="str">
        <f>'MSW24'!G106</f>
        <v/>
      </c>
    </row>
    <row r="107">
      <c r="A107" s="226" t="str">
        <f>'MSW24'!A107</f>
        <v>SHLDR PRSS MAX</v>
      </c>
      <c r="B107" s="94">
        <f>'MSW24'!B107</f>
        <v>10</v>
      </c>
      <c r="C107" s="20"/>
      <c r="D107" s="20"/>
      <c r="E107" s="20"/>
      <c r="F107" s="95"/>
    </row>
    <row r="108">
      <c r="A108" s="962" t="str">
        <f>'MSW24'!A108</f>
        <v>SET</v>
      </c>
      <c r="B108" s="963" t="str">
        <f>'MSW24'!B108</f>
        <v>WEIGHT</v>
      </c>
      <c r="C108" s="963" t="str">
        <f>'MSW24'!C108</f>
        <v>REPS</v>
      </c>
      <c r="D108" s="963" t="str">
        <f>'MSW24'!D108</f>
        <v>REST</v>
      </c>
      <c r="E108" s="1005" t="str">
        <f>'MSW24'!E108</f>
        <v>PREVIOUS</v>
      </c>
      <c r="F108" s="1006" t="str">
        <f>'MSW24'!F108</f>
        <v>REP LOG</v>
      </c>
    </row>
    <row r="109">
      <c r="A109" s="967">
        <f>'MSW24'!A109</f>
        <v>1</v>
      </c>
      <c r="B109" s="1028">
        <f>'MSW24'!B109</f>
        <v>15</v>
      </c>
      <c r="C109" s="1067" t="str">
        <f>'MSW24'!C109</f>
        <v>10 - 15</v>
      </c>
      <c r="D109" s="968" t="str">
        <f>'MSW24'!D109</f>
        <v>1-2 MIN</v>
      </c>
      <c r="E109" s="1130" t="str">
        <f>'MSW24'!E109</f>
        <v/>
      </c>
      <c r="F109" s="1011"/>
    </row>
    <row r="110">
      <c r="A110" s="242">
        <f>'MSW24'!A110</f>
        <v>2</v>
      </c>
      <c r="B110" s="99">
        <f>'MSW24'!B110</f>
        <v>10</v>
      </c>
      <c r="C110" s="1067" t="str">
        <f>'MSW24'!C110</f>
        <v>10 - 15</v>
      </c>
      <c r="D110" s="968" t="str">
        <f>'MSW24'!D110</f>
        <v>1-2 MIN</v>
      </c>
      <c r="E110" s="1130" t="str">
        <f>'MSW24'!E110</f>
        <v/>
      </c>
      <c r="F110" s="1011"/>
    </row>
    <row r="111">
      <c r="A111" s="289">
        <f>'MSW24'!A111</f>
        <v>3</v>
      </c>
      <c r="B111" s="101">
        <f>'MSW24'!B111</f>
        <v>10</v>
      </c>
      <c r="C111" s="1220" t="str">
        <f>'MSW24'!C111</f>
        <v>10 - 15</v>
      </c>
      <c r="D111" s="972" t="str">
        <f>'MSW24'!D111</f>
        <v>1-2 MIN</v>
      </c>
      <c r="E111" s="1348" t="str">
        <f>'MSW24'!E111</f>
        <v/>
      </c>
      <c r="F111" s="1017" t="str">
        <f>'MSW24'!F111</f>
        <v/>
      </c>
    </row>
    <row r="112">
      <c r="A112" s="1068" t="str">
        <f>'MSW24'!A112</f>
        <v/>
      </c>
    </row>
    <row r="114">
      <c r="A114" s="1070" t="str">
        <f>'MSW24'!A114</f>
        <v>3. DUMBBELL SIDE LATERAL RAISE</v>
      </c>
      <c r="B114" s="13"/>
      <c r="C114" s="13"/>
      <c r="D114" s="13"/>
      <c r="E114" s="13"/>
      <c r="F114" s="57"/>
    </row>
    <row r="115">
      <c r="A115" s="226" t="str">
        <f>'MSW24'!A115</f>
        <v>SHLDR PRSS MAX</v>
      </c>
      <c r="B115" s="76">
        <f>'MSW24'!B115</f>
        <v>10</v>
      </c>
      <c r="C115" s="13"/>
      <c r="D115" s="13"/>
      <c r="E115" s="13"/>
      <c r="F115" s="57"/>
    </row>
    <row r="116">
      <c r="A116" s="1071" t="str">
        <f>'MSW24'!A116</f>
        <v>SET</v>
      </c>
      <c r="B116" s="1072" t="str">
        <f>'MSW24'!B116</f>
        <v>WEIGHT</v>
      </c>
      <c r="C116" s="1072" t="str">
        <f>'MSW24'!C116</f>
        <v>REPS</v>
      </c>
      <c r="D116" s="1072" t="str">
        <f>'MSW24'!D116</f>
        <v>REST</v>
      </c>
      <c r="E116" s="1499" t="str">
        <f>'MSW24'!E116</f>
        <v>PREVIOUS</v>
      </c>
      <c r="F116" s="1006" t="str">
        <f>'MSW24'!F116</f>
        <v>REP LOG</v>
      </c>
    </row>
    <row r="117">
      <c r="A117" s="1074">
        <f>'MSW24'!A117</f>
        <v>1</v>
      </c>
      <c r="B117" s="968">
        <f>'MSW24'!B117</f>
        <v>0</v>
      </c>
      <c r="C117" s="1075" t="str">
        <f>'MSW24'!C117</f>
        <v>10 - 15</v>
      </c>
      <c r="D117" s="1500" t="str">
        <f>'MSW24'!D117</f>
        <v>1 MIN</v>
      </c>
      <c r="E117" s="1424" t="str">
        <f>'MSW24'!E117</f>
        <v/>
      </c>
      <c r="F117" s="1011"/>
    </row>
    <row r="118">
      <c r="A118" s="1074">
        <f>'MSW24'!A118</f>
        <v>2</v>
      </c>
      <c r="B118" s="968">
        <f>'MSW24'!B118</f>
        <v>2.5</v>
      </c>
      <c r="C118" s="1075" t="str">
        <f>'MSW24'!C118</f>
        <v>10 - 15</v>
      </c>
      <c r="D118" s="1500" t="str">
        <f>'MSW24'!D118</f>
        <v>1 MIN</v>
      </c>
      <c r="E118" s="1424" t="str">
        <f>'MSW24'!E118</f>
        <v/>
      </c>
      <c r="F118" s="1011"/>
    </row>
    <row r="119">
      <c r="A119" s="1078">
        <f>'MSW24'!A119</f>
        <v>3</v>
      </c>
      <c r="B119" s="972">
        <f>'MSW24'!B119</f>
        <v>0</v>
      </c>
      <c r="C119" s="1079" t="str">
        <f>'MSW24'!C119</f>
        <v>10 - 15</v>
      </c>
      <c r="D119" s="1501" t="str">
        <f>'MSW24'!D119</f>
        <v>1 MIN</v>
      </c>
      <c r="E119" s="1502" t="str">
        <f>'MSW24'!E119</f>
        <v/>
      </c>
      <c r="F119" s="1017" t="str">
        <f>'MSW24'!F119</f>
        <v/>
      </c>
    </row>
    <row r="120">
      <c r="A120" t="str">
        <f>'MSW24'!A120</f>
        <v/>
      </c>
    </row>
    <row r="122">
      <c r="A122" s="1295" t="str">
        <f>'MSW24'!A122</f>
        <v>3. DUMBBELL TRICEP EXTENSIONS</v>
      </c>
      <c r="B122" s="53"/>
      <c r="C122" s="53"/>
      <c r="D122" s="53"/>
      <c r="E122" s="53"/>
      <c r="F122" s="54"/>
    </row>
    <row r="123">
      <c r="A123" s="1268" t="str">
        <f>'MSW24'!A123</f>
        <v>CURRENT MAX</v>
      </c>
      <c r="B123" s="1367">
        <f>'MSW24'!B123</f>
        <v>30</v>
      </c>
      <c r="C123" s="20"/>
      <c r="D123" s="20"/>
      <c r="E123" s="20"/>
      <c r="F123" s="95"/>
    </row>
    <row r="124">
      <c r="A124" s="1071" t="str">
        <f>'MSW24'!A124</f>
        <v>SET</v>
      </c>
      <c r="B124" s="1072" t="str">
        <f>'MSW24'!B124</f>
        <v>WEIGHT</v>
      </c>
      <c r="C124" s="1072" t="str">
        <f>'MSW24'!C124</f>
        <v>REPS</v>
      </c>
      <c r="D124" s="1072" t="str">
        <f>'MSW24'!D124</f>
        <v>REST</v>
      </c>
      <c r="E124" s="1073" t="str">
        <f>'MSW24'!E124</f>
        <v>PREVIOUS</v>
      </c>
      <c r="F124" s="1006" t="str">
        <f>'MSW24'!F124</f>
        <v>REP LOG</v>
      </c>
    </row>
    <row r="125">
      <c r="A125" s="1074">
        <f>'MSW24'!A125</f>
        <v>1</v>
      </c>
      <c r="B125" s="968">
        <f>'MSW24'!B125</f>
        <v>30</v>
      </c>
      <c r="C125" s="1075" t="str">
        <f>'MSW24'!C125</f>
        <v>5 - 15</v>
      </c>
      <c r="D125" s="1076" t="str">
        <f>'MSW24'!D125</f>
        <v>1 MIN</v>
      </c>
      <c r="E125" s="1235" t="str">
        <f>'MSW24'!E125</f>
        <v/>
      </c>
      <c r="F125" s="1017" t="str">
        <f>'MSW24'!F125</f>
        <v/>
      </c>
    </row>
    <row r="126">
      <c r="A126" s="1074">
        <f>'MSW24'!A126</f>
        <v>2</v>
      </c>
      <c r="B126" s="968">
        <f>'MSW24'!B126</f>
        <v>27.5</v>
      </c>
      <c r="C126" s="1075" t="str">
        <f>'MSW24'!C126</f>
        <v>5 - 15</v>
      </c>
      <c r="D126" s="1076" t="str">
        <f>'MSW24'!D126</f>
        <v>1 MIN</v>
      </c>
      <c r="E126" s="1235" t="str">
        <f>'MSW24'!E126</f>
        <v/>
      </c>
      <c r="F126" s="1017" t="str">
        <f>'MSW24'!F126</f>
        <v/>
      </c>
    </row>
    <row r="127">
      <c r="A127" s="1078">
        <f>'MSW24'!A127</f>
        <v>3</v>
      </c>
      <c r="B127" s="972">
        <f>'MSW24'!B127</f>
        <v>25</v>
      </c>
      <c r="C127" s="1079" t="str">
        <f>'MSW24'!C127</f>
        <v>5 - 15</v>
      </c>
      <c r="D127" s="1080" t="str">
        <f>'MSW24'!D127</f>
        <v>1 MIN</v>
      </c>
      <c r="E127" s="1271" t="str">
        <f>'MSW24'!E127</f>
        <v/>
      </c>
      <c r="F127" s="1017" t="str">
        <f>'MSW24'!F127</f>
        <v/>
      </c>
    </row>
    <row r="128">
      <c r="A128" t="str">
        <f>'MSW24'!A128</f>
        <v/>
      </c>
    </row>
    <row r="130">
      <c r="A130" s="113" t="str">
        <f>'MSW24'!A130</f>
        <v>5. ALTERNATING BICEP CURLS </v>
      </c>
      <c r="B130" s="53"/>
      <c r="C130" s="53"/>
      <c r="D130" s="53"/>
      <c r="E130" s="53"/>
      <c r="F130" s="54"/>
    </row>
    <row r="131">
      <c r="A131" s="226" t="str">
        <f>'MSW24'!A131</f>
        <v>CURRENT MAX</v>
      </c>
      <c r="B131" s="839">
        <f>'MSW24'!B131</f>
        <v>25</v>
      </c>
      <c r="F131" s="28"/>
    </row>
    <row r="132">
      <c r="A132" s="77" t="str">
        <f>'MSW24'!A132</f>
        <v>SET</v>
      </c>
      <c r="B132" s="78" t="str">
        <f>'MSW24'!B132</f>
        <v>WEIGHT</v>
      </c>
      <c r="C132" s="78" t="str">
        <f>'MSW24'!C132</f>
        <v>REPS</v>
      </c>
      <c r="D132" s="78" t="str">
        <f>'MSW24'!D132</f>
        <v>REST</v>
      </c>
      <c r="E132" s="80" t="str">
        <f>'MSW24'!E132</f>
        <v>PREVIOUS</v>
      </c>
      <c r="F132" s="235" t="str">
        <f>'MSW24'!F132</f>
        <v>REP LOG</v>
      </c>
    </row>
    <row r="133">
      <c r="A133" s="81">
        <f>'MSW24'!A133</f>
        <v>1</v>
      </c>
      <c r="B133" s="82">
        <f>'MSW24'!B133</f>
        <v>25</v>
      </c>
      <c r="C133" s="65" t="str">
        <f>'MSW24'!C133</f>
        <v>10 - 15</v>
      </c>
      <c r="D133" s="83" t="str">
        <f>'MSW24'!D133</f>
        <v>1MIN</v>
      </c>
      <c r="E133" s="84" t="str">
        <f>'MSW24'!E133</f>
        <v/>
      </c>
      <c r="F133" s="85" t="str">
        <f>'MSW24'!F133</f>
        <v/>
      </c>
    </row>
    <row r="134">
      <c r="A134" s="81">
        <f>'MSW24'!A134</f>
        <v>2</v>
      </c>
      <c r="B134" s="82">
        <f>'MSW24'!B134</f>
        <v>20</v>
      </c>
      <c r="C134" s="65" t="str">
        <f>'MSW24'!C134</f>
        <v>10 - 15</v>
      </c>
      <c r="D134" s="83" t="str">
        <f>'MSW24'!D134</f>
        <v>1MIN</v>
      </c>
      <c r="E134" s="84" t="str">
        <f>'MSW24'!E134</f>
        <v/>
      </c>
      <c r="F134" s="85" t="str">
        <f>'MSW24'!F134</f>
        <v/>
      </c>
    </row>
    <row r="135">
      <c r="A135" s="629">
        <f>'MSW24'!A135</f>
        <v>3</v>
      </c>
      <c r="B135" s="630">
        <f>'MSW24'!B135</f>
        <v>15</v>
      </c>
      <c r="C135" s="631" t="str">
        <f>'MSW24'!C135</f>
        <v>10 - 15</v>
      </c>
      <c r="D135" s="328" t="str">
        <f>'MSW24'!D135</f>
        <v>1MIN</v>
      </c>
      <c r="E135" s="84" t="str">
        <f>'MSW24'!E135</f>
        <v/>
      </c>
      <c r="F135" s="330" t="str">
        <f>'MSW24'!F135</f>
        <v/>
      </c>
    </row>
    <row r="136">
      <c r="A136" s="633" t="str">
        <f>'MSW24'!A136</f>
        <v/>
      </c>
      <c r="B136" s="25"/>
      <c r="C136" s="25"/>
      <c r="D136" s="25"/>
      <c r="E136" s="25"/>
      <c r="F136" s="25"/>
    </row>
    <row r="138">
      <c r="A138" s="310" t="str">
        <f>'MSW24'!A138</f>
        <v>CLICK TO COMPLETE WORKOUT</v>
      </c>
      <c r="B138" s="36"/>
      <c r="C138" s="36"/>
      <c r="D138" s="36"/>
      <c r="E138" s="36"/>
      <c r="F138" s="37"/>
    </row>
    <row r="139">
      <c r="A139" s="598" t="str">
        <f>'MSW24'!A139</f>
        <v/>
      </c>
    </row>
    <row r="140">
      <c r="A140" s="639" t="str">
        <f>'MSW24'!A140</f>
        <v>WORKOUT COMPLETE!</v>
      </c>
      <c r="B140" s="36"/>
      <c r="C140" s="36"/>
      <c r="D140" s="36"/>
      <c r="E140" s="36"/>
      <c r="F140" s="37"/>
    </row>
    <row r="141">
      <c r="A141" s="883" t="str">
        <f>'MSW24'!A141</f>
        <v/>
      </c>
    </row>
    <row r="142">
      <c r="A142" s="884" t="str">
        <f>'MSW24'!A142</f>
        <v>WANT TO LEARN MORE?</v>
      </c>
      <c r="B142" s="16"/>
      <c r="C142" s="16"/>
      <c r="D142" s="16"/>
      <c r="E142" s="16"/>
      <c r="F142" s="17"/>
    </row>
    <row r="143">
      <c r="A143" s="18"/>
      <c r="B143" s="13"/>
      <c r="C143" s="13"/>
      <c r="D143" s="13"/>
      <c r="E143" s="13"/>
      <c r="F143" s="14"/>
    </row>
    <row r="144">
      <c r="A144" s="885" t="str">
        <f>'MSW24'!A144</f>
        <v/>
      </c>
      <c r="B144" s="886" t="str">
        <f>'MSW24'!B144</f>
        <v/>
      </c>
      <c r="C144" s="644" t="str">
        <f>'MSW24'!C144</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44" s="25"/>
      <c r="E144" s="25"/>
      <c r="F144" s="26"/>
    </row>
    <row r="145">
      <c r="A145" s="887" t="str">
        <f>'MSW24'!A145</f>
        <v/>
      </c>
      <c r="B145" s="888" t="str">
        <f>'MSW24'!B145</f>
        <v/>
      </c>
      <c r="C145" s="529"/>
      <c r="F145" s="28"/>
    </row>
    <row r="146">
      <c r="A146" s="887" t="str">
        <f>'MSW24'!A146</f>
        <v/>
      </c>
      <c r="B146" s="888" t="str">
        <f>'MSW24'!B146</f>
        <v/>
      </c>
      <c r="C146" s="529"/>
      <c r="F146" s="28"/>
    </row>
    <row r="147">
      <c r="A147" s="887" t="str">
        <f>'MSW24'!A147</f>
        <v/>
      </c>
      <c r="B147" s="888" t="str">
        <f>'MSW24'!B147</f>
        <v/>
      </c>
      <c r="C147" s="529"/>
      <c r="F147" s="28"/>
    </row>
    <row r="148">
      <c r="A148" s="887" t="str">
        <f>'MSW24'!A148</f>
        <v/>
      </c>
      <c r="B148" s="888" t="str">
        <f>'MSW24'!B148</f>
        <v/>
      </c>
      <c r="C148" s="529"/>
      <c r="F148" s="28"/>
    </row>
    <row r="149">
      <c r="A149" s="887" t="str">
        <f>'MSW24'!A149</f>
        <v/>
      </c>
      <c r="B149" s="888" t="str">
        <f>'MSW24'!B149</f>
        <v/>
      </c>
      <c r="C149" s="529"/>
      <c r="F149" s="28"/>
    </row>
    <row r="150">
      <c r="A150" s="889" t="str">
        <f>'MSW24'!A150</f>
        <v/>
      </c>
      <c r="B150" s="888" t="str">
        <f>'MSW24'!B150</f>
        <v/>
      </c>
      <c r="C150" s="529"/>
      <c r="F150" s="28"/>
    </row>
    <row r="151">
      <c r="A151" s="887" t="str">
        <f>'MSW24'!A151</f>
        <v/>
      </c>
      <c r="B151" s="888" t="str">
        <f>'MSW24'!B151</f>
        <v/>
      </c>
      <c r="C151" s="529"/>
      <c r="F151" s="28"/>
    </row>
    <row r="152">
      <c r="A152" s="887" t="str">
        <f>'MSW24'!A152</f>
        <v/>
      </c>
      <c r="B152" s="888" t="str">
        <f>'MSW24'!B152</f>
        <v/>
      </c>
      <c r="C152" s="529"/>
      <c r="F152" s="28"/>
    </row>
    <row r="153">
      <c r="A153" s="890" t="str">
        <f>'MSW24'!A153</f>
        <v/>
      </c>
      <c r="B153" s="888" t="str">
        <f>'MSW24'!B153</f>
        <v/>
      </c>
      <c r="C153" s="529"/>
      <c r="F153" s="28"/>
    </row>
    <row r="154">
      <c r="A154" s="887" t="str">
        <f>'MSW24'!A154</f>
        <v/>
      </c>
      <c r="B154" s="888" t="str">
        <f>'MSW24'!B154</f>
        <v/>
      </c>
      <c r="C154" s="529"/>
      <c r="F154" s="28"/>
    </row>
    <row r="155">
      <c r="A155" s="887" t="str">
        <f>'MSW24'!A155</f>
        <v/>
      </c>
      <c r="B155" s="888" t="str">
        <f>'MSW24'!B155</f>
        <v/>
      </c>
      <c r="C155" s="529"/>
      <c r="F155" s="28"/>
    </row>
    <row r="156">
      <c r="A156" s="887" t="str">
        <f>'MSW24'!A156</f>
        <v/>
      </c>
      <c r="B156" s="888" t="str">
        <f>'MSW24'!B156</f>
        <v/>
      </c>
      <c r="C156" s="529"/>
      <c r="F156" s="28"/>
    </row>
    <row r="157">
      <c r="A157" s="887" t="str">
        <f>'MSW24'!A157</f>
        <v/>
      </c>
      <c r="B157" s="888" t="str">
        <f>'MSW24'!B157</f>
        <v/>
      </c>
      <c r="C157" s="529"/>
      <c r="F157" s="28"/>
    </row>
    <row r="158">
      <c r="A158" s="891" t="str">
        <f>'MSW24'!A158</f>
        <v/>
      </c>
      <c r="B158" s="892" t="str">
        <f>'MSW24'!B158</f>
        <v/>
      </c>
      <c r="C158" s="336"/>
      <c r="D158" s="11"/>
      <c r="E158" s="11"/>
      <c r="F158" s="46"/>
    </row>
    <row r="159">
      <c r="A159" t="str">
        <f>'MSW24'!A159</f>
        <v/>
      </c>
    </row>
  </sheetData>
  <mergeCells count="92">
    <mergeCell ref="A76:F76"/>
    <mergeCell ref="B77:F77"/>
    <mergeCell ref="A56:F56"/>
    <mergeCell ref="A57:F57"/>
    <mergeCell ref="A58:F59"/>
    <mergeCell ref="A60:F60"/>
    <mergeCell ref="B61:F61"/>
    <mergeCell ref="B73:F73"/>
    <mergeCell ref="A74:F75"/>
    <mergeCell ref="A12:F12"/>
    <mergeCell ref="A13:F13"/>
    <mergeCell ref="A15:F15"/>
    <mergeCell ref="A25:F25"/>
    <mergeCell ref="H12:M14"/>
    <mergeCell ref="H15:M15"/>
    <mergeCell ref="G18:G24"/>
    <mergeCell ref="H18:M18"/>
    <mergeCell ref="H19:M19"/>
    <mergeCell ref="I20:M20"/>
    <mergeCell ref="H25:M25"/>
    <mergeCell ref="A16:M17"/>
    <mergeCell ref="A18:F18"/>
    <mergeCell ref="A19:F19"/>
    <mergeCell ref="B20:F20"/>
    <mergeCell ref="A1:M8"/>
    <mergeCell ref="A9:F9"/>
    <mergeCell ref="G9:G14"/>
    <mergeCell ref="H9:M9"/>
    <mergeCell ref="A10:F11"/>
    <mergeCell ref="H10:M10"/>
    <mergeCell ref="A14:F14"/>
    <mergeCell ref="G25:G27"/>
    <mergeCell ref="G28:G29"/>
    <mergeCell ref="A30:M31"/>
    <mergeCell ref="A32:F32"/>
    <mergeCell ref="G32:G36"/>
    <mergeCell ref="H32:M32"/>
    <mergeCell ref="B33:F33"/>
    <mergeCell ref="I33:M33"/>
    <mergeCell ref="A37:M38"/>
    <mergeCell ref="A39:F39"/>
    <mergeCell ref="B40:C40"/>
    <mergeCell ref="D40:F40"/>
    <mergeCell ref="A42:A43"/>
    <mergeCell ref="A44:F44"/>
    <mergeCell ref="A45:A46"/>
    <mergeCell ref="A47:F47"/>
    <mergeCell ref="A48:A49"/>
    <mergeCell ref="A50:F50"/>
    <mergeCell ref="A51:A52"/>
    <mergeCell ref="A53:F54"/>
    <mergeCell ref="A55:F55"/>
    <mergeCell ref="G39:M83"/>
    <mergeCell ref="H84:M84"/>
    <mergeCell ref="I85:M85"/>
    <mergeCell ref="H96:M96"/>
    <mergeCell ref="I97:M97"/>
    <mergeCell ref="B123:F123"/>
    <mergeCell ref="A128:F129"/>
    <mergeCell ref="C144:F158"/>
    <mergeCell ref="A159:F159"/>
    <mergeCell ref="A104:M105"/>
    <mergeCell ref="A106:F106"/>
    <mergeCell ref="G106:M159"/>
    <mergeCell ref="B107:F107"/>
    <mergeCell ref="A112:F113"/>
    <mergeCell ref="A114:F114"/>
    <mergeCell ref="B115:F115"/>
    <mergeCell ref="A82:F83"/>
    <mergeCell ref="A84:F84"/>
    <mergeCell ref="G84:G86"/>
    <mergeCell ref="B85:F85"/>
    <mergeCell ref="G87:G88"/>
    <mergeCell ref="A90:M91"/>
    <mergeCell ref="A92:F92"/>
    <mergeCell ref="G92:M92"/>
    <mergeCell ref="A93:M94"/>
    <mergeCell ref="A95:F95"/>
    <mergeCell ref="G95:G103"/>
    <mergeCell ref="H95:M95"/>
    <mergeCell ref="A96:F96"/>
    <mergeCell ref="B97:F97"/>
    <mergeCell ref="A120:F121"/>
    <mergeCell ref="A122:F122"/>
    <mergeCell ref="A130:F130"/>
    <mergeCell ref="B131:F131"/>
    <mergeCell ref="A136:F137"/>
    <mergeCell ref="A138:F138"/>
    <mergeCell ref="A139:F139"/>
    <mergeCell ref="A140:F140"/>
    <mergeCell ref="A141:F141"/>
    <mergeCell ref="A142:F143"/>
  </mergeCells>
  <dataValidations>
    <dataValidation type="decimal" allowBlank="1" showDropDown="1" showInputMessage="1" showErrorMessage="1" prompt="Enter a number between 0 and 30" sqref="F21:F24 M21:M24 F26:F29 M26:M29 F34:F36 M34:M36 F41:F43 F45:F46 F48:F49 F51:F52 F62:F72 F78:F81 F86:F89 M86:M89 F98:F103 M98:M103 F108:F111 F116:F119 F124:F127 F132:F135">
      <formula1>0.0</formula1>
      <formula2>30.0</formula2>
    </dataValidation>
    <dataValidation type="decimal" operator="greaterThan" allowBlank="1" showDropDown="1" showErrorMessage="1" sqref="M11">
      <formula1>0.0</formula1>
    </dataValidation>
  </dataValidations>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9"/>
      <c r="B1" s="209"/>
      <c r="C1" s="209"/>
      <c r="D1" s="209"/>
      <c r="E1" s="210"/>
      <c r="F1" s="209"/>
      <c r="G1" s="211"/>
      <c r="H1" s="212"/>
      <c r="I1" s="212"/>
      <c r="J1" s="212"/>
      <c r="K1" s="212"/>
      <c r="L1" s="213"/>
      <c r="M1" s="103"/>
      <c r="N1" s="103"/>
      <c r="O1" s="103"/>
      <c r="P1" s="103"/>
      <c r="Q1" s="103"/>
      <c r="R1" s="103"/>
      <c r="S1" s="103"/>
      <c r="T1" s="103"/>
    </row>
    <row r="2">
      <c r="A2" s="209"/>
      <c r="B2" s="209"/>
      <c r="C2" s="209"/>
      <c r="D2" s="209"/>
      <c r="E2" s="210"/>
      <c r="F2" s="209"/>
      <c r="G2" s="214"/>
      <c r="H2" s="212"/>
      <c r="I2" s="212"/>
      <c r="J2" s="212"/>
      <c r="K2" s="212"/>
      <c r="L2" s="213"/>
      <c r="M2" s="103"/>
      <c r="N2" s="103"/>
      <c r="O2" s="103"/>
      <c r="P2" s="103"/>
      <c r="Q2" s="103"/>
      <c r="R2" s="103"/>
      <c r="S2" s="103"/>
      <c r="T2" s="103"/>
    </row>
    <row r="3">
      <c r="A3" s="209"/>
      <c r="B3" s="209"/>
      <c r="C3" s="209"/>
      <c r="D3" s="209"/>
      <c r="E3" s="210"/>
      <c r="F3" s="209"/>
      <c r="G3" s="215"/>
      <c r="H3" s="212"/>
      <c r="I3" s="212"/>
      <c r="J3" s="212"/>
      <c r="K3" s="212"/>
      <c r="L3" s="213"/>
      <c r="M3" s="103"/>
      <c r="N3" s="103"/>
      <c r="O3" s="103"/>
      <c r="P3" s="103"/>
      <c r="Q3" s="103"/>
      <c r="R3" s="103"/>
      <c r="S3" s="103"/>
      <c r="T3" s="103"/>
    </row>
    <row r="4">
      <c r="A4" s="209"/>
      <c r="B4" s="209"/>
      <c r="C4" s="209"/>
      <c r="D4" s="209"/>
      <c r="E4" s="210"/>
      <c r="F4" s="209"/>
      <c r="G4" s="215"/>
      <c r="H4" s="212"/>
      <c r="I4" s="212"/>
      <c r="J4" s="212"/>
      <c r="K4" s="212"/>
      <c r="L4" s="213"/>
      <c r="M4" s="103"/>
      <c r="N4" s="103"/>
      <c r="O4" s="103"/>
      <c r="P4" s="103"/>
      <c r="Q4" s="103"/>
      <c r="R4" s="103"/>
      <c r="S4" s="103"/>
      <c r="T4" s="103"/>
    </row>
    <row r="5">
      <c r="A5" s="209"/>
      <c r="B5" s="209"/>
      <c r="C5" s="209"/>
      <c r="D5" s="209"/>
      <c r="E5" s="210"/>
      <c r="F5" s="209"/>
      <c r="G5" s="215"/>
      <c r="H5" s="216"/>
      <c r="I5" s="217"/>
      <c r="J5" s="212"/>
      <c r="K5" s="212"/>
      <c r="L5" s="213"/>
      <c r="M5" s="103"/>
      <c r="N5" s="103"/>
      <c r="O5" s="103"/>
      <c r="P5" s="103"/>
      <c r="Q5" s="103"/>
      <c r="R5" s="103"/>
      <c r="S5" s="103"/>
      <c r="T5" s="103"/>
    </row>
    <row r="6">
      <c r="A6" s="209"/>
      <c r="B6" s="209"/>
      <c r="C6" s="209"/>
      <c r="D6" s="209"/>
      <c r="E6" s="210"/>
      <c r="F6" s="209"/>
      <c r="G6" s="215"/>
      <c r="H6" s="212"/>
      <c r="I6" s="212"/>
      <c r="J6" s="212"/>
      <c r="K6" s="212"/>
      <c r="L6" s="213"/>
      <c r="M6" s="103"/>
      <c r="N6" s="103"/>
      <c r="O6" s="103"/>
      <c r="P6" s="103"/>
      <c r="Q6" s="103"/>
      <c r="R6" s="103"/>
      <c r="S6" s="103"/>
      <c r="T6" s="103"/>
    </row>
    <row r="7">
      <c r="A7" s="209"/>
      <c r="B7" s="209"/>
      <c r="C7" s="209"/>
      <c r="D7" s="209"/>
      <c r="E7" s="210"/>
      <c r="F7" s="209"/>
      <c r="G7" s="215"/>
      <c r="H7" s="212"/>
      <c r="I7" s="212"/>
      <c r="J7" s="212"/>
      <c r="K7" s="212"/>
      <c r="L7" s="213"/>
      <c r="M7" s="103"/>
      <c r="N7" s="103"/>
      <c r="O7" s="103"/>
      <c r="P7" s="103"/>
      <c r="Q7" s="103"/>
      <c r="R7" s="103"/>
      <c r="S7" s="103"/>
      <c r="T7" s="103"/>
    </row>
    <row r="8">
      <c r="A8" s="209"/>
      <c r="G8" s="215"/>
      <c r="H8" s="212"/>
      <c r="I8" s="212"/>
      <c r="J8" s="212"/>
      <c r="K8" s="212"/>
      <c r="L8" s="213"/>
      <c r="M8" s="103"/>
      <c r="N8" s="103"/>
      <c r="O8" s="103"/>
      <c r="P8" s="103"/>
      <c r="Q8" s="103"/>
      <c r="R8" s="103"/>
      <c r="S8" s="103"/>
      <c r="T8" s="103"/>
    </row>
    <row r="9">
      <c r="A9" s="218" t="s">
        <v>301</v>
      </c>
      <c r="B9" s="20"/>
      <c r="C9" s="20"/>
      <c r="D9" s="20"/>
      <c r="E9" s="20"/>
      <c r="F9" s="21"/>
      <c r="G9" s="103"/>
      <c r="H9" s="24" t="s">
        <v>35</v>
      </c>
      <c r="I9" s="25"/>
      <c r="J9" s="25"/>
      <c r="K9" s="25"/>
      <c r="L9" s="25"/>
      <c r="M9" s="26"/>
      <c r="N9" s="103"/>
      <c r="O9" s="103"/>
      <c r="P9" s="103"/>
      <c r="Q9" s="103"/>
      <c r="R9" s="103"/>
      <c r="S9" s="103"/>
      <c r="T9" s="103"/>
    </row>
    <row r="10">
      <c r="A10" s="15" t="str">
        <f>HYPERLINK("https://goo.gl/forms/3ibooB993Hi7SS2d2","PRESS TO RECORD BODY WEIGHT")</f>
        <v>PRESS TO RECORD BODY WEIGHT</v>
      </c>
      <c r="B10" s="16"/>
      <c r="C10" s="16"/>
      <c r="D10" s="16"/>
      <c r="E10" s="16"/>
      <c r="F10" s="17"/>
      <c r="G10" s="103"/>
      <c r="H10" s="147" t="s">
        <v>302</v>
      </c>
      <c r="M10" s="28"/>
      <c r="N10" s="103"/>
      <c r="O10" s="103"/>
      <c r="P10" s="103"/>
      <c r="Q10" s="103"/>
      <c r="R10" s="103"/>
      <c r="S10" s="103"/>
      <c r="T10" s="103"/>
    </row>
    <row r="11">
      <c r="A11" s="18"/>
      <c r="B11" s="13"/>
      <c r="C11" s="13"/>
      <c r="D11" s="13"/>
      <c r="E11" s="13"/>
      <c r="F11" s="14"/>
      <c r="G11" s="103"/>
      <c r="H11" s="29" t="s">
        <v>303</v>
      </c>
      <c r="I11" s="30"/>
      <c r="J11" s="30"/>
      <c r="K11" s="30"/>
      <c r="L11" s="30"/>
      <c r="M11" s="31"/>
      <c r="N11" s="103"/>
      <c r="O11" s="103"/>
      <c r="P11" s="103"/>
      <c r="Q11" s="103"/>
      <c r="R11" s="103"/>
      <c r="S11" s="103"/>
      <c r="T11" s="103"/>
    </row>
    <row r="12">
      <c r="A12" s="19" t="s">
        <v>69</v>
      </c>
      <c r="B12" s="20"/>
      <c r="C12" s="20"/>
      <c r="D12" s="20"/>
      <c r="E12" s="20"/>
      <c r="F12" s="21"/>
      <c r="G12" s="103"/>
      <c r="H12" s="219"/>
      <c r="I12" s="220"/>
      <c r="J12" s="221"/>
      <c r="K12" s="219"/>
      <c r="L12" s="222"/>
      <c r="M12" s="103"/>
      <c r="N12" s="103"/>
      <c r="O12" s="103"/>
      <c r="P12" s="103"/>
      <c r="Q12" s="103"/>
      <c r="R12" s="103"/>
      <c r="S12" s="103"/>
      <c r="T12" s="103"/>
    </row>
    <row r="13">
      <c r="A13" s="22" t="s">
        <v>117</v>
      </c>
      <c r="B13" s="20"/>
      <c r="C13" s="20"/>
      <c r="D13" s="20"/>
      <c r="E13" s="20"/>
      <c r="F13" s="21"/>
      <c r="G13" s="103"/>
      <c r="H13" s="103"/>
      <c r="I13" s="103"/>
      <c r="J13" s="103"/>
      <c r="K13" s="103"/>
      <c r="L13" s="222"/>
      <c r="M13" s="103"/>
      <c r="N13" s="103"/>
      <c r="O13" s="103"/>
      <c r="P13" s="103"/>
      <c r="Q13" s="103"/>
      <c r="R13" s="103"/>
      <c r="S13" s="103"/>
      <c r="T13" s="103"/>
    </row>
    <row r="14">
      <c r="A14" s="219"/>
      <c r="B14" s="219"/>
      <c r="C14" s="219"/>
      <c r="D14" s="219"/>
      <c r="E14" s="223"/>
      <c r="F14" s="103"/>
      <c r="G14" s="103"/>
      <c r="H14" s="219"/>
      <c r="I14" s="219"/>
      <c r="J14" s="219"/>
      <c r="K14" s="103"/>
      <c r="L14" s="222"/>
      <c r="M14" s="103"/>
      <c r="N14" s="103"/>
      <c r="O14" s="103"/>
      <c r="P14" s="103"/>
      <c r="Q14" s="103"/>
      <c r="R14" s="103"/>
      <c r="S14" s="103"/>
      <c r="T14" s="103"/>
    </row>
    <row r="15">
      <c r="A15" s="50" t="s">
        <v>47</v>
      </c>
      <c r="B15" s="36"/>
      <c r="C15" s="36"/>
      <c r="D15" s="36"/>
      <c r="E15" s="36"/>
      <c r="F15" s="37"/>
      <c r="G15" s="103"/>
      <c r="H15" s="224" t="s">
        <v>118</v>
      </c>
      <c r="I15" s="36"/>
      <c r="J15" s="36"/>
      <c r="K15" s="36"/>
      <c r="L15" s="36"/>
      <c r="M15" s="37"/>
      <c r="N15" s="103"/>
      <c r="O15" s="224" t="s">
        <v>118</v>
      </c>
      <c r="P15" s="36"/>
      <c r="Q15" s="36"/>
      <c r="R15" s="36"/>
      <c r="S15" s="36"/>
      <c r="T15" s="37"/>
    </row>
    <row r="16">
      <c r="A16" s="219"/>
      <c r="B16" s="219"/>
      <c r="C16" s="219"/>
      <c r="D16" s="219"/>
      <c r="E16" s="223"/>
      <c r="F16" s="103"/>
      <c r="G16" s="103"/>
      <c r="H16" s="219"/>
      <c r="I16" s="219"/>
      <c r="J16" s="219"/>
      <c r="K16" s="103"/>
      <c r="L16" s="222"/>
      <c r="M16" s="103"/>
      <c r="N16" s="103"/>
      <c r="O16" s="103"/>
      <c r="P16" s="103"/>
      <c r="Q16" s="103"/>
      <c r="R16" s="103"/>
      <c r="S16" s="103"/>
      <c r="T16" s="103"/>
    </row>
    <row r="17">
      <c r="A17" s="219"/>
      <c r="B17" s="219"/>
      <c r="C17" s="219"/>
      <c r="D17" s="219"/>
      <c r="E17" s="223"/>
      <c r="F17" s="103"/>
      <c r="G17" s="103"/>
      <c r="H17" s="219"/>
      <c r="I17" s="219"/>
      <c r="J17" s="219"/>
      <c r="K17" s="103"/>
      <c r="L17" s="222"/>
      <c r="M17" s="103"/>
      <c r="N17" s="103"/>
      <c r="O17" s="103"/>
      <c r="P17" s="103"/>
      <c r="Q17" s="103"/>
      <c r="R17" s="103"/>
      <c r="S17" s="103"/>
      <c r="T17" s="103"/>
    </row>
    <row r="18">
      <c r="A18" s="51" t="s">
        <v>48</v>
      </c>
      <c r="B18" s="36"/>
      <c r="C18" s="36"/>
      <c r="D18" s="36"/>
      <c r="E18" s="36"/>
      <c r="F18" s="37"/>
      <c r="G18" s="103"/>
      <c r="H18" s="51" t="s">
        <v>48</v>
      </c>
      <c r="I18" s="36"/>
      <c r="J18" s="36"/>
      <c r="K18" s="36"/>
      <c r="L18" s="36"/>
      <c r="M18" s="37"/>
      <c r="N18" s="103"/>
      <c r="O18" s="51" t="s">
        <v>48</v>
      </c>
      <c r="P18" s="36"/>
      <c r="Q18" s="36"/>
      <c r="R18" s="36"/>
      <c r="S18" s="36"/>
      <c r="T18" s="37"/>
    </row>
    <row r="19">
      <c r="A19" s="225" t="str">
        <f>HYPERLINK("https://www.youtube.com/watch?v=iLgUDezDMbU","1. BENCH PRESS")</f>
        <v>1. BENCH PRESS</v>
      </c>
      <c r="B19" s="13"/>
      <c r="C19" s="13"/>
      <c r="D19" s="13"/>
      <c r="E19" s="13"/>
      <c r="F19" s="57"/>
      <c r="G19" s="103"/>
      <c r="H19" s="225" t="str">
        <f>HYPERLINK("https://www.youtube.com/watch?v=75e_H9Vq_Lw","1. MACHINE PRESS")</f>
        <v>1. MACHINE PRESS</v>
      </c>
      <c r="I19" s="13"/>
      <c r="J19" s="13"/>
      <c r="K19" s="13"/>
      <c r="L19" s="13"/>
      <c r="M19" s="57"/>
      <c r="N19" s="103"/>
      <c r="O19" s="52" t="str">
        <f>HYPERLINK("https://youtu.be/ujVN-A0Z-ic","1. DUMBBELL INCLINE PRESS")</f>
        <v>1. DUMBBELL INCLINE PRESS</v>
      </c>
      <c r="P19" s="53"/>
      <c r="Q19" s="53"/>
      <c r="R19" s="53"/>
      <c r="S19" s="53"/>
      <c r="T19" s="54"/>
    </row>
    <row r="20">
      <c r="A20" s="226" t="s">
        <v>119</v>
      </c>
      <c r="B20" s="227" t="str">
        <f>'WEEK 24'!B20</f>
        <v/>
      </c>
      <c r="C20" s="20"/>
      <c r="D20" s="20"/>
      <c r="E20" s="20"/>
      <c r="F20" s="95"/>
      <c r="G20" s="103"/>
      <c r="H20" s="226" t="s">
        <v>119</v>
      </c>
      <c r="I20" s="227" t="str">
        <f>'WEEK 24'!I20</f>
        <v/>
      </c>
      <c r="J20" s="20"/>
      <c r="K20" s="20"/>
      <c r="L20" s="20"/>
      <c r="M20" s="95"/>
      <c r="N20" s="103"/>
      <c r="O20" s="228" t="s">
        <v>119</v>
      </c>
      <c r="P20" s="229" t="str">
        <f>if('WEEK 23'!B34="",'WEEK 23'!B21,'WEEK 23'!B34)</f>
        <v/>
      </c>
      <c r="Q20" s="16"/>
      <c r="R20" s="16"/>
      <c r="S20" s="16"/>
      <c r="T20" s="230"/>
    </row>
    <row r="21">
      <c r="A21" s="231" t="s">
        <v>50</v>
      </c>
      <c r="B21" s="232" t="s">
        <v>51</v>
      </c>
      <c r="C21" s="232" t="s">
        <v>52</v>
      </c>
      <c r="D21" s="232" t="s">
        <v>53</v>
      </c>
      <c r="E21" s="233" t="s">
        <v>54</v>
      </c>
      <c r="F21" s="61" t="s">
        <v>55</v>
      </c>
      <c r="G21" s="234"/>
      <c r="H21" s="231" t="s">
        <v>50</v>
      </c>
      <c r="I21" s="232" t="s">
        <v>51</v>
      </c>
      <c r="J21" s="232" t="s">
        <v>52</v>
      </c>
      <c r="K21" s="232" t="s">
        <v>53</v>
      </c>
      <c r="L21" s="233" t="s">
        <v>54</v>
      </c>
      <c r="M21" s="61" t="s">
        <v>55</v>
      </c>
      <c r="N21" s="234"/>
      <c r="O21" s="96" t="s">
        <v>50</v>
      </c>
      <c r="P21" s="97" t="s">
        <v>51</v>
      </c>
      <c r="Q21" s="97" t="s">
        <v>52</v>
      </c>
      <c r="R21" s="97" t="s">
        <v>53</v>
      </c>
      <c r="S21" s="98" t="s">
        <v>54</v>
      </c>
      <c r="T21" s="235" t="s">
        <v>55</v>
      </c>
    </row>
    <row r="22">
      <c r="A22" s="236">
        <v>1.0</v>
      </c>
      <c r="B22" s="237">
        <f>IF( 'WEEK 25'!B20&lt;125,45,mround('WEEK 25'!B20*0.35,5))</f>
        <v>90</v>
      </c>
      <c r="C22" s="237">
        <v>6.0</v>
      </c>
      <c r="D22" s="238" t="s">
        <v>120</v>
      </c>
      <c r="E22" s="66" t="str">
        <f>if('WEEK 25'!B22='MSW20'!B23,'MSW20'!F23,"")</f>
        <v/>
      </c>
      <c r="F22" s="67">
        <v>6.0</v>
      </c>
      <c r="G22" s="239"/>
      <c r="H22" s="236">
        <v>1.0</v>
      </c>
      <c r="I22" s="237">
        <f>mround('WEEK 25'!I20*0.35,5)</f>
        <v>0</v>
      </c>
      <c r="J22" s="237">
        <v>6.0</v>
      </c>
      <c r="K22" s="238" t="s">
        <v>120</v>
      </c>
      <c r="L22" s="66" t="str">
        <f>if('WEEK 25'!I22='MSW20'!P23,'MSW20'!M23,"")</f>
        <v/>
      </c>
      <c r="M22" s="67">
        <v>6.0</v>
      </c>
      <c r="N22" s="239"/>
      <c r="O22" s="240">
        <v>1.0</v>
      </c>
      <c r="P22" s="241">
        <f>mround('WEEK 25'!P20*0.35,5)</f>
        <v>0</v>
      </c>
      <c r="Q22" s="241">
        <v>6.0</v>
      </c>
      <c r="R22" s="83" t="s">
        <v>57</v>
      </c>
      <c r="S22" s="66">
        <f>if('WEEK 25'!P22='MSW20'!I23,'MSW20'!T23,"")</f>
        <v>6</v>
      </c>
      <c r="T22" s="85"/>
    </row>
    <row r="23">
      <c r="A23" s="236">
        <v>2.0</v>
      </c>
      <c r="B23" s="237">
        <f>mround('WEEK 25'!B20*0.8,5)</f>
        <v>210</v>
      </c>
      <c r="C23" s="237">
        <v>1.0</v>
      </c>
      <c r="D23" s="238" t="s">
        <v>121</v>
      </c>
      <c r="E23" s="66" t="str">
        <f>if('WEEK 25'!B23='MSW20'!B24,'MSW20'!F24,"")</f>
        <v/>
      </c>
      <c r="F23" s="67">
        <v>1.0</v>
      </c>
      <c r="G23" s="239"/>
      <c r="H23" s="236">
        <v>2.0</v>
      </c>
      <c r="I23" s="237">
        <f>mround('WEEK 25'!I20*0.65,5)</f>
        <v>0</v>
      </c>
      <c r="J23" s="237">
        <v>1.0</v>
      </c>
      <c r="K23" s="238" t="s">
        <v>121</v>
      </c>
      <c r="L23" s="66" t="str">
        <f>if('WEEK 25'!I23='MSW20'!P24,'MSW20'!M24,"")</f>
        <v/>
      </c>
      <c r="M23" s="67">
        <v>1.0</v>
      </c>
      <c r="N23" s="239"/>
      <c r="O23" s="240">
        <v>2.0</v>
      </c>
      <c r="P23" s="241">
        <f>mround('WEEK 25'!P20*0.65,5)</f>
        <v>0</v>
      </c>
      <c r="Q23" s="241">
        <v>1.0</v>
      </c>
      <c r="R23" s="83" t="s">
        <v>57</v>
      </c>
      <c r="S23" s="66">
        <f>if('WEEK 25'!P23='MSW20'!I24,'MSW20'!T24,"")</f>
        <v>1</v>
      </c>
      <c r="T23" s="85"/>
    </row>
    <row r="24">
      <c r="A24" s="242">
        <v>3.0</v>
      </c>
      <c r="B24" s="237">
        <f>mround('WEEK 25'!B20*0.9,5)</f>
        <v>235</v>
      </c>
      <c r="C24" s="82">
        <v>1.0</v>
      </c>
      <c r="D24" s="238" t="s">
        <v>121</v>
      </c>
      <c r="E24" s="66" t="str">
        <f>if('WEEK 25'!B24='MSW20'!B25,'MSW20'!F25,"")</f>
        <v/>
      </c>
      <c r="F24" s="67">
        <v>1.0</v>
      </c>
      <c r="G24" s="239"/>
      <c r="H24" s="242">
        <v>3.0</v>
      </c>
      <c r="I24" s="237">
        <f>mround('WEEK 25'!I20*0.9,5)</f>
        <v>0</v>
      </c>
      <c r="J24" s="82">
        <v>1.0</v>
      </c>
      <c r="K24" s="238" t="s">
        <v>121</v>
      </c>
      <c r="L24" s="66" t="str">
        <f>if('WEEK 25'!I24='MSW20'!P25,'MSW20'!M25,"")</f>
        <v/>
      </c>
      <c r="M24" s="67">
        <v>1.0</v>
      </c>
      <c r="N24" s="239"/>
      <c r="O24" s="240">
        <v>3.0</v>
      </c>
      <c r="P24" s="241">
        <f>mround('WEEK 25'!P20*0.85,5)</f>
        <v>0</v>
      </c>
      <c r="Q24" s="63">
        <v>1.0</v>
      </c>
      <c r="R24" s="83" t="s">
        <v>57</v>
      </c>
      <c r="S24" s="66">
        <f>if('WEEK 25'!P24='MSW20'!I25,'MSW20'!T25,"")</f>
        <v>1</v>
      </c>
      <c r="T24" s="85"/>
    </row>
    <row r="25">
      <c r="A25" s="243">
        <v>4.0</v>
      </c>
      <c r="B25" s="237">
        <f>'WEEK 25'!B20</f>
        <v>260</v>
      </c>
      <c r="C25" s="175">
        <v>1.0</v>
      </c>
      <c r="D25" s="238" t="s">
        <v>122</v>
      </c>
      <c r="E25" s="66" t="str">
        <f>if('WEEK 25'!B25='MSW20'!B26,'MSW20'!F26,"")</f>
        <v/>
      </c>
      <c r="F25" s="67">
        <v>1.0</v>
      </c>
      <c r="G25" s="239"/>
      <c r="H25" s="243">
        <v>4.0</v>
      </c>
      <c r="I25" s="237" t="str">
        <f>'WEEK 25'!I20</f>
        <v/>
      </c>
      <c r="J25" s="175">
        <v>1.0</v>
      </c>
      <c r="K25" s="238" t="s">
        <v>122</v>
      </c>
      <c r="L25" s="66" t="str">
        <f>if('WEEK 25'!I25='MSW20'!P26,'MSW20'!M26,"")</f>
        <v/>
      </c>
      <c r="M25" s="67">
        <v>1.0</v>
      </c>
      <c r="N25" s="239"/>
      <c r="O25" s="244">
        <v>4.0</v>
      </c>
      <c r="P25" s="241">
        <f>mround('WEEK 25'!P20*1,5)</f>
        <v>0</v>
      </c>
      <c r="Q25" s="245" t="s">
        <v>65</v>
      </c>
      <c r="R25" s="83" t="s">
        <v>57</v>
      </c>
      <c r="S25" s="66">
        <f>if('WEEK 25'!P25='MSW20'!I26,'MSW20'!T26,"")</f>
        <v>8</v>
      </c>
      <c r="T25" s="85"/>
    </row>
    <row r="26">
      <c r="A26" s="246" t="str">
        <f>IF('WEEK 25'!F25&lt;1,"PROCEED TO DOWN SETS","NEW 1 REP MAX ATTEMPT")</f>
        <v>NEW 1 REP MAX ATTEMPT</v>
      </c>
      <c r="B26" s="20"/>
      <c r="C26" s="20"/>
      <c r="D26" s="20"/>
      <c r="E26" s="20"/>
      <c r="F26" s="95"/>
      <c r="G26" s="247" t="s">
        <v>123</v>
      </c>
      <c r="H26" s="246" t="str">
        <f>IF('WEEK 25'!M25&lt;1,"PROCEED TO DOWN SETS","NEW 1 REP MAX ATTEMPT")</f>
        <v>PROCEED TO DOWN SETS</v>
      </c>
      <c r="I26" s="20"/>
      <c r="J26" s="20"/>
      <c r="K26" s="20"/>
      <c r="L26" s="20"/>
      <c r="M26" s="95"/>
      <c r="N26" s="247" t="s">
        <v>123</v>
      </c>
      <c r="O26" s="248" t="str">
        <f>IF(OR(ISBLANK('WEEK 25'!T25),ISBLANK('WEEK 25'!T24),ISBLANK('WEEK 25'!T23)),"PROCEED TO DOWNSETS",if('WEEK 25'!T25&gt;=6,"NEW 4 REP MAX ATTEMPT","PROCEED TO DOWN SETS"))</f>
        <v>PROCEED TO DOWNSETS</v>
      </c>
      <c r="T26" s="28"/>
    </row>
    <row r="27">
      <c r="A27" s="249">
        <f>if('WEEK 25'!F25&lt;1,"",5)</f>
        <v>5</v>
      </c>
      <c r="B27" s="175">
        <f>IF('WEEK 25'!F25&lt;1,"",B25+5)</f>
        <v>265</v>
      </c>
      <c r="C27" s="238">
        <f>if('WEEK 25'!F25&lt;1,"",1)</f>
        <v>1</v>
      </c>
      <c r="D27" s="238" t="str">
        <f>if('WEEK 25'!F25&lt;1,"","1-5 MIN")</f>
        <v>1-5 MIN</v>
      </c>
      <c r="E27" s="66" t="str">
        <f>if('WEEK 25'!B27='MSW20'!B28,'MSW20'!F28,"")</f>
        <v/>
      </c>
      <c r="F27" s="67"/>
      <c r="H27" s="249" t="str">
        <f>if('WEEK 25'!M25&lt;1,"",5)</f>
        <v/>
      </c>
      <c r="I27" s="175" t="str">
        <f>IF('WEEK 25'!M25&lt;1,"",I25+5)</f>
        <v/>
      </c>
      <c r="J27" s="238" t="str">
        <f>if('WEEK 25'!M25&lt;1,"",1)</f>
        <v/>
      </c>
      <c r="K27" s="238" t="str">
        <f>if('WEEK 25'!M25&lt;1,"","1-5 MIN")</f>
        <v/>
      </c>
      <c r="L27" s="66" t="str">
        <f>if('WEEK 25'!I27='MSW20'!P28,'MSW20'!M28,"")</f>
        <v/>
      </c>
      <c r="M27" s="67"/>
      <c r="O27" s="251" t="str">
        <f>IF(OR(ISBLANK('WEEK 25'!T25),ISBLANK('WEEK 25'!T24),ISBLANK('WEEK 25'!T23)),"",IF('WEEK 25'!T25&gt;=6,5,""))</f>
        <v/>
      </c>
      <c r="P27" s="252" t="str">
        <f>IF(OR(ISBLANK('WEEK 25'!T25),ISBLANK('WEEK 25'!T24),ISBLANK('WEEK 25'!T23)),"",IF('WEEK 25'!T25&gt;=6,'WEEK 25'!P20+5,""))</f>
        <v/>
      </c>
      <c r="Q27" s="253" t="str">
        <f>IF(OR(ISBLANK('WEEK 25'!T25),ISBLANK('WEEK 25'!T24),ISBLANK('WEEK 25'!T23)),"",IF('WEEK 25'!T25&gt;=6,"REP OUT",""))</f>
        <v/>
      </c>
      <c r="R27" s="254" t="str">
        <f>IF(OR(ISBLANK('WEEK 25'!T25),ISBLANK('WEEK 25'!T24),ISBLANK('WEEK 25'!T23)),"",IF('WEEK 25'!T25&gt;5,"1 MIN",""))</f>
        <v/>
      </c>
      <c r="S27" s="66">
        <f>if('WEEK 25'!P27='MSW20'!I28,'MSW20'!T28,"")</f>
        <v>4</v>
      </c>
      <c r="T27" s="67"/>
    </row>
    <row r="28">
      <c r="A28" s="259" t="str">
        <f>IF('WEEK 25'!F27&lt;1,"","6")</f>
        <v>6</v>
      </c>
      <c r="B28" s="237">
        <f>IF('WEEK 25'!F27&lt;1,"",B27+5)</f>
        <v>270</v>
      </c>
      <c r="C28" s="257" t="str">
        <f>IF('WEEK 25'!F27&lt;1,"","1")</f>
        <v>1</v>
      </c>
      <c r="D28" s="257" t="str">
        <f>IF('WEEK 25'!F27&lt;1,"","1-5 MIN")</f>
        <v>1-5 MIN</v>
      </c>
      <c r="E28" s="66" t="str">
        <f>if('WEEK 25'!B28='MSW20'!B29,'MSW20'!F29,"")</f>
        <v/>
      </c>
      <c r="F28" s="67"/>
      <c r="G28" s="234"/>
      <c r="H28" s="259" t="str">
        <f>IF('WEEK 25'!M27&lt;1,"","6")</f>
        <v/>
      </c>
      <c r="I28" s="237" t="str">
        <f>IF('WEEK 25'!M27&lt;1,"",I27+5)</f>
        <v/>
      </c>
      <c r="J28" s="257" t="str">
        <f>IF('WEEK 25'!M27&lt;1,"","1")</f>
        <v/>
      </c>
      <c r="K28" s="257" t="str">
        <f>IF('WEEK 25'!M27&lt;1,"","1-5 MIN")</f>
        <v/>
      </c>
      <c r="L28" s="66" t="str">
        <f>if('WEEK 25'!I28='MSW20'!P29,'MSW20'!M29,"")</f>
        <v/>
      </c>
      <c r="M28" s="67"/>
      <c r="N28" s="234"/>
      <c r="O28" s="260" t="str">
        <f>IF(OR(ISBLANK('WEEK 25'!T25),ISBLANK('WEEK 25'!T24),ISBLANK('WEEK 25'!T23)),"FILL OUT REP LOG FIRST","DOWN SETS")</f>
        <v>FILL OUT REP LOG FIRST</v>
      </c>
      <c r="P28" s="16"/>
      <c r="Q28" s="16"/>
      <c r="R28" s="16"/>
      <c r="S28" s="16"/>
      <c r="T28" s="230"/>
    </row>
    <row r="29">
      <c r="A29" s="246" t="str">
        <f>IF(OR(ISBLANK('WEEK 25'!F25),ISBLANK('WEEK 25'!F24),ISBLANK('WEEK 25'!F23)),"FILL OUT REP LOG FOR DOWN SETS","DOWN SETS")</f>
        <v>DOWN SETS</v>
      </c>
      <c r="B29" s="20"/>
      <c r="C29" s="20"/>
      <c r="D29" s="20"/>
      <c r="E29" s="20"/>
      <c r="F29" s="95"/>
      <c r="G29" s="239"/>
      <c r="H29" s="246" t="str">
        <f>IF(OR(ISBLANK('WEEK 25'!M25),ISBLANK('WEEK 25'!M24),ISBLANK('WEEK 25'!M23)),"FILL OUT REP LOG FOR DOWN SETS","DOWN SETS")</f>
        <v>FILL OUT REP LOG FOR DOWN SETS</v>
      </c>
      <c r="I29" s="20"/>
      <c r="J29" s="20"/>
      <c r="K29" s="20"/>
      <c r="L29" s="20"/>
      <c r="M29" s="95"/>
      <c r="N29" s="239"/>
      <c r="O29" s="91" t="str">
        <f>IF('WEEK 25'!T27&gt;=4,"",IF(OR(ISBLANK('WEEK 25'!T25),ISBLANK('WEEK 25'!T24),ISBLANK('WEEK 25'!T23)),"",IF('WEEK 25'!T25&gt;5,6,5)))</f>
        <v/>
      </c>
      <c r="P29" s="261" t="str">
        <f>IF('WEEK 25'!T27&gt;=4,"",IF(OR(ISBLANK('WEEK 25'!T25),ISBLANK('WEEK 25'!T24),ISBLANK('WEEK 25'!T23)),"",IF('WEEK 25'!T25&lt;6,mround('WEEK 25'!P20*0.8,5),IF('WEEK 25'!T25&lt;10,mround('WEEK 25'!P20*0.93,5),mround('WEEK 25'!P20*0.7,5)))))</f>
        <v/>
      </c>
      <c r="Q29" s="262" t="str">
        <f>IF('WEEK 25'!T27&gt;=4,"",IF(OR(ISBLANK('WEEK 25'!T25),ISBLANK('WEEK 25'!T24),ISBLANK('WEEK 25'!T23)),"","REP OUT"))</f>
        <v/>
      </c>
      <c r="R29" s="65" t="str">
        <f>IF('WEEK 25'!T27&gt;=4,"",IF(OR(ISBLANK('WEEK 25'!T25),ISBLANK('WEEK 25'!T24),ISBLANK('WEEK 25'!T23)),"","1 MIN"))</f>
        <v/>
      </c>
      <c r="S29" s="66" t="str">
        <f>if('WEEK 25'!P29='MSW20'!I30,'MSW20'!T30,"")</f>
        <v/>
      </c>
      <c r="T29" s="263"/>
    </row>
    <row r="30">
      <c r="A30" s="264">
        <f>IF(OR(ISBLANK('WEEK 25'!F25),ISBLANK('WEEK 25'!F24),ISBLANK('WEEK 25'!F23)),"",IF((AND(A27="",A28="")),5,IF((AND(A27&gt;1,A28="")),6,7)))</f>
        <v>7</v>
      </c>
      <c r="B30" s="265">
        <f>IF(OR(ISBLANK('WEEK 25'!F25),ISBLANK('WEEK 25'!F24),ISBLANK('WEEK 25'!F23)),"",MROUND('WEEK 25'!B32*0.9,5))</f>
        <v>245</v>
      </c>
      <c r="C30" s="266" t="str">
        <f>IF(OR(ISBLANK('WEEK 25'!F25),ISBLANK('WEEK 25'!F24),ISBLANK('WEEK 25'!F23)),"","REP OUT")</f>
        <v>REP OUT</v>
      </c>
      <c r="D30" s="267" t="str">
        <f>IF(OR(ISBLANK('WEEK 25'!F25),ISBLANK('WEEK 25'!F24),ISBLANK('WEEK 25'!F23)),"","1-3 MIN")</f>
        <v>1-3 MIN</v>
      </c>
      <c r="E30" s="66" t="str">
        <f>if('WEEK 25'!B30='MSW20'!B31,'MSW20'!F31,"")</f>
        <v/>
      </c>
      <c r="F30" s="67"/>
      <c r="G30" s="239"/>
      <c r="H30" s="264" t="str">
        <f>IF(OR(ISBLANK('WEEK 25'!M25),ISBLANK('WEEK 25'!M24),ISBLANK('WEEK 25'!M23)),"",IF((AND(H27="",H28="")),5,IF((AND(H27&gt;1,H28="")),6,7)))</f>
        <v/>
      </c>
      <c r="I30" s="265" t="str">
        <f>IF(OR(ISBLANK('WEEK 25'!M25),ISBLANK('WEEK 25'!M24),ISBLANK('WEEK 25'!M23)),"",MROUND('WEEK 25'!I32*0.9,5))</f>
        <v/>
      </c>
      <c r="J30" s="266" t="str">
        <f>IF(OR(ISBLANK('WEEK 25'!M25),ISBLANK('WEEK 25'!M24),ISBLANK('WEEK 25'!M23)),"","REP OUT")</f>
        <v/>
      </c>
      <c r="K30" s="267" t="str">
        <f>IF(OR(ISBLANK('WEEK 25'!M25),ISBLANK('WEEK 25'!M24),ISBLANK('WEEK 25'!M23)),"","1-3 MIN")</f>
        <v/>
      </c>
      <c r="L30" s="66" t="str">
        <f>if('WEEK 25'!I30='MSW20'!P31,'MSW20'!M31,"")</f>
        <v/>
      </c>
      <c r="M30" s="67"/>
      <c r="N30" s="239"/>
      <c r="O30" s="269" t="str">
        <f>IF('WEEK 25'!T27&gt;=4,"",IF(OR(ISBLANK('WEEK 25'!T25),ISBLANK('WEEK 25'!T24),ISBLANK('WEEK 25'!T23)),"",IF('WEEK 25'!T25&gt;5,7,6)))</f>
        <v/>
      </c>
      <c r="P30" s="254" t="str">
        <f>IF('WEEK 25'!T27&gt;=4,"",IF(OR(ISBLANK('WEEK 25'!T25),ISBLANK('WEEK 25'!T24),ISBLANK('WEEK 25'!T23)),"",IF('WEEK 25'!T25&lt;6,mround('WEEK 25'!P20*0.65,5),IF('WEEK 25'!T25&lt;10,mround('WEEK 25'!P20*0.7,5),mround('WEEK 25'!P20*0.65,5)))))</f>
        <v/>
      </c>
      <c r="Q30" s="253" t="str">
        <f>IF('WEEK 25'!T27&gt;=4,"",IF(OR(ISBLANK('WEEK 25'!T25),ISBLANK('WEEK 25'!T24),ISBLANK('WEEK 25'!T23)),"","REP OUT"))</f>
        <v/>
      </c>
      <c r="R30" s="65" t="str">
        <f>IF('WEEK 25'!T27&gt;=4,"",IF(OR(ISBLANK('WEEK 25'!T25),ISBLANK('WEEK 25'!T24),ISBLANK('WEEK 25'!T23)),"","1 MIN"))</f>
        <v/>
      </c>
      <c r="S30" s="66" t="str">
        <f>if('WEEK 25'!P30='MSW20'!I31,'MSW20'!T31,"")</f>
        <v/>
      </c>
      <c r="T30" s="270"/>
    </row>
    <row r="31">
      <c r="A31" s="243">
        <f>IF(OR(ISBLANK('WEEK 25'!F25),ISBLANK('WEEK 25'!F24),ISBLANK('WEEK 25'!F23)),"",IF((AND(A27="",A28="")),6,IF((AND(A27&gt;1,A28="")),7,8)))</f>
        <v>8</v>
      </c>
      <c r="B31" s="237">
        <f>IF(OR(ISBLANK('WEEK 25'!F25),ISBLANK('WEEK 25'!F24),ISBLANK('WEEK 25'!F23)),"",mround('WEEK 25'!B32*0.78,5))</f>
        <v>210</v>
      </c>
      <c r="C31" s="245" t="str">
        <f>IF(OR(ISBLANK('WEEK 25'!F25),ISBLANK('WEEK 25'!F24),ISBLANK('WEEK 25'!F23)),"","REP OUT")</f>
        <v>REP OUT</v>
      </c>
      <c r="D31" s="65" t="str">
        <f>IF(OR(ISBLANK('WEEK 25'!F25),ISBLANK('WEEK 25'!F24),ISBLANK('WEEK 25'!F23)),"","1-3 MIN")</f>
        <v>1-3 MIN</v>
      </c>
      <c r="E31" s="66" t="str">
        <f>if('WEEK 25'!B31='MSW20'!B32,'MSW20'!F32,"")</f>
        <v/>
      </c>
      <c r="F31" s="271"/>
      <c r="G31" s="103"/>
      <c r="H31" s="243" t="str">
        <f>IF(OR(ISBLANK('WEEK 25'!M25),ISBLANK('WEEK 25'!M24),ISBLANK('WEEK 25'!M23)),"",IF((AND(H27="",H28="")),6,IF((AND(H27&gt;1,H28="")),7,8)))</f>
        <v/>
      </c>
      <c r="I31" s="237" t="str">
        <f>IF(OR(ISBLANK('WEEK 25'!M25),ISBLANK('WEEK 25'!M24),ISBLANK('WEEK 25'!M23)),"",mround('WEEK 25'!I32*0.78,5))</f>
        <v/>
      </c>
      <c r="J31" s="245" t="str">
        <f>IF(OR(ISBLANK('WEEK 25'!M25),ISBLANK('WEEK 25'!M24),ISBLANK('WEEK 25'!M23)),"","REP OUT")</f>
        <v/>
      </c>
      <c r="K31" s="65" t="str">
        <f>IF(OR(ISBLANK('WEEK 25'!M25),ISBLANK('WEEK 25'!M24),ISBLANK('WEEK 25'!M23)),"","1-3 MIN")</f>
        <v/>
      </c>
      <c r="L31" s="66" t="str">
        <f>if('WEEK 25'!I31='MSW20'!P32,'MSW20'!M32,"")</f>
        <v/>
      </c>
      <c r="M31" s="271"/>
      <c r="N31" s="103"/>
      <c r="O31" s="269" t="str">
        <f>IF('WEEK 25'!T27&lt;4,"",IF(OR(ISBLANK('WEEK 25'!T25),ISBLANK('WEEK 25'!T24),ISBLANK('WEEK 25'!T23)),"",IF('WEEK 25'!T27&gt;3,6,5)))</f>
        <v/>
      </c>
      <c r="P31" s="254" t="str">
        <f>IF('WEEK 25'!T27&lt;4,"",IF(OR(ISBLANK('WEEK 25'!T25),ISBLANK('WEEK 25'!T24),ISBLANK('WEEK 25'!T23)),"",IF('WEEK 25'!T27&lt;6,mround('WEEK 25'!P33*0.8,5),IF('WEEK 25'!T27&lt;10,mround('WEEK 25'!P33*0.93,5),mround('WEEK 25'!P33*0.7,5)))))</f>
        <v/>
      </c>
      <c r="Q31" s="253" t="str">
        <f>IF('WEEK 25'!T27&lt;4,"",IF(OR(ISBLANK('WEEK 25'!T25),ISBLANK('WEEK 25'!T24),ISBLANK('WEEK 25'!T23)),"","REP OUT"))</f>
        <v/>
      </c>
      <c r="R31" s="65" t="str">
        <f>IF('WEEK 25'!T27&lt;4,"",IF(OR(ISBLANK('WEEK 25'!T25),ISBLANK('WEEK 25'!T24),ISBLANK('WEEK 25'!T23)),"","1 MIN"))</f>
        <v/>
      </c>
      <c r="S31" s="66" t="str">
        <f>if('WEEK 25'!P31='MSW20'!I32,'MSW20'!T32,"")</f>
        <v/>
      </c>
      <c r="T31" s="270"/>
    </row>
    <row r="32">
      <c r="A32" s="272" t="s">
        <v>124</v>
      </c>
      <c r="B32" s="273">
        <f>IF(OR(ISBLANK('WEEK 25'!F25),ISBLANK('WEEK 25'!F24),ISBLANK('WEEK 25'!F23)),"",IF('WEEK 25'!F28&gt;=1,'WEEK 25'!B28,IF('WEEK 25'!F27&gt;=1,'WEEK 25'!B27,IF('WEEK 25'!F25&lt;1,'WEEK 25'!B25-5,'WEEK 25'!B25))))</f>
        <v>270</v>
      </c>
      <c r="C32" s="11"/>
      <c r="D32" s="11"/>
      <c r="E32" s="11"/>
      <c r="F32" s="46"/>
      <c r="G32" s="103"/>
      <c r="H32" s="272" t="s">
        <v>124</v>
      </c>
      <c r="I32" s="273" t="str">
        <f>IF(OR(ISBLANK('WEEK 25'!M25),ISBLANK('WEEK 25'!M24),ISBLANK('WEEK 25'!M23)),"",IF('WEEK 25'!M28&gt;=1,'WEEK 25'!I28,IF('WEEK 25'!M27&gt;=1,'WEEK 25'!I27,IF('WEEK 25'!M25&lt;1,'WEEK 25'!I25-5,'WEEK 25'!I25))))</f>
        <v/>
      </c>
      <c r="J32" s="11"/>
      <c r="K32" s="11"/>
      <c r="L32" s="11"/>
      <c r="M32" s="46"/>
      <c r="N32" s="103"/>
      <c r="O32" s="269" t="str">
        <f>IF('WEEK 25'!T27&lt;4,"",IF(OR(ISBLANK('WEEK 25'!T25),ISBLANK('WEEK 25'!T24),ISBLANK('WEEK 25'!T23)),"",IF('WEEK 25'!T27&gt;3,7,"")))</f>
        <v/>
      </c>
      <c r="P32" s="254" t="str">
        <f>IF('WEEK 25'!T27&lt;4,"",IF(OR(ISBLANK('WEEK 25'!T25),ISBLANK('WEEK 25'!T24),ISBLANK('WEEK 25'!T23)),"",IF('WEEK 25'!T27&lt;6,mround('WEEK 25'!P33*0.65,5),IF('WEEK 25'!T27&lt;10,mround('WEEK 25'!P33*0.7,5),mround('WEEK 25'!P33*0.65,5)))))</f>
        <v/>
      </c>
      <c r="Q32" s="253" t="str">
        <f>IF('WEEK 25'!T27&lt;4,"",IF(OR(ISBLANK('WEEK 25'!T25),ISBLANK('WEEK 25'!T24),ISBLANK('WEEK 25'!T23)),"","REP OUT"))</f>
        <v/>
      </c>
      <c r="R32" s="65" t="str">
        <f>IF('WEEK 25'!T27&lt;4,"",IF(OR(ISBLANK('WEEK 25'!T25),ISBLANK('WEEK 25'!T24),ISBLANK('WEEK 25'!T23)),"","1 MIN"))</f>
        <v/>
      </c>
      <c r="S32" s="66" t="str">
        <f>if('WEEK 25'!P32='MSW20'!I33,'MSW20'!T33,"")</f>
        <v/>
      </c>
      <c r="T32" s="270"/>
    </row>
    <row r="33">
      <c r="A33" s="274"/>
      <c r="B33" s="275"/>
      <c r="C33" s="276"/>
      <c r="D33" s="277"/>
      <c r="E33" s="278"/>
      <c r="F33" s="103"/>
      <c r="G33" s="103"/>
      <c r="H33" s="220"/>
      <c r="I33" s="220"/>
      <c r="J33" s="220"/>
      <c r="K33" s="220"/>
      <c r="L33" s="279"/>
      <c r="M33" s="103"/>
      <c r="N33" s="103"/>
      <c r="O33" s="280" t="s">
        <v>124</v>
      </c>
      <c r="P33" s="273" t="str">
        <f>IF(OR(ISBLANK('WEEK 25'!T23),ISBLANK('WEEK 25'!T24),ISBLANK('WEEK 25'!T25)),"",IF('WEEK 25'!T27&gt;=4,'WEEK 25'!P27,IF('WEEK 25'!T25&lt;=3,'WEEK 25'!P25-5,'WEEK 25'!P25)))</f>
        <v/>
      </c>
      <c r="Q33" s="11"/>
      <c r="R33" s="11"/>
      <c r="S33" s="11"/>
      <c r="T33" s="46"/>
    </row>
    <row r="34">
      <c r="A34" s="73" t="str">
        <f>IF(B35&lt;5,"SKIP TO NEXT WORKOUT",HYPERLINK("https://www.youtube.com/watch?v=mGv8D2DGyNQ","2.DB CHEST FLY"))</f>
        <v>2.DB CHEST FLY</v>
      </c>
      <c r="B34" s="53"/>
      <c r="C34" s="53"/>
      <c r="D34" s="53"/>
      <c r="E34" s="53"/>
      <c r="F34" s="54"/>
      <c r="G34" s="281"/>
      <c r="H34" s="73" t="str">
        <f>HYPERLINK("https://www.youtube.com/watch?v=THb0dhfIu1k","2. MACHINE CHEST FLY")</f>
        <v>2. MACHINE CHEST FLY</v>
      </c>
      <c r="I34" s="53"/>
      <c r="J34" s="53"/>
      <c r="K34" s="53"/>
      <c r="L34" s="53"/>
      <c r="M34" s="54"/>
      <c r="N34" s="281"/>
      <c r="O34" s="103"/>
      <c r="P34" s="103"/>
      <c r="Q34" s="103"/>
      <c r="R34" s="103"/>
      <c r="S34" s="103"/>
      <c r="T34" s="103"/>
    </row>
    <row r="35">
      <c r="A35" s="226" t="s">
        <v>228</v>
      </c>
      <c r="B35" s="1366" t="str">
        <f>if(P33="",P20,P33)</f>
        <v/>
      </c>
      <c r="C35" s="20"/>
      <c r="D35" s="20"/>
      <c r="E35" s="20"/>
      <c r="F35" s="95"/>
      <c r="G35" s="247" t="s">
        <v>123</v>
      </c>
      <c r="H35" s="226" t="s">
        <v>228</v>
      </c>
      <c r="I35" s="284" t="str">
        <f>B35</f>
        <v/>
      </c>
      <c r="J35" s="20"/>
      <c r="K35" s="20"/>
      <c r="L35" s="20"/>
      <c r="M35" s="95"/>
      <c r="N35" s="103"/>
      <c r="O35" s="103"/>
      <c r="P35" s="103"/>
      <c r="Q35" s="103"/>
      <c r="R35" s="103"/>
      <c r="S35" s="103"/>
      <c r="T35" s="103"/>
    </row>
    <row r="36">
      <c r="A36" s="231" t="s">
        <v>50</v>
      </c>
      <c r="B36" s="232" t="s">
        <v>51</v>
      </c>
      <c r="C36" s="232" t="s">
        <v>52</v>
      </c>
      <c r="D36" s="232" t="s">
        <v>53</v>
      </c>
      <c r="E36" s="285" t="s">
        <v>54</v>
      </c>
      <c r="F36" s="286" t="s">
        <v>55</v>
      </c>
      <c r="H36" s="231" t="s">
        <v>50</v>
      </c>
      <c r="I36" s="232" t="s">
        <v>51</v>
      </c>
      <c r="J36" s="232" t="s">
        <v>52</v>
      </c>
      <c r="K36" s="232" t="s">
        <v>53</v>
      </c>
      <c r="L36" s="285" t="s">
        <v>54</v>
      </c>
      <c r="M36" s="61" t="s">
        <v>55</v>
      </c>
      <c r="N36" s="287"/>
      <c r="O36" s="287"/>
      <c r="P36" s="287"/>
      <c r="Q36" s="287"/>
      <c r="R36" s="287"/>
      <c r="S36" s="287"/>
      <c r="T36" s="287"/>
    </row>
    <row r="37">
      <c r="A37" s="242">
        <v>1.0</v>
      </c>
      <c r="B37" s="82">
        <f>mround(B35*0.29,2.5)</f>
        <v>0</v>
      </c>
      <c r="C37" s="82">
        <v>15.0</v>
      </c>
      <c r="D37" s="288" t="s">
        <v>126</v>
      </c>
      <c r="E37" s="66" t="str">
        <f>if('WEEK 25'!B37='MSW20'!B40,'MSW20'!F40,"")</f>
        <v/>
      </c>
      <c r="F37" s="67"/>
      <c r="G37" s="234"/>
      <c r="H37" s="242">
        <v>1.0</v>
      </c>
      <c r="I37" s="237">
        <f>mround('WEEK 25'!I35*2*0.75,10)</f>
        <v>0</v>
      </c>
      <c r="J37" s="82">
        <v>15.0</v>
      </c>
      <c r="K37" s="288" t="s">
        <v>126</v>
      </c>
      <c r="L37" s="66" t="str">
        <f>if('WEEK 25'!I37='MSW20'!I40,'MSW20'!M40,"")</f>
        <v/>
      </c>
      <c r="M37" s="67"/>
      <c r="N37" s="234"/>
      <c r="O37" s="234"/>
      <c r="P37" s="234"/>
      <c r="Q37" s="234"/>
      <c r="R37" s="234"/>
      <c r="S37" s="234"/>
      <c r="T37" s="234"/>
    </row>
    <row r="38">
      <c r="A38" s="289">
        <v>2.0</v>
      </c>
      <c r="B38" s="87">
        <f>mround(B35*0.29,2.5)</f>
        <v>0</v>
      </c>
      <c r="C38" s="87">
        <v>15.0</v>
      </c>
      <c r="D38" s="290" t="s">
        <v>126</v>
      </c>
      <c r="E38" s="72" t="str">
        <f>if('WEEK 25'!B38='MSW20'!B41,'MSW20'!F41,"")</f>
        <v/>
      </c>
      <c r="F38" s="67"/>
      <c r="G38" s="234"/>
      <c r="H38" s="289">
        <v>2.0</v>
      </c>
      <c r="I38" s="291">
        <f>mround('WEEK 25'!I35*2*0.75,10)</f>
        <v>0</v>
      </c>
      <c r="J38" s="87">
        <v>15.0</v>
      </c>
      <c r="K38" s="290" t="s">
        <v>126</v>
      </c>
      <c r="L38" s="72" t="str">
        <f>if('WEEK 25'!I38='MSW20'!I41,'MSW20'!M41,"")</f>
        <v/>
      </c>
      <c r="M38" s="67"/>
      <c r="N38" s="234"/>
      <c r="O38" s="234"/>
      <c r="P38" s="234"/>
      <c r="Q38" s="234"/>
      <c r="R38" s="234"/>
      <c r="S38" s="234"/>
      <c r="T38" s="234"/>
    </row>
    <row r="39">
      <c r="A39" s="103"/>
      <c r="B39" s="103"/>
      <c r="C39" s="103"/>
      <c r="D39" s="103"/>
      <c r="E39" s="222"/>
      <c r="F39" s="103"/>
      <c r="G39" s="103"/>
      <c r="H39" s="103"/>
      <c r="I39" s="103"/>
      <c r="J39" s="103"/>
      <c r="K39" s="103"/>
      <c r="L39" s="222"/>
      <c r="M39" s="103"/>
      <c r="N39" s="103"/>
      <c r="O39" s="103"/>
      <c r="P39" s="103"/>
      <c r="Q39" s="103"/>
      <c r="R39" s="103"/>
      <c r="S39" s="103"/>
      <c r="T39" s="103"/>
    </row>
    <row r="40">
      <c r="A40" s="103"/>
      <c r="B40" s="103"/>
      <c r="C40" s="103"/>
      <c r="D40" s="103"/>
      <c r="E40" s="278"/>
      <c r="F40" s="103"/>
      <c r="G40" s="103"/>
      <c r="H40" s="103"/>
      <c r="I40" s="103"/>
      <c r="J40" s="103"/>
      <c r="K40" s="103"/>
      <c r="L40" s="222"/>
      <c r="M40" s="103"/>
      <c r="N40" s="103"/>
      <c r="O40" s="103"/>
      <c r="P40" s="103"/>
      <c r="Q40" s="103"/>
      <c r="R40" s="103"/>
      <c r="S40" s="103"/>
      <c r="T40" s="103"/>
    </row>
    <row r="41">
      <c r="A41" s="73" t="str">
        <f>HYPERLINK("https://www.youtube.com/watch?v=PnaDzYh2axA","3. LAT PULL DOWN")</f>
        <v>3. LAT PULL DOWN</v>
      </c>
      <c r="B41" s="53"/>
      <c r="C41" s="53"/>
      <c r="D41" s="53"/>
      <c r="E41" s="53"/>
      <c r="F41" s="54"/>
      <c r="G41" s="276"/>
      <c r="H41" s="103"/>
      <c r="I41" s="292"/>
      <c r="J41" s="292"/>
      <c r="K41" s="292"/>
      <c r="L41" s="293"/>
      <c r="M41" s="103"/>
      <c r="N41" s="103"/>
      <c r="O41" s="103"/>
      <c r="P41" s="103"/>
      <c r="Q41" s="103"/>
      <c r="R41" s="103"/>
      <c r="S41" s="103"/>
      <c r="T41" s="103"/>
    </row>
    <row r="42">
      <c r="A42" s="226" t="s">
        <v>119</v>
      </c>
      <c r="B42" s="227" t="str">
        <f>'WEEK 23'!B60</f>
        <v/>
      </c>
      <c r="C42" s="20"/>
      <c r="D42" s="20"/>
      <c r="E42" s="20"/>
      <c r="F42" s="95"/>
      <c r="G42" s="103"/>
      <c r="H42" s="103"/>
      <c r="I42" s="292"/>
      <c r="J42" s="292"/>
      <c r="K42" s="292"/>
      <c r="L42" s="293"/>
      <c r="M42" s="103"/>
      <c r="N42" s="103"/>
      <c r="O42" s="103"/>
      <c r="P42" s="103"/>
      <c r="Q42" s="103"/>
      <c r="R42" s="103"/>
      <c r="S42" s="103"/>
      <c r="T42" s="103"/>
    </row>
    <row r="43">
      <c r="A43" s="231" t="s">
        <v>50</v>
      </c>
      <c r="B43" s="232" t="s">
        <v>51</v>
      </c>
      <c r="C43" s="232" t="s">
        <v>52</v>
      </c>
      <c r="D43" s="232" t="s">
        <v>53</v>
      </c>
      <c r="E43" s="233" t="s">
        <v>54</v>
      </c>
      <c r="F43" s="61" t="s">
        <v>55</v>
      </c>
      <c r="G43" s="234"/>
      <c r="H43" s="234"/>
      <c r="I43" s="294"/>
      <c r="J43" s="294"/>
      <c r="K43" s="294"/>
      <c r="L43" s="295"/>
      <c r="M43" s="234"/>
      <c r="N43" s="234"/>
      <c r="O43" s="234"/>
      <c r="P43" s="234"/>
      <c r="Q43" s="234"/>
      <c r="R43" s="234"/>
      <c r="S43" s="234"/>
      <c r="T43" s="234"/>
    </row>
    <row r="44">
      <c r="A44" s="236">
        <v>1.0</v>
      </c>
      <c r="B44" s="237">
        <f>mround('WEEK 25'!B42*0.35,5)</f>
        <v>75</v>
      </c>
      <c r="C44" s="237">
        <v>6.0</v>
      </c>
      <c r="D44" s="238" t="s">
        <v>120</v>
      </c>
      <c r="E44" s="66" t="str">
        <f>if('WEEK 25'!B44='MSW21'!B47,'MSW21'!F47,"")</f>
        <v/>
      </c>
      <c r="F44" s="67"/>
      <c r="G44" s="287"/>
      <c r="H44" s="287"/>
      <c r="I44" s="296"/>
      <c r="J44" s="296"/>
      <c r="K44" s="296"/>
      <c r="L44" s="297"/>
      <c r="M44" s="287"/>
      <c r="N44" s="287"/>
      <c r="O44" s="287"/>
      <c r="P44" s="287"/>
      <c r="Q44" s="287"/>
      <c r="R44" s="287"/>
      <c r="S44" s="287"/>
      <c r="T44" s="287"/>
    </row>
    <row r="45">
      <c r="A45" s="236">
        <v>2.0</v>
      </c>
      <c r="B45" s="237">
        <f>mround('WEEK 25'!B42*0.65,5)</f>
        <v>135</v>
      </c>
      <c r="C45" s="238">
        <v>3.0</v>
      </c>
      <c r="D45" s="238" t="s">
        <v>121</v>
      </c>
      <c r="E45" s="66" t="str">
        <f>if('WEEK 25'!B45='MSW21'!B48,'MSW21'!F48,"")</f>
        <v/>
      </c>
      <c r="F45" s="67"/>
      <c r="G45" s="287"/>
      <c r="H45" s="287"/>
      <c r="I45" s="296"/>
      <c r="J45" s="296"/>
      <c r="K45" s="296"/>
      <c r="L45" s="297"/>
      <c r="M45" s="287"/>
      <c r="N45" s="287"/>
      <c r="O45" s="287"/>
      <c r="P45" s="287"/>
      <c r="Q45" s="287"/>
      <c r="R45" s="287"/>
      <c r="S45" s="287"/>
      <c r="T45" s="287"/>
    </row>
    <row r="46">
      <c r="A46" s="242">
        <v>3.0</v>
      </c>
      <c r="B46" s="237">
        <f>mround('WEEK 25'!B42*0.9,5)</f>
        <v>190</v>
      </c>
      <c r="C46" s="63">
        <v>2.0</v>
      </c>
      <c r="D46" s="238" t="s">
        <v>121</v>
      </c>
      <c r="E46" s="66" t="str">
        <f>if('WEEK 25'!B46='MSW21'!B49,'MSW21'!F49,"")</f>
        <v/>
      </c>
      <c r="F46" s="67"/>
      <c r="G46" s="287"/>
      <c r="H46" s="287"/>
      <c r="I46" s="296"/>
      <c r="J46" s="296"/>
      <c r="K46" s="296"/>
      <c r="L46" s="297"/>
      <c r="M46" s="287"/>
      <c r="N46" s="287"/>
      <c r="O46" s="287"/>
      <c r="P46" s="287"/>
      <c r="Q46" s="287"/>
      <c r="R46" s="287"/>
      <c r="S46" s="287"/>
      <c r="T46" s="287"/>
    </row>
    <row r="47">
      <c r="A47" s="243">
        <v>4.0</v>
      </c>
      <c r="B47" s="237">
        <f>'WEEK 25'!B42</f>
        <v>210</v>
      </c>
      <c r="C47" s="257">
        <v>3.0</v>
      </c>
      <c r="D47" s="238" t="s">
        <v>122</v>
      </c>
      <c r="E47" s="66" t="str">
        <f>if('WEEK 25'!B47='MSW21'!B50,'MSW21'!F50,"")</f>
        <v/>
      </c>
      <c r="F47" s="67"/>
      <c r="G47" s="103"/>
      <c r="H47" s="103"/>
      <c r="I47" s="103"/>
      <c r="J47" s="103"/>
      <c r="K47" s="103"/>
      <c r="L47" s="222"/>
      <c r="M47" s="103"/>
      <c r="N47" s="103"/>
      <c r="O47" s="103"/>
      <c r="P47" s="103"/>
      <c r="Q47" s="103"/>
      <c r="R47" s="103"/>
      <c r="S47" s="103"/>
      <c r="T47" s="103"/>
    </row>
    <row r="48">
      <c r="A48" s="246" t="str">
        <f>IF('WEEK 25'!F47&lt;3,"PROCEED TO DOWN SETS","NEW 4 REP MAX ATTEMPT")</f>
        <v>NEW 4 REP MAX ATTEMPT</v>
      </c>
      <c r="B48" s="20"/>
      <c r="C48" s="20"/>
      <c r="D48" s="20"/>
      <c r="E48" s="20"/>
      <c r="F48" s="95"/>
      <c r="G48" s="234"/>
      <c r="H48" s="298"/>
      <c r="I48" s="298"/>
      <c r="J48" s="234"/>
      <c r="K48" s="234"/>
      <c r="L48" s="299"/>
      <c r="M48" s="234"/>
      <c r="N48" s="234"/>
      <c r="O48" s="234"/>
      <c r="P48" s="234"/>
      <c r="Q48" s="234"/>
      <c r="R48" s="234"/>
      <c r="S48" s="234"/>
      <c r="T48" s="234"/>
    </row>
    <row r="49">
      <c r="A49" s="249">
        <f>if('WEEK 25'!F47&lt;=2,"",5)</f>
        <v>5</v>
      </c>
      <c r="B49" s="175">
        <f>IF('WEEK 25'!F47&lt;=2,"",B47+5)</f>
        <v>215</v>
      </c>
      <c r="C49" s="238">
        <f>if('WEEK 25'!F47&lt;=2,"",4)</f>
        <v>4</v>
      </c>
      <c r="D49" s="238" t="str">
        <f>if('WEEK 25'!F47&lt;=2,"","1-5 MIN")</f>
        <v>1-5 MIN</v>
      </c>
      <c r="E49" s="66" t="str">
        <f>if('WEEK 25'!B49='MSW21'!B52,'MSW21'!F52,"")</f>
        <v/>
      </c>
      <c r="F49" s="67"/>
      <c r="G49" s="234"/>
      <c r="H49" s="234"/>
      <c r="I49" s="298"/>
      <c r="J49" s="234"/>
      <c r="K49" s="234"/>
      <c r="L49" s="299"/>
      <c r="M49" s="234"/>
      <c r="N49" s="234"/>
      <c r="O49" s="234"/>
      <c r="P49" s="234"/>
      <c r="Q49" s="234"/>
      <c r="R49" s="234"/>
      <c r="S49" s="234"/>
      <c r="T49" s="234"/>
    </row>
    <row r="50">
      <c r="A50" s="259" t="str">
        <f>IF('WEEK 25'!F49&lt;4,"","6")</f>
        <v>6</v>
      </c>
      <c r="B50" s="237">
        <f>IF('WEEK 25'!F49&lt;4,"",B49+5)</f>
        <v>220</v>
      </c>
      <c r="C50" s="257" t="str">
        <f>IF('WEEK 25'!F49&lt;4,"","4")</f>
        <v>4</v>
      </c>
      <c r="D50" s="257" t="str">
        <f>IF('WEEK 25'!F49&lt;4,"","1-5 MIN")</f>
        <v>1-5 MIN</v>
      </c>
      <c r="E50" s="66" t="str">
        <f>if('WEEK 25'!B50='MSW21'!B53,'MSW21'!F53,"")</f>
        <v/>
      </c>
      <c r="F50" s="67"/>
      <c r="G50" s="300"/>
      <c r="H50" s="300"/>
      <c r="I50" s="300"/>
      <c r="J50" s="300"/>
      <c r="K50" s="300"/>
      <c r="L50" s="301"/>
      <c r="M50" s="300"/>
      <c r="N50" s="300"/>
      <c r="O50" s="300"/>
      <c r="P50" s="300"/>
      <c r="Q50" s="300"/>
      <c r="R50" s="300"/>
      <c r="S50" s="300"/>
      <c r="T50" s="300"/>
    </row>
    <row r="51">
      <c r="A51" s="246" t="str">
        <f>IF(OR(ISBLANK('WEEK 25'!F47),ISBLANK('WEEK 25'!F46),ISBLANK('WEEK 25'!F45)),"FILL OUT REP LOG FOR DOWN SETS","DOWN SETS")</f>
        <v>DOWN SETS</v>
      </c>
      <c r="B51" s="20"/>
      <c r="C51" s="20"/>
      <c r="D51" s="20"/>
      <c r="E51" s="20"/>
      <c r="F51" s="95"/>
      <c r="G51" s="300"/>
      <c r="H51" s="300"/>
      <c r="I51" s="300"/>
      <c r="J51" s="300"/>
      <c r="K51" s="300"/>
      <c r="L51" s="301"/>
      <c r="M51" s="300"/>
      <c r="N51" s="300"/>
      <c r="O51" s="300"/>
      <c r="P51" s="300"/>
      <c r="Q51" s="300"/>
      <c r="R51" s="300"/>
      <c r="S51" s="300"/>
      <c r="T51" s="300"/>
    </row>
    <row r="52">
      <c r="A52" s="264">
        <f>IF(OR(ISBLANK('WEEK 25'!F47),ISBLANK('WEEK 25'!F46),ISBLANK('WEEK 25'!F45)),"",IF((AND(A49="",A50="")),5,IF((AND(A49&gt;1,A50="")),6,7)))</f>
        <v>7</v>
      </c>
      <c r="B52" s="265">
        <f>MROUND('WEEK 25'!B54*0.8,5)</f>
        <v>170</v>
      </c>
      <c r="C52" s="266" t="s">
        <v>65</v>
      </c>
      <c r="D52" s="267" t="s">
        <v>127</v>
      </c>
      <c r="E52" s="66" t="str">
        <f>if('WEEK 25'!B52='MSW21'!B55,'MSW21'!F55,"")</f>
        <v/>
      </c>
      <c r="F52" s="67"/>
      <c r="G52" s="300"/>
      <c r="H52" s="300"/>
      <c r="I52" s="300"/>
      <c r="J52" s="300"/>
      <c r="K52" s="300"/>
      <c r="L52" s="301"/>
      <c r="M52" s="300"/>
      <c r="N52" s="300"/>
      <c r="O52" s="300"/>
      <c r="P52" s="300"/>
      <c r="Q52" s="300"/>
      <c r="R52" s="300"/>
      <c r="S52" s="300"/>
      <c r="T52" s="300"/>
    </row>
    <row r="53">
      <c r="A53" s="243">
        <f>IF(OR(ISBLANK('WEEK 25'!F47),ISBLANK('WEEK 25'!F46),ISBLANK('WEEK 25'!F45)),"",IF((AND(A49="",A50="")),6,IF((AND(A49&gt;1,A50="")),7,8)))</f>
        <v>8</v>
      </c>
      <c r="B53" s="237">
        <f>mround('WEEK 25'!B54*0.7,5)</f>
        <v>150</v>
      </c>
      <c r="C53" s="245" t="s">
        <v>65</v>
      </c>
      <c r="D53" s="65" t="s">
        <v>127</v>
      </c>
      <c r="E53" s="66" t="str">
        <f>if('WEEK 25'!B53='MSW21'!B56,'MSW21'!F56,"")</f>
        <v/>
      </c>
      <c r="F53" s="271"/>
      <c r="G53" s="300"/>
      <c r="H53" s="300"/>
      <c r="I53" s="300"/>
      <c r="J53" s="300"/>
      <c r="K53" s="300"/>
      <c r="L53" s="301"/>
      <c r="M53" s="300"/>
      <c r="N53" s="300"/>
      <c r="O53" s="300"/>
      <c r="P53" s="300"/>
      <c r="Q53" s="300"/>
      <c r="R53" s="300"/>
      <c r="S53" s="300"/>
      <c r="T53" s="300"/>
    </row>
    <row r="54">
      <c r="A54" s="272" t="s">
        <v>124</v>
      </c>
      <c r="B54" s="273">
        <f>IF(OR(ISBLANK('WEEK 25'!F47),ISBLANK('WEEK 25'!F46),ISBLANK('WEEK 25'!F45)),"",IF('WEEK 25'!F50&gt;=4,'WEEK 25'!B50,IF('WEEK 25'!F49&gt;=1,'WEEK 25'!B49,IF('WEEK 25'!F47&lt;3,'WEEK 25'!B47-5,'WEEK 25'!B47))))</f>
        <v>215</v>
      </c>
      <c r="C54" s="11"/>
      <c r="D54" s="11"/>
      <c r="E54" s="11"/>
      <c r="F54" s="46"/>
      <c r="G54" s="103"/>
      <c r="H54" s="103"/>
      <c r="I54" s="103"/>
      <c r="J54" s="103"/>
      <c r="K54" s="103"/>
      <c r="L54" s="222"/>
      <c r="M54" s="103"/>
      <c r="N54" s="103"/>
      <c r="O54" s="103"/>
      <c r="P54" s="103"/>
      <c r="Q54" s="103"/>
      <c r="R54" s="103"/>
      <c r="S54" s="103"/>
      <c r="T54" s="103"/>
    </row>
    <row r="55">
      <c r="A55" s="302"/>
      <c r="B55" s="302"/>
      <c r="C55" s="302"/>
      <c r="D55" s="302"/>
      <c r="E55" s="303"/>
      <c r="F55" s="103"/>
      <c r="G55" s="103"/>
      <c r="H55" s="304"/>
      <c r="I55" s="304"/>
      <c r="J55" s="304"/>
      <c r="K55" s="304"/>
      <c r="L55" s="303"/>
      <c r="M55" s="103"/>
      <c r="N55" s="103"/>
      <c r="O55" s="103"/>
      <c r="P55" s="103"/>
      <c r="Q55" s="103"/>
      <c r="R55" s="103"/>
      <c r="S55" s="103"/>
      <c r="T55" s="103"/>
    </row>
    <row r="56">
      <c r="A56" s="302"/>
      <c r="B56" s="302"/>
      <c r="C56" s="302"/>
      <c r="D56" s="302"/>
      <c r="E56" s="303"/>
      <c r="F56" s="103"/>
      <c r="G56" s="103"/>
      <c r="H56" s="304"/>
      <c r="I56" s="304"/>
      <c r="J56" s="304"/>
      <c r="K56" s="304"/>
      <c r="L56" s="303"/>
      <c r="M56" s="103"/>
      <c r="N56" s="103"/>
      <c r="O56" s="103"/>
      <c r="P56" s="103"/>
      <c r="Q56" s="103"/>
      <c r="R56" s="103"/>
      <c r="S56" s="103"/>
      <c r="T56" s="103"/>
    </row>
    <row r="57">
      <c r="A57" s="73" t="str">
        <f>HYPERLINK("https://www.youtube.com/watch?v=9YH1YvZbiY0","4. MACHINE LOW ROW")</f>
        <v>4. MACHINE LOW ROW</v>
      </c>
      <c r="B57" s="53"/>
      <c r="C57" s="53"/>
      <c r="D57" s="53"/>
      <c r="E57" s="53"/>
      <c r="F57" s="54"/>
      <c r="G57" s="103"/>
      <c r="H57" s="304" t="s">
        <v>41</v>
      </c>
      <c r="I57" s="304"/>
      <c r="J57" s="304"/>
      <c r="K57" s="304"/>
      <c r="L57" s="305"/>
      <c r="M57" s="103"/>
      <c r="N57" s="103"/>
      <c r="O57" s="103"/>
      <c r="P57" s="103"/>
      <c r="Q57" s="103"/>
      <c r="R57" s="103"/>
      <c r="S57" s="103"/>
      <c r="T57" s="103"/>
    </row>
    <row r="58">
      <c r="A58" s="282" t="s">
        <v>119</v>
      </c>
      <c r="B58" s="56">
        <f>'WEEK 23'!B68</f>
        <v>270</v>
      </c>
      <c r="C58" s="13"/>
      <c r="D58" s="13"/>
      <c r="E58" s="13"/>
      <c r="F58" s="57"/>
      <c r="G58" s="103"/>
      <c r="H58" s="304"/>
      <c r="I58" s="304"/>
      <c r="J58" s="304"/>
      <c r="K58" s="304"/>
      <c r="L58" s="305"/>
      <c r="M58" s="103"/>
      <c r="N58" s="103"/>
      <c r="O58" s="103"/>
      <c r="P58" s="103"/>
      <c r="Q58" s="103"/>
      <c r="R58" s="103"/>
      <c r="S58" s="103"/>
      <c r="T58" s="103"/>
    </row>
    <row r="59">
      <c r="A59" s="58" t="s">
        <v>50</v>
      </c>
      <c r="B59" s="59" t="s">
        <v>51</v>
      </c>
      <c r="C59" s="59" t="s">
        <v>52</v>
      </c>
      <c r="D59" s="59" t="s">
        <v>53</v>
      </c>
      <c r="E59" s="60" t="s">
        <v>54</v>
      </c>
      <c r="F59" s="61" t="s">
        <v>55</v>
      </c>
      <c r="G59" s="247"/>
      <c r="H59" s="306"/>
      <c r="I59" s="306"/>
      <c r="J59" s="306"/>
      <c r="K59" s="306"/>
      <c r="L59" s="307"/>
      <c r="M59" s="234"/>
      <c r="N59" s="234"/>
      <c r="O59" s="234"/>
      <c r="P59" s="234"/>
      <c r="Q59" s="234"/>
      <c r="R59" s="234"/>
      <c r="S59" s="234"/>
      <c r="T59" s="234"/>
    </row>
    <row r="60">
      <c r="A60" s="62">
        <v>1.0</v>
      </c>
      <c r="B60" s="63">
        <f> mround('WEEK 25'!B58*0.9,5)</f>
        <v>165</v>
      </c>
      <c r="C60" s="104" t="s">
        <v>65</v>
      </c>
      <c r="D60" s="65" t="s">
        <v>57</v>
      </c>
      <c r="E60" s="66" t="str">
        <f>if('WEEK 25'!B60='MSW21'!B63,'MSW21'!F63,"")</f>
        <v/>
      </c>
      <c r="F60" s="67"/>
      <c r="H60" s="306"/>
      <c r="I60" s="306"/>
      <c r="J60" s="306"/>
      <c r="K60" s="306"/>
      <c r="L60" s="307"/>
      <c r="M60" s="234"/>
      <c r="N60" s="234"/>
      <c r="O60" s="234"/>
      <c r="P60" s="234"/>
      <c r="Q60" s="234"/>
      <c r="R60" s="234"/>
      <c r="S60" s="234"/>
      <c r="T60" s="234"/>
    </row>
    <row r="61">
      <c r="A61" s="62">
        <v>2.0</v>
      </c>
      <c r="B61" s="63">
        <f>IF('WEEK 25'!F60&lt;6,MROUND('WEEK 25'!B58*0.75,5),IF('WEEK 25'!F60&lt;=11,MROUND('WEEK 25'!B58*0.85,5),'WEEK 25'!B60))</f>
        <v>140</v>
      </c>
      <c r="C61" s="104" t="s">
        <v>65</v>
      </c>
      <c r="D61" s="65" t="s">
        <v>57</v>
      </c>
      <c r="E61" s="66" t="str">
        <f>if('WEEK 25'!B61='MSW21'!B64,'MSW21'!F64,"")</f>
        <v/>
      </c>
      <c r="F61" s="67"/>
      <c r="G61" s="234"/>
      <c r="H61" s="306"/>
      <c r="I61" s="306"/>
      <c r="J61" s="306"/>
      <c r="K61" s="306"/>
      <c r="L61" s="307"/>
      <c r="M61" s="234"/>
      <c r="N61" s="234"/>
      <c r="O61" s="234"/>
      <c r="P61" s="234"/>
      <c r="Q61" s="234"/>
      <c r="R61" s="234"/>
      <c r="S61" s="234"/>
      <c r="T61" s="234"/>
    </row>
    <row r="62">
      <c r="A62" s="68">
        <v>3.0</v>
      </c>
      <c r="B62" s="69">
        <f>IF('WEEK 25'!F61&lt;6,MROUND('WEEK 25'!B61*0.8,5),IF('WEEK 25'!F61&lt;=11,MROUND('WEEK 25'!B58*0.85,5),'WEEK 25'!B61))</f>
        <v>110</v>
      </c>
      <c r="C62" s="105" t="s">
        <v>65</v>
      </c>
      <c r="D62" s="71" t="s">
        <v>57</v>
      </c>
      <c r="E62" s="72" t="str">
        <f>if('WEEK 25'!B62='MSW21'!B65,'MSW21'!F65,"")</f>
        <v/>
      </c>
      <c r="F62" s="67"/>
      <c r="G62" s="234"/>
      <c r="H62" s="306"/>
      <c r="I62" s="306"/>
      <c r="J62" s="306"/>
      <c r="K62" s="306"/>
      <c r="L62" s="307"/>
      <c r="M62" s="234"/>
      <c r="N62" s="234"/>
      <c r="O62" s="234"/>
      <c r="P62" s="234"/>
      <c r="Q62" s="234"/>
      <c r="R62" s="234"/>
      <c r="S62" s="234"/>
      <c r="T62" s="234"/>
    </row>
    <row r="63">
      <c r="A63" s="103"/>
      <c r="B63" s="103"/>
      <c r="C63" s="103"/>
      <c r="D63" s="103"/>
      <c r="E63" s="222"/>
      <c r="F63" s="103"/>
      <c r="G63" s="103"/>
      <c r="H63" s="103"/>
      <c r="I63" s="103"/>
      <c r="J63" s="103"/>
      <c r="K63" s="103"/>
      <c r="L63" s="222"/>
      <c r="M63" s="103"/>
      <c r="N63" s="103"/>
      <c r="O63" s="103"/>
      <c r="P63" s="103"/>
      <c r="Q63" s="103"/>
      <c r="R63" s="103"/>
      <c r="S63" s="103"/>
      <c r="T63" s="103"/>
    </row>
    <row r="64">
      <c r="A64" s="103"/>
      <c r="B64" s="103"/>
      <c r="C64" s="103"/>
      <c r="D64" s="103"/>
      <c r="E64" s="222"/>
      <c r="F64" s="103"/>
      <c r="G64" s="103"/>
      <c r="H64" s="103"/>
      <c r="I64" s="103"/>
      <c r="J64" s="103"/>
      <c r="K64" s="103"/>
      <c r="L64" s="222"/>
      <c r="M64" s="103"/>
      <c r="N64" s="103"/>
      <c r="O64" s="103"/>
      <c r="P64" s="103"/>
      <c r="Q64" s="103"/>
      <c r="R64" s="103"/>
      <c r="S64" s="103"/>
      <c r="T64" s="103"/>
    </row>
    <row r="65">
      <c r="A65" s="73" t="str">
        <f>HYPERLINK("https://youtu.be/5-SUS-OVULY","5. MACHINE HIGH ROW")</f>
        <v>5. MACHINE HIGH ROW</v>
      </c>
      <c r="B65" s="53"/>
      <c r="C65" s="53"/>
      <c r="D65" s="53"/>
      <c r="E65" s="53"/>
      <c r="F65" s="54"/>
      <c r="G65" s="103"/>
      <c r="H65" s="103"/>
      <c r="I65" s="103"/>
      <c r="J65" s="103"/>
      <c r="K65" s="103"/>
      <c r="L65" s="222"/>
      <c r="M65" s="103"/>
      <c r="N65" s="103"/>
      <c r="O65" s="103"/>
      <c r="P65" s="103"/>
      <c r="Q65" s="103"/>
      <c r="R65" s="103"/>
      <c r="S65" s="103"/>
      <c r="T65" s="103"/>
    </row>
    <row r="66">
      <c r="A66" s="282" t="s">
        <v>119</v>
      </c>
      <c r="B66" s="56" t="str">
        <f>if('WEEK 23'!B57="",'WEEK 23'!B45,'WEEK 23'!B57)</f>
        <v/>
      </c>
      <c r="C66" s="13"/>
      <c r="D66" s="13"/>
      <c r="E66" s="13"/>
      <c r="F66" s="57"/>
      <c r="G66" s="103"/>
      <c r="H66" s="103"/>
      <c r="I66" s="103"/>
      <c r="J66" s="103"/>
      <c r="K66" s="103"/>
      <c r="L66" s="222"/>
      <c r="M66" s="103"/>
      <c r="N66" s="103"/>
      <c r="O66" s="103"/>
      <c r="P66" s="103"/>
      <c r="Q66" s="103"/>
      <c r="R66" s="103"/>
      <c r="S66" s="103"/>
      <c r="T66" s="103"/>
    </row>
    <row r="67">
      <c r="A67" s="58" t="s">
        <v>50</v>
      </c>
      <c r="B67" s="59" t="s">
        <v>51</v>
      </c>
      <c r="C67" s="59" t="s">
        <v>52</v>
      </c>
      <c r="D67" s="59" t="s">
        <v>53</v>
      </c>
      <c r="E67" s="60" t="s">
        <v>54</v>
      </c>
      <c r="F67" s="61" t="s">
        <v>55</v>
      </c>
      <c r="G67" s="234"/>
      <c r="H67" s="234"/>
      <c r="I67" s="234"/>
      <c r="J67" s="234"/>
      <c r="K67" s="234"/>
      <c r="L67" s="299"/>
      <c r="M67" s="234"/>
      <c r="N67" s="234"/>
      <c r="O67" s="234"/>
      <c r="P67" s="234"/>
      <c r="Q67" s="234"/>
      <c r="R67" s="234"/>
      <c r="S67" s="234"/>
      <c r="T67" s="234"/>
    </row>
    <row r="68">
      <c r="A68" s="308">
        <v>1.0</v>
      </c>
      <c r="B68" s="63">
        <f> mround('WEEK 25'!B66*0.85,5)</f>
        <v>125</v>
      </c>
      <c r="C68" s="104" t="s">
        <v>65</v>
      </c>
      <c r="D68" s="65" t="s">
        <v>57</v>
      </c>
      <c r="E68" s="66" t="str">
        <f>if('WEEK 25'!B68='MSW21'!B71,'MSW21'!F71,"")</f>
        <v/>
      </c>
      <c r="F68" s="67"/>
      <c r="G68" s="234"/>
      <c r="H68" s="234"/>
      <c r="I68" s="234"/>
      <c r="J68" s="234"/>
      <c r="K68" s="234"/>
      <c r="L68" s="299"/>
      <c r="M68" s="234"/>
      <c r="N68" s="234"/>
      <c r="O68" s="234"/>
      <c r="P68" s="234"/>
      <c r="Q68" s="234"/>
      <c r="R68" s="234"/>
      <c r="S68" s="234"/>
      <c r="T68" s="234"/>
    </row>
    <row r="69">
      <c r="A69" s="308">
        <v>2.0</v>
      </c>
      <c r="B69" s="63">
        <f>IF('WEEK 25'!F68&lt;6,MROUND('WEEK 25'!B66*0.75,5),IF('WEEK 25'!F68&lt;=11,MROUND('WEEK 25'!B66*0.8,5),'WEEK 25'!B68))</f>
        <v>110</v>
      </c>
      <c r="C69" s="104" t="s">
        <v>65</v>
      </c>
      <c r="D69" s="65" t="s">
        <v>57</v>
      </c>
      <c r="E69" s="66" t="str">
        <f>if('WEEK 25'!B69='MSW21'!B72,'MSW21'!F72,"")</f>
        <v/>
      </c>
      <c r="F69" s="67"/>
      <c r="G69" s="234"/>
      <c r="H69" s="234"/>
      <c r="I69" s="234"/>
      <c r="J69" s="234"/>
      <c r="K69" s="234"/>
      <c r="L69" s="299"/>
      <c r="M69" s="234"/>
      <c r="N69" s="234"/>
      <c r="O69" s="234"/>
      <c r="P69" s="234"/>
      <c r="Q69" s="234"/>
      <c r="R69" s="234"/>
      <c r="S69" s="234"/>
      <c r="T69" s="234"/>
    </row>
    <row r="70">
      <c r="A70" s="68">
        <v>3.0</v>
      </c>
      <c r="B70" s="87">
        <f>IF('WEEK 25'!F69&lt;6,MROUND('WEEK 25'!B69*0.8,5),IF('WEEK 25'!F69&lt;=11,MROUND('WEEK 25'!B66*0.85,5),'WEEK 25'!B69))</f>
        <v>90</v>
      </c>
      <c r="C70" s="105" t="s">
        <v>65</v>
      </c>
      <c r="D70" s="309" t="s">
        <v>57</v>
      </c>
      <c r="E70" s="72" t="str">
        <f>if('WEEK 25'!B70='MSW21'!B73,'MSW21'!F73,"")</f>
        <v/>
      </c>
      <c r="F70" s="67"/>
      <c r="G70" s="234"/>
      <c r="H70" s="234"/>
      <c r="I70" s="234"/>
      <c r="J70" s="234"/>
      <c r="K70" s="234"/>
      <c r="L70" s="299"/>
      <c r="M70" s="234"/>
      <c r="N70" s="234"/>
      <c r="O70" s="234"/>
      <c r="P70" s="234"/>
      <c r="Q70" s="234"/>
      <c r="R70" s="234"/>
      <c r="S70" s="234"/>
      <c r="T70" s="234"/>
    </row>
    <row r="71">
      <c r="A71" s="103"/>
      <c r="B71" s="103"/>
      <c r="C71" s="103"/>
      <c r="D71" s="103"/>
      <c r="E71" s="222"/>
      <c r="F71" s="103"/>
      <c r="G71" s="103"/>
      <c r="H71" s="103"/>
      <c r="I71" s="103"/>
      <c r="J71" s="103"/>
      <c r="K71" s="103"/>
      <c r="L71" s="222"/>
      <c r="M71" s="103"/>
      <c r="N71" s="103"/>
      <c r="O71" s="103"/>
      <c r="P71" s="103"/>
      <c r="Q71" s="103"/>
      <c r="R71" s="103"/>
      <c r="S71" s="103"/>
      <c r="T71" s="103"/>
    </row>
    <row r="72" ht="21.75" customHeight="1">
      <c r="A72" s="310" t="str">
        <f>HYPERLINK("https://docs.google.com/a/fitnessresults.com/forms/d/e/1FAIpQLSd7MoczESe8Yjv6BKpmwAZGn9Aiymrs9-UdgfYIUpbr9t5NXg/viewform?usp=pp_url&amp;entry.93370101","CLICK TO COMPLETE WORKOUT")</f>
        <v>CLICK TO COMPLETE WORKOUT</v>
      </c>
      <c r="B72" s="36"/>
      <c r="C72" s="36"/>
      <c r="D72" s="36"/>
      <c r="E72" s="36"/>
      <c r="F72" s="37"/>
      <c r="G72" s="103"/>
      <c r="H72" s="103"/>
      <c r="I72" s="103"/>
      <c r="J72" s="103"/>
      <c r="K72" s="103"/>
      <c r="L72" s="222"/>
      <c r="M72" s="103"/>
      <c r="N72" s="103"/>
      <c r="O72" s="103"/>
      <c r="P72" s="103"/>
      <c r="Q72" s="103"/>
      <c r="R72" s="103"/>
      <c r="S72" s="103"/>
      <c r="T72" s="103"/>
    </row>
    <row r="73">
      <c r="G73" s="23"/>
      <c r="H73" s="23"/>
      <c r="I73" s="23"/>
      <c r="J73" s="23"/>
      <c r="K73" s="23"/>
      <c r="L73" s="23"/>
      <c r="M73" s="23"/>
      <c r="N73" s="103"/>
      <c r="O73" s="103"/>
      <c r="P73" s="103"/>
      <c r="Q73" s="103"/>
      <c r="R73" s="103"/>
      <c r="S73" s="103"/>
      <c r="T73" s="103"/>
    </row>
    <row r="74" ht="21.75" customHeight="1">
      <c r="A74" s="224" t="s">
        <v>128</v>
      </c>
      <c r="B74" s="36"/>
      <c r="C74" s="36"/>
      <c r="D74" s="36"/>
      <c r="E74" s="36"/>
      <c r="F74" s="37"/>
      <c r="G74" s="103"/>
      <c r="H74" s="103"/>
      <c r="I74" s="103"/>
      <c r="J74" s="103"/>
      <c r="K74" s="103"/>
      <c r="L74" s="222"/>
      <c r="M74" s="103"/>
      <c r="N74" s="103"/>
      <c r="O74" s="103"/>
      <c r="P74" s="103"/>
      <c r="Q74" s="103"/>
      <c r="R74" s="103"/>
      <c r="S74" s="103"/>
      <c r="T74" s="103"/>
    </row>
    <row r="75" ht="21.75" customHeight="1">
      <c r="A75" s="311"/>
      <c r="B75" s="311"/>
      <c r="C75" s="311"/>
      <c r="D75" s="311"/>
      <c r="E75" s="311"/>
      <c r="F75" s="311"/>
      <c r="G75" s="103"/>
      <c r="H75" s="103"/>
      <c r="I75" s="103"/>
      <c r="J75" s="103"/>
      <c r="K75" s="103"/>
      <c r="L75" s="222"/>
      <c r="M75" s="103"/>
      <c r="N75" s="103"/>
      <c r="O75" s="103"/>
      <c r="P75" s="103"/>
      <c r="Q75" s="103"/>
      <c r="R75" s="103"/>
      <c r="S75" s="103"/>
      <c r="T75" s="103"/>
    </row>
    <row r="76">
      <c r="A76" s="220"/>
      <c r="B76" s="220"/>
      <c r="C76" s="220"/>
      <c r="D76" s="220"/>
      <c r="E76" s="279"/>
      <c r="F76" s="220"/>
      <c r="G76" s="103"/>
      <c r="H76" s="103"/>
      <c r="I76" s="103"/>
      <c r="J76" s="103"/>
      <c r="K76" s="103"/>
      <c r="L76" s="222"/>
      <c r="M76" s="103"/>
      <c r="N76" s="103"/>
      <c r="O76" s="103"/>
      <c r="P76" s="103"/>
      <c r="Q76" s="103"/>
      <c r="R76" s="103"/>
      <c r="S76" s="103"/>
      <c r="T76" s="103"/>
    </row>
    <row r="77">
      <c r="A77" s="1355" t="str">
        <f>HYPERLINK("https://www.youtube.com/watch?v=5UOeRbRoFOI","1. MACHINE SQUAT")</f>
        <v>1. MACHINE SQUAT</v>
      </c>
      <c r="B77" s="53"/>
      <c r="C77" s="53"/>
      <c r="D77" s="53"/>
      <c r="E77" s="53"/>
      <c r="F77" s="54"/>
      <c r="G77" s="315"/>
      <c r="H77" s="103"/>
      <c r="I77" s="103"/>
      <c r="J77" s="103"/>
      <c r="K77" s="103"/>
      <c r="L77" s="222"/>
      <c r="M77" s="103"/>
      <c r="N77" s="103"/>
      <c r="O77" s="103"/>
      <c r="P77" s="103"/>
      <c r="Q77" s="103"/>
      <c r="R77" s="103"/>
      <c r="S77" s="103"/>
      <c r="T77" s="103"/>
    </row>
    <row r="78">
      <c r="A78" s="1262" t="s">
        <v>268</v>
      </c>
      <c r="B78" s="1035">
        <f>'WEEK 24'!B73</f>
        <v>100</v>
      </c>
      <c r="C78" s="13"/>
      <c r="D78" s="13"/>
      <c r="E78" s="13"/>
      <c r="F78" s="57"/>
      <c r="G78" s="103"/>
      <c r="H78" s="103"/>
      <c r="I78" s="103"/>
      <c r="J78" s="103"/>
      <c r="K78" s="103"/>
      <c r="L78" s="222"/>
      <c r="M78" s="103"/>
      <c r="N78" s="103"/>
      <c r="O78" s="103"/>
      <c r="P78" s="103"/>
      <c r="Q78" s="103"/>
      <c r="R78" s="103"/>
      <c r="S78" s="103"/>
      <c r="T78" s="103"/>
    </row>
    <row r="79">
      <c r="A79" s="962" t="s">
        <v>50</v>
      </c>
      <c r="B79" s="1203" t="s">
        <v>51</v>
      </c>
      <c r="C79" s="963" t="s">
        <v>52</v>
      </c>
      <c r="D79" s="963" t="s">
        <v>53</v>
      </c>
      <c r="E79" s="1073" t="s">
        <v>54</v>
      </c>
      <c r="F79" s="1006" t="s">
        <v>55</v>
      </c>
      <c r="G79" s="234"/>
      <c r="H79" s="234"/>
      <c r="I79" s="234"/>
      <c r="J79" s="234"/>
      <c r="K79" s="234"/>
      <c r="L79" s="299"/>
      <c r="M79" s="234"/>
      <c r="N79" s="234"/>
      <c r="O79" s="234"/>
      <c r="P79" s="234"/>
      <c r="Q79" s="234"/>
      <c r="R79" s="234"/>
      <c r="S79" s="234"/>
      <c r="T79" s="234"/>
    </row>
    <row r="80">
      <c r="A80" s="1307">
        <v>1.0</v>
      </c>
      <c r="B80" s="1015">
        <f>mround('WEEK 25'!B78*0.5,5)</f>
        <v>50</v>
      </c>
      <c r="C80" s="1234">
        <v>30.0</v>
      </c>
      <c r="D80" s="1234" t="s">
        <v>122</v>
      </c>
      <c r="E80" s="1108" t="str">
        <f>if('WEEK 25'!B80='MSW19'!B77,'MSW19'!F77,"")</f>
        <v/>
      </c>
      <c r="F80" s="1131"/>
      <c r="G80" s="234"/>
      <c r="H80" s="318"/>
      <c r="I80" s="234"/>
      <c r="J80" s="234"/>
      <c r="K80" s="234"/>
      <c r="L80" s="299"/>
      <c r="M80" s="234"/>
      <c r="N80" s="234"/>
      <c r="O80" s="234"/>
      <c r="P80" s="234"/>
      <c r="Q80" s="234"/>
      <c r="R80" s="234"/>
      <c r="S80" s="234"/>
      <c r="T80" s="234"/>
    </row>
    <row r="81">
      <c r="A81" s="967">
        <v>2.0</v>
      </c>
      <c r="B81" s="1015">
        <f>mround('WEEK 25'!B78*0.5,5)</f>
        <v>50</v>
      </c>
      <c r="C81" s="1067">
        <v>30.0</v>
      </c>
      <c r="D81" s="1234" t="s">
        <v>122</v>
      </c>
      <c r="E81" s="1108" t="str">
        <f>if('WEEK 25'!B81='MSW19'!B78,'MSW19'!F78,"")</f>
        <v/>
      </c>
      <c r="F81" s="1131"/>
      <c r="G81" s="234"/>
      <c r="H81" s="234"/>
      <c r="I81" s="234"/>
      <c r="J81" s="234"/>
      <c r="K81" s="234"/>
      <c r="L81" s="299"/>
      <c r="M81" s="234"/>
      <c r="N81" s="234"/>
      <c r="O81" s="234"/>
      <c r="P81" s="234"/>
      <c r="Q81" s="234"/>
      <c r="R81" s="234"/>
      <c r="S81" s="234"/>
      <c r="T81" s="234"/>
    </row>
    <row r="82">
      <c r="A82" s="1308">
        <v>3.0</v>
      </c>
      <c r="B82" s="1205">
        <f>mround('WEEK 25'!B78*0.5,5)</f>
        <v>50</v>
      </c>
      <c r="C82" s="1239">
        <v>30.0</v>
      </c>
      <c r="D82" s="1234" t="s">
        <v>122</v>
      </c>
      <c r="E82" s="1108" t="str">
        <f>if('WEEK 25'!B82='MSW19'!B79,'MSW19'!F79,"")</f>
        <v/>
      </c>
      <c r="F82" s="1131"/>
      <c r="G82" s="234"/>
      <c r="H82" s="234"/>
      <c r="I82" s="234"/>
      <c r="J82" s="234"/>
      <c r="K82" s="234"/>
      <c r="L82" s="299"/>
      <c r="M82" s="234"/>
      <c r="N82" s="234"/>
      <c r="O82" s="234"/>
      <c r="P82" s="234"/>
      <c r="Q82" s="234"/>
      <c r="R82" s="234"/>
      <c r="S82" s="234"/>
      <c r="T82" s="234"/>
    </row>
    <row r="83">
      <c r="A83" s="1308" t="str">
        <f>IF(OR(ISBLANK('WEEK 25'!F80),ISBLANK('WEEK 25'!F81),ISBLANK('WEEK 25'!F82),),"",IF('WEEK 25'!F82&lt;10,"",4))</f>
        <v/>
      </c>
      <c r="B83" s="1028" t="str">
        <f>IF(OR(ISBLANK('WEEK 25'!F80),ISBLANK('WEEK 25'!F81),ISBLANK('WEEK 25'!F82),),"",IF('WEEK 25'!F82&lt;10,"",IF('WEEK 25'!F82&gt;=10,B82,)))</f>
        <v/>
      </c>
      <c r="C83" s="1205" t="str">
        <f>IF(OR(ISBLANK('WEEK 25'!F80),ISBLANK('WEEK 25'!F81),ISBLANK('WEEK 25'!F82)),"",IF('WEEK 25'!F82&lt;10,"",30))</f>
        <v/>
      </c>
      <c r="D83" s="1234" t="str">
        <f>IF(OR(ISBLANK('WEEK 25'!F80),ISBLANK('WEEK 25'!F81),ISBLANK('WEEK 25'!F82)),"",IF('WEEK 25'!F82&gt;=10,"1-5 MIN",""))</f>
        <v/>
      </c>
      <c r="E83" s="1108" t="str">
        <f>if('WEEK 25'!B83='MSW19'!B80,'MSW19'!F80,"")</f>
        <v/>
      </c>
      <c r="F83" s="1309"/>
      <c r="G83" s="234"/>
      <c r="H83" s="234"/>
      <c r="I83" s="234"/>
      <c r="J83" s="234"/>
      <c r="K83" s="234"/>
      <c r="L83" s="299"/>
      <c r="M83" s="234"/>
      <c r="N83" s="234"/>
      <c r="O83" s="234"/>
      <c r="P83" s="234"/>
      <c r="Q83" s="234"/>
      <c r="R83" s="234"/>
      <c r="S83" s="234"/>
      <c r="T83" s="234"/>
    </row>
    <row r="84">
      <c r="A84" s="1308" t="str">
        <f>IF(OR(ISBLANK('WEEK 25'!F80),ISBLANK('WEEK 25'!F81),ISBLANK('WEEK 25'!F82),ISBLANK('WEEK 25'!F83)), "",IF('WEEK 25'!F83&gt;=10,"5",""))</f>
        <v/>
      </c>
      <c r="B84" s="1205" t="str">
        <f>IF(OR(ISBLANK('WEEK 25'!F80),ISBLANK('WEEK 25'!F81),ISBLANK('WEEK 25'!F82),ISBLANK('WEEK 25'!F83)),"",IF('WEEK 25'!F83&lt;10,"",IF('WEEK 25'!F83&gt;=10,B83,)))</f>
        <v/>
      </c>
      <c r="C84" s="1234" t="str">
        <f>IF(OR(ISBLANK('WEEK 25'!F80),ISBLANK('WEEK 25'!F81),ISBLANK('WEEK 25'!F82),ISBLANK('WEEK 25'!F83)), "",IF('WEEK 25'!F83&gt;=10,"30",""))</f>
        <v/>
      </c>
      <c r="D84" s="1234" t="str">
        <f>IF(OR(ISBLANK('WEEK 25'!F80),ISBLANK('WEEK 25'!F81),ISBLANK('WEEK 25'!F82),ISBLANK('WEEK 25'!F83)), "",IF('WEEK 25'!F83&gt;=10,"1-5 MIN",""))</f>
        <v/>
      </c>
      <c r="E84" s="1108" t="str">
        <f>if('WEEK 25'!B84='MSW19'!B81,'MSW19'!F81,"")</f>
        <v/>
      </c>
      <c r="F84" s="1131"/>
      <c r="G84" s="234"/>
      <c r="H84" s="234"/>
      <c r="I84" s="234"/>
      <c r="J84" s="234"/>
      <c r="K84" s="234"/>
      <c r="L84" s="299"/>
      <c r="M84" s="234"/>
      <c r="N84" s="234"/>
      <c r="O84" s="234"/>
      <c r="P84" s="234"/>
      <c r="Q84" s="234"/>
      <c r="R84" s="234"/>
      <c r="S84" s="234"/>
      <c r="T84" s="234"/>
    </row>
    <row r="85">
      <c r="A85" s="1310" t="str">
        <f>IF(OR(ISBLANK('WEEK 25'!F80),ISBLANK('WEEK 25'!F81),ISBLANK('WEEK 25'!F82),ISBLANK('WEEK 25'!F83),ISBLANK('WEEK 25'!F84)), "",IF('WEEK 25'!F84&lt;10,"","6"))</f>
        <v/>
      </c>
      <c r="B85" s="1205" t="str">
        <f>IF(OR(ISBLANK('WEEK 25'!F80),ISBLANK('WEEK 25'!F81),ISBLANK('WEEK 25'!F82),ISBLANK('WEEK 25'!F83),ISBLANK('WEEK 25'!F84)), "",IF('WEEK 25'!F84&lt;10,"",IF('WEEK 25'!F84&gt;=10,B84,)))</f>
        <v/>
      </c>
      <c r="C85" s="1311" t="str">
        <f>IF(OR(ISBLANK('WEEK 25'!F80),ISBLANK('WEEK 25'!F81),ISBLANK('WEEK 25'!F82),ISBLANK('WEEK 25'!F83),ISBLANK('WEEK 25'!F84)), "",IF('WEEK 25'!F84&gt;=10,"30",""))</f>
        <v/>
      </c>
      <c r="D85" s="1234" t="str">
        <f>IF(OR(ISBLANK('WEEK 25'!F80),ISBLANK('WEEK 25'!F81),ISBLANK('WEEK 25'!F82),ISBLANK('WEEK 25'!F83),ISBLANK('WEEK 25'!F84)), "",IF('WEEK 25'!F84&gt;=10,"1-5 MIN",""))</f>
        <v/>
      </c>
      <c r="E85" s="1108" t="str">
        <f>if('WEEK 25'!B85='MSW19'!B82,'MSW19'!F82,"")</f>
        <v/>
      </c>
      <c r="F85" s="1017"/>
      <c r="G85" s="234"/>
      <c r="H85" s="234"/>
      <c r="I85" s="234"/>
      <c r="J85" s="234"/>
      <c r="K85" s="234"/>
      <c r="L85" s="299"/>
      <c r="M85" s="234"/>
      <c r="N85" s="234"/>
      <c r="O85" s="234"/>
      <c r="P85" s="234"/>
      <c r="Q85" s="234"/>
      <c r="R85" s="234"/>
      <c r="S85" s="234"/>
      <c r="T85" s="234"/>
    </row>
    <row r="86">
      <c r="A86" s="1310" t="str">
        <f>IF(OR(ISBLANK('WEEK 25'!F80),ISBLANK('WEEK 25'!F81),ISBLANK('WEEK 25'!F82),ISBLANK('WEEK 25'!F83),ISBLANK('WEEK 25'!F84),ISBLANK('WEEK 25'!F85)), "",IF('WEEK 25'!F85&lt;10,"",7))</f>
        <v/>
      </c>
      <c r="B86" s="1205" t="str">
        <f>IF(OR(ISBLANK('WEEK 25'!F80),ISBLANK('WEEK 25'!F81),ISBLANK('WEEK 25'!F82),ISBLANK('WEEK 25'!F83),ISBLANK('WEEK 25'!F84),ISBLANK('WEEK 25'!F85)), "",IF('WEEK 25'!F85&lt;10,"",IF('WEEK 25'!F85&gt;=10,B85,)))</f>
        <v/>
      </c>
      <c r="C86" s="1311" t="str">
        <f>IF(OR(ISBLANK('WEEK 25'!F80),ISBLANK('WEEK 25'!F81),ISBLANK('WEEK 25'!F82),ISBLANK('WEEK 25'!F83),ISBLANK('WEEK 25'!F84),ISBLANK('WEEK 25'!F85)), "",IF('WEEK 25'!F85&gt;=10,C85,""))</f>
        <v/>
      </c>
      <c r="D86" s="1234" t="str">
        <f>IF(OR(ISBLANK('WEEK 25'!F80),ISBLANK('WEEK 25'!F81),ISBLANK('WEEK 25'!F82),ISBLANK('WEEK 25'!F83),ISBLANK('WEEK 25'!F84),ISBLANK('WEEK 25'!F85)), "",IF('WEEK 25'!F85&gt;=10,D85,""))</f>
        <v/>
      </c>
      <c r="E86" s="1108" t="str">
        <f>if('WEEK 25'!B86='MSW19'!B83,'MSW19'!F83,"")</f>
        <v/>
      </c>
      <c r="F86" s="1085"/>
      <c r="G86" s="234"/>
      <c r="H86" s="234"/>
      <c r="I86" s="234"/>
      <c r="J86" s="234"/>
      <c r="K86" s="234"/>
      <c r="L86" s="299"/>
      <c r="M86" s="234"/>
      <c r="N86" s="234"/>
      <c r="O86" s="234"/>
      <c r="P86" s="234"/>
      <c r="Q86" s="234"/>
      <c r="R86" s="234"/>
      <c r="S86" s="234"/>
      <c r="T86" s="234"/>
    </row>
    <row r="87">
      <c r="A87" s="1310" t="str">
        <f>IF(OR(ISBLANK('WEEK 25'!F80),ISBLANK('WEEK 25'!F81),ISBLANK('WEEK 25'!F82),ISBLANK('WEEK 25'!F83),ISBLANK('WEEK 25'!F84),ISBLANK('WEEK 25'!F85),ISBLANK('WEEK 25'!F92)), "",IF('WEEK 25'!F92&lt;10,"","8"))</f>
        <v/>
      </c>
      <c r="B87" s="1205" t="str">
        <f>IF('WEEK 25'!F92&lt;10,"",IF('WEEK 25'!F92&gt;=10,B86,))</f>
        <v/>
      </c>
      <c r="C87" s="1311" t="str">
        <f>IF(OR(ISBLANK('WEEK 25'!F80),ISBLANK('WEEK 25'!F81),ISBLANK('WEEK 25'!F82),ISBLANK('WEEK 25'!F83),ISBLANK('WEEK 25'!F84),ISBLANK('WEEK 25'!F85),ISBLANK('WEEK 25'!F92)), "",IF('WEEK 25'!F92&gt;=10,"30",""))</f>
        <v/>
      </c>
      <c r="D87" s="1234" t="str">
        <f>IF(OR(ISBLANK('WEEK 25'!F80),ISBLANK('WEEK 25'!F81),ISBLANK('WEEK 25'!F82),ISBLANK('WEEK 25'!F83),ISBLANK('WEEK 25'!F84),ISBLANK('WEEK 25'!F85),ISBLANK('WEEK 25'!F92)), "",IF('WEEK 25'!F92&gt;=10,"1-5 MIN",""))</f>
        <v/>
      </c>
      <c r="E87" s="1108" t="str">
        <f>if('WEEK 25'!B87='MSW19'!B84,'MSW19'!F84,"")</f>
        <v/>
      </c>
      <c r="F87" s="1313"/>
      <c r="G87" s="234"/>
      <c r="H87" s="234"/>
      <c r="I87" s="234"/>
      <c r="J87" s="234"/>
      <c r="K87" s="234"/>
      <c r="L87" s="299"/>
      <c r="M87" s="234"/>
      <c r="N87" s="234"/>
      <c r="O87" s="234"/>
      <c r="P87" s="234"/>
      <c r="Q87" s="234"/>
      <c r="R87" s="234"/>
      <c r="S87" s="234"/>
      <c r="T87" s="234"/>
    </row>
    <row r="88">
      <c r="A88" s="1310" t="str">
        <f>IF(OR(ISBLANK('WEEK 25'!F80),ISBLANK('WEEK 25'!F81),ISBLANK('WEEK 25'!F82),ISBLANK('WEEK 25'!F83),ISBLANK('WEEK 25'!F84),ISBLANK('WEEK 25'!F85),ISBLANK('WEEK 25'!F92),ISBLANK('WEEK 25'!F93)), "",IF('WEEK 25'!F93&lt;10,"","9"))</f>
        <v/>
      </c>
      <c r="B88" s="1205" t="str">
        <f>IF('WEEK 25'!F93&lt;10,"",IF('WEEK 25'!F93&gt;=10,B87,))</f>
        <v/>
      </c>
      <c r="C88" s="1311" t="str">
        <f>IF(OR(ISBLANK('WEEK 25'!F80),ISBLANK('WEEK 25'!F81),ISBLANK('WEEK 25'!F82),ISBLANK('WEEK 25'!F83),ISBLANK('WEEK 25'!F84),ISBLANK('WEEK 25'!F85),ISBLANK('WEEK 25'!F92),ISBLANK('WEEK 25'!F93)), "",IF('WEEK 25'!F93&gt;=10,"30",""))</f>
        <v/>
      </c>
      <c r="D88" s="1234" t="str">
        <f>IF(OR(ISBLANK('WEEK 25'!F80),ISBLANK('WEEK 25'!F81),ISBLANK('WEEK 25'!F82),ISBLANK('WEEK 25'!F83),ISBLANK('WEEK 25'!F84),ISBLANK('WEEK 25'!F85),ISBLANK('WEEK 25'!F92),ISBLANK('WEEK 25'!F93)), "",IF('WEEK 25'!F93&gt;=10,"1-5 MIN",""))</f>
        <v/>
      </c>
      <c r="E88" s="1108" t="str">
        <f>if('WEEK 25'!B88='MSW19'!B85,'MSW19'!F85,"")</f>
        <v/>
      </c>
      <c r="F88" s="1017"/>
      <c r="G88" s="234"/>
      <c r="H88" s="234"/>
      <c r="I88" s="234"/>
      <c r="J88" s="234"/>
      <c r="K88" s="234"/>
      <c r="L88" s="299"/>
      <c r="M88" s="234"/>
      <c r="N88" s="234"/>
      <c r="O88" s="234"/>
      <c r="P88" s="234"/>
      <c r="Q88" s="234"/>
      <c r="R88" s="234"/>
      <c r="S88" s="234"/>
      <c r="T88" s="234"/>
    </row>
    <row r="89">
      <c r="A89" s="1503" t="str">
        <f>IF(OR(ISBLANK('WEEK 25'!F80),ISBLANK('WEEK 25'!F81),ISBLANK('WEEK 25'!F82),ISBLANK('WEEK 25'!F83),ISBLANK('WEEK 25'!F84),ISBLANK('WEEK 25'!F85),ISBLANK('WEEK 25'!F92),ISBLANK('WEEK 25'!F93),ISBLANK('WEEK 25'!F94)), "",IF('WEEK 25'!F94&lt;10,"","10"))</f>
        <v/>
      </c>
      <c r="B89" s="1504" t="str">
        <f>IF('WEEK 25'!F94&lt;10,"",IF('WEEK 25'!F94&gt;=10,B88,))</f>
        <v/>
      </c>
      <c r="C89" s="1436" t="str">
        <f>IF(OR(ISBLANK('WEEK 25'!F80),ISBLANK('WEEK 25'!F81),ISBLANK('WEEK 25'!F82),ISBLANK('WEEK 25'!F83),ISBLANK('WEEK 25'!F84),ISBLANK('WEEK 25'!F85),ISBLANK('WEEK 25'!F92),ISBLANK('WEEK 25'!F93),ISBLANK('WEEK 25'!F94)), "",IF('WEEK 25'!F94&gt;=10,"30",""))</f>
        <v/>
      </c>
      <c r="D89" s="1505" t="str">
        <f>IF(OR(ISBLANK('WEEK 25'!F80),ISBLANK('WEEK 25'!F81),ISBLANK('WEEK 25'!F82),ISBLANK('WEEK 25'!F83),ISBLANK('WEEK 25'!F84),ISBLANK('WEEK 25'!F85),ISBLANK('WEEK 25'!F92),ISBLANK('WEEK 25'!F93),ISBLANK('WEEK 25'!F94)), "",IF('WEEK 25'!F94&gt;=10,"1-5 MIN",""))</f>
        <v/>
      </c>
      <c r="E89" s="1351" t="str">
        <f>if('WEEK 25'!B89='MSW19'!B86,'MSW19'!F86,"")</f>
        <v/>
      </c>
      <c r="F89" s="1017"/>
      <c r="G89" s="234"/>
      <c r="H89" s="234"/>
      <c r="I89" s="234"/>
      <c r="J89" s="234"/>
      <c r="K89" s="234"/>
      <c r="L89" s="299"/>
      <c r="M89" s="234"/>
      <c r="N89" s="234"/>
      <c r="O89" s="234"/>
      <c r="P89" s="234"/>
      <c r="Q89" s="234"/>
      <c r="R89" s="234"/>
      <c r="S89" s="234"/>
      <c r="T89" s="234"/>
    </row>
    <row r="90">
      <c r="A90" s="233"/>
      <c r="B90" s="233"/>
      <c r="C90" s="233"/>
      <c r="D90" s="233"/>
      <c r="E90" s="319"/>
      <c r="F90" s="233"/>
      <c r="G90" s="234"/>
      <c r="H90" s="234"/>
      <c r="I90" s="234"/>
      <c r="J90" s="234"/>
      <c r="K90" s="234"/>
      <c r="L90" s="299"/>
      <c r="M90" s="234"/>
      <c r="N90" s="234"/>
      <c r="O90" s="234"/>
      <c r="P90" s="234"/>
      <c r="Q90" s="234"/>
      <c r="R90" s="234"/>
      <c r="S90" s="234"/>
      <c r="T90" s="234"/>
    </row>
    <row r="91">
      <c r="A91" s="320"/>
      <c r="B91" s="320"/>
      <c r="C91" s="320"/>
      <c r="D91" s="320"/>
      <c r="E91" s="321"/>
      <c r="F91" s="320"/>
      <c r="G91" s="103"/>
      <c r="H91" s="103"/>
      <c r="I91" s="103"/>
      <c r="J91" s="103"/>
      <c r="K91" s="103"/>
      <c r="L91" s="222"/>
      <c r="M91" s="103"/>
      <c r="N91" s="103"/>
      <c r="O91" s="103"/>
      <c r="P91" s="103"/>
      <c r="Q91" s="103"/>
      <c r="R91" s="103"/>
      <c r="S91" s="103"/>
      <c r="T91" s="103"/>
    </row>
    <row r="92">
      <c r="A92" s="93" t="str">
        <f>HYPERLINK("https://youtu.be/NZ9KiFtbiMs","LEG EXTENSION")</f>
        <v>LEG EXTENSION</v>
      </c>
      <c r="B92" s="53"/>
      <c r="C92" s="53"/>
      <c r="D92" s="53"/>
      <c r="E92" s="53"/>
      <c r="F92" s="54"/>
      <c r="G92" s="103"/>
      <c r="H92" s="103"/>
      <c r="I92" s="103"/>
      <c r="J92" s="103"/>
      <c r="K92" s="103"/>
      <c r="L92" s="222"/>
      <c r="M92" s="103"/>
      <c r="N92" s="103"/>
      <c r="O92" s="103"/>
      <c r="P92" s="103"/>
      <c r="Q92" s="103"/>
      <c r="R92" s="103"/>
      <c r="S92" s="103"/>
      <c r="T92" s="103"/>
    </row>
    <row r="93">
      <c r="A93" s="226" t="s">
        <v>119</v>
      </c>
      <c r="B93" s="1367">
        <f>IF('WEEK 24'!B79='WEEK 24'!B91,'WEEK 24'!B79+5,IF('WEEK 24'!F79&lt;=9,MROUND('WEEK 24'!B77*0.95,5),'WEEK 24'!B79))</f>
        <v>50</v>
      </c>
      <c r="C93" s="20"/>
      <c r="D93" s="20"/>
      <c r="E93" s="20"/>
      <c r="F93" s="95"/>
      <c r="G93" s="103"/>
      <c r="H93" s="103"/>
      <c r="I93" s="103"/>
      <c r="J93" s="103"/>
      <c r="K93" s="103"/>
      <c r="L93" s="222"/>
      <c r="M93" s="103"/>
      <c r="N93" s="103"/>
      <c r="O93" s="103"/>
      <c r="P93" s="103"/>
      <c r="Q93" s="103"/>
      <c r="R93" s="103"/>
      <c r="S93" s="103"/>
      <c r="T93" s="103"/>
    </row>
    <row r="94">
      <c r="A94" s="96" t="s">
        <v>50</v>
      </c>
      <c r="B94" s="97" t="s">
        <v>51</v>
      </c>
      <c r="C94" s="97" t="s">
        <v>52</v>
      </c>
      <c r="D94" s="97" t="s">
        <v>53</v>
      </c>
      <c r="E94" s="98" t="s">
        <v>54</v>
      </c>
      <c r="F94" s="235" t="s">
        <v>55</v>
      </c>
      <c r="G94" s="234"/>
      <c r="H94" s="234"/>
      <c r="I94" s="234"/>
      <c r="J94" s="234"/>
      <c r="K94" s="234"/>
      <c r="L94" s="299"/>
      <c r="M94" s="234"/>
      <c r="N94" s="234"/>
      <c r="O94" s="234"/>
      <c r="P94" s="234"/>
      <c r="Q94" s="234"/>
      <c r="R94" s="234"/>
      <c r="S94" s="234"/>
      <c r="T94" s="234"/>
    </row>
    <row r="95">
      <c r="A95" s="62">
        <v>1.0</v>
      </c>
      <c r="B95" s="99">
        <f> mround('WEEK 25'!B93*1.05,5)</f>
        <v>55</v>
      </c>
      <c r="C95" s="104" t="s">
        <v>65</v>
      </c>
      <c r="D95" s="83" t="s">
        <v>57</v>
      </c>
      <c r="E95" s="1108" t="str">
        <f>if('WEEK 25'!B95='MSW19'!B92,'MSW19'!F92,"")</f>
        <v/>
      </c>
      <c r="F95" s="85"/>
      <c r="G95" s="103"/>
      <c r="H95" s="103"/>
      <c r="I95" s="103"/>
      <c r="J95" s="103"/>
      <c r="K95" s="103"/>
      <c r="L95" s="222"/>
      <c r="M95" s="103"/>
      <c r="N95" s="103"/>
      <c r="O95" s="103"/>
      <c r="P95" s="103"/>
      <c r="Q95" s="103"/>
      <c r="R95" s="103"/>
      <c r="S95" s="103"/>
      <c r="T95" s="103"/>
    </row>
    <row r="96">
      <c r="A96" s="62">
        <v>2.0</v>
      </c>
      <c r="B96" s="99">
        <f>if('WEEK 25'!F95&lt;8,mround('WEEK 25'!B95*0.95,5),IF('WEEK 25'!F95&lt;=14,MROUND('WEEK 25'!B95*0.95,5),'WEEK 25'!B95))</f>
        <v>50</v>
      </c>
      <c r="C96" s="104" t="s">
        <v>65</v>
      </c>
      <c r="D96" s="83" t="s">
        <v>57</v>
      </c>
      <c r="E96" s="1108" t="str">
        <f>if('WEEK 25'!B96='MSW19'!B93,'MSW19'!F93,"")</f>
        <v/>
      </c>
      <c r="F96" s="85"/>
      <c r="G96" s="239"/>
      <c r="H96" s="239"/>
      <c r="I96" s="239"/>
      <c r="J96" s="239"/>
      <c r="K96" s="239"/>
      <c r="L96" s="322"/>
      <c r="M96" s="239"/>
      <c r="N96" s="239"/>
      <c r="O96" s="239"/>
      <c r="P96" s="239"/>
      <c r="Q96" s="239"/>
      <c r="R96" s="239"/>
      <c r="S96" s="239"/>
      <c r="T96" s="239"/>
    </row>
    <row r="97">
      <c r="A97" s="68">
        <v>3.0</v>
      </c>
      <c r="B97" s="101">
        <f>if('WEEK 25'!F96&lt;8,mround('WEEK 25'!B96*0.8,5),IF('WEEK 25'!F96&lt;=14,MROUND('WEEK 25'!B96*0.95,5),'WEEK 25'!B96))</f>
        <v>40</v>
      </c>
      <c r="C97" s="105" t="s">
        <v>65</v>
      </c>
      <c r="D97" s="88" t="s">
        <v>57</v>
      </c>
      <c r="E97" s="1351" t="str">
        <f>if('WEEK 25'!B97='MSW19'!B94,'MSW19'!F94,"")</f>
        <v/>
      </c>
      <c r="F97" s="85"/>
      <c r="G97" s="103"/>
      <c r="H97" s="103"/>
      <c r="I97" s="103"/>
      <c r="J97" s="103"/>
      <c r="K97" s="103"/>
      <c r="L97" s="222"/>
      <c r="M97" s="103"/>
      <c r="N97" s="103"/>
      <c r="O97" s="103"/>
      <c r="P97" s="103"/>
      <c r="Q97" s="103"/>
      <c r="R97" s="103"/>
      <c r="S97" s="103"/>
      <c r="T97" s="103"/>
    </row>
    <row r="98">
      <c r="A98" s="103"/>
      <c r="B98" s="103"/>
      <c r="C98" s="103"/>
      <c r="D98" s="103"/>
      <c r="E98" s="222"/>
      <c r="F98" s="103"/>
      <c r="G98" s="103"/>
      <c r="H98" s="103"/>
      <c r="I98" s="103"/>
      <c r="J98" s="103"/>
      <c r="K98" s="103"/>
      <c r="L98" s="222"/>
      <c r="M98" s="103"/>
      <c r="N98" s="103"/>
      <c r="O98" s="103"/>
      <c r="P98" s="103"/>
      <c r="Q98" s="103"/>
      <c r="R98" s="103"/>
      <c r="S98" s="103"/>
      <c r="T98" s="103"/>
    </row>
    <row r="99">
      <c r="A99" s="103"/>
      <c r="B99" s="103"/>
      <c r="C99" s="103"/>
      <c r="D99" s="103"/>
      <c r="E99" s="222"/>
      <c r="F99" s="103"/>
      <c r="G99" s="103"/>
      <c r="H99" s="103"/>
      <c r="I99" s="103"/>
      <c r="J99" s="103"/>
      <c r="K99" s="103"/>
      <c r="L99" s="222"/>
      <c r="M99" s="103"/>
      <c r="N99" s="103"/>
      <c r="O99" s="103"/>
      <c r="P99" s="103"/>
      <c r="Q99" s="103"/>
      <c r="R99" s="103"/>
      <c r="S99" s="103"/>
      <c r="T99" s="103"/>
    </row>
    <row r="100">
      <c r="A100" s="73" t="str">
        <f>HYPERLINK("https://youtu.be/XepOfsnGFJg","2. LEG CURL")</f>
        <v>2. LEG CURL</v>
      </c>
      <c r="B100" s="53"/>
      <c r="C100" s="53"/>
      <c r="D100" s="53"/>
      <c r="E100" s="53"/>
      <c r="F100" s="54"/>
      <c r="G100" s="103"/>
      <c r="H100" s="323" t="str">
        <f>HYPERLINK("https://youtu.be/kmN9cJ79PDE","4. PRONE LEG CURL")</f>
        <v>4. PRONE LEG CURL</v>
      </c>
      <c r="I100" s="53"/>
      <c r="J100" s="53"/>
      <c r="K100" s="53"/>
      <c r="L100" s="53"/>
      <c r="M100" s="54"/>
      <c r="N100" s="277"/>
      <c r="O100" s="103"/>
      <c r="P100" s="103"/>
      <c r="Q100" s="103"/>
      <c r="R100" s="103"/>
      <c r="S100" s="103"/>
      <c r="T100" s="103"/>
    </row>
    <row r="101">
      <c r="A101" s="226" t="s">
        <v>119</v>
      </c>
      <c r="B101" s="1367">
        <f>IF('WEEK 24'!B87='WEEK 24'!B99,'WEEK 24'!B87+5,IF('WEEK 24'!F87&lt;=9,MROUND('WEEK 24'!B85*0.95,5),'WEEK 24'!B87))</f>
        <v>15</v>
      </c>
      <c r="C101" s="20"/>
      <c r="D101" s="20"/>
      <c r="E101" s="20"/>
      <c r="F101" s="95"/>
      <c r="G101" s="103"/>
      <c r="H101" s="226" t="s">
        <v>119</v>
      </c>
      <c r="I101" s="94">
        <f>B101</f>
        <v>15</v>
      </c>
      <c r="J101" s="20"/>
      <c r="K101" s="20"/>
      <c r="L101" s="20"/>
      <c r="M101" s="95"/>
      <c r="N101" s="103"/>
      <c r="O101" s="103"/>
      <c r="P101" s="103"/>
      <c r="Q101" s="103"/>
      <c r="R101" s="103"/>
      <c r="S101" s="103"/>
      <c r="T101" s="103"/>
    </row>
    <row r="102">
      <c r="A102" s="96" t="s">
        <v>50</v>
      </c>
      <c r="B102" s="97" t="s">
        <v>51</v>
      </c>
      <c r="C102" s="97" t="s">
        <v>52</v>
      </c>
      <c r="D102" s="97" t="s">
        <v>53</v>
      </c>
      <c r="E102" s="98" t="s">
        <v>54</v>
      </c>
      <c r="F102" s="235" t="s">
        <v>55</v>
      </c>
      <c r="G102" s="234"/>
      <c r="H102" s="96" t="s">
        <v>50</v>
      </c>
      <c r="I102" s="97" t="s">
        <v>51</v>
      </c>
      <c r="J102" s="97" t="s">
        <v>52</v>
      </c>
      <c r="K102" s="97" t="s">
        <v>53</v>
      </c>
      <c r="L102" s="98" t="s">
        <v>54</v>
      </c>
      <c r="M102" s="235" t="s">
        <v>55</v>
      </c>
      <c r="N102" s="234"/>
      <c r="O102" s="234"/>
      <c r="P102" s="234"/>
      <c r="Q102" s="234"/>
      <c r="R102" s="234"/>
      <c r="S102" s="234"/>
      <c r="T102" s="234"/>
    </row>
    <row r="103">
      <c r="A103" s="62">
        <v>1.0</v>
      </c>
      <c r="B103" s="99">
        <f> mround('WEEK 25'!B101*1.05,5)</f>
        <v>15</v>
      </c>
      <c r="C103" s="104" t="s">
        <v>65</v>
      </c>
      <c r="D103" s="83" t="s">
        <v>57</v>
      </c>
      <c r="E103" s="1108" t="str">
        <f>if('WEEK 25'!B103='MSW19'!B100,'MSW19'!F100,"")</f>
        <v/>
      </c>
      <c r="F103" s="85"/>
      <c r="G103" s="324" t="s">
        <v>123</v>
      </c>
      <c r="H103" s="62">
        <v>1.0</v>
      </c>
      <c r="I103" s="99">
        <f> mround('WEEK 25'!I101*1.05,5)</f>
        <v>15</v>
      </c>
      <c r="J103" s="104" t="s">
        <v>65</v>
      </c>
      <c r="K103" s="83" t="s">
        <v>57</v>
      </c>
      <c r="L103" s="1108" t="str">
        <f>if('WEEK 25'!I103='MSW19'!I100,'MSW19'!M100,"")</f>
        <v/>
      </c>
      <c r="M103" s="85"/>
      <c r="N103" s="103"/>
      <c r="O103" s="103"/>
      <c r="P103" s="103"/>
      <c r="Q103" s="103"/>
      <c r="R103" s="103"/>
      <c r="S103" s="103"/>
      <c r="T103" s="103"/>
    </row>
    <row r="104">
      <c r="A104" s="62">
        <v>2.0</v>
      </c>
      <c r="B104" s="99">
        <f>if('WEEK 25'!F103&lt;8,mround('WEEK 25'!B103*0.95,5),IF('WEEK 25'!F103&lt;=14,MROUND('WEEK 25'!B103*0.95,5),'WEEK 25'!B103))</f>
        <v>15</v>
      </c>
      <c r="C104" s="104" t="s">
        <v>65</v>
      </c>
      <c r="D104" s="83" t="s">
        <v>57</v>
      </c>
      <c r="E104" s="1108" t="str">
        <f>if('WEEK 25'!B104='MSW19'!B101,'MSW19'!F101,"")</f>
        <v/>
      </c>
      <c r="F104" s="85"/>
      <c r="H104" s="62">
        <v>2.0</v>
      </c>
      <c r="I104" s="99">
        <f>if('WEEK 25'!M103&lt;5,mround('WEEK 25'!I103*0.8,5),IF('WEEK 25'!M103&lt;=10,MROUND('WEEK 25'!I103*0.95,5),'WEEK 25'!I103))</f>
        <v>10</v>
      </c>
      <c r="J104" s="104" t="s">
        <v>65</v>
      </c>
      <c r="K104" s="83" t="s">
        <v>57</v>
      </c>
      <c r="L104" s="1108" t="str">
        <f>if('WEEK 25'!I104='MSW19'!I101,'MSW19'!M101,"")</f>
        <v/>
      </c>
      <c r="M104" s="85"/>
      <c r="N104" s="239"/>
      <c r="O104" s="239"/>
      <c r="P104" s="239"/>
      <c r="Q104" s="239"/>
      <c r="R104" s="239"/>
      <c r="S104" s="239"/>
      <c r="T104" s="239"/>
    </row>
    <row r="105">
      <c r="A105" s="68">
        <v>3.0</v>
      </c>
      <c r="B105" s="101">
        <f>if('WEEK 25'!F104&lt;8,mround('WEEK 25'!B104*0.8,5),IF('WEEK 25'!F104&lt;=14,MROUND('WEEK 25'!B104*0.95,5),'WEEK 25'!B104))</f>
        <v>10</v>
      </c>
      <c r="C105" s="105" t="s">
        <v>65</v>
      </c>
      <c r="D105" s="88" t="s">
        <v>57</v>
      </c>
      <c r="E105" s="1351" t="str">
        <f>if('WEEK 25'!B105='MSW19'!B102,'MSW19'!F102,"")</f>
        <v/>
      </c>
      <c r="F105" s="85"/>
      <c r="G105" s="103"/>
      <c r="H105" s="68">
        <v>3.0</v>
      </c>
      <c r="I105" s="101">
        <f>if('WEEK 25'!M104&lt;4,mround('WEEK 25'!I104*0.8,5),IF('WEEK 25'!M104&lt;=10,MROUND('WEEK 25'!I104*0.95,5),'WEEK 25'!I104))</f>
        <v>10</v>
      </c>
      <c r="J105" s="105" t="s">
        <v>65</v>
      </c>
      <c r="K105" s="88" t="s">
        <v>57</v>
      </c>
      <c r="L105" s="1351" t="str">
        <f>if('WEEK 25'!I105='MSW19'!I102,'MSW19'!M102,"")</f>
        <v/>
      </c>
      <c r="M105" s="85"/>
      <c r="N105" s="103"/>
      <c r="O105" s="103"/>
      <c r="P105" s="103"/>
      <c r="Q105" s="103"/>
      <c r="R105" s="103"/>
      <c r="S105" s="103"/>
      <c r="T105" s="103"/>
    </row>
    <row r="106">
      <c r="A106" s="103"/>
      <c r="B106" s="103"/>
      <c r="C106" s="103"/>
      <c r="D106" s="103"/>
      <c r="E106" s="222"/>
      <c r="F106" s="103"/>
      <c r="G106" s="103"/>
      <c r="H106" s="103"/>
      <c r="I106" s="103"/>
      <c r="J106" s="103"/>
      <c r="K106" s="103"/>
      <c r="L106" s="222"/>
      <c r="M106" s="103"/>
      <c r="N106" s="103"/>
      <c r="O106" s="103"/>
      <c r="P106" s="103"/>
      <c r="Q106" s="103"/>
      <c r="R106" s="103"/>
      <c r="S106" s="103"/>
      <c r="T106" s="103"/>
    </row>
    <row r="107">
      <c r="A107" s="103"/>
      <c r="B107" s="103"/>
      <c r="C107" s="103"/>
      <c r="D107" s="103"/>
      <c r="E107" s="222"/>
      <c r="F107" s="103"/>
      <c r="G107" s="103"/>
      <c r="N107" s="103"/>
      <c r="O107" s="103"/>
      <c r="P107" s="103"/>
      <c r="Q107" s="103"/>
      <c r="R107" s="103"/>
      <c r="S107" s="103"/>
      <c r="T107" s="103"/>
    </row>
    <row r="108">
      <c r="A108" s="333" t="s">
        <v>62</v>
      </c>
      <c r="B108" s="25"/>
      <c r="C108" s="25"/>
      <c r="D108" s="25"/>
      <c r="E108" s="25"/>
      <c r="F108" s="26"/>
      <c r="G108" s="103"/>
      <c r="N108" s="103"/>
      <c r="O108" s="103"/>
      <c r="P108" s="103"/>
      <c r="Q108" s="103"/>
      <c r="R108" s="103"/>
      <c r="S108" s="103"/>
      <c r="T108" s="103"/>
    </row>
    <row r="109">
      <c r="A109" s="334"/>
      <c r="B109" s="25"/>
      <c r="C109" s="25"/>
      <c r="D109" s="25"/>
      <c r="E109" s="25"/>
      <c r="F109" s="25"/>
      <c r="G109" s="103"/>
      <c r="H109" s="512"/>
      <c r="N109" s="103"/>
      <c r="O109" s="103"/>
      <c r="P109" s="103"/>
      <c r="Q109" s="103"/>
      <c r="R109" s="103"/>
      <c r="S109" s="103"/>
      <c r="T109" s="103"/>
    </row>
    <row r="110">
      <c r="A110" s="11"/>
      <c r="B110" s="11"/>
      <c r="C110" s="11"/>
      <c r="D110" s="11"/>
      <c r="E110" s="11"/>
      <c r="F110" s="11"/>
      <c r="G110" s="103"/>
      <c r="N110" s="103"/>
      <c r="O110" s="103"/>
      <c r="P110" s="103"/>
      <c r="Q110" s="103"/>
      <c r="R110" s="103"/>
      <c r="S110" s="103"/>
      <c r="T110" s="103"/>
    </row>
    <row r="111">
      <c r="A111" s="212" t="s">
        <v>131</v>
      </c>
      <c r="F111" s="28"/>
      <c r="G111" s="103"/>
      <c r="H111" s="44" t="s">
        <v>131</v>
      </c>
      <c r="I111" s="36"/>
      <c r="J111" s="36"/>
      <c r="K111" s="36"/>
      <c r="L111" s="36"/>
      <c r="M111" s="37"/>
      <c r="N111" s="103"/>
      <c r="O111" s="103"/>
      <c r="P111" s="103"/>
      <c r="Q111" s="103"/>
      <c r="R111" s="103"/>
      <c r="S111" s="103"/>
      <c r="T111" s="103"/>
    </row>
    <row r="112">
      <c r="A112" s="112" t="str">
        <f>HYPERLINK("https://www.youtube.com/watch?v=rmxOkkd2hUk","1. SHOULDER PRESS")</f>
        <v>1. SHOULDER PRESS</v>
      </c>
      <c r="B112" s="13"/>
      <c r="C112" s="13"/>
      <c r="D112" s="13"/>
      <c r="E112" s="13"/>
      <c r="F112" s="57"/>
      <c r="G112" s="338"/>
      <c r="H112" s="1139" t="str">
        <f>HYPERLINK("https://www.youtube.com/watch?v=-cSBPE-y38M","1. MACHINE SHOULDER PRESS")</f>
        <v>1. MACHINE SHOULDER PRESS</v>
      </c>
      <c r="I112" s="13"/>
      <c r="J112" s="13"/>
      <c r="K112" s="13"/>
      <c r="L112" s="13"/>
      <c r="M112" s="57"/>
      <c r="N112" s="340"/>
      <c r="O112" s="103"/>
      <c r="P112" s="103"/>
      <c r="Q112" s="103"/>
      <c r="R112" s="103"/>
      <c r="S112" s="103"/>
      <c r="T112" s="103"/>
    </row>
    <row r="113">
      <c r="A113" s="226" t="s">
        <v>119</v>
      </c>
      <c r="B113" s="227" t="str">
        <f>if('WEEK 16'!B114="",'WEEK 16'!B102,'WEEK 16'!B114)</f>
        <v/>
      </c>
      <c r="C113" s="20"/>
      <c r="D113" s="20"/>
      <c r="E113" s="20"/>
      <c r="F113" s="95"/>
      <c r="G113" s="103"/>
      <c r="H113" s="226" t="s">
        <v>119</v>
      </c>
      <c r="I113" s="227">
        <f>'WEEK 24'!I97</f>
        <v>105</v>
      </c>
      <c r="J113" s="20"/>
      <c r="K113" s="20"/>
      <c r="L113" s="20"/>
      <c r="M113" s="95"/>
      <c r="N113" s="340"/>
      <c r="O113" s="103"/>
      <c r="P113" s="103"/>
      <c r="Q113" s="103"/>
      <c r="R113" s="103"/>
      <c r="S113" s="103"/>
      <c r="T113" s="103"/>
    </row>
    <row r="114">
      <c r="A114" s="231" t="s">
        <v>50</v>
      </c>
      <c r="B114" s="232" t="s">
        <v>51</v>
      </c>
      <c r="C114" s="232" t="s">
        <v>52</v>
      </c>
      <c r="D114" s="232" t="s">
        <v>53</v>
      </c>
      <c r="E114" s="233" t="s">
        <v>54</v>
      </c>
      <c r="F114" s="61" t="s">
        <v>55</v>
      </c>
      <c r="G114" s="234"/>
      <c r="H114" s="231" t="s">
        <v>50</v>
      </c>
      <c r="I114" s="232" t="s">
        <v>51</v>
      </c>
      <c r="J114" s="232" t="s">
        <v>52</v>
      </c>
      <c r="K114" s="232" t="s">
        <v>53</v>
      </c>
      <c r="L114" s="233" t="s">
        <v>54</v>
      </c>
      <c r="M114" s="61" t="s">
        <v>55</v>
      </c>
      <c r="N114" s="347"/>
      <c r="O114" s="234"/>
      <c r="P114" s="234"/>
      <c r="Q114" s="234"/>
      <c r="R114" s="234"/>
      <c r="S114" s="234"/>
      <c r="T114" s="234"/>
    </row>
    <row r="115">
      <c r="A115" s="236">
        <v>1.0</v>
      </c>
      <c r="B115" s="237">
        <f>mround('WEEK 25'!B113*0.35,5)</f>
        <v>0</v>
      </c>
      <c r="C115" s="237">
        <v>6.0</v>
      </c>
      <c r="D115" s="238" t="s">
        <v>120</v>
      </c>
      <c r="E115" s="66" t="str">
        <f>if('WEEK 22'!I103='WEEK 25'!B115,'WEEK 22'!M103,if('WEEK 19'!B99='WEEK 25'!B115,'WEEK 19'!F99,""))</f>
        <v/>
      </c>
      <c r="F115" s="67"/>
      <c r="G115" s="239"/>
      <c r="H115" s="1140">
        <v>1.0</v>
      </c>
      <c r="I115" s="237">
        <f>mround('WEEK 25'!I113*0.35,5)</f>
        <v>35</v>
      </c>
      <c r="J115" s="237">
        <v>6.0</v>
      </c>
      <c r="K115" s="238" t="s">
        <v>120</v>
      </c>
      <c r="L115" s="66" t="str">
        <f>if('WEEK 22'!B103='WEEK 25'!I115,'WEEK 22'!F103,if('WEEK 19'!I99='WEEK 25'!I115,'WEEK 19'!M99,""))</f>
        <v/>
      </c>
      <c r="M115" s="67"/>
      <c r="N115" s="349"/>
      <c r="O115" s="239"/>
      <c r="P115" s="239"/>
      <c r="Q115" s="239"/>
      <c r="R115" s="239"/>
      <c r="S115" s="239"/>
      <c r="T115" s="239"/>
    </row>
    <row r="116">
      <c r="A116" s="236">
        <v>2.0</v>
      </c>
      <c r="B116" s="237">
        <f>mround('WEEK 25'!B113*0.65,5)</f>
        <v>0</v>
      </c>
      <c r="C116" s="237">
        <v>1.0</v>
      </c>
      <c r="D116" s="238" t="s">
        <v>121</v>
      </c>
      <c r="E116" s="66" t="str">
        <f>if('WEEK 22'!I104='WEEK 25'!B116,'WEEK 22'!M104,if('WEEK 19'!B100='WEEK 25'!B116,'WEEK 19'!F100,""))</f>
        <v/>
      </c>
      <c r="F116" s="67"/>
      <c r="G116" s="239"/>
      <c r="H116" s="236">
        <v>2.0</v>
      </c>
      <c r="I116" s="237">
        <f>mround('WEEK 25'!I113*0.65,5)</f>
        <v>70</v>
      </c>
      <c r="J116" s="237">
        <v>1.0</v>
      </c>
      <c r="K116" s="238" t="s">
        <v>121</v>
      </c>
      <c r="L116" s="66" t="str">
        <f>if('WEEK 22'!B104='WEEK 25'!I116,'WEEK 22'!F104,if('WEEK 19'!I100='WEEK 25'!I116,'WEEK 19'!M100,""))</f>
        <v/>
      </c>
      <c r="M116" s="67"/>
      <c r="N116" s="349"/>
      <c r="O116" s="239"/>
      <c r="P116" s="239"/>
      <c r="Q116" s="239"/>
      <c r="R116" s="239"/>
      <c r="S116" s="239"/>
      <c r="T116" s="239"/>
    </row>
    <row r="117">
      <c r="A117" s="242">
        <v>3.0</v>
      </c>
      <c r="B117" s="237">
        <f>mround('WEEK 25'!B113*0.9,5)</f>
        <v>0</v>
      </c>
      <c r="C117" s="82">
        <v>1.0</v>
      </c>
      <c r="D117" s="238" t="s">
        <v>121</v>
      </c>
      <c r="E117" s="66" t="str">
        <f>if('WEEK 22'!I105='WEEK 25'!B117,'WEEK 22'!M105,if('WEEK 19'!B101='WEEK 25'!B117,'WEEK 19'!F101,""))</f>
        <v/>
      </c>
      <c r="F117" s="67"/>
      <c r="G117" s="239"/>
      <c r="H117" s="242">
        <v>3.0</v>
      </c>
      <c r="I117" s="237">
        <f>mround('WEEK 25'!I113*0.9,5)</f>
        <v>95</v>
      </c>
      <c r="J117" s="82">
        <v>1.0</v>
      </c>
      <c r="K117" s="238" t="s">
        <v>121</v>
      </c>
      <c r="L117" s="66" t="str">
        <f>if('WEEK 22'!B105='WEEK 25'!I117,'WEEK 22'!F105,if('WEEK 19'!I101='WEEK 25'!I117,'WEEK 19'!M101,""))</f>
        <v/>
      </c>
      <c r="M117" s="67"/>
      <c r="N117" s="349"/>
      <c r="O117" s="239"/>
      <c r="P117" s="239"/>
      <c r="Q117" s="239"/>
      <c r="R117" s="239"/>
      <c r="S117" s="239"/>
      <c r="T117" s="239"/>
    </row>
    <row r="118">
      <c r="A118" s="243">
        <v>4.0</v>
      </c>
      <c r="B118" s="237" t="str">
        <f>'WEEK 25'!B113</f>
        <v/>
      </c>
      <c r="C118" s="257">
        <v>1.0</v>
      </c>
      <c r="D118" s="238" t="s">
        <v>122</v>
      </c>
      <c r="E118" s="66" t="str">
        <f>if('WEEK 22'!I106='WEEK 25'!B118,'WEEK 22'!M106,if('WEEK 19'!B102='WEEK 25'!B118,'WEEK 19'!F102,""))</f>
        <v/>
      </c>
      <c r="F118" s="67"/>
      <c r="G118" s="103"/>
      <c r="H118" s="243">
        <v>4.0</v>
      </c>
      <c r="I118" s="237">
        <f>'WEEK 25'!I113</f>
        <v>105</v>
      </c>
      <c r="J118" s="257">
        <v>1.0</v>
      </c>
      <c r="K118" s="238" t="s">
        <v>122</v>
      </c>
      <c r="L118" s="66" t="str">
        <f>if('WEEK 22'!B106='WEEK 25'!I118,'WEEK 22'!F106,if('WEEK 19'!I102='WEEK 25'!I118,'WEEK 19'!M102,""))</f>
        <v/>
      </c>
      <c r="M118" s="67"/>
      <c r="N118" s="340"/>
      <c r="O118" s="103"/>
      <c r="P118" s="103"/>
      <c r="Q118" s="103"/>
      <c r="R118" s="103"/>
      <c r="S118" s="103"/>
      <c r="T118" s="103"/>
    </row>
    <row r="119">
      <c r="A119" s="246" t="str">
        <f>IF('WEEK 25'!F118&lt;1,"PROCEED TO DOWN SETS","NEW 4 REP MAX ATTEMPT")</f>
        <v>PROCEED TO DOWN SETS</v>
      </c>
      <c r="B119" s="20"/>
      <c r="C119" s="20"/>
      <c r="D119" s="20"/>
      <c r="E119" s="20"/>
      <c r="F119" s="95"/>
      <c r="G119" s="239"/>
      <c r="H119" s="246" t="str">
        <f>IF('WEEK 25'!M118&lt;1,"PROCEED TO DOWN SETS","NEW 4 REP MAX ATTEMPT")</f>
        <v>PROCEED TO DOWN SETS</v>
      </c>
      <c r="I119" s="20"/>
      <c r="J119" s="20"/>
      <c r="K119" s="20"/>
      <c r="L119" s="20"/>
      <c r="M119" s="95"/>
      <c r="N119" s="349"/>
      <c r="O119" s="239"/>
      <c r="P119" s="239"/>
      <c r="Q119" s="239"/>
      <c r="R119" s="239"/>
      <c r="S119" s="239"/>
      <c r="T119" s="239"/>
    </row>
    <row r="120">
      <c r="A120" s="249" t="str">
        <f>IF(OR(ISBLANK('WEEK 25'!F118),ISBLANK('WEEK 25'!F117),ISBLANK('WEEK 25'!F116)), "",if('WEEK 25'!F118&lt;1,"",5))</f>
        <v/>
      </c>
      <c r="B120" s="175" t="str">
        <f>IF('WEEK 25'!F118&lt;1,"",'WEEK 25'!B118+5)</f>
        <v/>
      </c>
      <c r="C120" s="238" t="str">
        <f>if('WEEK 25'!F118&lt;1,"",4)</f>
        <v/>
      </c>
      <c r="D120" s="238" t="str">
        <f>if('WEEK 25'!F118&lt;1,"","1-5 MIN")</f>
        <v/>
      </c>
      <c r="E120" s="66" t="str">
        <f>if('WEEK 22'!I108='WEEK 25'!B120,'WEEK 22'!M108,if('WEEK 19'!B104='WEEK 25'!B120,'WEEK 19'!F104,""))</f>
        <v/>
      </c>
      <c r="F120" s="67"/>
      <c r="G120" s="276"/>
      <c r="H120" s="249" t="str">
        <f>IF(OR(ISBLANK('WEEK 25'!M118),ISBLANK('WEEK 25'!M117),ISBLANK('WEEK 25'!M116)), "",if('WEEK 25'!M118&lt;1,"",5))</f>
        <v/>
      </c>
      <c r="I120" s="175" t="str">
        <f>IF('WEEK 25'!M118&lt;1,"",'WEEK 25'!I118+5)</f>
        <v/>
      </c>
      <c r="J120" s="238" t="str">
        <f>if('WEEK 25'!M118&lt;1,"",4)</f>
        <v/>
      </c>
      <c r="K120" s="238" t="str">
        <f>if('WEEK 25'!M118&lt;1,"","1-5 MIN")</f>
        <v/>
      </c>
      <c r="L120" s="66" t="str">
        <f>if('WEEK 22'!B108='WEEK 25'!I120,'WEEK 22'!F108,if('WEEK 19'!I104='WEEK 25'!I120,'WEEK 19'!M104,""))</f>
        <v/>
      </c>
      <c r="M120" s="67"/>
      <c r="N120" s="340"/>
      <c r="O120" s="103"/>
      <c r="P120" s="103"/>
      <c r="Q120" s="103"/>
      <c r="R120" s="103"/>
      <c r="S120" s="103"/>
      <c r="T120" s="103"/>
    </row>
    <row r="121">
      <c r="A121" s="259" t="str">
        <f>IF(OR(ISBLANK('WEEK 25'!F117),ISBLANK('WEEK 25'!F118),ISBLANK('WEEK 25'!F120)), "",IF('WEEK 25'!F120&lt;4,"","6"))</f>
        <v/>
      </c>
      <c r="B121" s="237" t="str">
        <f>IF(OR(ISBLANK('WEEK 25'!F117),ISBLANK('WEEK 25'!F118),ISBLANK('WEEK 25'!F120)), "",IF('WEEK 25'!F120&lt;4,"",'WEEK 25'!B120+5))</f>
        <v/>
      </c>
      <c r="C121" s="257" t="str">
        <f>IF(OR(ISBLANK('WEEK 25'!F117),ISBLANK('WEEK 25'!F118),ISBLANK('WEEK 25'!F120)), "",IF('WEEK 25'!F120&lt;4,"","4"))</f>
        <v/>
      </c>
      <c r="D121" s="257" t="str">
        <f>IF(OR(ISBLANK('WEEK 25'!F117),ISBLANK('WEEK 25'!F118),ISBLANK('WEEK 25'!F120)), "",IF('WEEK 25'!F120&lt;4,"","1-5 MIN"))</f>
        <v/>
      </c>
      <c r="E121" s="66" t="str">
        <f>if('WEEK 22'!I109='WEEK 25'!B121,'WEEK 22'!M109,if('WEEK 19'!B105='WEEK 25'!B121,'WEEK 19'!F105,""))</f>
        <v/>
      </c>
      <c r="F121" s="67"/>
      <c r="G121" s="239"/>
      <c r="H121" s="259" t="str">
        <f>IF(OR(ISBLANK('WEEK 25'!M117),ISBLANK('WEEK 25'!M118),ISBLANK('WEEK 25'!M120)), "",IF('WEEK 25'!M120&lt;4,"","6"))</f>
        <v/>
      </c>
      <c r="I121" s="237" t="str">
        <f>IF(OR(ISBLANK('WEEK 25'!M117),ISBLANK('WEEK 25'!M118),ISBLANK('WEEK 25'!M120)), "",IF('WEEK 25'!M120&lt;4,"",'WEEK 25'!I120+5))</f>
        <v/>
      </c>
      <c r="J121" s="257" t="str">
        <f>IF(OR(ISBLANK('WEEK 25'!M117),ISBLANK('WEEK 25'!M118),ISBLANK('WEEK 25'!M120)), "",IF('WEEK 25'!M120&lt;4,"","4"))</f>
        <v/>
      </c>
      <c r="K121" s="257" t="str">
        <f>IF(OR(ISBLANK('WEEK 25'!M117),ISBLANK('WEEK 25'!M118),ISBLANK('WEEK 25'!M120)), "",IF('WEEK 25'!M120&lt;4,"","1-5 MIN"))</f>
        <v/>
      </c>
      <c r="L121" s="66" t="str">
        <f>if('WEEK 22'!B109='WEEK 25'!I121,'WEEK 22'!F109,if('WEEK 19'!I105='WEEK 25'!I121,'WEEK 19'!M105,""))</f>
        <v/>
      </c>
      <c r="M121" s="67"/>
      <c r="N121" s="349"/>
      <c r="O121" s="239"/>
      <c r="P121" s="239"/>
      <c r="Q121" s="239"/>
      <c r="R121" s="239"/>
      <c r="S121" s="239"/>
      <c r="T121" s="239"/>
    </row>
    <row r="122">
      <c r="A122" s="246" t="s">
        <v>133</v>
      </c>
      <c r="B122" s="20"/>
      <c r="C122" s="20"/>
      <c r="D122" s="20"/>
      <c r="E122" s="20"/>
      <c r="F122" s="95"/>
      <c r="G122" s="239"/>
      <c r="H122" s="246" t="s">
        <v>133</v>
      </c>
      <c r="I122" s="20"/>
      <c r="J122" s="20"/>
      <c r="K122" s="20"/>
      <c r="L122" s="20"/>
      <c r="M122" s="95"/>
      <c r="N122" s="349"/>
      <c r="O122" s="239"/>
      <c r="P122" s="239"/>
      <c r="Q122" s="239"/>
      <c r="R122" s="239"/>
      <c r="S122" s="239"/>
      <c r="T122" s="239"/>
    </row>
    <row r="123">
      <c r="A123" s="264" t="str">
        <f>IF(OR(ISBLANK('WEEK 25'!F118),ISBLANK('WEEK 25'!F117),ISBLANK('WEEK 25'!F116)),"",IF((AND(A120="",A121="")),5,IF((AND(A120&gt;1,A121="")),6,7)))</f>
        <v/>
      </c>
      <c r="B123" s="265">
        <f>MROUND('WEEK 25'!B125*0.9,5)</f>
        <v>0</v>
      </c>
      <c r="C123" s="266" t="s">
        <v>65</v>
      </c>
      <c r="D123" s="267" t="s">
        <v>127</v>
      </c>
      <c r="E123" s="66" t="str">
        <f>if('WEEK 22'!I111='WEEK 25'!B123,'WEEK 22'!M111,if('WEEK 19'!B107='WEEK 25'!B123,'WEEK 19'!F107,""))</f>
        <v/>
      </c>
      <c r="F123" s="67"/>
      <c r="G123" s="239"/>
      <c r="H123" s="264" t="str">
        <f>IF(OR(ISBLANK('WEEK 25'!M118),ISBLANK('WEEK 25'!M117),ISBLANK('WEEK 25'!M116)),"",IF((AND(H120="",H121="")),5,IF((AND(H120&gt;1,H121="")),6,7)))</f>
        <v/>
      </c>
      <c r="I123" s="265">
        <f>MROUND('WEEK 25'!I125*0.9,5)</f>
        <v>0</v>
      </c>
      <c r="J123" s="266" t="s">
        <v>65</v>
      </c>
      <c r="K123" s="267" t="s">
        <v>127</v>
      </c>
      <c r="L123" s="66" t="str">
        <f>if('WEEK 22'!B111='WEEK 25'!I123,'WEEK 22'!F111,if('WEEK 19'!I107='WEEK 25'!I123,'WEEK 19'!M107,""))</f>
        <v/>
      </c>
      <c r="M123" s="67"/>
      <c r="N123" s="349"/>
      <c r="O123" s="239"/>
      <c r="P123" s="239"/>
      <c r="Q123" s="239"/>
      <c r="R123" s="239"/>
      <c r="S123" s="239"/>
      <c r="T123" s="239"/>
    </row>
    <row r="124">
      <c r="A124" s="243" t="str">
        <f>IF(OR(ISBLANK('WEEK 25'!F118),ISBLANK('WEEK 25'!F117),ISBLANK('WEEK 25'!F116)),"",IF((AND(A120="",A121="")),6,IF((AND(A120&gt;1,A121="")),7,8)))</f>
        <v/>
      </c>
      <c r="B124" s="237">
        <f>mround('WEEK 25'!B125*0.78,5)</f>
        <v>0</v>
      </c>
      <c r="C124" s="245" t="s">
        <v>65</v>
      </c>
      <c r="D124" s="65" t="s">
        <v>127</v>
      </c>
      <c r="E124" s="66" t="str">
        <f>if('WEEK 22'!I112='WEEK 25'!B124,'WEEK 22'!M112,if('WEEK 19'!B108='WEEK 25'!B124,'WEEK 19'!F108,""))</f>
        <v/>
      </c>
      <c r="F124" s="271"/>
      <c r="G124" s="103"/>
      <c r="H124" s="243" t="str">
        <f>IF(OR(ISBLANK('WEEK 25'!M118),ISBLANK('WEEK 25'!M117),ISBLANK('WEEK 25'!M116)),"",IF((AND(H120="",H121="")),6,IF((AND(H120&gt;1,H121="")),7,8)))</f>
        <v/>
      </c>
      <c r="I124" s="237">
        <f>mround('WEEK 25'!I125*0.78,5)</f>
        <v>0</v>
      </c>
      <c r="J124" s="245" t="s">
        <v>65</v>
      </c>
      <c r="K124" s="65" t="s">
        <v>127</v>
      </c>
      <c r="L124" s="66" t="str">
        <f>if('WEEK 22'!B112='WEEK 25'!I124,'WEEK 22'!F112,if('WEEK 19'!I108='WEEK 25'!I124,'WEEK 19'!M108,""))</f>
        <v/>
      </c>
      <c r="M124" s="271"/>
      <c r="N124" s="340"/>
      <c r="O124" s="103"/>
      <c r="P124" s="103"/>
      <c r="Q124" s="103"/>
      <c r="R124" s="103"/>
      <c r="S124" s="103"/>
      <c r="T124" s="103"/>
    </row>
    <row r="125">
      <c r="A125" s="272" t="s">
        <v>124</v>
      </c>
      <c r="B125" s="273" t="str">
        <f>IF(OR(ISBLANK('WEEK 25'!F118),ISBLANK('WEEK 25'!F117),ISBLANK('WEEK 25'!F116)),"",IF('WEEK 25'!F121&gt;=1,'WEEK 25'!B121,IF('WEEK 25'!F120&gt;=4,'WEEK 25'!B120,IF('WEEK 25'!F118&lt;1,'WEEK 25'!B118-5,'WEEK 25'!B118))))</f>
        <v/>
      </c>
      <c r="C125" s="11"/>
      <c r="D125" s="11"/>
      <c r="E125" s="11"/>
      <c r="F125" s="46"/>
      <c r="G125" s="103"/>
      <c r="H125" s="272" t="s">
        <v>124</v>
      </c>
      <c r="I125" s="273" t="str">
        <f>IF(OR(ISBLANK('WEEK 25'!M118),ISBLANK('WEEK 25'!M117),ISBLANK('WEEK 25'!M116)),"",IF('WEEK 25'!M121&gt;=1,'WEEK 25'!I121,IF('WEEK 25'!M120&gt;=4,'WEEK 25'!I120,IF('WEEK 25'!M118&lt;1,'WEEK 25'!I118-5,'WEEK 25'!I118))))</f>
        <v/>
      </c>
      <c r="J125" s="11"/>
      <c r="K125" s="11"/>
      <c r="L125" s="11"/>
      <c r="M125" s="46"/>
      <c r="N125" s="103"/>
      <c r="O125" s="103"/>
      <c r="P125" s="103"/>
      <c r="Q125" s="103"/>
      <c r="R125" s="103"/>
      <c r="S125" s="103"/>
      <c r="T125" s="103"/>
    </row>
    <row r="126">
      <c r="A126" s="277"/>
      <c r="B126" s="277"/>
      <c r="C126" s="277"/>
      <c r="D126" s="277"/>
      <c r="E126" s="360"/>
      <c r="F126" s="103"/>
      <c r="G126" s="103"/>
      <c r="H126" s="103"/>
      <c r="I126" s="103"/>
      <c r="J126" s="103"/>
      <c r="K126" s="103"/>
      <c r="L126" s="222"/>
      <c r="M126" s="103"/>
      <c r="N126" s="103"/>
      <c r="O126" s="103"/>
      <c r="P126" s="103"/>
      <c r="Q126" s="103"/>
      <c r="R126" s="103"/>
      <c r="S126" s="103"/>
      <c r="T126" s="103"/>
    </row>
    <row r="127">
      <c r="A127" s="361" t="str">
        <f>HYPERLINK("https://www.youtube.com/watch?v=gxWVN6F_uxo","2. CABLE HIGH PULLEY ROW")</f>
        <v>2. CABLE HIGH PULLEY ROW</v>
      </c>
      <c r="B127" s="53"/>
      <c r="C127" s="53"/>
      <c r="D127" s="53"/>
      <c r="E127" s="53"/>
      <c r="F127" s="54"/>
      <c r="G127" s="103"/>
      <c r="H127" s="74" t="str">
        <f>HYPERLINK("https://youtu.be/0BaHgGyCFJY","2. MACHINE REAR DELT FLYS ")</f>
        <v>2. MACHINE REAR DELT FLYS </v>
      </c>
      <c r="I127" s="53"/>
      <c r="J127" s="53"/>
      <c r="K127" s="53"/>
      <c r="L127" s="53"/>
      <c r="M127" s="54"/>
      <c r="N127" s="103"/>
      <c r="O127" s="103"/>
      <c r="P127" s="103"/>
      <c r="Q127" s="103"/>
      <c r="R127" s="103"/>
      <c r="S127" s="103"/>
      <c r="T127" s="103"/>
    </row>
    <row r="128">
      <c r="A128" s="226" t="s">
        <v>134</v>
      </c>
      <c r="B128" s="90" t="str">
        <f>if(B125="",B113,B125)</f>
        <v/>
      </c>
      <c r="C128" s="13"/>
      <c r="D128" s="13"/>
      <c r="E128" s="13"/>
      <c r="F128" s="57"/>
      <c r="G128" s="324" t="s">
        <v>123</v>
      </c>
      <c r="H128" s="226" t="s">
        <v>134</v>
      </c>
      <c r="I128" s="363" t="str">
        <f>B128</f>
        <v/>
      </c>
      <c r="J128" s="20"/>
      <c r="K128" s="20"/>
      <c r="L128" s="20"/>
      <c r="M128" s="95"/>
      <c r="N128" s="103"/>
      <c r="O128" s="103"/>
      <c r="P128" s="103"/>
      <c r="Q128" s="103"/>
      <c r="R128" s="103"/>
      <c r="S128" s="103"/>
      <c r="T128" s="103"/>
    </row>
    <row r="129">
      <c r="A129" s="77" t="s">
        <v>50</v>
      </c>
      <c r="B129" s="78" t="s">
        <v>51</v>
      </c>
      <c r="C129" s="78" t="s">
        <v>52</v>
      </c>
      <c r="D129" s="78" t="s">
        <v>53</v>
      </c>
      <c r="E129" s="80" t="s">
        <v>54</v>
      </c>
      <c r="F129" s="235" t="s">
        <v>55</v>
      </c>
      <c r="H129" s="364" t="s">
        <v>50</v>
      </c>
      <c r="I129" s="365" t="s">
        <v>51</v>
      </c>
      <c r="J129" s="365" t="s">
        <v>52</v>
      </c>
      <c r="K129" s="366" t="s">
        <v>53</v>
      </c>
      <c r="L129" s="367" t="s">
        <v>54</v>
      </c>
      <c r="M129" s="61" t="s">
        <v>55</v>
      </c>
      <c r="N129" s="234"/>
      <c r="O129" s="234"/>
      <c r="P129" s="234"/>
      <c r="Q129" s="234"/>
      <c r="R129" s="234"/>
      <c r="S129" s="234"/>
      <c r="T129" s="234"/>
    </row>
    <row r="130">
      <c r="A130" s="81">
        <v>1.0</v>
      </c>
      <c r="B130" s="82">
        <f> mround('WEEK 25'!B128*2*0.7,5)</f>
        <v>0</v>
      </c>
      <c r="C130" s="317">
        <v>15.0</v>
      </c>
      <c r="D130" s="83" t="s">
        <v>127</v>
      </c>
      <c r="E130" s="84" t="str">
        <f>IF('WEEK 25'!B130='WEEK 24'!B109,'WEEK 24'!F109,"")</f>
        <v/>
      </c>
      <c r="F130" s="85"/>
      <c r="G130" s="239"/>
      <c r="H130" s="242">
        <v>1.0</v>
      </c>
      <c r="I130" s="237">
        <f>mround('WEEK 25'!I128*2*0.75,5)</f>
        <v>0</v>
      </c>
      <c r="J130" s="368">
        <v>20.0</v>
      </c>
      <c r="K130" s="238" t="s">
        <v>57</v>
      </c>
      <c r="L130" s="84" t="str">
        <f>IF('WEEK 25'!I130='WEEK 24'!I109,'WEEK 24'!M109,"")</f>
        <v/>
      </c>
      <c r="M130" s="67"/>
      <c r="N130" s="239"/>
      <c r="O130" s="239"/>
      <c r="P130" s="239"/>
      <c r="Q130" s="239"/>
      <c r="R130" s="239"/>
      <c r="S130" s="239"/>
      <c r="T130" s="239"/>
    </row>
    <row r="131">
      <c r="A131" s="81">
        <v>2.0</v>
      </c>
      <c r="B131" s="82">
        <f>if('WEEK 25'!F130&lt;10,mround('WEEK 25'!B130*0.8,5),IF('WEEK 25'!F130&lt;=14,MROUND('WEEK 25'!B130*0.95,5),'WEEK 25'!B130))</f>
        <v>0</v>
      </c>
      <c r="C131" s="65">
        <v>15.0</v>
      </c>
      <c r="D131" s="83" t="s">
        <v>127</v>
      </c>
      <c r="E131" s="84" t="str">
        <f>IF('WEEK 25'!B131='WEEK 24'!B110,'WEEK 24'!F110,"")</f>
        <v/>
      </c>
      <c r="F131" s="85"/>
      <c r="G131" s="239"/>
      <c r="H131" s="242">
        <v>2.0</v>
      </c>
      <c r="I131" s="237">
        <f>if('WEEK 25'!M130&lt;15,mround('WEEK 25'!I130*0.85,5),'WEEK 25'!I130)</f>
        <v>0</v>
      </c>
      <c r="J131" s="368">
        <v>20.0</v>
      </c>
      <c r="K131" s="238" t="s">
        <v>57</v>
      </c>
      <c r="L131" s="84" t="str">
        <f>IF('WEEK 25'!I131='WEEK 24'!I110,'WEEK 24'!M110,"")</f>
        <v/>
      </c>
      <c r="M131" s="67"/>
      <c r="N131" s="239"/>
      <c r="O131" s="239"/>
      <c r="P131" s="239"/>
      <c r="Q131" s="239"/>
      <c r="R131" s="239"/>
      <c r="S131" s="239"/>
      <c r="T131" s="239"/>
    </row>
    <row r="132">
      <c r="A132" s="86">
        <v>3.0</v>
      </c>
      <c r="B132" s="87">
        <f>if('WEEK 25'!F131&lt;8,mround('WEEK 25'!B131*0.8,5),IF('WEEK 25'!F131&lt;=14,MROUND('WEEK 25'!B131*0.95,5),'WEEK 25'!B131))</f>
        <v>0</v>
      </c>
      <c r="C132" s="71">
        <v>15.0</v>
      </c>
      <c r="D132" s="88" t="s">
        <v>127</v>
      </c>
      <c r="E132" s="89" t="str">
        <f>IF('WEEK 25'!B132='WEEK 24'!B111,'WEEK 24'!F111,"")</f>
        <v/>
      </c>
      <c r="F132" s="85"/>
      <c r="G132" s="370"/>
      <c r="H132" s="289">
        <v>3.0</v>
      </c>
      <c r="I132" s="371">
        <f>if('WEEK 25'!M131&lt;15,mround('WEEK 25'!I131*0.7,5),MROUND('WEEK 25'!I131,5))</f>
        <v>0</v>
      </c>
      <c r="J132" s="372">
        <v>20.0</v>
      </c>
      <c r="K132" s="373" t="s">
        <v>57</v>
      </c>
      <c r="L132" s="89" t="str">
        <f>IF('WEEK 25'!I132='WEEK 24'!I111,'WEEK 24'!M111,"")</f>
        <v/>
      </c>
      <c r="M132" s="67"/>
      <c r="N132" s="239"/>
      <c r="O132" s="239"/>
      <c r="P132" s="239"/>
      <c r="Q132" s="239"/>
      <c r="R132" s="239"/>
      <c r="S132" s="239"/>
      <c r="T132" s="239"/>
    </row>
    <row r="133">
      <c r="A133" s="340"/>
      <c r="B133" s="340"/>
      <c r="C133" s="340"/>
      <c r="D133" s="340"/>
      <c r="E133" s="303"/>
      <c r="F133" s="103"/>
      <c r="G133" s="103"/>
      <c r="H133" s="103"/>
      <c r="I133" s="103"/>
      <c r="J133" s="103"/>
      <c r="K133" s="103"/>
      <c r="L133" s="222"/>
      <c r="M133" s="103"/>
      <c r="N133" s="103"/>
      <c r="O133" s="103"/>
      <c r="P133" s="103"/>
      <c r="Q133" s="103"/>
      <c r="R133" s="103"/>
      <c r="S133" s="103"/>
      <c r="T133" s="103"/>
    </row>
    <row r="134">
      <c r="A134" s="340"/>
      <c r="B134" s="340"/>
      <c r="C134" s="340"/>
      <c r="D134" s="340"/>
      <c r="E134" s="303"/>
      <c r="F134" s="103"/>
      <c r="G134" s="103"/>
      <c r="H134" s="103"/>
      <c r="I134" s="103"/>
      <c r="J134" s="103"/>
      <c r="K134" s="103"/>
      <c r="L134" s="222"/>
      <c r="M134" s="103"/>
      <c r="N134" s="103"/>
      <c r="O134" s="103"/>
      <c r="P134" s="103"/>
      <c r="Q134" s="103"/>
      <c r="R134" s="103"/>
      <c r="S134" s="103"/>
      <c r="T134" s="103"/>
    </row>
    <row r="135">
      <c r="A135" s="74" t="str">
        <f>HYPERLINK("https://youtu.be/jat-iMMa0ac","3. DUMBBELL SIDE LATERAL RAISE")</f>
        <v>3. DUMBBELL SIDE LATERAL RAISE</v>
      </c>
      <c r="B135" s="53"/>
      <c r="C135" s="53"/>
      <c r="D135" s="53"/>
      <c r="E135" s="53"/>
      <c r="F135" s="54"/>
      <c r="G135" s="281"/>
      <c r="H135" s="375"/>
      <c r="I135" s="277"/>
      <c r="J135" s="103"/>
      <c r="K135" s="103"/>
      <c r="L135" s="222"/>
      <c r="M135" s="103"/>
      <c r="N135" s="103"/>
      <c r="O135" s="103"/>
      <c r="P135" s="103"/>
      <c r="Q135" s="103"/>
      <c r="R135" s="103"/>
      <c r="S135" s="103"/>
      <c r="T135" s="103"/>
    </row>
    <row r="136">
      <c r="A136" s="226" t="s">
        <v>134</v>
      </c>
      <c r="B136" s="90" t="str">
        <f>if('WEEK 25'!B125="",'WEEK 25'!B113,'WEEK 25'!B125)</f>
        <v/>
      </c>
      <c r="C136" s="13"/>
      <c r="D136" s="13"/>
      <c r="E136" s="13"/>
      <c r="F136" s="57"/>
      <c r="G136" s="281"/>
      <c r="H136" s="277"/>
      <c r="I136" s="281"/>
      <c r="J136" s="103"/>
      <c r="K136" s="103"/>
      <c r="L136" s="222"/>
      <c r="M136" s="103"/>
      <c r="N136" s="103"/>
      <c r="O136" s="103"/>
      <c r="P136" s="103"/>
      <c r="Q136" s="103"/>
      <c r="R136" s="103"/>
      <c r="S136" s="103"/>
      <c r="T136" s="103"/>
    </row>
    <row r="137">
      <c r="A137" s="376" t="s">
        <v>50</v>
      </c>
      <c r="B137" s="79" t="s">
        <v>51</v>
      </c>
      <c r="C137" s="79" t="s">
        <v>52</v>
      </c>
      <c r="D137" s="79" t="s">
        <v>53</v>
      </c>
      <c r="E137" s="98" t="s">
        <v>54</v>
      </c>
      <c r="F137" s="377" t="s">
        <v>55</v>
      </c>
      <c r="G137" s="276"/>
      <c r="H137" s="103"/>
      <c r="I137" s="103"/>
      <c r="J137" s="103"/>
      <c r="K137" s="103"/>
      <c r="L137" s="222"/>
      <c r="M137" s="103"/>
      <c r="N137" s="103"/>
      <c r="O137" s="103"/>
      <c r="P137" s="103"/>
      <c r="Q137" s="103"/>
      <c r="R137" s="103"/>
      <c r="S137" s="103"/>
      <c r="T137" s="103"/>
    </row>
    <row r="138">
      <c r="A138" s="81">
        <v>1.0</v>
      </c>
      <c r="B138" s="82">
        <f> mround('WEEK 25'!B136*0.2,5)</f>
        <v>0</v>
      </c>
      <c r="C138" s="65">
        <v>20.0</v>
      </c>
      <c r="D138" s="83" t="s">
        <v>57</v>
      </c>
      <c r="E138" s="84" t="str">
        <f>IF('WEEK 25'!B138='WEEK 24'!B117,'WEEK 24'!F117,"")</f>
        <v/>
      </c>
      <c r="F138" s="330"/>
      <c r="G138" s="276"/>
      <c r="H138" s="103"/>
      <c r="I138" s="103"/>
      <c r="J138" s="103"/>
      <c r="K138" s="103"/>
      <c r="L138" s="222"/>
      <c r="M138" s="103"/>
      <c r="N138" s="103"/>
      <c r="O138" s="103"/>
      <c r="P138" s="103"/>
      <c r="Q138" s="103"/>
      <c r="R138" s="103"/>
      <c r="S138" s="103"/>
      <c r="T138" s="103"/>
    </row>
    <row r="139">
      <c r="A139" s="81">
        <v>2.0</v>
      </c>
      <c r="B139" s="82">
        <f>if('WEEK 25'!F138&lt;12,mround('WEEK 25'!B136*0.15,2.5),'WEEK 25'!B138)</f>
        <v>0</v>
      </c>
      <c r="C139" s="65">
        <v>20.0</v>
      </c>
      <c r="D139" s="83" t="s">
        <v>57</v>
      </c>
      <c r="E139" s="84" t="str">
        <f>IF('WEEK 25'!B139='WEEK 24'!B118,'WEEK 24'!F118,"")</f>
        <v/>
      </c>
      <c r="F139" s="330"/>
      <c r="G139" s="103"/>
      <c r="H139" s="103"/>
      <c r="I139" s="103"/>
      <c r="J139" s="103"/>
      <c r="K139" s="103"/>
      <c r="L139" s="222"/>
      <c r="M139" s="103"/>
      <c r="N139" s="103"/>
      <c r="O139" s="103"/>
      <c r="P139" s="103"/>
      <c r="Q139" s="103"/>
      <c r="R139" s="103"/>
      <c r="S139" s="103"/>
      <c r="T139" s="103"/>
    </row>
    <row r="140">
      <c r="A140" s="86">
        <v>3.0</v>
      </c>
      <c r="B140" s="87">
        <f>if('WEEK 25'!F139&lt;12,mround('WEEK 25'!B136*0.1,2.5),'WEEK 25'!B139)</f>
        <v>0</v>
      </c>
      <c r="C140" s="71">
        <v>20.0</v>
      </c>
      <c r="D140" s="88" t="s">
        <v>57</v>
      </c>
      <c r="E140" s="89" t="str">
        <f>IF('WEEK 25'!B140='WEEK 24'!B119,'WEEK 24'!F119,"")</f>
        <v/>
      </c>
      <c r="F140" s="85"/>
      <c r="G140" s="103"/>
      <c r="H140" s="103"/>
      <c r="I140" s="103"/>
      <c r="J140" s="103"/>
      <c r="K140" s="103"/>
      <c r="L140" s="222"/>
      <c r="M140" s="103"/>
      <c r="N140" s="103"/>
      <c r="O140" s="103"/>
      <c r="P140" s="103"/>
      <c r="Q140" s="103"/>
      <c r="R140" s="103"/>
      <c r="S140" s="103"/>
      <c r="T140" s="103"/>
    </row>
    <row r="141">
      <c r="A141" s="340"/>
      <c r="B141" s="340"/>
      <c r="C141" s="340"/>
      <c r="D141" s="340"/>
      <c r="E141" s="303"/>
      <c r="F141" s="103"/>
      <c r="G141" s="103"/>
      <c r="H141" s="103"/>
      <c r="I141" s="103"/>
      <c r="J141" s="103"/>
      <c r="K141" s="103"/>
      <c r="L141" s="222"/>
      <c r="M141" s="103"/>
      <c r="N141" s="103"/>
      <c r="O141" s="103"/>
      <c r="P141" s="103"/>
      <c r="Q141" s="103"/>
      <c r="R141" s="103"/>
      <c r="S141" s="103"/>
      <c r="T141" s="103"/>
    </row>
    <row r="142">
      <c r="A142" s="340"/>
      <c r="B142" s="340"/>
      <c r="C142" s="340"/>
      <c r="D142" s="340"/>
      <c r="E142" s="303"/>
      <c r="F142" s="103"/>
      <c r="G142" s="103"/>
      <c r="H142" s="103"/>
      <c r="I142" s="103"/>
      <c r="J142" s="103"/>
      <c r="K142" s="103"/>
      <c r="L142" s="222"/>
      <c r="M142" s="103"/>
      <c r="N142" s="103"/>
      <c r="O142" s="103"/>
      <c r="P142" s="103"/>
      <c r="Q142" s="103"/>
      <c r="R142" s="103"/>
      <c r="S142" s="103"/>
      <c r="T142" s="103"/>
    </row>
    <row r="143">
      <c r="A143" s="74" t="str">
        <f>HYPERLINK("https://www.youtube.com/watch?v=Yke__29qVfo","3. TRICEPS PUSHDOWN (STRAIGHT BAR)")</f>
        <v>3. TRICEPS PUSHDOWN (STRAIGHT BAR)</v>
      </c>
      <c r="B143" s="53"/>
      <c r="C143" s="53"/>
      <c r="D143" s="53"/>
      <c r="E143" s="53"/>
      <c r="F143" s="54"/>
      <c r="G143" s="380"/>
      <c r="H143" s="103"/>
      <c r="L143" s="3"/>
      <c r="O143" s="103"/>
      <c r="P143" s="103"/>
      <c r="Q143" s="103"/>
      <c r="R143" s="103"/>
      <c r="S143" s="103"/>
      <c r="T143" s="103"/>
    </row>
    <row r="144">
      <c r="A144" s="381" t="s">
        <v>119</v>
      </c>
      <c r="B144" s="90">
        <f>IF('WEEK 23'!B138='WEEK 23'!B140,'WEEK 23'!B138+5,IF('WEEK 23'!F138&lt;=9,MROUND('WEEK 23'!B136*0.95,5),'WEEK 23'!B138))</f>
        <v>30</v>
      </c>
      <c r="C144" s="13"/>
      <c r="D144" s="13"/>
      <c r="E144" s="13"/>
      <c r="F144" s="57"/>
      <c r="G144" s="103"/>
      <c r="H144" s="103"/>
      <c r="L144" s="3"/>
      <c r="O144" s="103"/>
      <c r="P144" s="103"/>
      <c r="Q144" s="103"/>
      <c r="R144" s="103"/>
      <c r="S144" s="103"/>
      <c r="T144" s="103"/>
    </row>
    <row r="145">
      <c r="A145" s="383" t="s">
        <v>50</v>
      </c>
      <c r="B145" s="384" t="s">
        <v>51</v>
      </c>
      <c r="C145" s="384" t="s">
        <v>52</v>
      </c>
      <c r="D145" s="384" t="s">
        <v>53</v>
      </c>
      <c r="E145" s="385" t="s">
        <v>54</v>
      </c>
      <c r="F145" s="386" t="s">
        <v>55</v>
      </c>
      <c r="G145" s="234"/>
      <c r="H145" s="234"/>
      <c r="O145" s="234"/>
      <c r="P145" s="234"/>
      <c r="Q145" s="234"/>
      <c r="R145" s="234"/>
      <c r="S145" s="234"/>
      <c r="T145" s="234"/>
    </row>
    <row r="146">
      <c r="A146" s="387">
        <v>1.0</v>
      </c>
      <c r="B146" s="388">
        <f>'WEEK 25'!B144</f>
        <v>30</v>
      </c>
      <c r="C146" s="389">
        <v>20.0</v>
      </c>
      <c r="D146" s="390" t="s">
        <v>58</v>
      </c>
      <c r="E146" s="1388" t="str">
        <f>IF('WEEK 25'!B146='WEEK 23'!B138,'WEEK 23'!F138,"")</f>
        <v/>
      </c>
      <c r="F146" s="392"/>
      <c r="G146" s="239"/>
      <c r="H146" s="239"/>
      <c r="O146" s="239"/>
      <c r="P146" s="239"/>
      <c r="Q146" s="239"/>
      <c r="R146" s="239"/>
      <c r="S146" s="239"/>
      <c r="T146" s="239"/>
    </row>
    <row r="147">
      <c r="A147" s="393">
        <v>2.0</v>
      </c>
      <c r="B147" s="388">
        <f>if('WEEK 25'!F146&lt;10,mround('WEEK 25'!B146*0.8,5),IF('WEEK 25'!F146&lt;=14,MROUND('WEEK 25'!B144*0.95,5),'WEEK 25'!B146))</f>
        <v>25</v>
      </c>
      <c r="C147" s="389">
        <v>20.0</v>
      </c>
      <c r="D147" s="390" t="s">
        <v>58</v>
      </c>
      <c r="E147" s="1388" t="str">
        <f>IF('WEEK 25'!B147='WEEK 23'!B139,'WEEK 23'!F139,"")</f>
        <v/>
      </c>
      <c r="F147" s="392"/>
      <c r="G147" s="239"/>
      <c r="H147" s="239"/>
      <c r="O147" s="239"/>
      <c r="P147" s="239"/>
      <c r="Q147" s="239"/>
      <c r="R147" s="239"/>
      <c r="S147" s="239"/>
      <c r="T147" s="239"/>
    </row>
    <row r="148">
      <c r="A148" s="394">
        <v>3.0</v>
      </c>
      <c r="B148" s="395">
        <f>if('WEEK 25'!F147&lt;10,mround('WEEK 25'!B147*0.8,5),IF('WEEK 25'!F147&lt;=14,MROUND('WEEK 25'!B147*0.95,5),'WEEK 25'!B147))</f>
        <v>20</v>
      </c>
      <c r="C148" s="396">
        <v>20.0</v>
      </c>
      <c r="D148" s="397" t="s">
        <v>58</v>
      </c>
      <c r="E148" s="1506" t="str">
        <f>IF('WEEK 25'!B148='WEEK 23'!B140,'WEEK 23'!F140,"")</f>
        <v/>
      </c>
      <c r="F148" s="392"/>
      <c r="G148" s="239"/>
      <c r="H148" s="239"/>
      <c r="O148" s="239"/>
      <c r="P148" s="239"/>
      <c r="Q148" s="239"/>
      <c r="R148" s="239"/>
      <c r="S148" s="239"/>
      <c r="T148" s="239"/>
    </row>
    <row r="149">
      <c r="G149" s="239"/>
      <c r="H149" s="239"/>
      <c r="I149" s="239"/>
      <c r="J149" s="239"/>
      <c r="K149" s="239"/>
      <c r="L149" s="322"/>
      <c r="M149" s="239"/>
      <c r="N149" s="239"/>
      <c r="O149" s="239"/>
      <c r="P149" s="239"/>
      <c r="Q149" s="239"/>
      <c r="R149" s="239"/>
      <c r="S149" s="239"/>
      <c r="T149" s="239"/>
    </row>
    <row r="150">
      <c r="G150" s="103"/>
      <c r="H150" s="103"/>
      <c r="I150" s="103"/>
      <c r="J150" s="103"/>
      <c r="K150" s="103"/>
      <c r="L150" s="222"/>
      <c r="M150" s="103"/>
      <c r="N150" s="103"/>
      <c r="O150" s="103"/>
      <c r="P150" s="103"/>
      <c r="Q150" s="103"/>
      <c r="R150" s="103"/>
      <c r="S150" s="103"/>
      <c r="T150" s="103"/>
    </row>
    <row r="151">
      <c r="A151" s="75" t="str">
        <f>HYPERLINK("https://www.youtube.com/watch?v=9IqvmIhFxtY","5. BICEP CABLE CURL")</f>
        <v>5. BICEP CABLE CURL</v>
      </c>
      <c r="B151" s="53"/>
      <c r="C151" s="53"/>
      <c r="D151" s="53"/>
      <c r="E151" s="53"/>
      <c r="F151" s="54"/>
      <c r="G151" s="698"/>
      <c r="H151" s="75" t="s">
        <v>178</v>
      </c>
      <c r="I151" s="53"/>
      <c r="J151" s="53"/>
      <c r="K151" s="53"/>
      <c r="L151" s="53"/>
      <c r="M151" s="54"/>
      <c r="N151" s="103"/>
      <c r="O151" s="103"/>
      <c r="P151" s="103"/>
      <c r="Q151" s="103"/>
      <c r="R151" s="103"/>
      <c r="S151" s="103"/>
      <c r="T151" s="103"/>
    </row>
    <row r="152">
      <c r="A152" s="226" t="s">
        <v>119</v>
      </c>
      <c r="B152" s="76">
        <f>IF('WEEK 23'!B146='WEEK 23'!B148,'WEEK 23'!B146,IF('WEEK 23'!F146&lt;=15,MROUND('WEEK 23'!B144*0.95,5),'WEEK 23'!B146))</f>
        <v>30</v>
      </c>
      <c r="C152" s="13"/>
      <c r="D152" s="13"/>
      <c r="E152" s="13"/>
      <c r="F152" s="57"/>
      <c r="G152" s="985"/>
      <c r="H152" s="226" t="s">
        <v>119</v>
      </c>
      <c r="I152" s="76">
        <f>IF('WEEK 23'!I146='WEEK 23'!I148,'WEEK 23'!I146,IF('WEEK 23'!M146&lt;=15,MROUND('WEEK 23'!I144*0.95,5),'WEEK 23'!I146))</f>
        <v>15</v>
      </c>
      <c r="J152" s="13"/>
      <c r="K152" s="13"/>
      <c r="L152" s="13"/>
      <c r="M152" s="57"/>
      <c r="N152" s="103"/>
      <c r="O152" s="103"/>
      <c r="P152" s="103"/>
      <c r="Q152" s="103"/>
      <c r="R152" s="103"/>
      <c r="S152" s="103"/>
      <c r="T152" s="103"/>
    </row>
    <row r="153">
      <c r="A153" s="77" t="s">
        <v>50</v>
      </c>
      <c r="B153" s="78" t="s">
        <v>51</v>
      </c>
      <c r="C153" s="78" t="s">
        <v>52</v>
      </c>
      <c r="D153" s="78" t="s">
        <v>53</v>
      </c>
      <c r="E153" s="80" t="s">
        <v>54</v>
      </c>
      <c r="F153" s="235" t="s">
        <v>55</v>
      </c>
      <c r="G153" s="985"/>
      <c r="H153" s="77" t="s">
        <v>50</v>
      </c>
      <c r="I153" s="78" t="s">
        <v>51</v>
      </c>
      <c r="J153" s="78" t="s">
        <v>52</v>
      </c>
      <c r="K153" s="78" t="s">
        <v>53</v>
      </c>
      <c r="L153" s="80" t="s">
        <v>54</v>
      </c>
      <c r="M153" s="235" t="s">
        <v>55</v>
      </c>
      <c r="N153" s="103"/>
      <c r="O153" s="103"/>
      <c r="P153" s="103"/>
      <c r="Q153" s="103"/>
      <c r="R153" s="103"/>
      <c r="S153" s="103"/>
      <c r="T153" s="103"/>
    </row>
    <row r="154">
      <c r="A154" s="81">
        <v>1.0</v>
      </c>
      <c r="B154" s="82">
        <f>MROUND('WEEK 25'!B152,5)</f>
        <v>30</v>
      </c>
      <c r="C154" s="65">
        <v>20.0</v>
      </c>
      <c r="D154" s="83" t="s">
        <v>58</v>
      </c>
      <c r="E154" s="1388" t="str">
        <f>IF('WEEK 25'!B154='WEEK 23'!B146,'WEEK 23'!F146,"")</f>
        <v/>
      </c>
      <c r="F154" s="85"/>
      <c r="G154" s="985"/>
      <c r="H154" s="81">
        <v>1.0</v>
      </c>
      <c r="I154" s="82">
        <f>MROUND('WEEK 25'!I152,5)</f>
        <v>15</v>
      </c>
      <c r="J154" s="65">
        <v>20.0</v>
      </c>
      <c r="K154" s="83" t="s">
        <v>58</v>
      </c>
      <c r="L154" s="1388" t="str">
        <f>IF('WEEK 25'!I154='WEEK 23'!I146,'WEEK 23'!M146,"")</f>
        <v/>
      </c>
      <c r="M154" s="85"/>
      <c r="N154" s="103"/>
      <c r="O154" s="103"/>
      <c r="P154" s="103"/>
      <c r="Q154" s="103"/>
      <c r="R154" s="103"/>
      <c r="S154" s="103"/>
      <c r="T154" s="103"/>
    </row>
    <row r="155">
      <c r="A155" s="81">
        <v>2.0</v>
      </c>
      <c r="B155" s="82">
        <f>if('WEEK 25'!F154&lt;15,mround('WEEK 25'!B154*0.8,5),IF('WEEK 25'!F154&lt;=18,MROUND('WEEK 25'!B152*0.95,5),'WEEK 25'!B154))</f>
        <v>25</v>
      </c>
      <c r="C155" s="65">
        <v>20.0</v>
      </c>
      <c r="D155" s="83" t="s">
        <v>58</v>
      </c>
      <c r="E155" s="1388" t="str">
        <f>IF('WEEK 25'!B155='WEEK 23'!B147,'WEEK 23'!F147,"")</f>
        <v/>
      </c>
      <c r="F155" s="85"/>
      <c r="G155" s="985"/>
      <c r="H155" s="81">
        <v>2.0</v>
      </c>
      <c r="I155" s="82">
        <f>if('WEEK 25'!M154&lt;15,mround('WEEK 25'!I154*0.8,5),IF('WEEK 25'!M154&lt;=18,MROUND('WEEK 25'!I152*0.95,5),'WEEK 25'!I154))</f>
        <v>10</v>
      </c>
      <c r="J155" s="65">
        <v>20.0</v>
      </c>
      <c r="K155" s="83" t="s">
        <v>58</v>
      </c>
      <c r="L155" s="1388" t="str">
        <f>IF('WEEK 25'!I155='WEEK 23'!I147,'WEEK 23'!M147,"")</f>
        <v/>
      </c>
      <c r="M155" s="85"/>
      <c r="N155" s="234"/>
      <c r="O155" s="234"/>
      <c r="P155" s="234"/>
      <c r="Q155" s="234"/>
      <c r="R155" s="234"/>
      <c r="S155" s="234"/>
      <c r="T155" s="234"/>
    </row>
    <row r="156">
      <c r="A156" s="86">
        <v>3.0</v>
      </c>
      <c r="B156" s="87">
        <f>if('WEEK 25'!F155&lt;15,mround('WEEK 25'!B155*0.8,5),IF('WEEK 25'!F155&lt;=18,MROUND('WEEK 25'!B153*0.95,5),'WEEK 25'!B155))</f>
        <v>20</v>
      </c>
      <c r="C156" s="71">
        <v>20.0</v>
      </c>
      <c r="D156" s="88" t="s">
        <v>58</v>
      </c>
      <c r="E156" s="1506" t="str">
        <f>IF('WEEK 25'!B156='WEEK 23'!B148,'WEEK 23'!F148,"")</f>
        <v/>
      </c>
      <c r="F156" s="85"/>
      <c r="G156" s="985"/>
      <c r="H156" s="86">
        <v>3.0</v>
      </c>
      <c r="I156" s="87">
        <f>if('WEEK 25'!M155&lt;15,mround('WEEK 25'!I155*0.8,5),IF('WEEK 25'!M155&lt;=18,MROUND('WEEK 25'!I153*0.95,5),'WEEK 25'!I155))</f>
        <v>10</v>
      </c>
      <c r="J156" s="71">
        <v>20.0</v>
      </c>
      <c r="K156" s="88" t="s">
        <v>58</v>
      </c>
      <c r="L156" s="1506" t="str">
        <f>IF('WEEK 25'!I156='WEEK 23'!I148,'WEEK 23'!M148,"")</f>
        <v/>
      </c>
      <c r="M156" s="85"/>
      <c r="N156" s="239"/>
      <c r="O156" s="239"/>
      <c r="P156" s="239"/>
      <c r="Q156" s="239"/>
      <c r="R156" s="239"/>
      <c r="S156" s="239"/>
      <c r="T156" s="239"/>
    </row>
    <row r="157">
      <c r="A157" s="277"/>
      <c r="B157" s="277"/>
      <c r="C157" s="277"/>
      <c r="D157" s="277"/>
      <c r="E157" s="360"/>
      <c r="F157" s="277"/>
      <c r="G157" s="277"/>
      <c r="H157" s="414"/>
      <c r="I157" s="415"/>
      <c r="J157" s="415"/>
      <c r="K157" s="416"/>
      <c r="L157" s="417"/>
      <c r="M157" s="417"/>
      <c r="N157" s="277"/>
      <c r="O157" s="277"/>
      <c r="P157" s="277"/>
      <c r="Q157" s="277"/>
      <c r="R157" s="277"/>
      <c r="S157" s="277"/>
      <c r="T157" s="277"/>
    </row>
    <row r="158">
      <c r="A158" s="277"/>
      <c r="B158" s="277"/>
      <c r="C158" s="277"/>
      <c r="D158" s="277"/>
      <c r="E158" s="360"/>
      <c r="F158" s="277"/>
      <c r="G158" s="277"/>
      <c r="H158" s="414"/>
      <c r="I158" s="415"/>
      <c r="J158" s="415"/>
      <c r="K158" s="416"/>
      <c r="L158" s="417"/>
      <c r="M158" s="417"/>
      <c r="N158" s="277"/>
      <c r="O158" s="277"/>
      <c r="P158" s="277"/>
      <c r="Q158" s="277"/>
      <c r="R158" s="277"/>
      <c r="S158" s="277"/>
      <c r="T158" s="277"/>
    </row>
    <row r="159">
      <c r="A159" s="106" t="s">
        <v>135</v>
      </c>
      <c r="B159" s="36"/>
      <c r="C159" s="36"/>
      <c r="D159" s="36"/>
      <c r="E159" s="36"/>
      <c r="F159" s="37"/>
      <c r="G159" s="418"/>
      <c r="N159" s="418"/>
      <c r="O159" s="103"/>
      <c r="P159" s="103"/>
      <c r="Q159" s="103"/>
      <c r="R159" s="103"/>
      <c r="S159" s="103"/>
      <c r="T159" s="103"/>
    </row>
    <row r="160">
      <c r="A160" s="103"/>
      <c r="B160" s="103"/>
      <c r="C160" s="103"/>
      <c r="D160" s="103"/>
      <c r="E160" s="222"/>
      <c r="F160" s="103"/>
      <c r="G160" s="103"/>
      <c r="N160" s="103"/>
      <c r="O160" s="103"/>
      <c r="P160" s="103"/>
      <c r="Q160" s="103"/>
      <c r="R160" s="103"/>
      <c r="S160" s="103"/>
      <c r="T160" s="103"/>
    </row>
    <row r="161">
      <c r="A161" s="107" t="str">
        <f>HYPERLINK("https://www.amazon.com/30-Minute-Body-Investment-Champion/dp/0692791892/ref=sr_1_1?ie=UTF8&amp;qid=1490447969&amp;sr=8-1&amp;keywords=30+minute+body","WANT TO LEARN MORE?")</f>
        <v>WANT TO LEARN MORE?</v>
      </c>
      <c r="B161" s="36"/>
      <c r="C161" s="36"/>
      <c r="D161" s="36"/>
      <c r="E161" s="36"/>
      <c r="F161" s="37"/>
      <c r="G161" s="419"/>
      <c r="H161" s="420"/>
      <c r="I161" s="420"/>
      <c r="J161" s="420"/>
      <c r="K161" s="420"/>
      <c r="L161" s="222"/>
      <c r="M161" s="103"/>
      <c r="N161" s="103"/>
      <c r="O161" s="103"/>
      <c r="P161" s="103"/>
      <c r="Q161" s="103"/>
      <c r="R161" s="103"/>
      <c r="S161" s="103"/>
      <c r="T161" s="103"/>
    </row>
    <row r="162">
      <c r="A162" s="108"/>
      <c r="B162" s="419"/>
      <c r="C162" s="419"/>
      <c r="D162" s="419"/>
      <c r="E162" s="419"/>
      <c r="F162" s="419"/>
      <c r="G162" s="419"/>
      <c r="H162" s="420"/>
      <c r="I162" s="420"/>
      <c r="J162" s="420"/>
      <c r="K162" s="420"/>
      <c r="L162" s="222"/>
      <c r="M162" s="103"/>
      <c r="N162" s="103"/>
      <c r="O162" s="103"/>
      <c r="P162" s="103"/>
      <c r="Q162" s="103"/>
      <c r="R162" s="103"/>
      <c r="S162" s="103"/>
      <c r="T162" s="103"/>
    </row>
    <row r="163">
      <c r="A163" s="419"/>
      <c r="B163" s="421"/>
      <c r="C163" s="111" t="s">
        <v>67</v>
      </c>
      <c r="D163" s="36"/>
      <c r="E163" s="36"/>
      <c r="F163" s="37"/>
      <c r="G163" s="421"/>
      <c r="H163" s="420"/>
      <c r="I163" s="420"/>
      <c r="J163" s="420"/>
      <c r="K163" s="420"/>
      <c r="L163" s="222"/>
      <c r="M163" s="103"/>
      <c r="N163" s="103"/>
      <c r="O163" s="103"/>
      <c r="P163" s="103"/>
      <c r="Q163" s="103"/>
      <c r="R163" s="103"/>
      <c r="S163" s="103"/>
      <c r="T163" s="103"/>
    </row>
  </sheetData>
  <mergeCells count="88">
    <mergeCell ref="B78:F78"/>
    <mergeCell ref="A92:F92"/>
    <mergeCell ref="B93:F93"/>
    <mergeCell ref="A100:F100"/>
    <mergeCell ref="H100:M100"/>
    <mergeCell ref="B101:F101"/>
    <mergeCell ref="I101:M101"/>
    <mergeCell ref="G103:G104"/>
    <mergeCell ref="A108:F108"/>
    <mergeCell ref="A109:F110"/>
    <mergeCell ref="H109:M110"/>
    <mergeCell ref="A111:F111"/>
    <mergeCell ref="H111:M111"/>
    <mergeCell ref="H112:M112"/>
    <mergeCell ref="I113:M113"/>
    <mergeCell ref="A112:F112"/>
    <mergeCell ref="B113:F113"/>
    <mergeCell ref="A119:F119"/>
    <mergeCell ref="H119:M119"/>
    <mergeCell ref="A122:F122"/>
    <mergeCell ref="H122:M122"/>
    <mergeCell ref="I125:M125"/>
    <mergeCell ref="B125:F125"/>
    <mergeCell ref="A127:F127"/>
    <mergeCell ref="H127:M127"/>
    <mergeCell ref="B128:F128"/>
    <mergeCell ref="G128:G129"/>
    <mergeCell ref="I128:M128"/>
    <mergeCell ref="A135:F135"/>
    <mergeCell ref="B152:F152"/>
    <mergeCell ref="A159:F159"/>
    <mergeCell ref="A161:F161"/>
    <mergeCell ref="C163:F163"/>
    <mergeCell ref="B136:F136"/>
    <mergeCell ref="A143:F143"/>
    <mergeCell ref="B144:F144"/>
    <mergeCell ref="A151:F151"/>
    <mergeCell ref="G151:G156"/>
    <mergeCell ref="H151:M151"/>
    <mergeCell ref="I152:M152"/>
    <mergeCell ref="A8:F8"/>
    <mergeCell ref="A9:F9"/>
    <mergeCell ref="H9:M9"/>
    <mergeCell ref="A10:F11"/>
    <mergeCell ref="H10:M10"/>
    <mergeCell ref="A12:F12"/>
    <mergeCell ref="A13:F13"/>
    <mergeCell ref="O18:T18"/>
    <mergeCell ref="O19:T19"/>
    <mergeCell ref="O26:T26"/>
    <mergeCell ref="O28:T28"/>
    <mergeCell ref="P33:T33"/>
    <mergeCell ref="A15:F15"/>
    <mergeCell ref="H15:M15"/>
    <mergeCell ref="O15:T15"/>
    <mergeCell ref="A18:F18"/>
    <mergeCell ref="H18:M18"/>
    <mergeCell ref="A19:F19"/>
    <mergeCell ref="B20:F20"/>
    <mergeCell ref="P20:T20"/>
    <mergeCell ref="H19:M19"/>
    <mergeCell ref="I20:M20"/>
    <mergeCell ref="A26:F26"/>
    <mergeCell ref="G26:G27"/>
    <mergeCell ref="H26:M26"/>
    <mergeCell ref="N26:N27"/>
    <mergeCell ref="H29:M29"/>
    <mergeCell ref="A29:F29"/>
    <mergeCell ref="B32:F32"/>
    <mergeCell ref="I32:M32"/>
    <mergeCell ref="A34:F34"/>
    <mergeCell ref="H34:M34"/>
    <mergeCell ref="G35:G36"/>
    <mergeCell ref="I35:M35"/>
    <mergeCell ref="B35:F35"/>
    <mergeCell ref="A41:F41"/>
    <mergeCell ref="B42:F42"/>
    <mergeCell ref="A48:F48"/>
    <mergeCell ref="A51:F51"/>
    <mergeCell ref="B54:F54"/>
    <mergeCell ref="A57:F57"/>
    <mergeCell ref="B58:F58"/>
    <mergeCell ref="G59:G60"/>
    <mergeCell ref="A65:F65"/>
    <mergeCell ref="B66:F66"/>
    <mergeCell ref="A72:F72"/>
    <mergeCell ref="A74:F74"/>
    <mergeCell ref="A77:F77"/>
  </mergeCells>
  <dataValidations>
    <dataValidation type="decimal" operator="greaterThanOrEqual" allowBlank="1" showDropDown="1" showErrorMessage="1" sqref="M1:M8 M12:M14 T1:T14 M16:M17 T16:T17 T21:T25 T27 T29:T32 M33 F94:F97 M39:M99 F102:F105 M102:M106 M126 F137:F140 M133:M142 M149:M150 L157:M158 M161:M163 T34:T163">
      <formula1>0.0</formula1>
    </dataValidation>
    <dataValidation type="decimal" allowBlank="1" showDropDown="1" showErrorMessage="1" sqref="F146 F148">
      <formula1>0.0</formula1>
      <formula2>500.0</formula2>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1:F7 F14 F16:F17 F21:F25 M21:M25 F27 M27 F30 M30 F33 M36:M38 F36:F40 F55:F56 F59:F64 F67:F71 F76 F90:F91 F98:F99 F106:F107 F126 M129:M132 F133:F134 F141:F142 F157:F158 F160">
      <formula1>0.0</formula1>
    </dataValidation>
  </dataValidations>
  <drawing r:id="rId2"/>
  <legacyDrawing r:id="rId3"/>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'MSW25'!A1</f>
        <v/>
      </c>
    </row>
    <row r="8">
      <c r="A8" s="11"/>
      <c r="B8" s="11"/>
      <c r="C8" s="11"/>
      <c r="D8" s="11"/>
      <c r="E8" s="11"/>
      <c r="F8" s="11"/>
      <c r="G8" s="11"/>
      <c r="H8" s="11"/>
      <c r="I8" s="11"/>
      <c r="J8" s="11"/>
      <c r="K8" s="11"/>
      <c r="L8" s="11"/>
      <c r="M8" s="11"/>
      <c r="N8" s="11"/>
      <c r="O8" s="11"/>
      <c r="P8" s="11"/>
      <c r="Q8" s="11"/>
      <c r="R8" s="11"/>
      <c r="S8" s="11"/>
      <c r="T8" s="11"/>
    </row>
    <row r="9">
      <c r="A9" s="12" t="str">
        <f>'MSW25'!A9</f>
        <v>Week 25</v>
      </c>
      <c r="B9" s="13"/>
      <c r="C9" s="13"/>
      <c r="D9" s="13"/>
      <c r="E9" s="13"/>
      <c r="F9" s="14"/>
      <c r="G9" s="103" t="str">
        <f>'MSW25'!G9</f>
        <v/>
      </c>
      <c r="H9" s="24" t="s">
        <v>35</v>
      </c>
      <c r="I9" s="25"/>
      <c r="J9" s="25"/>
      <c r="K9" s="25"/>
      <c r="L9" s="25"/>
      <c r="M9" s="26"/>
      <c r="N9" s="103" t="str">
        <f>'MSW25'!N9</f>
        <v/>
      </c>
    </row>
    <row r="10">
      <c r="A10" s="15" t="str">
        <f>'MSW25'!A10</f>
        <v>PRESS TO RECORD BODY WEIGHT</v>
      </c>
      <c r="B10" s="16"/>
      <c r="C10" s="16"/>
      <c r="D10" s="16"/>
      <c r="E10" s="16"/>
      <c r="F10" s="17"/>
      <c r="H10" s="27" t="s">
        <v>304</v>
      </c>
      <c r="M10" s="28"/>
    </row>
    <row r="11">
      <c r="A11" s="18"/>
      <c r="B11" s="13"/>
      <c r="C11" s="13"/>
      <c r="D11" s="13"/>
      <c r="E11" s="13"/>
      <c r="F11" s="14"/>
      <c r="H11" s="29" t="s">
        <v>305</v>
      </c>
      <c r="I11" s="30"/>
      <c r="J11" s="30"/>
      <c r="K11" s="30"/>
      <c r="L11" s="30"/>
      <c r="M11" s="31"/>
    </row>
    <row r="12">
      <c r="A12" s="19" t="str">
        <f>'MSW25'!A12</f>
        <v>This Weeks Goals</v>
      </c>
      <c r="B12" s="20"/>
      <c r="C12" s="20"/>
      <c r="D12" s="20"/>
      <c r="E12" s="20"/>
      <c r="F12" s="21"/>
      <c r="G12" s="103" t="str">
        <f>'MSW25'!G12</f>
        <v/>
      </c>
    </row>
    <row r="13">
      <c r="A13" s="22" t="str">
        <f>'MSW25'!A13</f>
        <v>This week we are going to jump you into a workout. As the weeks go on we will refine your workout more and it will become more targeted. Give it all you got and push to your limits everytime. </v>
      </c>
      <c r="B13" s="20"/>
      <c r="C13" s="20"/>
      <c r="D13" s="20"/>
      <c r="E13" s="20"/>
      <c r="F13" s="21"/>
    </row>
    <row r="14">
      <c r="A14" s="219" t="str">
        <f>'MSW25'!A14</f>
        <v/>
      </c>
      <c r="B14" s="219" t="str">
        <f>'MSW25'!B14</f>
        <v/>
      </c>
      <c r="C14" s="219" t="str">
        <f>'MSW25'!C14</f>
        <v/>
      </c>
      <c r="D14" s="219" t="str">
        <f>'MSW25'!D14</f>
        <v/>
      </c>
      <c r="E14" s="223" t="str">
        <f>'MSW25'!E14</f>
        <v/>
      </c>
      <c r="F14" s="103" t="str">
        <f>'MSW25'!F14</f>
        <v/>
      </c>
    </row>
    <row r="15">
      <c r="A15" s="50" t="str">
        <f>'MSW25'!A15</f>
        <v>DAY 1 </v>
      </c>
      <c r="B15" s="36"/>
      <c r="C15" s="36"/>
      <c r="D15" s="36"/>
      <c r="E15" s="36"/>
      <c r="F15" s="37"/>
      <c r="G15" s="103" t="str">
        <f>'MSW25'!G15</f>
        <v/>
      </c>
      <c r="H15" s="224" t="str">
        <f>'MSW25'!H15</f>
        <v>ALTERNATE WORKOUTS</v>
      </c>
      <c r="I15" s="36"/>
      <c r="J15" s="36"/>
      <c r="K15" s="36"/>
      <c r="L15" s="36"/>
      <c r="M15" s="37"/>
      <c r="N15" s="103" t="str">
        <f>'MSW25'!N15</f>
        <v/>
      </c>
      <c r="O15" s="224" t="str">
        <f>'MSW25'!O15</f>
        <v>ALTERNATE WORKOUTS</v>
      </c>
      <c r="P15" s="36"/>
      <c r="Q15" s="36"/>
      <c r="R15" s="36"/>
      <c r="S15" s="36"/>
      <c r="T15" s="37"/>
    </row>
    <row r="16">
      <c r="A16" s="219" t="str">
        <f>'MSW25'!A16</f>
        <v/>
      </c>
    </row>
    <row r="18">
      <c r="A18" s="51" t="str">
        <f>'MSW25'!A18</f>
        <v>CHEST &amp; BACK </v>
      </c>
      <c r="B18" s="36"/>
      <c r="C18" s="36"/>
      <c r="D18" s="36"/>
      <c r="E18" s="36"/>
      <c r="F18" s="37"/>
      <c r="G18" s="103" t="str">
        <f>'MSW25'!G18</f>
        <v/>
      </c>
      <c r="H18" s="51" t="str">
        <f>'MSW25'!H18</f>
        <v>CHEST &amp; BACK </v>
      </c>
      <c r="I18" s="36"/>
      <c r="J18" s="36"/>
      <c r="K18" s="36"/>
      <c r="L18" s="36"/>
      <c r="M18" s="37"/>
      <c r="N18" s="103" t="str">
        <f>'MSW25'!N18</f>
        <v/>
      </c>
      <c r="O18" s="51" t="str">
        <f>'MSW25'!O18</f>
        <v>CHEST &amp; BACK </v>
      </c>
      <c r="P18" s="36"/>
      <c r="Q18" s="36"/>
      <c r="R18" s="36"/>
      <c r="S18" s="36"/>
      <c r="T18" s="37"/>
    </row>
    <row r="19">
      <c r="A19" s="225" t="str">
        <f>'MSW25'!A19</f>
        <v>1. BENCH PRESS</v>
      </c>
      <c r="B19" s="13"/>
      <c r="C19" s="13"/>
      <c r="D19" s="13"/>
      <c r="E19" s="13"/>
      <c r="F19" s="57"/>
      <c r="H19" s="225" t="str">
        <f>'MSW25'!H19</f>
        <v>1. MACHINE PRESS</v>
      </c>
      <c r="I19" s="13"/>
      <c r="J19" s="13"/>
      <c r="K19" s="13"/>
      <c r="L19" s="13"/>
      <c r="M19" s="57"/>
      <c r="O19" s="52" t="str">
        <f>'MSW25'!O19</f>
        <v>1. DUMBBELL INCLINE PRESS</v>
      </c>
      <c r="P19" s="53"/>
      <c r="Q19" s="53"/>
      <c r="R19" s="53"/>
      <c r="S19" s="53"/>
      <c r="T19" s="54"/>
    </row>
    <row r="20">
      <c r="A20" s="226" t="str">
        <f>'MSW25'!A20</f>
        <v>CURRENT MAX</v>
      </c>
      <c r="B20" s="227">
        <v>260.0</v>
      </c>
      <c r="C20" s="20"/>
      <c r="D20" s="20"/>
      <c r="E20" s="20"/>
      <c r="F20" s="95"/>
      <c r="G20" s="103" t="str">
        <f>'MSW25'!G20</f>
        <v/>
      </c>
      <c r="H20" s="226" t="str">
        <f>'MSW25'!H20</f>
        <v>CURRENT MAX</v>
      </c>
      <c r="I20" s="227" t="str">
        <f>'MSW25'!I20</f>
        <v/>
      </c>
      <c r="J20" s="20"/>
      <c r="K20" s="20"/>
      <c r="L20" s="20"/>
      <c r="M20" s="95"/>
      <c r="N20" s="103" t="str">
        <f>'MSW25'!N20</f>
        <v/>
      </c>
      <c r="O20" s="228" t="str">
        <f>'MSW25'!O20</f>
        <v>CURRENT MAX</v>
      </c>
      <c r="P20" s="229" t="str">
        <f>'MSW25'!P20</f>
        <v/>
      </c>
      <c r="Q20" s="16"/>
      <c r="R20" s="16"/>
      <c r="S20" s="16"/>
      <c r="T20" s="230"/>
    </row>
    <row r="21">
      <c r="A21" s="231" t="str">
        <f>'MSW25'!A21</f>
        <v>SET</v>
      </c>
      <c r="B21" s="232" t="str">
        <f>'MSW25'!B21</f>
        <v>WEIGHT</v>
      </c>
      <c r="C21" s="232" t="str">
        <f>'MSW25'!C21</f>
        <v>REPS</v>
      </c>
      <c r="D21" s="232" t="str">
        <f>'MSW25'!D21</f>
        <v>REST</v>
      </c>
      <c r="E21" s="233" t="str">
        <f>'MSW25'!E21</f>
        <v>PREVIOUS</v>
      </c>
      <c r="F21" s="61" t="str">
        <f>'MSW25'!F21</f>
        <v>REP LOG</v>
      </c>
      <c r="H21" s="231" t="str">
        <f>'MSW25'!H21</f>
        <v>SET</v>
      </c>
      <c r="I21" s="232" t="str">
        <f>'MSW25'!I21</f>
        <v>WEIGHT</v>
      </c>
      <c r="J21" s="232" t="str">
        <f>'MSW25'!J21</f>
        <v>REPS</v>
      </c>
      <c r="K21" s="232" t="str">
        <f>'MSW25'!K21</f>
        <v>REST</v>
      </c>
      <c r="L21" s="233" t="str">
        <f>'MSW25'!L21</f>
        <v>PREVIOUS</v>
      </c>
      <c r="M21" s="61" t="str">
        <f>'MSW25'!M21</f>
        <v>REP LOG</v>
      </c>
      <c r="O21" s="96" t="str">
        <f>'MSW25'!O21</f>
        <v>SET</v>
      </c>
      <c r="P21" s="97" t="str">
        <f>'MSW25'!P21</f>
        <v>WEIGHT</v>
      </c>
      <c r="Q21" s="97" t="str">
        <f>'MSW25'!Q21</f>
        <v>REPS</v>
      </c>
      <c r="R21" s="97" t="str">
        <f>'MSW25'!R21</f>
        <v>REST</v>
      </c>
      <c r="S21" s="98" t="str">
        <f>'MSW25'!S21</f>
        <v>PREVIOUS</v>
      </c>
      <c r="T21" s="235" t="str">
        <f>'MSW25'!T21</f>
        <v>REP LOG</v>
      </c>
    </row>
    <row r="22">
      <c r="A22" s="236">
        <f>'MSW25'!A22</f>
        <v>1</v>
      </c>
      <c r="B22" s="237">
        <f>'MSW25'!B22</f>
        <v>90</v>
      </c>
      <c r="C22" s="237">
        <f>'MSW25'!C22</f>
        <v>6</v>
      </c>
      <c r="D22" s="238" t="str">
        <f>'MSW25'!D22</f>
        <v>30s</v>
      </c>
      <c r="E22" s="66" t="str">
        <f>'MSW25'!E22</f>
        <v/>
      </c>
      <c r="F22" s="67">
        <v>6.0</v>
      </c>
      <c r="H22" s="236">
        <f>'MSW25'!H22</f>
        <v>1</v>
      </c>
      <c r="I22" s="237">
        <f>'MSW25'!I22</f>
        <v>0</v>
      </c>
      <c r="J22" s="237">
        <f>'MSW25'!J22</f>
        <v>6</v>
      </c>
      <c r="K22" s="238" t="str">
        <f>'MSW25'!K22</f>
        <v>30s</v>
      </c>
      <c r="L22" s="66" t="str">
        <f>'MSW25'!L22</f>
        <v/>
      </c>
      <c r="M22" s="67"/>
      <c r="O22" s="240">
        <f>'MSW25'!O22</f>
        <v>1</v>
      </c>
      <c r="P22" s="241">
        <f>'MSW25'!P22</f>
        <v>0</v>
      </c>
      <c r="Q22" s="241">
        <f>'MSW25'!Q22</f>
        <v>6</v>
      </c>
      <c r="R22" s="83" t="str">
        <f>'MSW25'!R22</f>
        <v>1 MIN</v>
      </c>
      <c r="S22" s="66">
        <f>'MSW25'!S22</f>
        <v>6</v>
      </c>
      <c r="T22" s="85" t="str">
        <f>'MSW25'!T22</f>
        <v/>
      </c>
    </row>
    <row r="23">
      <c r="A23" s="236">
        <f>'MSW25'!A23</f>
        <v>2</v>
      </c>
      <c r="B23" s="237">
        <f>'MSW25'!B23</f>
        <v>210</v>
      </c>
      <c r="C23" s="237">
        <f>'MSW25'!C23</f>
        <v>1</v>
      </c>
      <c r="D23" s="238" t="str">
        <f>'MSW25'!D23</f>
        <v>1-2 MIN</v>
      </c>
      <c r="E23" s="66" t="str">
        <f>'MSW25'!E23</f>
        <v/>
      </c>
      <c r="F23" s="67">
        <v>1.0</v>
      </c>
      <c r="H23" s="236">
        <f>'MSW25'!H23</f>
        <v>2</v>
      </c>
      <c r="I23" s="237">
        <f>'MSW25'!I23</f>
        <v>0</v>
      </c>
      <c r="J23" s="237">
        <f>'MSW25'!J23</f>
        <v>1</v>
      </c>
      <c r="K23" s="238" t="str">
        <f>'MSW25'!K23</f>
        <v>1-2 MIN</v>
      </c>
      <c r="L23" s="66" t="str">
        <f>'MSW25'!L23</f>
        <v/>
      </c>
      <c r="M23" s="67"/>
      <c r="O23" s="240">
        <f>'MSW25'!O23</f>
        <v>2</v>
      </c>
      <c r="P23" s="241">
        <f>'MSW25'!P23</f>
        <v>0</v>
      </c>
      <c r="Q23" s="241">
        <f>'MSW25'!Q23</f>
        <v>1</v>
      </c>
      <c r="R23" s="83" t="str">
        <f>'MSW25'!R23</f>
        <v>1 MIN</v>
      </c>
      <c r="S23" s="66">
        <f>'MSW25'!S23</f>
        <v>1</v>
      </c>
      <c r="T23" s="85" t="str">
        <f>'MSW25'!T23</f>
        <v/>
      </c>
    </row>
    <row r="24">
      <c r="A24" s="242">
        <f>'MSW25'!A24</f>
        <v>3</v>
      </c>
      <c r="B24" s="237">
        <f>'MSW25'!B24</f>
        <v>235</v>
      </c>
      <c r="C24" s="82">
        <f>'MSW25'!C24</f>
        <v>1</v>
      </c>
      <c r="D24" s="238" t="str">
        <f>'MSW25'!D24</f>
        <v>1-2 MIN</v>
      </c>
      <c r="E24" s="66" t="str">
        <f>'MSW25'!E24</f>
        <v/>
      </c>
      <c r="F24" s="67">
        <v>1.0</v>
      </c>
      <c r="H24" s="242">
        <f>'MSW25'!H24</f>
        <v>3</v>
      </c>
      <c r="I24" s="237">
        <f>'MSW25'!I24</f>
        <v>0</v>
      </c>
      <c r="J24" s="82">
        <f>'MSW25'!J24</f>
        <v>1</v>
      </c>
      <c r="K24" s="238" t="str">
        <f>'MSW25'!K24</f>
        <v>1-2 MIN</v>
      </c>
      <c r="L24" s="66" t="str">
        <f>'MSW25'!L24</f>
        <v/>
      </c>
      <c r="M24" s="67"/>
      <c r="O24" s="240">
        <f>'MSW25'!O24</f>
        <v>3</v>
      </c>
      <c r="P24" s="241">
        <f>'MSW25'!P24</f>
        <v>0</v>
      </c>
      <c r="Q24" s="63">
        <f>'MSW25'!Q24</f>
        <v>1</v>
      </c>
      <c r="R24" s="83" t="str">
        <f>'MSW25'!R24</f>
        <v>1 MIN</v>
      </c>
      <c r="S24" s="66">
        <f>'MSW25'!S24</f>
        <v>1</v>
      </c>
      <c r="T24" s="85" t="str">
        <f>'MSW25'!T24</f>
        <v/>
      </c>
    </row>
    <row r="25">
      <c r="A25" s="243">
        <f>'MSW25'!A25</f>
        <v>4</v>
      </c>
      <c r="B25" s="237">
        <f>'MSW25'!B25</f>
        <v>260</v>
      </c>
      <c r="C25" s="175">
        <f>'MSW25'!C25</f>
        <v>1</v>
      </c>
      <c r="D25" s="238" t="str">
        <f>'MSW25'!D25</f>
        <v>1-5 MIN</v>
      </c>
      <c r="E25" s="66" t="str">
        <f>'MSW25'!E25</f>
        <v/>
      </c>
      <c r="F25" s="67">
        <v>1.0</v>
      </c>
      <c r="H25" s="243">
        <f>'MSW25'!H25</f>
        <v>4</v>
      </c>
      <c r="I25" s="237" t="str">
        <f>'MSW25'!I25</f>
        <v/>
      </c>
      <c r="J25" s="175">
        <f>'MSW25'!J25</f>
        <v>1</v>
      </c>
      <c r="K25" s="238" t="str">
        <f>'MSW25'!K25</f>
        <v>1-5 MIN</v>
      </c>
      <c r="L25" s="66" t="str">
        <f>'MSW25'!L25</f>
        <v/>
      </c>
      <c r="M25" s="67"/>
      <c r="O25" s="244">
        <f>'MSW25'!O25</f>
        <v>4</v>
      </c>
      <c r="P25" s="241">
        <f>'MSW25'!P25</f>
        <v>0</v>
      </c>
      <c r="Q25" s="245" t="str">
        <f>'MSW25'!Q25</f>
        <v>REP OUT</v>
      </c>
      <c r="R25" s="83" t="str">
        <f>'MSW25'!R25</f>
        <v>1 MIN</v>
      </c>
      <c r="S25" s="66">
        <f>'MSW25'!S25</f>
        <v>8</v>
      </c>
      <c r="T25" s="85" t="str">
        <f>'MSW25'!T25</f>
        <v/>
      </c>
    </row>
    <row r="26">
      <c r="A26" s="246" t="str">
        <f>'MSW25'!A26</f>
        <v>NEW 1 REP MAX ATTEMPT</v>
      </c>
      <c r="B26" s="20"/>
      <c r="C26" s="20"/>
      <c r="D26" s="20"/>
      <c r="E26" s="20"/>
      <c r="F26" s="95"/>
      <c r="G26" s="247" t="str">
        <f>'MSW25'!G26</f>
        <v>ALTERNATE</v>
      </c>
      <c r="H26" s="246" t="str">
        <f>'MSW25'!H26</f>
        <v>PROCEED TO DOWN SETS</v>
      </c>
      <c r="I26" s="20"/>
      <c r="J26" s="20"/>
      <c r="K26" s="20"/>
      <c r="L26" s="20"/>
      <c r="M26" s="95"/>
      <c r="N26" s="247" t="str">
        <f>'MSW25'!N26</f>
        <v>ALTERNATE</v>
      </c>
      <c r="O26" s="248" t="str">
        <f>'MSW25'!O26</f>
        <v>PROCEED TO DOWNSETS</v>
      </c>
      <c r="T26" s="28"/>
    </row>
    <row r="27">
      <c r="A27" s="249">
        <f>'MSW25'!A27</f>
        <v>5</v>
      </c>
      <c r="B27" s="175">
        <f>'MSW25'!B27</f>
        <v>265</v>
      </c>
      <c r="C27" s="238">
        <f>'MSW25'!C27</f>
        <v>1</v>
      </c>
      <c r="D27" s="238" t="str">
        <f>'MSW25'!D27</f>
        <v>1-5 MIN</v>
      </c>
      <c r="E27" s="66" t="str">
        <f>'MSW25'!E27</f>
        <v/>
      </c>
      <c r="F27" s="67">
        <v>1.0</v>
      </c>
      <c r="H27" s="249" t="str">
        <f>'MSW25'!H27</f>
        <v/>
      </c>
      <c r="I27" s="175" t="str">
        <f>'MSW25'!I27</f>
        <v/>
      </c>
      <c r="J27" s="238" t="str">
        <f>'MSW25'!J27</f>
        <v/>
      </c>
      <c r="K27" s="238" t="str">
        <f>'MSW25'!K27</f>
        <v/>
      </c>
      <c r="L27" s="66" t="str">
        <f>'MSW25'!L27</f>
        <v/>
      </c>
      <c r="M27" s="67" t="str">
        <f>'MSW25'!M27</f>
        <v/>
      </c>
      <c r="O27" s="251" t="str">
        <f>'MSW25'!O27</f>
        <v/>
      </c>
      <c r="P27" s="252" t="str">
        <f>'MSW25'!P27</f>
        <v/>
      </c>
      <c r="Q27" s="253" t="str">
        <f>'MSW25'!Q27</f>
        <v/>
      </c>
      <c r="R27" s="254" t="str">
        <f>'MSW25'!R27</f>
        <v/>
      </c>
      <c r="S27" s="66">
        <f>'MSW25'!S27</f>
        <v>4</v>
      </c>
      <c r="T27" s="67" t="str">
        <f>'MSW25'!T27</f>
        <v/>
      </c>
    </row>
    <row r="28">
      <c r="A28" s="259" t="str">
        <f>'MSW25'!A28</f>
        <v>6</v>
      </c>
      <c r="B28" s="237">
        <f>'MSW25'!B28</f>
        <v>270</v>
      </c>
      <c r="C28" s="257" t="str">
        <f>'MSW25'!C28</f>
        <v>1</v>
      </c>
      <c r="D28" s="257" t="str">
        <f>'MSW25'!D28</f>
        <v>1-5 MIN</v>
      </c>
      <c r="E28" s="66" t="str">
        <f>'MSW25'!E28</f>
        <v/>
      </c>
      <c r="F28" s="67">
        <v>1.0</v>
      </c>
      <c r="G28" s="234" t="str">
        <f>'MSW25'!G28</f>
        <v/>
      </c>
      <c r="H28" s="259" t="str">
        <f>'MSW25'!H28</f>
        <v/>
      </c>
      <c r="I28" s="237" t="str">
        <f>'MSW25'!I28</f>
        <v/>
      </c>
      <c r="J28" s="257" t="str">
        <f>'MSW25'!J28</f>
        <v/>
      </c>
      <c r="K28" s="257" t="str">
        <f>'MSW25'!K28</f>
        <v/>
      </c>
      <c r="L28" s="66" t="str">
        <f>'MSW25'!L28</f>
        <v/>
      </c>
      <c r="M28" s="67" t="str">
        <f>'MSW25'!M28</f>
        <v/>
      </c>
      <c r="N28" s="234" t="str">
        <f>'MSW25'!N28</f>
        <v/>
      </c>
      <c r="O28" s="260" t="str">
        <f>'MSW25'!O28</f>
        <v>FILL OUT REP LOG FIRST</v>
      </c>
      <c r="P28" s="16"/>
      <c r="Q28" s="16"/>
      <c r="R28" s="16"/>
      <c r="S28" s="16"/>
      <c r="T28" s="230"/>
    </row>
    <row r="29">
      <c r="A29" s="246" t="str">
        <f>'MSW25'!A29</f>
        <v>DOWN SETS</v>
      </c>
      <c r="B29" s="20"/>
      <c r="C29" s="20"/>
      <c r="D29" s="20"/>
      <c r="E29" s="20"/>
      <c r="F29" s="95"/>
      <c r="H29" s="246" t="str">
        <f>'MSW25'!H29</f>
        <v>FILL OUT REP LOG FOR DOWN SETS</v>
      </c>
      <c r="I29" s="20"/>
      <c r="J29" s="20"/>
      <c r="K29" s="20"/>
      <c r="L29" s="20"/>
      <c r="M29" s="95"/>
      <c r="O29" s="91" t="str">
        <f>'MSW25'!O29</f>
        <v/>
      </c>
      <c r="P29" s="261" t="str">
        <f>'MSW25'!P29</f>
        <v/>
      </c>
      <c r="Q29" s="262" t="str">
        <f>'MSW25'!Q29</f>
        <v/>
      </c>
      <c r="R29" s="65" t="str">
        <f>'MSW25'!R29</f>
        <v/>
      </c>
      <c r="S29" s="66" t="str">
        <f>'MSW25'!S29</f>
        <v/>
      </c>
      <c r="T29" s="263" t="str">
        <f>'MSW25'!T29</f>
        <v/>
      </c>
    </row>
    <row r="30">
      <c r="A30" s="264">
        <f>'MSW25'!A30</f>
        <v>7</v>
      </c>
      <c r="B30" s="265">
        <f>'MSW25'!B30</f>
        <v>245</v>
      </c>
      <c r="C30" s="266" t="str">
        <f>'MSW25'!C30</f>
        <v>REP OUT</v>
      </c>
      <c r="D30" s="267" t="str">
        <f>'MSW25'!D30</f>
        <v>1-3 MIN</v>
      </c>
      <c r="E30" s="66" t="str">
        <f>'MSW25'!E30</f>
        <v/>
      </c>
      <c r="F30" s="67" t="str">
        <f>'MSW25'!F30</f>
        <v/>
      </c>
      <c r="H30" s="264" t="str">
        <f>'MSW25'!H30</f>
        <v/>
      </c>
      <c r="I30" s="265" t="str">
        <f>'MSW25'!I30</f>
        <v/>
      </c>
      <c r="J30" s="266" t="str">
        <f>'MSW25'!J30</f>
        <v/>
      </c>
      <c r="K30" s="267" t="str">
        <f>'MSW25'!K30</f>
        <v/>
      </c>
      <c r="L30" s="66" t="str">
        <f>'MSW25'!L30</f>
        <v/>
      </c>
      <c r="M30" s="67" t="str">
        <f>'MSW25'!M30</f>
        <v/>
      </c>
      <c r="O30" s="269" t="str">
        <f>'MSW25'!O30</f>
        <v/>
      </c>
      <c r="P30" s="254" t="str">
        <f>'MSW25'!P30</f>
        <v/>
      </c>
      <c r="Q30" s="253" t="str">
        <f>'MSW25'!Q30</f>
        <v/>
      </c>
      <c r="R30" s="65" t="str">
        <f>'MSW25'!R30</f>
        <v/>
      </c>
      <c r="S30" s="66" t="str">
        <f>'MSW25'!S30</f>
        <v/>
      </c>
      <c r="T30" s="270" t="str">
        <f>'MSW25'!T30</f>
        <v/>
      </c>
    </row>
    <row r="31">
      <c r="A31" s="243">
        <f>'MSW25'!A31</f>
        <v>8</v>
      </c>
      <c r="B31" s="237">
        <f>'MSW25'!B31</f>
        <v>210</v>
      </c>
      <c r="C31" s="245" t="str">
        <f>'MSW25'!C31</f>
        <v>REP OUT</v>
      </c>
      <c r="D31" s="65" t="str">
        <f>'MSW25'!D31</f>
        <v>1-3 MIN</v>
      </c>
      <c r="E31" s="66" t="str">
        <f>'MSW25'!E31</f>
        <v/>
      </c>
      <c r="F31" s="271" t="str">
        <f>'MSW25'!F31</f>
        <v/>
      </c>
      <c r="H31" s="243" t="str">
        <f>'MSW25'!H31</f>
        <v/>
      </c>
      <c r="I31" s="237" t="str">
        <f>'MSW25'!I31</f>
        <v/>
      </c>
      <c r="J31" s="245" t="str">
        <f>'MSW25'!J31</f>
        <v/>
      </c>
      <c r="K31" s="65" t="str">
        <f>'MSW25'!K31</f>
        <v/>
      </c>
      <c r="L31" s="66" t="str">
        <f>'MSW25'!L31</f>
        <v/>
      </c>
      <c r="M31" s="271" t="str">
        <f>'MSW25'!M31</f>
        <v/>
      </c>
      <c r="O31" s="269" t="str">
        <f>'MSW25'!O31</f>
        <v/>
      </c>
      <c r="P31" s="254" t="str">
        <f>'MSW25'!P31</f>
        <v/>
      </c>
      <c r="Q31" s="253" t="str">
        <f>'MSW25'!Q31</f>
        <v/>
      </c>
      <c r="R31" s="65" t="str">
        <f>'MSW25'!R31</f>
        <v/>
      </c>
      <c r="S31" s="66" t="str">
        <f>'MSW25'!S31</f>
        <v/>
      </c>
      <c r="T31" s="270" t="str">
        <f>'MSW25'!T31</f>
        <v/>
      </c>
    </row>
    <row r="32">
      <c r="A32" s="272" t="str">
        <f>'MSW25'!A32</f>
        <v>FINAL MAX</v>
      </c>
      <c r="B32" s="273">
        <f>'MSW25'!B32</f>
        <v>270</v>
      </c>
      <c r="C32" s="11"/>
      <c r="D32" s="11"/>
      <c r="E32" s="11"/>
      <c r="F32" s="46"/>
      <c r="H32" s="272" t="str">
        <f>'MSW25'!H32</f>
        <v>FINAL MAX</v>
      </c>
      <c r="I32" s="273" t="str">
        <f>'MSW25'!I32</f>
        <v/>
      </c>
      <c r="J32" s="11"/>
      <c r="K32" s="11"/>
      <c r="L32" s="11"/>
      <c r="M32" s="46"/>
      <c r="O32" s="269" t="str">
        <f>'MSW25'!O32</f>
        <v/>
      </c>
      <c r="P32" s="254" t="str">
        <f>'MSW25'!P32</f>
        <v/>
      </c>
      <c r="Q32" s="253" t="str">
        <f>'MSW25'!Q32</f>
        <v/>
      </c>
      <c r="R32" s="65" t="str">
        <f>'MSW25'!R32</f>
        <v/>
      </c>
      <c r="S32" s="66" t="str">
        <f>'MSW25'!S32</f>
        <v/>
      </c>
      <c r="T32" s="270" t="str">
        <f>'MSW25'!T32</f>
        <v/>
      </c>
    </row>
    <row r="33">
      <c r="A33" s="274" t="str">
        <f>'MSW25'!A33</f>
        <v/>
      </c>
      <c r="B33" s="275" t="str">
        <f>'MSW25'!B33</f>
        <v/>
      </c>
      <c r="O33" s="280" t="str">
        <f>'MSW25'!O33</f>
        <v>FINAL MAX</v>
      </c>
      <c r="P33" s="273" t="str">
        <f>'MSW25'!P33</f>
        <v/>
      </c>
      <c r="Q33" s="11"/>
      <c r="R33" s="11"/>
      <c r="S33" s="11"/>
      <c r="T33" s="46"/>
    </row>
    <row r="34">
      <c r="A34" s="73" t="str">
        <f>'MSW25'!A34</f>
        <v>2.DB CHEST FLY</v>
      </c>
      <c r="B34" s="53"/>
      <c r="C34" s="53"/>
      <c r="D34" s="53"/>
      <c r="E34" s="53"/>
      <c r="F34" s="54"/>
      <c r="G34" s="281" t="str">
        <f>'MSW25'!G34</f>
        <v/>
      </c>
      <c r="H34" s="73" t="str">
        <f>'MSW25'!H34</f>
        <v>2. MACHINE CHEST FLY</v>
      </c>
      <c r="I34" s="53"/>
      <c r="J34" s="53"/>
      <c r="K34" s="53"/>
      <c r="L34" s="53"/>
      <c r="M34" s="54"/>
      <c r="N34" s="281" t="str">
        <f>'MSW25'!N34</f>
        <v/>
      </c>
    </row>
    <row r="35">
      <c r="A35" s="226" t="str">
        <f>'MSW25'!A35</f>
        <v>DB INCL PRSS MAX</v>
      </c>
      <c r="B35" s="1366" t="str">
        <f>'MSW25'!B35</f>
        <v/>
      </c>
      <c r="C35" s="20"/>
      <c r="D35" s="20"/>
      <c r="E35" s="20"/>
      <c r="F35" s="95"/>
      <c r="G35" s="247" t="str">
        <f>'MSW25'!G35</f>
        <v>ALTERNATE</v>
      </c>
      <c r="H35" s="226" t="str">
        <f>'MSW25'!H35</f>
        <v>DB INCL PRSS MAX</v>
      </c>
      <c r="I35" s="284" t="str">
        <f>'MSW25'!I35</f>
        <v/>
      </c>
      <c r="J35" s="20"/>
      <c r="K35" s="20"/>
      <c r="L35" s="20"/>
      <c r="M35" s="95"/>
    </row>
    <row r="36">
      <c r="A36" s="231" t="str">
        <f>'MSW25'!A36</f>
        <v>SET</v>
      </c>
      <c r="B36" s="232" t="str">
        <f>'MSW25'!B36</f>
        <v>WEIGHT</v>
      </c>
      <c r="C36" s="232" t="str">
        <f>'MSW25'!C36</f>
        <v>REPS</v>
      </c>
      <c r="D36" s="232" t="str">
        <f>'MSW25'!D36</f>
        <v>REST</v>
      </c>
      <c r="E36" s="285" t="str">
        <f>'MSW25'!E36</f>
        <v>PREVIOUS</v>
      </c>
      <c r="F36" s="286" t="str">
        <f>'MSW25'!F36</f>
        <v>REP LOG</v>
      </c>
      <c r="H36" s="231" t="str">
        <f>'MSW25'!H36</f>
        <v>SET</v>
      </c>
      <c r="I36" s="232" t="str">
        <f>'MSW25'!I36</f>
        <v>WEIGHT</v>
      </c>
      <c r="J36" s="232" t="str">
        <f>'MSW25'!J36</f>
        <v>REPS</v>
      </c>
      <c r="K36" s="232" t="str">
        <f>'MSW25'!K36</f>
        <v>REST</v>
      </c>
      <c r="L36" s="285" t="str">
        <f>'MSW25'!L36</f>
        <v>PREVIOUS</v>
      </c>
      <c r="M36" s="61" t="str">
        <f>'MSW25'!M36</f>
        <v>REP LOG</v>
      </c>
    </row>
    <row r="37">
      <c r="A37" s="242">
        <f>'MSW25'!A37</f>
        <v>1</v>
      </c>
      <c r="B37" s="82">
        <f>'MSW25'!B37</f>
        <v>0</v>
      </c>
      <c r="C37" s="82">
        <f>'MSW25'!C37</f>
        <v>15</v>
      </c>
      <c r="D37" s="288" t="str">
        <f>'MSW25'!D37</f>
        <v>1 - 2 MIN</v>
      </c>
      <c r="E37" s="66" t="str">
        <f>'MSW25'!E37</f>
        <v/>
      </c>
      <c r="F37" s="67" t="str">
        <f>'MSW25'!F37</f>
        <v/>
      </c>
      <c r="G37" s="234" t="str">
        <f>'MSW25'!G37</f>
        <v/>
      </c>
      <c r="H37" s="242">
        <f>'MSW25'!H37</f>
        <v>1</v>
      </c>
      <c r="I37" s="237">
        <f>'MSW25'!I37</f>
        <v>0</v>
      </c>
      <c r="J37" s="82">
        <f>'MSW25'!J37</f>
        <v>15</v>
      </c>
      <c r="K37" s="288" t="str">
        <f>'MSW25'!K37</f>
        <v>1 - 2 MIN</v>
      </c>
      <c r="L37" s="66" t="str">
        <f>'MSW25'!L37</f>
        <v/>
      </c>
      <c r="M37" s="67" t="str">
        <f>'MSW25'!M37</f>
        <v/>
      </c>
    </row>
    <row r="38">
      <c r="A38" s="289">
        <f>'MSW25'!A38</f>
        <v>2</v>
      </c>
      <c r="B38" s="87">
        <f>'MSW25'!B38</f>
        <v>0</v>
      </c>
      <c r="C38" s="87">
        <f>'MSW25'!C38</f>
        <v>15</v>
      </c>
      <c r="D38" s="290" t="str">
        <f>'MSW25'!D38</f>
        <v>1 - 2 MIN</v>
      </c>
      <c r="E38" s="72" t="str">
        <f>'MSW25'!E38</f>
        <v/>
      </c>
      <c r="F38" s="67" t="str">
        <f>'MSW25'!F38</f>
        <v/>
      </c>
      <c r="H38" s="289">
        <f>'MSW25'!H38</f>
        <v>2</v>
      </c>
      <c r="I38" s="291">
        <f>'MSW25'!I38</f>
        <v>0</v>
      </c>
      <c r="J38" s="87">
        <f>'MSW25'!J38</f>
        <v>15</v>
      </c>
      <c r="K38" s="290" t="str">
        <f>'MSW25'!K38</f>
        <v>1 - 2 MIN</v>
      </c>
      <c r="L38" s="72" t="str">
        <f>'MSW25'!L38</f>
        <v/>
      </c>
      <c r="M38" s="67" t="str">
        <f>'MSW25'!M38</f>
        <v/>
      </c>
    </row>
    <row r="39">
      <c r="A39" s="103" t="str">
        <f>'MSW25'!A39</f>
        <v/>
      </c>
    </row>
    <row r="41">
      <c r="A41" s="73" t="str">
        <f>'MSW25'!A41</f>
        <v>3. LAT PULL DOWN</v>
      </c>
      <c r="B41" s="53"/>
      <c r="C41" s="53"/>
      <c r="D41" s="53"/>
      <c r="E41" s="53"/>
      <c r="F41" s="54"/>
      <c r="G41" s="276" t="str">
        <f>'MSW25'!G41</f>
        <v/>
      </c>
    </row>
    <row r="42">
      <c r="A42" s="226" t="str">
        <f>'MSW25'!A42</f>
        <v>CURRENT MAX</v>
      </c>
      <c r="B42" s="227">
        <v>210.0</v>
      </c>
      <c r="C42" s="20"/>
      <c r="D42" s="20"/>
      <c r="E42" s="20"/>
      <c r="F42" s="95"/>
    </row>
    <row r="43">
      <c r="A43" s="231" t="str">
        <f>'MSW25'!A43</f>
        <v>SET</v>
      </c>
      <c r="B43" s="232" t="str">
        <f>'MSW25'!B43</f>
        <v>WEIGHT</v>
      </c>
      <c r="C43" s="232" t="str">
        <f>'MSW25'!C43</f>
        <v>REPS</v>
      </c>
      <c r="D43" s="232" t="str">
        <f>'MSW25'!D43</f>
        <v>REST</v>
      </c>
      <c r="E43" s="233" t="str">
        <f>'MSW25'!E43</f>
        <v>PREVIOUS</v>
      </c>
      <c r="F43" s="61" t="str">
        <f>'MSW25'!F43</f>
        <v>REP LOG</v>
      </c>
    </row>
    <row r="44">
      <c r="A44" s="236">
        <f>'MSW25'!A44</f>
        <v>1</v>
      </c>
      <c r="B44" s="237">
        <f>'MSW25'!B44</f>
        <v>75</v>
      </c>
      <c r="C44" s="237">
        <f>'MSW25'!C44</f>
        <v>6</v>
      </c>
      <c r="D44" s="238" t="str">
        <f>'MSW25'!D44</f>
        <v>30s</v>
      </c>
      <c r="E44" s="66" t="str">
        <f>'MSW25'!E44</f>
        <v/>
      </c>
      <c r="F44" s="67">
        <v>6.0</v>
      </c>
    </row>
    <row r="45">
      <c r="A45" s="236">
        <f>'MSW25'!A45</f>
        <v>2</v>
      </c>
      <c r="B45" s="237">
        <f>'MSW25'!B45</f>
        <v>135</v>
      </c>
      <c r="C45" s="238">
        <f>'MSW25'!C45</f>
        <v>3</v>
      </c>
      <c r="D45" s="238" t="str">
        <f>'MSW25'!D45</f>
        <v>1-2 MIN</v>
      </c>
      <c r="E45" s="66" t="str">
        <f>'MSW25'!E45</f>
        <v/>
      </c>
      <c r="F45" s="67">
        <v>3.0</v>
      </c>
    </row>
    <row r="46">
      <c r="A46" s="242">
        <f>'MSW25'!A46</f>
        <v>3</v>
      </c>
      <c r="B46" s="237">
        <f>'MSW25'!B46</f>
        <v>190</v>
      </c>
      <c r="C46" s="63">
        <f>'MSW25'!C46</f>
        <v>2</v>
      </c>
      <c r="D46" s="238" t="str">
        <f>'MSW25'!D46</f>
        <v>1-2 MIN</v>
      </c>
      <c r="E46" s="66" t="str">
        <f>'MSW25'!E46</f>
        <v/>
      </c>
      <c r="F46" s="67">
        <v>2.0</v>
      </c>
    </row>
    <row r="47">
      <c r="A47" s="243">
        <f>'MSW25'!A47</f>
        <v>4</v>
      </c>
      <c r="B47" s="237">
        <f>'MSW25'!B47</f>
        <v>210</v>
      </c>
      <c r="C47" s="257">
        <f>'MSW25'!C47</f>
        <v>3</v>
      </c>
      <c r="D47" s="238" t="str">
        <f>'MSW25'!D47</f>
        <v>1-5 MIN</v>
      </c>
      <c r="E47" s="66" t="str">
        <f>'MSW25'!E47</f>
        <v/>
      </c>
      <c r="F47" s="67">
        <v>3.0</v>
      </c>
    </row>
    <row r="48">
      <c r="A48" s="246" t="str">
        <f>'MSW25'!A48</f>
        <v>NEW 4 REP MAX ATTEMPT</v>
      </c>
      <c r="B48" s="20"/>
      <c r="C48" s="20"/>
      <c r="D48" s="20"/>
      <c r="E48" s="20"/>
      <c r="F48" s="95"/>
    </row>
    <row r="49">
      <c r="A49" s="249">
        <f>'MSW25'!A49</f>
        <v>5</v>
      </c>
      <c r="B49" s="175">
        <f>'MSW25'!B49</f>
        <v>215</v>
      </c>
      <c r="C49" s="238">
        <f>'MSW25'!C49</f>
        <v>4</v>
      </c>
      <c r="D49" s="238" t="str">
        <f>'MSW25'!D49</f>
        <v>1-5 MIN</v>
      </c>
      <c r="E49" s="250" t="str">
        <f>'MSW25'!E49</f>
        <v/>
      </c>
      <c r="F49" s="67">
        <v>4.0</v>
      </c>
    </row>
    <row r="50">
      <c r="A50" s="256" t="str">
        <f>'MSW25'!A50</f>
        <v>6</v>
      </c>
      <c r="B50" s="237">
        <f>'MSW25'!B50</f>
        <v>220</v>
      </c>
      <c r="C50" s="257" t="str">
        <f>'MSW25'!C50</f>
        <v>4</v>
      </c>
      <c r="D50" s="257" t="str">
        <f>'MSW25'!D50</f>
        <v>1-5 MIN</v>
      </c>
      <c r="E50" s="258" t="str">
        <f>'MSW25'!E50</f>
        <v/>
      </c>
      <c r="F50" s="67">
        <v>0.0</v>
      </c>
    </row>
    <row r="51">
      <c r="A51" s="246" t="str">
        <f>'MSW25'!A51</f>
        <v>DOWN SETS</v>
      </c>
      <c r="B51" s="20"/>
      <c r="C51" s="20"/>
      <c r="D51" s="20"/>
      <c r="E51" s="20"/>
      <c r="F51" s="95"/>
    </row>
    <row r="52">
      <c r="A52" s="264">
        <f>'MSW25'!A52</f>
        <v>7</v>
      </c>
      <c r="B52" s="265">
        <f>'MSW25'!B52</f>
        <v>170</v>
      </c>
      <c r="C52" s="266" t="str">
        <f>'MSW25'!C52</f>
        <v>REP OUT</v>
      </c>
      <c r="D52" s="267" t="str">
        <f>'MSW25'!D52</f>
        <v>1-3 MIN</v>
      </c>
      <c r="E52" s="268" t="str">
        <f>'MSW25'!E52</f>
        <v/>
      </c>
      <c r="F52" s="67">
        <v>7.0</v>
      </c>
    </row>
    <row r="53">
      <c r="A53" s="243">
        <f>'MSW25'!A53</f>
        <v>8</v>
      </c>
      <c r="B53" s="237">
        <f>'MSW25'!B53</f>
        <v>150</v>
      </c>
      <c r="C53" s="245" t="str">
        <f>'MSW25'!C53</f>
        <v>REP OUT</v>
      </c>
      <c r="D53" s="65" t="str">
        <f>'MSW25'!D53</f>
        <v>1-3 MIN</v>
      </c>
      <c r="E53" s="258" t="str">
        <f>'MSW25'!E53</f>
        <v/>
      </c>
      <c r="F53" s="271">
        <v>6.0</v>
      </c>
    </row>
    <row r="54">
      <c r="A54" s="272" t="str">
        <f>'MSW25'!A54</f>
        <v>FINAL MAX</v>
      </c>
      <c r="B54" s="273">
        <f>'MSW25'!B54</f>
        <v>215</v>
      </c>
      <c r="C54" s="11"/>
      <c r="D54" s="11"/>
      <c r="E54" s="11"/>
      <c r="F54" s="46"/>
    </row>
    <row r="55">
      <c r="A55" s="302" t="str">
        <f>'MSW25'!A55</f>
        <v/>
      </c>
    </row>
    <row r="57">
      <c r="A57" s="73" t="str">
        <f>'MSW25'!A57</f>
        <v>4. MACHINE LOW ROW</v>
      </c>
      <c r="B57" s="53"/>
      <c r="C57" s="53"/>
      <c r="D57" s="53"/>
      <c r="E57" s="53"/>
      <c r="F57" s="54"/>
    </row>
    <row r="58">
      <c r="A58" s="282" t="str">
        <f>'MSW25'!A58</f>
        <v>CURRENT MAX</v>
      </c>
      <c r="B58" s="56">
        <v>185.0</v>
      </c>
      <c r="C58" s="13"/>
      <c r="D58" s="13"/>
      <c r="E58" s="13"/>
      <c r="F58" s="57"/>
    </row>
    <row r="59">
      <c r="A59" s="58" t="str">
        <f>'MSW25'!A59</f>
        <v>SET</v>
      </c>
      <c r="B59" s="59" t="str">
        <f>'MSW25'!B59</f>
        <v>WEIGHT</v>
      </c>
      <c r="C59" s="59" t="str">
        <f>'MSW25'!C59</f>
        <v>REPS</v>
      </c>
      <c r="D59" s="59" t="str">
        <f>'MSW25'!D59</f>
        <v>REST</v>
      </c>
      <c r="E59" s="60" t="str">
        <f>'MSW25'!E59</f>
        <v>PREVIOUS</v>
      </c>
      <c r="F59" s="61" t="str">
        <f>'MSW25'!F59</f>
        <v>REP LOG</v>
      </c>
    </row>
    <row r="60">
      <c r="A60" s="62">
        <f>'MSW25'!A60</f>
        <v>1</v>
      </c>
      <c r="B60" s="63">
        <f>'MSW25'!B60</f>
        <v>165</v>
      </c>
      <c r="C60" s="104" t="str">
        <f>'MSW25'!C60</f>
        <v>REP OUT</v>
      </c>
      <c r="D60" s="65" t="str">
        <f>'MSW25'!D60</f>
        <v>1 MIN</v>
      </c>
      <c r="E60" s="66" t="str">
        <f>'MSW25'!E60</f>
        <v/>
      </c>
      <c r="F60" s="67">
        <v>5.0</v>
      </c>
    </row>
    <row r="61">
      <c r="A61" s="62">
        <f>'MSW25'!A61</f>
        <v>2</v>
      </c>
      <c r="B61" s="63">
        <f>'MSW25'!B61</f>
        <v>140</v>
      </c>
      <c r="C61" s="104" t="str">
        <f>'MSW25'!C61</f>
        <v>REP OUT</v>
      </c>
      <c r="D61" s="65" t="str">
        <f>'MSW25'!D61</f>
        <v>1 MIN</v>
      </c>
      <c r="E61" s="66" t="str">
        <f>'MSW25'!E61</f>
        <v/>
      </c>
      <c r="F61" s="67" t="str">
        <f>'MSW25'!F61</f>
        <v/>
      </c>
    </row>
    <row r="62">
      <c r="A62" s="68">
        <f>'MSW25'!A62</f>
        <v>3</v>
      </c>
      <c r="B62" s="69">
        <f>'MSW25'!B62</f>
        <v>110</v>
      </c>
      <c r="C62" s="105" t="str">
        <f>'MSW25'!C62</f>
        <v>REP OUT</v>
      </c>
      <c r="D62" s="71" t="str">
        <f>'MSW25'!D62</f>
        <v>1 MIN</v>
      </c>
      <c r="E62" s="72" t="str">
        <f>'MSW25'!E62</f>
        <v/>
      </c>
      <c r="F62" s="67" t="str">
        <f>'MSW25'!F62</f>
        <v/>
      </c>
    </row>
    <row r="63">
      <c r="A63" s="103" t="str">
        <f>'MSW25'!A63</f>
        <v/>
      </c>
    </row>
    <row r="65">
      <c r="A65" s="73" t="str">
        <f>'MSW25'!A65</f>
        <v>5. MACHINE HIGH ROW</v>
      </c>
      <c r="B65" s="53"/>
      <c r="C65" s="53"/>
      <c r="D65" s="53"/>
      <c r="E65" s="53"/>
      <c r="F65" s="54"/>
    </row>
    <row r="66">
      <c r="A66" s="282" t="str">
        <f>'MSW25'!A66</f>
        <v>CURRENT MAX</v>
      </c>
      <c r="B66" s="56">
        <v>145.0</v>
      </c>
      <c r="C66" s="13"/>
      <c r="D66" s="13"/>
      <c r="E66" s="13"/>
      <c r="F66" s="57"/>
    </row>
    <row r="67">
      <c r="A67" s="58" t="str">
        <f>'MSW25'!A67</f>
        <v>SET</v>
      </c>
      <c r="B67" s="59" t="str">
        <f>'MSW25'!B67</f>
        <v>WEIGHT</v>
      </c>
      <c r="C67" s="59" t="str">
        <f>'MSW25'!C67</f>
        <v>REPS</v>
      </c>
      <c r="D67" s="59" t="str">
        <f>'MSW25'!D67</f>
        <v>REST</v>
      </c>
      <c r="E67" s="60" t="str">
        <f>'MSW25'!E67</f>
        <v>PREVIOUS</v>
      </c>
      <c r="F67" s="61" t="str">
        <f>'MSW25'!F67</f>
        <v>REP LOG</v>
      </c>
    </row>
    <row r="68">
      <c r="A68" s="308">
        <f>'MSW25'!A68</f>
        <v>1</v>
      </c>
      <c r="B68" s="63">
        <f>'MSW25'!B68</f>
        <v>125</v>
      </c>
      <c r="C68" s="104" t="str">
        <f>'MSW25'!C68</f>
        <v>REP OUT</v>
      </c>
      <c r="D68" s="65" t="str">
        <f>'MSW25'!D68</f>
        <v>1 MIN</v>
      </c>
      <c r="E68" s="66" t="str">
        <f>'MSW25'!E68</f>
        <v/>
      </c>
      <c r="F68" s="67" t="str">
        <f>'MSW25'!F68</f>
        <v/>
      </c>
    </row>
    <row r="69">
      <c r="A69" s="308">
        <f>'MSW25'!A69</f>
        <v>2</v>
      </c>
      <c r="B69" s="63">
        <f>'MSW25'!B69</f>
        <v>110</v>
      </c>
      <c r="C69" s="104" t="str">
        <f>'MSW25'!C69</f>
        <v>REP OUT</v>
      </c>
      <c r="D69" s="65" t="str">
        <f>'MSW25'!D69</f>
        <v>1 MIN</v>
      </c>
      <c r="E69" s="66" t="str">
        <f>'MSW25'!E69</f>
        <v/>
      </c>
      <c r="F69" s="67" t="str">
        <f>'MSW25'!F69</f>
        <v/>
      </c>
    </row>
    <row r="70">
      <c r="A70" s="68">
        <f>'MSW25'!A70</f>
        <v>3</v>
      </c>
      <c r="B70" s="87">
        <f>'MSW25'!B70</f>
        <v>90</v>
      </c>
      <c r="C70" s="105" t="str">
        <f>'MSW25'!C70</f>
        <v>REP OUT</v>
      </c>
      <c r="D70" s="309" t="str">
        <f>'MSW25'!D70</f>
        <v>1 MIN</v>
      </c>
      <c r="E70" s="72" t="str">
        <f>'MSW25'!E70</f>
        <v/>
      </c>
      <c r="F70" s="67" t="str">
        <f>'MSW25'!F70</f>
        <v/>
      </c>
    </row>
    <row r="71">
      <c r="A71" s="103" t="str">
        <f>'MSW25'!A71</f>
        <v/>
      </c>
    </row>
    <row r="72">
      <c r="A72" s="310" t="str">
        <f>'MSW25'!A72</f>
        <v>CLICK TO COMPLETE WORKOUT</v>
      </c>
      <c r="B72" s="36"/>
      <c r="C72" s="36"/>
      <c r="D72" s="36"/>
      <c r="E72" s="36"/>
      <c r="F72" s="37"/>
    </row>
    <row r="73">
      <c r="A73" t="str">
        <f>'MSW25'!A73</f>
        <v/>
      </c>
    </row>
    <row r="74">
      <c r="A74" s="224" t="str">
        <f>'MSW25'!A74</f>
        <v>DAY 2 </v>
      </c>
      <c r="B74" s="36"/>
      <c r="C74" s="36"/>
      <c r="D74" s="36"/>
      <c r="E74" s="36"/>
      <c r="F74" s="37"/>
    </row>
    <row r="75">
      <c r="A75" s="311" t="str">
        <f>'MSW25'!A75</f>
        <v/>
      </c>
    </row>
    <row r="77">
      <c r="A77" s="1355" t="str">
        <f>'MSW25'!A77</f>
        <v>1. MACHINE SQUAT</v>
      </c>
      <c r="B77" s="53"/>
      <c r="C77" s="53"/>
      <c r="D77" s="53"/>
      <c r="E77" s="53"/>
      <c r="F77" s="54"/>
    </row>
    <row r="78">
      <c r="A78" s="1262" t="str">
        <f>'MSW25'!A78</f>
        <v>2 REP MAX</v>
      </c>
      <c r="B78" s="1035">
        <f>'MSW25'!B78</f>
        <v>100</v>
      </c>
      <c r="C78" s="13"/>
      <c r="D78" s="13"/>
      <c r="E78" s="13"/>
      <c r="F78" s="57"/>
    </row>
    <row r="79">
      <c r="A79" s="962" t="str">
        <f>'MSW25'!A79</f>
        <v>SET</v>
      </c>
      <c r="B79" s="1203" t="str">
        <f>'MSW25'!B79</f>
        <v>WEIGHT</v>
      </c>
      <c r="C79" s="963" t="str">
        <f>'MSW25'!C79</f>
        <v>REPS</v>
      </c>
      <c r="D79" s="963" t="str">
        <f>'MSW25'!D79</f>
        <v>REST</v>
      </c>
      <c r="E79" s="1073" t="str">
        <f>'MSW25'!E79</f>
        <v>PREVIOUS</v>
      </c>
      <c r="F79" s="1006" t="str">
        <f>'MSW25'!F79</f>
        <v>REP LOG</v>
      </c>
    </row>
    <row r="80">
      <c r="A80" s="1307">
        <f>'MSW25'!A80</f>
        <v>1</v>
      </c>
      <c r="B80" s="1015">
        <f>'MSW25'!B80</f>
        <v>50</v>
      </c>
      <c r="C80" s="1234">
        <f>'MSW25'!C80</f>
        <v>30</v>
      </c>
      <c r="D80" s="1234" t="str">
        <f>'MSW25'!D80</f>
        <v>1-5 MIN</v>
      </c>
      <c r="E80" s="1077" t="str">
        <f>'MSW25'!E80</f>
        <v/>
      </c>
      <c r="F80" s="1131">
        <v>30.0</v>
      </c>
    </row>
    <row r="81">
      <c r="A81" s="967">
        <f>'MSW25'!A81</f>
        <v>2</v>
      </c>
      <c r="B81" s="1015">
        <f>'MSW25'!B81</f>
        <v>50</v>
      </c>
      <c r="C81" s="1067">
        <f>'MSW25'!C81</f>
        <v>30</v>
      </c>
      <c r="D81" s="1234" t="str">
        <f>'MSW25'!D81</f>
        <v>1-5 MIN</v>
      </c>
      <c r="E81" s="1077" t="str">
        <f>'MSW25'!E81</f>
        <v/>
      </c>
      <c r="F81" s="1131" t="str">
        <f>'MSW25'!F81</f>
        <v/>
      </c>
    </row>
    <row r="82">
      <c r="A82" s="1308">
        <f>'MSW25'!A82</f>
        <v>3</v>
      </c>
      <c r="B82" s="1205">
        <f>'MSW25'!B82</f>
        <v>50</v>
      </c>
      <c r="C82" s="1239">
        <f>'MSW25'!C82</f>
        <v>30</v>
      </c>
      <c r="D82" s="1234" t="str">
        <f>'MSW25'!D82</f>
        <v>1-5 MIN</v>
      </c>
      <c r="E82" s="1077" t="str">
        <f>'MSW25'!E82</f>
        <v/>
      </c>
      <c r="F82" s="1131" t="str">
        <f>'MSW25'!F82</f>
        <v/>
      </c>
    </row>
    <row r="83">
      <c r="A83" s="1308" t="str">
        <f>'MSW25'!A83</f>
        <v/>
      </c>
      <c r="B83" s="1028" t="str">
        <f>'MSW25'!B83</f>
        <v/>
      </c>
      <c r="C83" s="1205" t="str">
        <f>'MSW25'!C83</f>
        <v/>
      </c>
      <c r="D83" s="1234" t="str">
        <f>'MSW25'!D83</f>
        <v/>
      </c>
      <c r="E83" s="1211" t="str">
        <f>'MSW25'!E83</f>
        <v/>
      </c>
      <c r="F83" s="1309" t="str">
        <f>'MSW25'!F83</f>
        <v/>
      </c>
    </row>
    <row r="84">
      <c r="A84" s="1308" t="str">
        <f>'MSW25'!A90</f>
        <v/>
      </c>
      <c r="B84" s="1205" t="str">
        <f>'MSW25'!B90</f>
        <v/>
      </c>
      <c r="C84" s="1234" t="str">
        <f>'MSW25'!C90</f>
        <v/>
      </c>
      <c r="D84" s="1234" t="str">
        <f>'MSW25'!D90</f>
        <v/>
      </c>
      <c r="E84" s="1010" t="str">
        <f>'MSW25'!E90</f>
        <v/>
      </c>
      <c r="F84" s="1131" t="str">
        <f>'MSW25'!F90</f>
        <v/>
      </c>
    </row>
    <row r="85">
      <c r="A85" s="1310" t="str">
        <f>'MSW25'!A91</f>
        <v/>
      </c>
      <c r="B85" s="1205" t="str">
        <f>'MSW25'!B91</f>
        <v/>
      </c>
      <c r="C85" s="1311" t="str">
        <f>'MSW25'!C91</f>
        <v/>
      </c>
      <c r="D85" s="1234" t="str">
        <f>'MSW25'!D91</f>
        <v/>
      </c>
      <c r="E85" s="1010" t="str">
        <f>'MSW25'!E91</f>
        <v/>
      </c>
      <c r="F85" s="1017" t="str">
        <f>'MSW25'!F91</f>
        <v/>
      </c>
    </row>
    <row r="86">
      <c r="A86" s="1310"/>
      <c r="B86" s="1205"/>
      <c r="C86" s="1311"/>
      <c r="D86" s="1234"/>
      <c r="E86" s="1010"/>
      <c r="F86" s="1085"/>
    </row>
    <row r="87">
      <c r="A87" s="1310"/>
      <c r="B87" s="1205"/>
      <c r="C87" s="1311"/>
      <c r="D87" s="1234"/>
      <c r="E87" s="1312"/>
      <c r="F87" s="1313"/>
    </row>
    <row r="88">
      <c r="A88" s="1310"/>
      <c r="B88" s="1205"/>
      <c r="C88" s="1311"/>
      <c r="D88" s="1234"/>
      <c r="E88" s="1010"/>
      <c r="F88" s="1017"/>
    </row>
    <row r="89">
      <c r="A89" s="1503"/>
      <c r="B89" s="1504"/>
      <c r="C89" s="1436"/>
      <c r="D89" s="1505"/>
      <c r="E89" s="1021"/>
      <c r="F89" s="1017"/>
    </row>
    <row r="90">
      <c r="A90" s="233"/>
    </row>
    <row r="92">
      <c r="A92" s="93" t="str">
        <f>'MSW25'!A92</f>
        <v>LEG EXTENSION</v>
      </c>
      <c r="B92" s="53"/>
      <c r="C92" s="53"/>
      <c r="D92" s="53"/>
      <c r="E92" s="53"/>
      <c r="F92" s="54"/>
    </row>
    <row r="93">
      <c r="A93" s="226" t="str">
        <f>'MSW25'!A93</f>
        <v>CURRENT MAX</v>
      </c>
      <c r="B93" s="1367">
        <f>'MSW25'!B93</f>
        <v>50</v>
      </c>
      <c r="C93" s="20"/>
      <c r="D93" s="20"/>
      <c r="E93" s="20"/>
      <c r="F93" s="95"/>
    </row>
    <row r="94">
      <c r="A94" s="96" t="str">
        <f>'MSW25'!A94</f>
        <v>SET</v>
      </c>
      <c r="B94" s="97" t="str">
        <f>'MSW25'!B94</f>
        <v>WEIGHT</v>
      </c>
      <c r="C94" s="97" t="str">
        <f>'MSW25'!C94</f>
        <v>REPS</v>
      </c>
      <c r="D94" s="97" t="str">
        <f>'MSW25'!D94</f>
        <v>REST</v>
      </c>
      <c r="E94" s="98" t="str">
        <f>'MSW25'!E94</f>
        <v>PREVIOUS</v>
      </c>
      <c r="F94" s="235" t="str">
        <f>'MSW25'!F94</f>
        <v>REP LOG</v>
      </c>
    </row>
    <row r="95">
      <c r="A95" s="62">
        <f>'MSW25'!A95</f>
        <v>1</v>
      </c>
      <c r="B95" s="99">
        <f>'MSW25'!B95</f>
        <v>55</v>
      </c>
      <c r="C95" s="104" t="str">
        <f>'MSW25'!C95</f>
        <v>REP OUT</v>
      </c>
      <c r="D95" s="83" t="str">
        <f>'MSW25'!D95</f>
        <v>1 MIN</v>
      </c>
      <c r="E95" s="100" t="str">
        <f>'MSW25'!E95</f>
        <v/>
      </c>
      <c r="F95" s="85" t="str">
        <f>'MSW25'!F95</f>
        <v/>
      </c>
    </row>
    <row r="96">
      <c r="A96" s="62">
        <f>'MSW25'!A96</f>
        <v>2</v>
      </c>
      <c r="B96" s="99">
        <f>'MSW25'!B96</f>
        <v>50</v>
      </c>
      <c r="C96" s="104" t="str">
        <f>'MSW25'!C96</f>
        <v>REP OUT</v>
      </c>
      <c r="D96" s="83" t="str">
        <f>'MSW25'!D96</f>
        <v>1 MIN</v>
      </c>
      <c r="E96" s="100" t="str">
        <f>'MSW25'!E96</f>
        <v/>
      </c>
      <c r="F96" s="85" t="str">
        <f>'MSW25'!F96</f>
        <v/>
      </c>
    </row>
    <row r="97">
      <c r="A97" s="68">
        <f>'MSW25'!A97</f>
        <v>3</v>
      </c>
      <c r="B97" s="101">
        <f>'MSW25'!B97</f>
        <v>40</v>
      </c>
      <c r="C97" s="105" t="str">
        <f>'MSW25'!C97</f>
        <v>REP OUT</v>
      </c>
      <c r="D97" s="88" t="str">
        <f>'MSW25'!D97</f>
        <v>1 MIN</v>
      </c>
      <c r="E97" s="102" t="str">
        <f>'MSW25'!E97</f>
        <v/>
      </c>
      <c r="F97" s="85" t="str">
        <f>'MSW25'!F97</f>
        <v/>
      </c>
    </row>
    <row r="98">
      <c r="A98" s="103" t="str">
        <f>'MSW25'!A98</f>
        <v/>
      </c>
    </row>
    <row r="100">
      <c r="A100" s="73" t="str">
        <f>'MSW25'!A100</f>
        <v>2. LEG CURL</v>
      </c>
      <c r="B100" s="53"/>
      <c r="C100" s="53"/>
      <c r="D100" s="53"/>
      <c r="E100" s="53"/>
      <c r="F100" s="54"/>
      <c r="G100" s="103" t="str">
        <f>'MSW25'!G100</f>
        <v/>
      </c>
      <c r="H100" s="323" t="str">
        <f>'MSW25'!H100</f>
        <v>4. PRONE LEG CURL</v>
      </c>
      <c r="I100" s="53"/>
      <c r="J100" s="53"/>
      <c r="K100" s="53"/>
      <c r="L100" s="53"/>
      <c r="M100" s="54"/>
      <c r="N100" s="277" t="str">
        <f>'MSW25'!N100</f>
        <v/>
      </c>
    </row>
    <row r="101">
      <c r="A101" s="226" t="str">
        <f>'MSW25'!A101</f>
        <v>CURRENT MAX</v>
      </c>
      <c r="B101" s="1367">
        <f>'MSW25'!B101</f>
        <v>15</v>
      </c>
      <c r="C101" s="20"/>
      <c r="D101" s="20"/>
      <c r="E101" s="20"/>
      <c r="F101" s="95"/>
      <c r="H101" s="226" t="str">
        <f>'MSW25'!H101</f>
        <v>CURRENT MAX</v>
      </c>
      <c r="I101" s="94">
        <f>'MSW25'!I101</f>
        <v>15</v>
      </c>
      <c r="J101" s="20"/>
      <c r="K101" s="20"/>
      <c r="L101" s="20"/>
      <c r="M101" s="95"/>
    </row>
    <row r="102">
      <c r="A102" s="96" t="str">
        <f>'MSW25'!A102</f>
        <v>SET</v>
      </c>
      <c r="B102" s="97" t="str">
        <f>'MSW25'!B102</f>
        <v>WEIGHT</v>
      </c>
      <c r="C102" s="97" t="str">
        <f>'MSW25'!C102</f>
        <v>REPS</v>
      </c>
      <c r="D102" s="97" t="str">
        <f>'MSW25'!D102</f>
        <v>REST</v>
      </c>
      <c r="E102" s="98" t="str">
        <f>'MSW25'!E102</f>
        <v>PREVIOUS</v>
      </c>
      <c r="F102" s="235" t="str">
        <f>'MSW25'!F102</f>
        <v>REP LOG</v>
      </c>
      <c r="H102" s="96" t="str">
        <f>'MSW25'!H102</f>
        <v>SET</v>
      </c>
      <c r="I102" s="97" t="str">
        <f>'MSW25'!I102</f>
        <v>WEIGHT</v>
      </c>
      <c r="J102" s="97" t="str">
        <f>'MSW25'!J102</f>
        <v>REPS</v>
      </c>
      <c r="K102" s="97" t="str">
        <f>'MSW25'!K102</f>
        <v>REST</v>
      </c>
      <c r="L102" s="98" t="str">
        <f>'MSW25'!L102</f>
        <v>PREVIOUS</v>
      </c>
      <c r="M102" s="235" t="str">
        <f>'MSW25'!M102</f>
        <v>REP LOG</v>
      </c>
    </row>
    <row r="103">
      <c r="A103" s="62">
        <f>'MSW25'!A103</f>
        <v>1</v>
      </c>
      <c r="B103" s="99">
        <f>'MSW25'!B103</f>
        <v>15</v>
      </c>
      <c r="C103" s="104" t="str">
        <f>'MSW25'!C103</f>
        <v>REP OUT</v>
      </c>
      <c r="D103" s="83" t="str">
        <f>'MSW25'!D103</f>
        <v>1 MIN</v>
      </c>
      <c r="E103" s="100" t="str">
        <f>'MSW25'!E103</f>
        <v/>
      </c>
      <c r="F103" s="85" t="str">
        <f>'MSW25'!F103</f>
        <v/>
      </c>
      <c r="G103" s="324" t="str">
        <f>'MSW25'!G103</f>
        <v>ALTERNATE</v>
      </c>
      <c r="H103" s="62">
        <f>'MSW25'!H103</f>
        <v>1</v>
      </c>
      <c r="I103" s="99">
        <f>'MSW25'!I103</f>
        <v>15</v>
      </c>
      <c r="J103" s="104" t="str">
        <f>'MSW25'!J103</f>
        <v>REP OUT</v>
      </c>
      <c r="K103" s="83" t="str">
        <f>'MSW25'!K103</f>
        <v>1 MIN</v>
      </c>
      <c r="L103" s="100" t="str">
        <f>'MSW25'!L103</f>
        <v/>
      </c>
      <c r="M103" s="85" t="str">
        <f>'MSW25'!M103</f>
        <v/>
      </c>
    </row>
    <row r="104">
      <c r="A104" s="62">
        <f>'MSW25'!A104</f>
        <v>2</v>
      </c>
      <c r="B104" s="99">
        <f>'MSW25'!B104</f>
        <v>15</v>
      </c>
      <c r="C104" s="104" t="str">
        <f>'MSW25'!C104</f>
        <v>REP OUT</v>
      </c>
      <c r="D104" s="83" t="str">
        <f>'MSW25'!D104</f>
        <v>1 MIN</v>
      </c>
      <c r="E104" s="100" t="str">
        <f>'MSW25'!E104</f>
        <v/>
      </c>
      <c r="F104" s="85" t="str">
        <f>'MSW25'!F104</f>
        <v/>
      </c>
      <c r="H104" s="62">
        <f>'MSW25'!H104</f>
        <v>2</v>
      </c>
      <c r="I104" s="99">
        <f>'MSW25'!I104</f>
        <v>10</v>
      </c>
      <c r="J104" s="104" t="str">
        <f>'MSW25'!J104</f>
        <v>REP OUT</v>
      </c>
      <c r="K104" s="83" t="str">
        <f>'MSW25'!K104</f>
        <v>1 MIN</v>
      </c>
      <c r="L104" s="100" t="str">
        <f>'MSW25'!L104</f>
        <v/>
      </c>
      <c r="M104" s="85" t="str">
        <f>'MSW25'!M104</f>
        <v/>
      </c>
    </row>
    <row r="105">
      <c r="A105" s="68">
        <f>'MSW25'!A105</f>
        <v>3</v>
      </c>
      <c r="B105" s="101">
        <f>'MSW25'!B105</f>
        <v>10</v>
      </c>
      <c r="C105" s="105" t="str">
        <f>'MSW25'!C105</f>
        <v>REP OUT</v>
      </c>
      <c r="D105" s="88" t="str">
        <f>'MSW25'!D105</f>
        <v>1 MIN</v>
      </c>
      <c r="E105" s="102" t="str">
        <f>'MSW25'!E105</f>
        <v/>
      </c>
      <c r="F105" s="85" t="str">
        <f>'MSW25'!F105</f>
        <v/>
      </c>
      <c r="G105" s="103" t="str">
        <f>'MSW25'!G105</f>
        <v/>
      </c>
      <c r="H105" s="68">
        <f>'MSW25'!H105</f>
        <v>3</v>
      </c>
      <c r="I105" s="101">
        <f>'MSW25'!I105</f>
        <v>10</v>
      </c>
      <c r="J105" s="105" t="str">
        <f>'MSW25'!J105</f>
        <v>REP OUT</v>
      </c>
      <c r="K105" s="88" t="str">
        <f>'MSW25'!K105</f>
        <v>1 MIN</v>
      </c>
      <c r="L105" s="102" t="str">
        <f>'MSW25'!L105</f>
        <v/>
      </c>
      <c r="M105" s="85" t="str">
        <f>'MSW25'!M105</f>
        <v/>
      </c>
    </row>
    <row r="106">
      <c r="A106" s="103" t="str">
        <f>'MSW25'!A106</f>
        <v/>
      </c>
    </row>
    <row r="108">
      <c r="A108" s="333" t="str">
        <f>'MSW25'!A108</f>
        <v>DAY 3</v>
      </c>
      <c r="B108" s="25"/>
      <c r="C108" s="25"/>
      <c r="D108" s="25"/>
      <c r="E108" s="25"/>
      <c r="F108" s="26"/>
      <c r="G108" s="103" t="str">
        <f>'MSW25'!G108</f>
        <v/>
      </c>
    </row>
    <row r="109">
      <c r="A109" s="334" t="str">
        <f>'MSW25'!A109</f>
        <v/>
      </c>
      <c r="B109" s="25"/>
      <c r="C109" s="25"/>
      <c r="D109" s="25"/>
      <c r="E109" s="25"/>
      <c r="F109" s="25"/>
    </row>
    <row r="110">
      <c r="A110" s="11"/>
      <c r="B110" s="11"/>
      <c r="C110" s="11"/>
      <c r="D110" s="11"/>
      <c r="E110" s="11"/>
      <c r="F110" s="11"/>
    </row>
    <row r="111">
      <c r="A111" s="212" t="str">
        <f>'MSW25'!A111</f>
        <v>SHOULDERS &amp; ARMS</v>
      </c>
      <c r="F111" s="28"/>
      <c r="G111" s="103" t="str">
        <f>'MSW25'!G111</f>
        <v/>
      </c>
      <c r="H111" s="44" t="str">
        <f>'MSW25'!H111</f>
        <v>SHOULDERS &amp; ARMS</v>
      </c>
      <c r="I111" s="36"/>
      <c r="J111" s="36"/>
      <c r="K111" s="36"/>
      <c r="L111" s="36"/>
      <c r="M111" s="37"/>
      <c r="N111" s="103" t="str">
        <f>'MSW25'!N111</f>
        <v/>
      </c>
    </row>
    <row r="112">
      <c r="A112" s="112" t="str">
        <f>'MSW25'!A112</f>
        <v>1. SHOULDER PRESS</v>
      </c>
      <c r="B112" s="13"/>
      <c r="C112" s="13"/>
      <c r="D112" s="13"/>
      <c r="E112" s="13"/>
      <c r="F112" s="57"/>
      <c r="H112" s="1139" t="str">
        <f>'MSW25'!H112</f>
        <v>1. MACHINE SHOULDER PRESS</v>
      </c>
      <c r="I112" s="13"/>
      <c r="J112" s="13"/>
      <c r="K112" s="13"/>
      <c r="L112" s="13"/>
      <c r="M112" s="57"/>
    </row>
    <row r="113">
      <c r="A113" s="226" t="str">
        <f>'MSW25'!A113</f>
        <v>CURRENT MAX</v>
      </c>
      <c r="B113" s="227" t="str">
        <f>'MSW25'!B113</f>
        <v/>
      </c>
      <c r="C113" s="20"/>
      <c r="D113" s="20"/>
      <c r="E113" s="20"/>
      <c r="F113" s="95"/>
      <c r="H113" s="226" t="str">
        <f>'MSW25'!H113</f>
        <v>CURRENT MAX</v>
      </c>
      <c r="I113" s="227">
        <f>'MSW25'!I113</f>
        <v>105</v>
      </c>
      <c r="J113" s="20"/>
      <c r="K113" s="20"/>
      <c r="L113" s="20"/>
      <c r="M113" s="95"/>
    </row>
    <row r="114">
      <c r="A114" s="231" t="str">
        <f>'MSW25'!A114</f>
        <v>SET</v>
      </c>
      <c r="B114" s="232" t="str">
        <f>'MSW25'!B114</f>
        <v>WEIGHT</v>
      </c>
      <c r="C114" s="232" t="str">
        <f>'MSW25'!C114</f>
        <v>REPS</v>
      </c>
      <c r="D114" s="232" t="str">
        <f>'MSW25'!D114</f>
        <v>REST</v>
      </c>
      <c r="E114" s="233" t="str">
        <f>'MSW25'!E114</f>
        <v>PREVIOUS</v>
      </c>
      <c r="F114" s="61" t="str">
        <f>'MSW25'!F114</f>
        <v>REP LOG</v>
      </c>
      <c r="H114" s="231" t="str">
        <f>'MSW25'!H114</f>
        <v>SET</v>
      </c>
      <c r="I114" s="232" t="str">
        <f>'MSW25'!I114</f>
        <v>WEIGHT</v>
      </c>
      <c r="J114" s="232" t="str">
        <f>'MSW25'!J114</f>
        <v>REPS</v>
      </c>
      <c r="K114" s="232" t="str">
        <f>'MSW25'!K114</f>
        <v>REST</v>
      </c>
      <c r="L114" s="233" t="str">
        <f>'MSW25'!L114</f>
        <v>PREVIOUS</v>
      </c>
      <c r="M114" s="61" t="str">
        <f>'MSW25'!M114</f>
        <v>REP LOG</v>
      </c>
    </row>
    <row r="115">
      <c r="A115" s="236">
        <f>'MSW25'!A115</f>
        <v>1</v>
      </c>
      <c r="B115" s="237">
        <f>'MSW25'!B115</f>
        <v>0</v>
      </c>
      <c r="C115" s="237">
        <f>'MSW25'!C115</f>
        <v>6</v>
      </c>
      <c r="D115" s="238" t="str">
        <f>'MSW25'!D115</f>
        <v>30s</v>
      </c>
      <c r="E115" s="66" t="str">
        <f>'MSW25'!E115</f>
        <v/>
      </c>
      <c r="F115" s="67"/>
      <c r="H115" s="1140">
        <f>'MSW25'!H115</f>
        <v>1</v>
      </c>
      <c r="I115" s="237">
        <f>'MSW25'!I115</f>
        <v>35</v>
      </c>
      <c r="J115" s="237">
        <f>'MSW25'!J115</f>
        <v>6</v>
      </c>
      <c r="K115" s="238" t="str">
        <f>'MSW25'!K115</f>
        <v>30s</v>
      </c>
      <c r="L115" s="84" t="str">
        <f>'MSW25'!L115</f>
        <v/>
      </c>
      <c r="M115" s="67"/>
    </row>
    <row r="116">
      <c r="A116" s="236">
        <f>'MSW25'!A116</f>
        <v>2</v>
      </c>
      <c r="B116" s="237">
        <f>'MSW25'!B116</f>
        <v>0</v>
      </c>
      <c r="C116" s="237">
        <f>'MSW25'!C116</f>
        <v>1</v>
      </c>
      <c r="D116" s="238" t="str">
        <f>'MSW25'!D116</f>
        <v>1-2 MIN</v>
      </c>
      <c r="E116" s="66" t="str">
        <f>'MSW25'!E116</f>
        <v/>
      </c>
      <c r="F116" s="67"/>
      <c r="H116" s="236">
        <f>'MSW25'!H116</f>
        <v>2</v>
      </c>
      <c r="I116" s="237">
        <f>'MSW25'!I116</f>
        <v>70</v>
      </c>
      <c r="J116" s="237">
        <f>'MSW25'!J116</f>
        <v>1</v>
      </c>
      <c r="K116" s="238" t="str">
        <f>'MSW25'!K116</f>
        <v>1-2 MIN</v>
      </c>
      <c r="L116" s="84" t="str">
        <f>'MSW25'!L116</f>
        <v/>
      </c>
      <c r="M116" s="67"/>
    </row>
    <row r="117">
      <c r="A117" s="242">
        <f>'MSW25'!A117</f>
        <v>3</v>
      </c>
      <c r="B117" s="237">
        <f>'MSW25'!B117</f>
        <v>0</v>
      </c>
      <c r="C117" s="82">
        <f>'MSW25'!C117</f>
        <v>1</v>
      </c>
      <c r="D117" s="238" t="str">
        <f>'MSW25'!D117</f>
        <v>1-2 MIN</v>
      </c>
      <c r="E117" s="66" t="str">
        <f>'MSW25'!E117</f>
        <v/>
      </c>
      <c r="F117" s="67"/>
      <c r="H117" s="242">
        <f>'MSW25'!H117</f>
        <v>3</v>
      </c>
      <c r="I117" s="237">
        <f>'MSW25'!I117</f>
        <v>95</v>
      </c>
      <c r="J117" s="82">
        <f>'MSW25'!J117</f>
        <v>1</v>
      </c>
      <c r="K117" s="238" t="str">
        <f>'MSW25'!K117</f>
        <v>1-2 MIN</v>
      </c>
      <c r="L117" s="84" t="str">
        <f>'MSW25'!L117</f>
        <v/>
      </c>
      <c r="M117" s="67"/>
    </row>
    <row r="118">
      <c r="A118" s="243">
        <f>'MSW25'!A118</f>
        <v>4</v>
      </c>
      <c r="B118" s="237" t="str">
        <f>'MSW25'!B118</f>
        <v/>
      </c>
      <c r="C118" s="257">
        <f>'MSW25'!C118</f>
        <v>1</v>
      </c>
      <c r="D118" s="238" t="str">
        <f>'MSW25'!D118</f>
        <v>1-5 MIN</v>
      </c>
      <c r="E118" s="66" t="str">
        <f>'MSW25'!E118</f>
        <v/>
      </c>
      <c r="F118" s="67"/>
      <c r="H118" s="243">
        <f>'MSW25'!H118</f>
        <v>4</v>
      </c>
      <c r="I118" s="237">
        <f>'MSW25'!I118</f>
        <v>105</v>
      </c>
      <c r="J118" s="257">
        <f>'MSW25'!J118</f>
        <v>1</v>
      </c>
      <c r="K118" s="238" t="str">
        <f>'MSW25'!K118</f>
        <v>1-5 MIN</v>
      </c>
      <c r="L118" s="84" t="str">
        <f>'MSW25'!L118</f>
        <v/>
      </c>
      <c r="M118" s="67"/>
    </row>
    <row r="119">
      <c r="A119" s="246" t="str">
        <f>'MSW25'!A119</f>
        <v>PROCEED TO DOWN SETS</v>
      </c>
      <c r="B119" s="20"/>
      <c r="C119" s="20"/>
      <c r="D119" s="20"/>
      <c r="E119" s="20"/>
      <c r="F119" s="95"/>
      <c r="H119" s="246" t="str">
        <f>'MSW25'!H119</f>
        <v>PROCEED TO DOWN SETS</v>
      </c>
      <c r="I119" s="20"/>
      <c r="J119" s="20"/>
      <c r="K119" s="20"/>
      <c r="L119" s="20"/>
      <c r="M119" s="95"/>
    </row>
    <row r="120">
      <c r="A120" s="249" t="str">
        <f>'MSW25'!A120</f>
        <v/>
      </c>
      <c r="B120" s="175" t="str">
        <f>'MSW25'!B120</f>
        <v/>
      </c>
      <c r="C120" s="238" t="str">
        <f>'MSW25'!C120</f>
        <v/>
      </c>
      <c r="D120" s="238" t="str">
        <f>'MSW25'!D120</f>
        <v/>
      </c>
      <c r="E120" s="250" t="str">
        <f>'MSW25'!E120</f>
        <v/>
      </c>
      <c r="F120" s="67"/>
      <c r="H120" s="249" t="str">
        <f>'MSW25'!H120</f>
        <v/>
      </c>
      <c r="I120" s="175" t="str">
        <f>'MSW25'!I120</f>
        <v/>
      </c>
      <c r="J120" s="238" t="str">
        <f>'MSW25'!J120</f>
        <v/>
      </c>
      <c r="K120" s="238" t="str">
        <f>'MSW25'!K120</f>
        <v/>
      </c>
      <c r="L120" s="84" t="str">
        <f>'MSW25'!L120</f>
        <v/>
      </c>
      <c r="M120" s="67"/>
    </row>
    <row r="121">
      <c r="A121" s="259" t="str">
        <f>'MSW25'!A121</f>
        <v/>
      </c>
      <c r="B121" s="237" t="str">
        <f>'MSW25'!B121</f>
        <v/>
      </c>
      <c r="C121" s="257" t="str">
        <f>'MSW25'!C121</f>
        <v/>
      </c>
      <c r="D121" s="257" t="str">
        <f>'MSW25'!D121</f>
        <v/>
      </c>
      <c r="E121" s="258" t="str">
        <f>'MSW25'!E121</f>
        <v/>
      </c>
      <c r="F121" s="67" t="str">
        <f>'MSW25'!F121</f>
        <v/>
      </c>
      <c r="H121" s="259" t="str">
        <f>'MSW25'!H121</f>
        <v/>
      </c>
      <c r="I121" s="237" t="str">
        <f>'MSW25'!I121</f>
        <v/>
      </c>
      <c r="J121" s="257" t="str">
        <f>'MSW25'!J121</f>
        <v/>
      </c>
      <c r="K121" s="257" t="str">
        <f>'MSW25'!K121</f>
        <v/>
      </c>
      <c r="L121" s="84" t="str">
        <f>'MSW25'!L121</f>
        <v/>
      </c>
      <c r="M121" s="67"/>
    </row>
    <row r="122">
      <c r="A122" s="246" t="str">
        <f>'MSW25'!A122</f>
        <v>DOWN SETS</v>
      </c>
      <c r="B122" s="20"/>
      <c r="C122" s="20"/>
      <c r="D122" s="20"/>
      <c r="E122" s="20"/>
      <c r="F122" s="95"/>
      <c r="H122" s="246" t="str">
        <f>'MSW25'!H122</f>
        <v>DOWN SETS</v>
      </c>
      <c r="I122" s="20"/>
      <c r="J122" s="20"/>
      <c r="K122" s="20"/>
      <c r="L122" s="20"/>
      <c r="M122" s="95"/>
    </row>
    <row r="123">
      <c r="A123" s="264" t="str">
        <f>'MSW25'!A123</f>
        <v/>
      </c>
      <c r="B123" s="265">
        <f>'MSW25'!B123</f>
        <v>0</v>
      </c>
      <c r="C123" s="266" t="str">
        <f>'MSW25'!C123</f>
        <v>REP OUT</v>
      </c>
      <c r="D123" s="267" t="str">
        <f>'MSW25'!D123</f>
        <v>1-3 MIN</v>
      </c>
      <c r="E123" s="268" t="str">
        <f>'MSW25'!E123</f>
        <v/>
      </c>
      <c r="F123" s="67" t="str">
        <f>'MSW25'!F123</f>
        <v/>
      </c>
      <c r="H123" s="264" t="str">
        <f>'MSW25'!H123</f>
        <v/>
      </c>
      <c r="I123" s="265">
        <f>'MSW25'!I123</f>
        <v>0</v>
      </c>
      <c r="J123" s="266" t="str">
        <f>'MSW25'!J123</f>
        <v>REP OUT</v>
      </c>
      <c r="K123" s="267" t="str">
        <f>'MSW25'!K123</f>
        <v>1-3 MIN</v>
      </c>
      <c r="L123" s="84" t="str">
        <f>'MSW25'!L123</f>
        <v/>
      </c>
      <c r="M123" s="67" t="str">
        <f>'MSW25'!M123</f>
        <v/>
      </c>
    </row>
    <row r="124">
      <c r="A124" s="243" t="str">
        <f>'MSW25'!A124</f>
        <v/>
      </c>
      <c r="B124" s="237">
        <f>'MSW25'!B124</f>
        <v>0</v>
      </c>
      <c r="C124" s="245" t="str">
        <f>'MSW25'!C124</f>
        <v>REP OUT</v>
      </c>
      <c r="D124" s="65" t="str">
        <f>'MSW25'!D124</f>
        <v>1-3 MIN</v>
      </c>
      <c r="E124" s="258" t="str">
        <f>'MSW25'!E124</f>
        <v/>
      </c>
      <c r="F124" s="271" t="str">
        <f>'MSW25'!F124</f>
        <v/>
      </c>
      <c r="H124" s="243" t="str">
        <f>'MSW25'!H124</f>
        <v/>
      </c>
      <c r="I124" s="237">
        <f>'MSW25'!I124</f>
        <v>0</v>
      </c>
      <c r="J124" s="245" t="str">
        <f>'MSW25'!J124</f>
        <v>REP OUT</v>
      </c>
      <c r="K124" s="65" t="str">
        <f>'MSW25'!K124</f>
        <v>1-3 MIN</v>
      </c>
      <c r="L124" s="84" t="str">
        <f>'MSW25'!L124</f>
        <v/>
      </c>
      <c r="M124" s="271" t="str">
        <f>'MSW25'!M124</f>
        <v/>
      </c>
    </row>
    <row r="125">
      <c r="A125" s="272" t="str">
        <f>'MSW25'!A125</f>
        <v>FINAL MAX</v>
      </c>
      <c r="B125" s="273" t="str">
        <f>'MSW25'!B125</f>
        <v/>
      </c>
      <c r="C125" s="11"/>
      <c r="D125" s="11"/>
      <c r="E125" s="11"/>
      <c r="F125" s="46"/>
      <c r="H125" s="272" t="str">
        <f>'MSW25'!H125</f>
        <v>FINAL MAX</v>
      </c>
      <c r="I125" s="273" t="str">
        <f>'MSW25'!I125</f>
        <v/>
      </c>
      <c r="J125" s="11"/>
      <c r="K125" s="11"/>
      <c r="L125" s="11"/>
      <c r="M125" s="46"/>
    </row>
    <row r="126">
      <c r="A126" s="277" t="str">
        <f>'MSW25'!A126</f>
        <v/>
      </c>
      <c r="H126" s="103" t="str">
        <f>'MSW25'!H126</f>
        <v/>
      </c>
    </row>
    <row r="127">
      <c r="A127" s="361" t="str">
        <f>'MSW25'!A127</f>
        <v>2. CABLE HIGH PULLEY ROW</v>
      </c>
      <c r="B127" s="53"/>
      <c r="C127" s="53"/>
      <c r="D127" s="53"/>
      <c r="E127" s="53"/>
      <c r="F127" s="54"/>
      <c r="H127" s="74" t="str">
        <f>'MSW25'!H127</f>
        <v>2. MACHINE REAR DELT FLYS </v>
      </c>
      <c r="I127" s="53"/>
      <c r="J127" s="53"/>
      <c r="K127" s="53"/>
      <c r="L127" s="53"/>
      <c r="M127" s="54"/>
    </row>
    <row r="128">
      <c r="A128" s="226" t="str">
        <f>'MSW25'!A128</f>
        <v>SHLDR PRSS MAX</v>
      </c>
      <c r="B128" s="90" t="str">
        <f>'MSW25'!B128</f>
        <v/>
      </c>
      <c r="C128" s="13"/>
      <c r="D128" s="13"/>
      <c r="E128" s="13"/>
      <c r="F128" s="57"/>
      <c r="G128" s="324" t="str">
        <f>'MSW25'!G128</f>
        <v>ALTERNATE</v>
      </c>
      <c r="H128" s="226" t="str">
        <f>'MSW25'!H128</f>
        <v>SHLDR PRSS MAX</v>
      </c>
      <c r="I128" s="363" t="str">
        <f>'MSW25'!I128</f>
        <v/>
      </c>
      <c r="J128" s="20"/>
      <c r="K128" s="20"/>
      <c r="L128" s="20"/>
      <c r="M128" s="95"/>
    </row>
    <row r="129">
      <c r="A129" s="77" t="str">
        <f>'MSW25'!A129</f>
        <v>SET</v>
      </c>
      <c r="B129" s="78" t="str">
        <f>'MSW25'!B129</f>
        <v>WEIGHT</v>
      </c>
      <c r="C129" s="78" t="str">
        <f>'MSW25'!C129</f>
        <v>REPS</v>
      </c>
      <c r="D129" s="78" t="str">
        <f>'MSW25'!D129</f>
        <v>REST</v>
      </c>
      <c r="E129" s="80" t="str">
        <f>'MSW25'!E129</f>
        <v>PREVIOUS</v>
      </c>
      <c r="F129" s="235" t="str">
        <f>'MSW25'!F129</f>
        <v>REP LOG</v>
      </c>
      <c r="H129" s="364" t="str">
        <f>'MSW25'!H129</f>
        <v>SET</v>
      </c>
      <c r="I129" s="365" t="str">
        <f>'MSW25'!I129</f>
        <v>WEIGHT</v>
      </c>
      <c r="J129" s="365" t="str">
        <f>'MSW25'!J129</f>
        <v>REPS</v>
      </c>
      <c r="K129" s="366" t="str">
        <f>'MSW25'!K129</f>
        <v>REST</v>
      </c>
      <c r="L129" s="367" t="str">
        <f>'MSW25'!L129</f>
        <v>PREVIOUS</v>
      </c>
      <c r="M129" s="61" t="str">
        <f>'MSW25'!M129</f>
        <v>REP LOG</v>
      </c>
    </row>
    <row r="130">
      <c r="A130" s="81">
        <f>'MSW25'!A130</f>
        <v>1</v>
      </c>
      <c r="B130" s="82">
        <f>'MSW25'!B130</f>
        <v>0</v>
      </c>
      <c r="C130" s="317">
        <f>'MSW25'!C130</f>
        <v>15</v>
      </c>
      <c r="D130" s="83" t="str">
        <f>'MSW25'!D130</f>
        <v>1-3 MIN</v>
      </c>
      <c r="E130" s="84" t="str">
        <f>'MSW25'!E130</f>
        <v/>
      </c>
      <c r="F130" s="85"/>
      <c r="G130" s="239" t="str">
        <f>'MSW25'!G130</f>
        <v/>
      </c>
      <c r="H130" s="242">
        <f>'MSW25'!H130</f>
        <v>1</v>
      </c>
      <c r="I130" s="237">
        <f>'MSW25'!I130</f>
        <v>0</v>
      </c>
      <c r="J130" s="368">
        <f>'MSW25'!J130</f>
        <v>20</v>
      </c>
      <c r="K130" s="238" t="str">
        <f>'MSW25'!K130</f>
        <v>1 MIN</v>
      </c>
      <c r="L130" s="369" t="str">
        <f>'MSW25'!L130</f>
        <v/>
      </c>
      <c r="M130" s="67"/>
    </row>
    <row r="131">
      <c r="A131" s="81">
        <f>'MSW25'!A131</f>
        <v>2</v>
      </c>
      <c r="B131" s="82">
        <f>'MSW25'!B131</f>
        <v>0</v>
      </c>
      <c r="C131" s="65">
        <f>'MSW25'!C131</f>
        <v>15</v>
      </c>
      <c r="D131" s="83" t="str">
        <f>'MSW25'!D131</f>
        <v>1-3 MIN</v>
      </c>
      <c r="E131" s="84" t="str">
        <f>'MSW25'!E131</f>
        <v/>
      </c>
      <c r="F131" s="85"/>
      <c r="H131" s="242">
        <f>'MSW25'!H131</f>
        <v>2</v>
      </c>
      <c r="I131" s="237">
        <f>'MSW25'!I131</f>
        <v>0</v>
      </c>
      <c r="J131" s="368">
        <f>'MSW25'!J131</f>
        <v>20</v>
      </c>
      <c r="K131" s="238" t="str">
        <f>'MSW25'!K131</f>
        <v>1 MIN</v>
      </c>
      <c r="L131" s="369" t="str">
        <f>'MSW25'!L131</f>
        <v/>
      </c>
      <c r="M131" s="67"/>
    </row>
    <row r="132">
      <c r="A132" s="86">
        <f>'MSW25'!A132</f>
        <v>3</v>
      </c>
      <c r="B132" s="87">
        <f>'MSW25'!B132</f>
        <v>0</v>
      </c>
      <c r="C132" s="71">
        <f>'MSW25'!C132</f>
        <v>15</v>
      </c>
      <c r="D132" s="88" t="str">
        <f>'MSW25'!D132</f>
        <v>1-3 MIN</v>
      </c>
      <c r="E132" s="89" t="str">
        <f>'MSW25'!E132</f>
        <v/>
      </c>
      <c r="F132" s="85"/>
      <c r="H132" s="289">
        <f>'MSW25'!H132</f>
        <v>3</v>
      </c>
      <c r="I132" s="371">
        <f>'MSW25'!I132</f>
        <v>0</v>
      </c>
      <c r="J132" s="372">
        <f>'MSW25'!J132</f>
        <v>20</v>
      </c>
      <c r="K132" s="373" t="str">
        <f>'MSW25'!K132</f>
        <v>1 MIN</v>
      </c>
      <c r="L132" s="374" t="str">
        <f>'MSW25'!L132</f>
        <v/>
      </c>
      <c r="M132" s="67" t="str">
        <f>'MSW25'!M132</f>
        <v/>
      </c>
    </row>
    <row r="133">
      <c r="A133" s="340" t="str">
        <f>'MSW25'!A133</f>
        <v/>
      </c>
    </row>
    <row r="135">
      <c r="A135" s="74" t="str">
        <f>'MSW25'!A135</f>
        <v>3. DUMBBELL SIDE LATERAL RAISE</v>
      </c>
      <c r="B135" s="53"/>
      <c r="C135" s="53"/>
      <c r="D135" s="53"/>
      <c r="E135" s="53"/>
      <c r="F135" s="54"/>
      <c r="G135" s="281" t="str">
        <f>'MSW25'!G135</f>
        <v/>
      </c>
    </row>
    <row r="136">
      <c r="A136" s="226" t="str">
        <f>'MSW25'!A136</f>
        <v>SHLDR PRSS MAX</v>
      </c>
      <c r="B136" s="90" t="str">
        <f>'MSW25'!B136</f>
        <v/>
      </c>
      <c r="C136" s="13"/>
      <c r="D136" s="13"/>
      <c r="E136" s="13"/>
      <c r="F136" s="57"/>
    </row>
    <row r="137">
      <c r="A137" s="376" t="str">
        <f>'MSW25'!A137</f>
        <v>SET</v>
      </c>
      <c r="B137" s="79" t="str">
        <f>'MSW25'!B137</f>
        <v>WEIGHT</v>
      </c>
      <c r="C137" s="79" t="str">
        <f>'MSW25'!C137</f>
        <v>REPS</v>
      </c>
      <c r="D137" s="79" t="str">
        <f>'MSW25'!D137</f>
        <v>REST</v>
      </c>
      <c r="E137" s="98" t="str">
        <f>'MSW25'!E137</f>
        <v>PREVIOUS</v>
      </c>
      <c r="F137" s="377" t="str">
        <f>'MSW25'!F137</f>
        <v>REP LOG</v>
      </c>
    </row>
    <row r="138">
      <c r="A138" s="81">
        <f>'MSW25'!A138</f>
        <v>1</v>
      </c>
      <c r="B138" s="82">
        <f>'MSW25'!B138</f>
        <v>0</v>
      </c>
      <c r="C138" s="65">
        <f>'MSW25'!C138</f>
        <v>20</v>
      </c>
      <c r="D138" s="83" t="str">
        <f>'MSW25'!D138</f>
        <v>1 MIN</v>
      </c>
      <c r="E138" s="378" t="str">
        <f>'MSW25'!E138</f>
        <v/>
      </c>
      <c r="F138" s="330"/>
    </row>
    <row r="139">
      <c r="A139" s="81">
        <f>'MSW25'!A139</f>
        <v>2</v>
      </c>
      <c r="B139" s="82">
        <f>'MSW25'!B139</f>
        <v>0</v>
      </c>
      <c r="C139" s="65">
        <f>'MSW25'!C139</f>
        <v>20</v>
      </c>
      <c r="D139" s="83" t="str">
        <f>'MSW25'!D139</f>
        <v>1 MIN</v>
      </c>
      <c r="E139" s="378" t="str">
        <f>'MSW25'!E139</f>
        <v/>
      </c>
      <c r="F139" s="330"/>
    </row>
    <row r="140">
      <c r="A140" s="86">
        <f>'MSW25'!A140</f>
        <v>3</v>
      </c>
      <c r="B140" s="87">
        <f>'MSW25'!B140</f>
        <v>0</v>
      </c>
      <c r="C140" s="71">
        <f>'MSW25'!C140</f>
        <v>20</v>
      </c>
      <c r="D140" s="88" t="str">
        <f>'MSW25'!D140</f>
        <v>1 MIN</v>
      </c>
      <c r="E140" s="379" t="str">
        <f>'MSW25'!E140</f>
        <v/>
      </c>
      <c r="F140" s="85" t="str">
        <f>'MSW25'!F140</f>
        <v/>
      </c>
    </row>
    <row r="141">
      <c r="A141" s="340" t="str">
        <f>'MSW25'!A141</f>
        <v/>
      </c>
    </row>
    <row r="143">
      <c r="A143" s="74" t="str">
        <f>'MSW25'!A143</f>
        <v>3. TRICEPS PUSHDOWN (STRAIGHT BAR)</v>
      </c>
      <c r="B143" s="53"/>
      <c r="C143" s="53"/>
      <c r="D143" s="53"/>
      <c r="E143" s="53"/>
      <c r="F143" s="54"/>
    </row>
    <row r="144">
      <c r="A144" s="381" t="str">
        <f>'MSW25'!A144</f>
        <v>CURRENT MAX</v>
      </c>
      <c r="B144" s="90">
        <f>'MSW25'!B144</f>
        <v>30</v>
      </c>
      <c r="C144" s="13"/>
      <c r="D144" s="13"/>
      <c r="E144" s="13"/>
      <c r="F144" s="57"/>
    </row>
    <row r="145">
      <c r="A145" s="383" t="str">
        <f>'MSW25'!A145</f>
        <v>SET</v>
      </c>
      <c r="B145" s="384" t="str">
        <f>'MSW25'!B145</f>
        <v>WEIGHT</v>
      </c>
      <c r="C145" s="384" t="str">
        <f>'MSW25'!C145</f>
        <v>REPS</v>
      </c>
      <c r="D145" s="384" t="str">
        <f>'MSW25'!D145</f>
        <v>REST</v>
      </c>
      <c r="E145" s="385" t="str">
        <f>'MSW25'!E145</f>
        <v>PREVIOUS</v>
      </c>
      <c r="F145" s="386" t="str">
        <f>'MSW25'!F145</f>
        <v>REP LOG</v>
      </c>
    </row>
    <row r="146">
      <c r="A146" s="387">
        <f>'MSW25'!A146</f>
        <v>1</v>
      </c>
      <c r="B146" s="388">
        <f>'MSW25'!B146</f>
        <v>30</v>
      </c>
      <c r="C146" s="389">
        <f>'MSW25'!C146</f>
        <v>20</v>
      </c>
      <c r="D146" s="390" t="str">
        <f>'MSW25'!D146</f>
        <v>1MIN</v>
      </c>
      <c r="E146" s="391" t="str">
        <f>'MSW25'!E146</f>
        <v/>
      </c>
      <c r="F146" s="392" t="str">
        <f>'MSW25'!F146</f>
        <v/>
      </c>
    </row>
    <row r="147">
      <c r="A147" s="393">
        <f>'MSW25'!A147</f>
        <v>2</v>
      </c>
      <c r="B147" s="388">
        <f>'MSW25'!B147</f>
        <v>25</v>
      </c>
      <c r="C147" s="389">
        <f>'MSW25'!C147</f>
        <v>20</v>
      </c>
      <c r="D147" s="390" t="str">
        <f>'MSW25'!D147</f>
        <v>1MIN</v>
      </c>
      <c r="E147" s="391" t="str">
        <f>'MSW25'!E147</f>
        <v/>
      </c>
      <c r="F147" s="392" t="str">
        <f>'MSW25'!F147</f>
        <v/>
      </c>
    </row>
    <row r="148">
      <c r="A148" s="394">
        <f>'MSW25'!A148</f>
        <v>3</v>
      </c>
      <c r="B148" s="395">
        <f>'MSW25'!B148</f>
        <v>20</v>
      </c>
      <c r="C148" s="396">
        <f>'MSW25'!C148</f>
        <v>20</v>
      </c>
      <c r="D148" s="397" t="str">
        <f>'MSW25'!D148</f>
        <v>1MIN</v>
      </c>
      <c r="E148" s="398" t="str">
        <f>'MSW25'!E148</f>
        <v/>
      </c>
      <c r="F148" s="392" t="str">
        <f>'MSW25'!F148</f>
        <v/>
      </c>
    </row>
    <row r="149">
      <c r="A149" t="str">
        <f>'MSW25'!A149</f>
        <v/>
      </c>
    </row>
    <row r="151">
      <c r="A151" s="75" t="str">
        <f>'MSW25'!A151</f>
        <v>5. BICEP CABLE CURL</v>
      </c>
      <c r="B151" s="53"/>
      <c r="C151" s="53"/>
      <c r="D151" s="53"/>
      <c r="E151" s="53"/>
      <c r="F151" s="54"/>
      <c r="G151" s="698" t="str">
        <f>'MSW25'!G151</f>
        <v/>
      </c>
      <c r="H151" s="75" t="str">
        <f>'MSW25'!H151</f>
        <v>4. BICEP BAR CURL</v>
      </c>
      <c r="I151" s="53"/>
      <c r="J151" s="53"/>
      <c r="K151" s="53"/>
      <c r="L151" s="53"/>
      <c r="M151" s="54"/>
      <c r="N151" s="103" t="str">
        <f>'MSW25'!N151</f>
        <v/>
      </c>
    </row>
    <row r="152">
      <c r="A152" s="226" t="str">
        <f>'MSW25'!A152</f>
        <v>CURRENT MAX</v>
      </c>
      <c r="B152" s="76">
        <f>'MSW25'!B152</f>
        <v>30</v>
      </c>
      <c r="C152" s="13"/>
      <c r="D152" s="13"/>
      <c r="E152" s="13"/>
      <c r="F152" s="57"/>
      <c r="G152" s="985"/>
      <c r="H152" s="226" t="str">
        <f>'MSW25'!H152</f>
        <v>CURRENT MAX</v>
      </c>
      <c r="I152" s="76">
        <f>'MSW25'!I152</f>
        <v>15</v>
      </c>
      <c r="J152" s="13"/>
      <c r="K152" s="13"/>
      <c r="L152" s="13"/>
      <c r="M152" s="57"/>
    </row>
    <row r="153">
      <c r="A153" s="77" t="str">
        <f>'MSW25'!A153</f>
        <v>SET</v>
      </c>
      <c r="B153" s="78" t="str">
        <f>'MSW25'!B153</f>
        <v>WEIGHT</v>
      </c>
      <c r="C153" s="78" t="str">
        <f>'MSW25'!C153</f>
        <v>REPS</v>
      </c>
      <c r="D153" s="78" t="str">
        <f>'MSW25'!D153</f>
        <v>REST</v>
      </c>
      <c r="E153" s="80" t="str">
        <f>'MSW25'!E153</f>
        <v>PREVIOUS</v>
      </c>
      <c r="F153" s="235" t="str">
        <f>'MSW25'!F153</f>
        <v>REP LOG</v>
      </c>
      <c r="G153" s="985"/>
      <c r="H153" s="77" t="str">
        <f>'MSW25'!H153</f>
        <v>SET</v>
      </c>
      <c r="I153" s="78" t="str">
        <f>'MSW25'!I153</f>
        <v>WEIGHT</v>
      </c>
      <c r="J153" s="78" t="str">
        <f>'MSW25'!J153</f>
        <v>REPS</v>
      </c>
      <c r="K153" s="78" t="str">
        <f>'MSW25'!K153</f>
        <v>REST</v>
      </c>
      <c r="L153" s="80" t="str">
        <f>'MSW25'!L153</f>
        <v>PREVIOUS</v>
      </c>
      <c r="M153" s="235" t="str">
        <f>'MSW25'!M153</f>
        <v>REP LOG</v>
      </c>
    </row>
    <row r="154">
      <c r="A154" s="81">
        <f>'MSW25'!A154</f>
        <v>1</v>
      </c>
      <c r="B154" s="82">
        <f>'MSW25'!B154</f>
        <v>30</v>
      </c>
      <c r="C154" s="65">
        <f>'MSW25'!C154</f>
        <v>20</v>
      </c>
      <c r="D154" s="83" t="str">
        <f>'MSW25'!D154</f>
        <v>1MIN</v>
      </c>
      <c r="E154" s="84" t="str">
        <f>'MSW25'!E154</f>
        <v/>
      </c>
      <c r="F154" s="85" t="str">
        <f>'MSW25'!F154</f>
        <v/>
      </c>
      <c r="G154" s="985"/>
      <c r="H154" s="81">
        <f>'MSW25'!H154</f>
        <v>1</v>
      </c>
      <c r="I154" s="82">
        <f>'MSW25'!I154</f>
        <v>15</v>
      </c>
      <c r="J154" s="65">
        <f>'MSW25'!J154</f>
        <v>20</v>
      </c>
      <c r="K154" s="83" t="str">
        <f>'MSW25'!K154</f>
        <v>1MIN</v>
      </c>
      <c r="L154" s="84" t="str">
        <f>'MSW25'!L154</f>
        <v/>
      </c>
      <c r="M154" s="85" t="str">
        <f>'MSW25'!M154</f>
        <v/>
      </c>
    </row>
    <row r="155">
      <c r="A155" s="81">
        <f>'MSW25'!A155</f>
        <v>2</v>
      </c>
      <c r="B155" s="82">
        <f>'MSW25'!B155</f>
        <v>25</v>
      </c>
      <c r="C155" s="65">
        <f>'MSW25'!C155</f>
        <v>20</v>
      </c>
      <c r="D155" s="83" t="str">
        <f>'MSW25'!D155</f>
        <v>1MIN</v>
      </c>
      <c r="E155" s="84" t="str">
        <f>'MSW25'!E155</f>
        <v/>
      </c>
      <c r="F155" s="85" t="str">
        <f>'MSW25'!F155</f>
        <v/>
      </c>
      <c r="G155" s="985"/>
      <c r="H155" s="81">
        <f>'MSW25'!H155</f>
        <v>2</v>
      </c>
      <c r="I155" s="82">
        <f>'MSW25'!I155</f>
        <v>10</v>
      </c>
      <c r="J155" s="65">
        <f>'MSW25'!J155</f>
        <v>20</v>
      </c>
      <c r="K155" s="83" t="str">
        <f>'MSW25'!K155</f>
        <v>1MIN</v>
      </c>
      <c r="L155" s="84" t="str">
        <f>'MSW25'!L155</f>
        <v/>
      </c>
      <c r="M155" s="85" t="str">
        <f>'MSW25'!M155</f>
        <v/>
      </c>
    </row>
    <row r="156">
      <c r="A156" s="86">
        <f>'MSW25'!A156</f>
        <v>3</v>
      </c>
      <c r="B156" s="87">
        <f>'MSW25'!B156</f>
        <v>20</v>
      </c>
      <c r="C156" s="71">
        <f>'MSW25'!C156</f>
        <v>20</v>
      </c>
      <c r="D156" s="88" t="str">
        <f>'MSW25'!D156</f>
        <v>1MIN</v>
      </c>
      <c r="E156" s="89" t="str">
        <f>'MSW25'!E156</f>
        <v/>
      </c>
      <c r="F156" s="85" t="str">
        <f>'MSW25'!F156</f>
        <v/>
      </c>
      <c r="G156" s="985"/>
      <c r="H156" s="86">
        <f>'MSW25'!H156</f>
        <v>3</v>
      </c>
      <c r="I156" s="87">
        <f>'MSW25'!I156</f>
        <v>10</v>
      </c>
      <c r="J156" s="71">
        <f>'MSW25'!J156</f>
        <v>20</v>
      </c>
      <c r="K156" s="88" t="str">
        <f>'MSW25'!K156</f>
        <v>1MIN</v>
      </c>
      <c r="L156" s="89" t="str">
        <f>'MSW25'!L156</f>
        <v/>
      </c>
      <c r="M156" s="85" t="str">
        <f>'MSW25'!M156</f>
        <v/>
      </c>
    </row>
    <row r="157">
      <c r="A157" s="277" t="str">
        <f>'MSW25'!A157</f>
        <v/>
      </c>
    </row>
    <row r="159">
      <c r="A159" s="106" t="str">
        <f>'MSW25'!A159</f>
        <v>WORKOUT COMPLETE!</v>
      </c>
      <c r="B159" s="36"/>
      <c r="C159" s="36"/>
      <c r="D159" s="36"/>
      <c r="E159" s="36"/>
      <c r="F159" s="37"/>
      <c r="G159" s="418" t="str">
        <f>'MSW25'!G159</f>
        <v/>
      </c>
    </row>
    <row r="160">
      <c r="A160" s="103" t="str">
        <f>'MSW25'!A160</f>
        <v/>
      </c>
    </row>
    <row r="161">
      <c r="A161" s="107" t="str">
        <f>'MSW25'!A161</f>
        <v>WANT TO LEARN MORE?</v>
      </c>
      <c r="B161" s="36"/>
      <c r="C161" s="36"/>
      <c r="D161" s="36"/>
      <c r="E161" s="36"/>
      <c r="F161" s="37"/>
    </row>
    <row r="162">
      <c r="A162" s="108" t="str">
        <f>'MSW25'!A162</f>
        <v/>
      </c>
    </row>
    <row r="163">
      <c r="A163" s="419" t="str">
        <f>'MSW25'!A163</f>
        <v/>
      </c>
      <c r="C163" s="111" t="str">
        <f>'MSW25'!C163</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63" s="36"/>
      <c r="E163" s="36"/>
      <c r="F163" s="37"/>
    </row>
  </sheetData>
  <mergeCells count="127">
    <mergeCell ref="B58:F58"/>
    <mergeCell ref="A63:F64"/>
    <mergeCell ref="A41:F41"/>
    <mergeCell ref="B42:F42"/>
    <mergeCell ref="A48:F48"/>
    <mergeCell ref="A51:F51"/>
    <mergeCell ref="B54:F54"/>
    <mergeCell ref="A55:F56"/>
    <mergeCell ref="A57:F57"/>
    <mergeCell ref="A77:F77"/>
    <mergeCell ref="B78:F78"/>
    <mergeCell ref="A65:F65"/>
    <mergeCell ref="B66:F66"/>
    <mergeCell ref="A71:F71"/>
    <mergeCell ref="A72:F72"/>
    <mergeCell ref="A73:F73"/>
    <mergeCell ref="A74:F74"/>
    <mergeCell ref="A75:F76"/>
    <mergeCell ref="O19:T19"/>
    <mergeCell ref="P20:T20"/>
    <mergeCell ref="O26:T26"/>
    <mergeCell ref="O28:T28"/>
    <mergeCell ref="P33:T33"/>
    <mergeCell ref="N34:T38"/>
    <mergeCell ref="G41:T99"/>
    <mergeCell ref="H112:M112"/>
    <mergeCell ref="I113:M113"/>
    <mergeCell ref="H119:M119"/>
    <mergeCell ref="H122:M122"/>
    <mergeCell ref="I125:M125"/>
    <mergeCell ref="H126:M126"/>
    <mergeCell ref="G111:G127"/>
    <mergeCell ref="G128:G129"/>
    <mergeCell ref="G103:G104"/>
    <mergeCell ref="G130:G132"/>
    <mergeCell ref="G135:T150"/>
    <mergeCell ref="H151:M151"/>
    <mergeCell ref="N151:T156"/>
    <mergeCell ref="I152:M152"/>
    <mergeCell ref="H100:M100"/>
    <mergeCell ref="N100:T105"/>
    <mergeCell ref="I101:M101"/>
    <mergeCell ref="H111:M111"/>
    <mergeCell ref="N111:T132"/>
    <mergeCell ref="H127:M127"/>
    <mergeCell ref="I128:M128"/>
    <mergeCell ref="A90:F91"/>
    <mergeCell ref="A92:F92"/>
    <mergeCell ref="B93:F93"/>
    <mergeCell ref="A98:F99"/>
    <mergeCell ref="A100:F100"/>
    <mergeCell ref="G100:G102"/>
    <mergeCell ref="B101:F101"/>
    <mergeCell ref="A143:F143"/>
    <mergeCell ref="B144:F144"/>
    <mergeCell ref="A149:F150"/>
    <mergeCell ref="A151:F151"/>
    <mergeCell ref="G151:G156"/>
    <mergeCell ref="B152:F152"/>
    <mergeCell ref="A119:F119"/>
    <mergeCell ref="A122:F122"/>
    <mergeCell ref="B125:F125"/>
    <mergeCell ref="A126:F126"/>
    <mergeCell ref="A127:F127"/>
    <mergeCell ref="B128:F128"/>
    <mergeCell ref="A141:F142"/>
    <mergeCell ref="A161:F161"/>
    <mergeCell ref="A162:F162"/>
    <mergeCell ref="A163:B163"/>
    <mergeCell ref="C163:F163"/>
    <mergeCell ref="A133:T134"/>
    <mergeCell ref="A135:F135"/>
    <mergeCell ref="B136:F136"/>
    <mergeCell ref="A157:T158"/>
    <mergeCell ref="A159:F159"/>
    <mergeCell ref="G159:T163"/>
    <mergeCell ref="A160:F160"/>
    <mergeCell ref="A1:T8"/>
    <mergeCell ref="A9:F9"/>
    <mergeCell ref="G9:G11"/>
    <mergeCell ref="H9:M9"/>
    <mergeCell ref="N9:T11"/>
    <mergeCell ref="A10:F11"/>
    <mergeCell ref="H10:M10"/>
    <mergeCell ref="A12:F12"/>
    <mergeCell ref="G12:T14"/>
    <mergeCell ref="A13:F13"/>
    <mergeCell ref="A15:F15"/>
    <mergeCell ref="H15:M15"/>
    <mergeCell ref="O15:T15"/>
    <mergeCell ref="A16:T17"/>
    <mergeCell ref="A18:F18"/>
    <mergeCell ref="G18:G19"/>
    <mergeCell ref="H18:M18"/>
    <mergeCell ref="N18:N19"/>
    <mergeCell ref="O18:T18"/>
    <mergeCell ref="H19:M19"/>
    <mergeCell ref="I20:M20"/>
    <mergeCell ref="A19:F19"/>
    <mergeCell ref="B20:F20"/>
    <mergeCell ref="G20:G25"/>
    <mergeCell ref="N20:N25"/>
    <mergeCell ref="A26:F26"/>
    <mergeCell ref="H26:M26"/>
    <mergeCell ref="N26:N27"/>
    <mergeCell ref="A29:F29"/>
    <mergeCell ref="A34:F34"/>
    <mergeCell ref="H34:M34"/>
    <mergeCell ref="B35:F35"/>
    <mergeCell ref="G35:G36"/>
    <mergeCell ref="I35:M35"/>
    <mergeCell ref="G37:G38"/>
    <mergeCell ref="A39:T40"/>
    <mergeCell ref="G26:G27"/>
    <mergeCell ref="G28:G32"/>
    <mergeCell ref="N28:N32"/>
    <mergeCell ref="H29:M29"/>
    <mergeCell ref="B32:F32"/>
    <mergeCell ref="I32:M32"/>
    <mergeCell ref="B33:N33"/>
    <mergeCell ref="A106:T107"/>
    <mergeCell ref="A108:F108"/>
    <mergeCell ref="G108:T110"/>
    <mergeCell ref="A109:F110"/>
    <mergeCell ref="A111:F111"/>
    <mergeCell ref="A112:F112"/>
    <mergeCell ref="B113:F113"/>
  </mergeCells>
  <dataValidations>
    <dataValidation type="decimal" allowBlank="1" showDropDown="1" showInputMessage="1" showErrorMessage="1" prompt="Enter a number between 0 and 30" sqref="F14 F21:F25 M21:M25 T21:T25 T27 F27:F28 M27:M28 F30:F31 M30:M31 T29:T32 F36:F38 M36:M38 F43:F47 F49:F50 F52:F53 F59:F62 F67:F70 F79:F89 F94:F97 F102:F105 M102:M105 F114:F118 M114:M118 F120:F121 M120:M121 F123:F124 M123:M124 F129:F132 M129:M132 F137:F140 F145:F148 F153:F156 M153:M156">
      <formula1>0.0</formula1>
      <formula2>30.0</formula2>
    </dataValidation>
    <dataValidation type="decimal" operator="greaterThan" allowBlank="1" showDropDown="1" showErrorMessage="1" sqref="M11">
      <formula1>0.0</formula1>
    </dataValidation>
  </dataValidations>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5.25"/>
    <col customWidth="1" min="5" max="5" width="13.13"/>
  </cols>
  <sheetData>
    <row r="1">
      <c r="A1" s="651"/>
      <c r="B1" s="652"/>
      <c r="C1" s="653"/>
      <c r="D1" s="653"/>
      <c r="E1" s="654"/>
      <c r="F1" s="653"/>
      <c r="G1" s="141"/>
    </row>
    <row r="2">
      <c r="A2" s="651"/>
      <c r="B2" s="653"/>
      <c r="C2" s="653"/>
      <c r="D2" s="653"/>
      <c r="E2" s="654"/>
      <c r="F2" s="653"/>
    </row>
    <row r="3">
      <c r="A3" s="651"/>
      <c r="B3" s="653"/>
      <c r="C3" s="653"/>
      <c r="D3" s="653"/>
      <c r="E3" s="654"/>
      <c r="F3" s="653"/>
    </row>
    <row r="4">
      <c r="A4" s="651"/>
      <c r="B4" s="653"/>
      <c r="C4" s="653"/>
      <c r="D4" s="653"/>
      <c r="E4" s="654"/>
      <c r="F4" s="653"/>
    </row>
    <row r="5">
      <c r="A5" s="651"/>
      <c r="B5" s="653"/>
      <c r="C5" s="653"/>
      <c r="D5" s="653"/>
      <c r="E5" s="654"/>
      <c r="F5" s="653"/>
    </row>
    <row r="6">
      <c r="A6" s="651"/>
      <c r="B6" s="653"/>
      <c r="C6" s="653"/>
      <c r="D6" s="653"/>
      <c r="E6" s="654"/>
      <c r="F6" s="653"/>
    </row>
    <row r="7">
      <c r="A7" s="651"/>
      <c r="B7" s="653"/>
      <c r="C7" s="653"/>
      <c r="D7" s="653"/>
      <c r="E7" s="654"/>
      <c r="F7" s="653"/>
    </row>
    <row r="8">
      <c r="A8" s="651"/>
      <c r="B8" s="653"/>
      <c r="C8" s="653"/>
      <c r="D8" s="653"/>
      <c r="E8" s="654"/>
      <c r="F8" s="653"/>
    </row>
    <row r="9">
      <c r="A9" s="424" t="s">
        <v>306</v>
      </c>
      <c r="B9" s="36"/>
      <c r="C9" s="36"/>
      <c r="D9" s="36"/>
      <c r="E9" s="36"/>
      <c r="F9" s="37"/>
    </row>
    <row r="10">
      <c r="A10" s="425" t="str">
        <f>'MSW25'!A10</f>
        <v>PRESS TO RECORD BODY WEIGHT</v>
      </c>
      <c r="B10" s="25"/>
      <c r="C10" s="25"/>
      <c r="D10" s="25"/>
      <c r="E10" s="25"/>
      <c r="F10" s="26"/>
    </row>
    <row r="11">
      <c r="A11" s="336"/>
      <c r="B11" s="11"/>
      <c r="C11" s="11"/>
      <c r="D11" s="11"/>
      <c r="E11" s="11"/>
      <c r="F11" s="46"/>
    </row>
    <row r="12">
      <c r="A12" s="655" t="s">
        <v>69</v>
      </c>
      <c r="B12" s="36"/>
      <c r="C12" s="36"/>
      <c r="D12" s="36"/>
      <c r="E12" s="36"/>
      <c r="F12" s="37"/>
    </row>
    <row r="13">
      <c r="A13" s="656" t="s">
        <v>142</v>
      </c>
      <c r="B13" s="36"/>
      <c r="C13" s="36"/>
      <c r="D13" s="36"/>
      <c r="E13" s="36"/>
      <c r="F13" s="37"/>
    </row>
    <row r="14">
      <c r="A14" s="212"/>
    </row>
    <row r="16">
      <c r="A16" s="50" t="s">
        <v>79</v>
      </c>
      <c r="B16" s="36"/>
      <c r="C16" s="36"/>
      <c r="D16" s="36"/>
      <c r="E16" s="36"/>
      <c r="F16" s="37"/>
      <c r="G16" s="141"/>
      <c r="H16" s="50" t="s">
        <v>118</v>
      </c>
      <c r="I16" s="36"/>
      <c r="J16" s="36"/>
      <c r="K16" s="36"/>
      <c r="L16" s="36"/>
      <c r="M16" s="37"/>
      <c r="N16" s="141"/>
    </row>
    <row r="17">
      <c r="A17" s="657"/>
    </row>
    <row r="19">
      <c r="A19" s="51" t="s">
        <v>48</v>
      </c>
      <c r="B19" s="36"/>
      <c r="C19" s="36"/>
      <c r="D19" s="36"/>
      <c r="E19" s="36"/>
      <c r="F19" s="37"/>
      <c r="G19" s="141"/>
      <c r="H19" s="51" t="s">
        <v>48</v>
      </c>
      <c r="I19" s="36"/>
      <c r="J19" s="36"/>
      <c r="K19" s="36"/>
      <c r="L19" s="36"/>
      <c r="M19" s="37"/>
      <c r="N19" s="141"/>
    </row>
    <row r="20">
      <c r="A20" s="52" t="str">
        <f>HYPERLINK("https://youtu.be/ujVN-A0Z-ic","1. DUMBBELL INCLINE PRESS")</f>
        <v>1. DUMBBELL INCLINE PRESS</v>
      </c>
      <c r="B20" s="53"/>
      <c r="C20" s="53"/>
      <c r="D20" s="53"/>
      <c r="E20" s="53"/>
      <c r="F20" s="54"/>
      <c r="H20" s="52" t="str">
        <f>HYPERLINK("https://youtu.be/75e_H9Vq_Lw","1. MACHINE PRESS")</f>
        <v>1. MACHINE PRESS</v>
      </c>
      <c r="I20" s="53"/>
      <c r="J20" s="53"/>
      <c r="K20" s="53"/>
      <c r="L20" s="53"/>
      <c r="M20" s="54"/>
    </row>
    <row r="21">
      <c r="A21" s="228" t="s">
        <v>119</v>
      </c>
      <c r="B21" s="229" t="str">
        <f>if('WEEK 25'!P33="",'WEEK 25'!P20,'WEEK 25'!P33)</f>
        <v/>
      </c>
      <c r="C21" s="16"/>
      <c r="D21" s="16"/>
      <c r="E21" s="16"/>
      <c r="F21" s="230"/>
      <c r="H21" s="228" t="s">
        <v>119</v>
      </c>
      <c r="I21" s="229" t="str">
        <f>if('WEEK 25'!I32="",'WEEK 25'!I20,'WEEK 25'!I32)</f>
        <v/>
      </c>
      <c r="J21" s="16"/>
      <c r="K21" s="16"/>
      <c r="L21" s="16"/>
      <c r="M21" s="230"/>
    </row>
    <row r="22">
      <c r="A22" s="96" t="s">
        <v>50</v>
      </c>
      <c r="B22" s="97" t="s">
        <v>51</v>
      </c>
      <c r="C22" s="97" t="s">
        <v>52</v>
      </c>
      <c r="D22" s="97" t="s">
        <v>53</v>
      </c>
      <c r="E22" s="98" t="s">
        <v>54</v>
      </c>
      <c r="F22" s="235" t="s">
        <v>55</v>
      </c>
      <c r="H22" s="96" t="s">
        <v>50</v>
      </c>
      <c r="I22" s="97" t="s">
        <v>51</v>
      </c>
      <c r="J22" s="97" t="s">
        <v>52</v>
      </c>
      <c r="K22" s="97" t="s">
        <v>53</v>
      </c>
      <c r="L22" s="98" t="s">
        <v>54</v>
      </c>
      <c r="M22" s="235" t="s">
        <v>55</v>
      </c>
    </row>
    <row r="23">
      <c r="A23" s="244">
        <v>1.0</v>
      </c>
      <c r="B23" s="241">
        <f>mround('WEEK 26'!B21*0.35,5)</f>
        <v>0</v>
      </c>
      <c r="C23" s="63">
        <v>6.0</v>
      </c>
      <c r="D23" s="83" t="s">
        <v>57</v>
      </c>
      <c r="E23" s="84" t="str">
        <f>IF('WEEK 25'!P22='WEEK 26'!B23,'WEEK 25'!T22,"")</f>
        <v/>
      </c>
      <c r="F23" s="85"/>
      <c r="H23" s="244">
        <v>1.0</v>
      </c>
      <c r="I23" s="241">
        <f>mround('WEEK 26'!I21*0.35,5)</f>
        <v>0</v>
      </c>
      <c r="J23" s="63">
        <v>6.0</v>
      </c>
      <c r="K23" s="83" t="s">
        <v>57</v>
      </c>
      <c r="L23" s="84" t="str">
        <f>IF('WEEK 25'!I22='WEEK 26'!I23,'WEEK 25'!M22,"")</f>
        <v/>
      </c>
      <c r="M23" s="85"/>
    </row>
    <row r="24">
      <c r="A24" s="240">
        <v>2.0</v>
      </c>
      <c r="B24" s="241">
        <f>mround('WEEK 26'!B21*0.65,5)</f>
        <v>0</v>
      </c>
      <c r="C24" s="241">
        <v>1.0</v>
      </c>
      <c r="D24" s="83" t="s">
        <v>57</v>
      </c>
      <c r="E24" s="84" t="str">
        <f>IF('WEEK 25'!P23='WEEK 26'!B24,'WEEK 25'!T23,"")</f>
        <v/>
      </c>
      <c r="F24" s="85"/>
      <c r="H24" s="240">
        <v>2.0</v>
      </c>
      <c r="I24" s="241">
        <f>mround('WEEK 26'!I21*0.65,5)</f>
        <v>0</v>
      </c>
      <c r="J24" s="241">
        <v>1.0</v>
      </c>
      <c r="K24" s="83" t="s">
        <v>57</v>
      </c>
      <c r="L24" s="84" t="str">
        <f>IF('WEEK 25'!I23='WEEK 26'!I24,'WEEK 25'!M23,"")</f>
        <v/>
      </c>
      <c r="M24" s="85"/>
    </row>
    <row r="25">
      <c r="A25" s="240">
        <v>3.0</v>
      </c>
      <c r="B25" s="241">
        <f>mround('WEEK 26'!B21*0.85,5)</f>
        <v>0</v>
      </c>
      <c r="C25" s="63">
        <v>1.0</v>
      </c>
      <c r="D25" s="83" t="s">
        <v>57</v>
      </c>
      <c r="E25" s="84" t="str">
        <f>IF('WEEK 25'!P24='WEEK 26'!B25,'WEEK 25'!T24,"")</f>
        <v/>
      </c>
      <c r="F25" s="85"/>
      <c r="H25" s="240">
        <v>3.0</v>
      </c>
      <c r="I25" s="241">
        <f>mround('WEEK 26'!I21*0.85,5)</f>
        <v>0</v>
      </c>
      <c r="J25" s="241">
        <v>1.0</v>
      </c>
      <c r="K25" s="83" t="s">
        <v>57</v>
      </c>
      <c r="L25" s="84" t="str">
        <f>IF('WEEK 25'!I24='WEEK 26'!I25,'WEEK 25'!M24,"")</f>
        <v/>
      </c>
      <c r="M25" s="85"/>
    </row>
    <row r="26">
      <c r="A26" s="240">
        <v>4.0</v>
      </c>
      <c r="B26" s="241">
        <f>mround('WEEK 26'!B21*1,5)</f>
        <v>0</v>
      </c>
      <c r="C26" s="245" t="s">
        <v>65</v>
      </c>
      <c r="D26" s="83" t="s">
        <v>57</v>
      </c>
      <c r="E26" s="84" t="str">
        <f>IF('WEEK 25'!P25='WEEK 26'!B26,'WEEK 25'!T25,"")</f>
        <v/>
      </c>
      <c r="F26" s="85"/>
      <c r="H26" s="240">
        <v>4.0</v>
      </c>
      <c r="I26" s="241">
        <f>mround('WEEK 26'!I21*1,5)</f>
        <v>0</v>
      </c>
      <c r="J26" s="245" t="s">
        <v>65</v>
      </c>
      <c r="K26" s="83" t="s">
        <v>57</v>
      </c>
      <c r="L26" s="84" t="str">
        <f>IF('WEEK 25'!I25='WEEK 26'!I26,'WEEK 25'!M25,"")</f>
        <v/>
      </c>
      <c r="M26" s="85"/>
    </row>
    <row r="27">
      <c r="A27" s="248" t="str">
        <f>IF(OR(ISBLANK('WEEK 26'!F26),ISBLANK('WEEK 26'!F25),ISBLANK('WEEK 26'!F24)),"PROCEED TO DOWNSETS",if('WEEK 26'!F26&gt;=6,"NEW 4 REP MAX ATTEMPT","PROCEED TO DOWN SETS"))</f>
        <v>PROCEED TO DOWNSETS</v>
      </c>
      <c r="F27" s="28"/>
      <c r="G27" s="247" t="s">
        <v>123</v>
      </c>
      <c r="H27" s="248" t="str">
        <f>IF(OR(ISBLANK('WEEK 26'!M26),ISBLANK('WEEK 26'!M25),ISBLANK('WEEK 26'!M24)),"PROCEED TO DOWNSETS",if('WEEK 26'!M26&gt;=6,"NEW 4 REP MAX ATTEMPT","PROCEED TO DOWN SETS"))</f>
        <v>PROCEED TO DOWNSETS</v>
      </c>
      <c r="M27" s="28"/>
    </row>
    <row r="28">
      <c r="A28" s="251" t="str">
        <f>IF(OR(ISBLANK('WEEK 26'!F26),ISBLANK('WEEK 26'!F25),ISBLANK('WEEK 26'!F24)),"",IF('WEEK 26'!F26&gt;=6,5,""))</f>
        <v/>
      </c>
      <c r="B28" s="252" t="str">
        <f>IF(OR(ISBLANK('WEEK 26'!F26),ISBLANK('WEEK 26'!F25),ISBLANK('WEEK 26'!F24)),"",IF('WEEK 26'!F26&gt;=6,'WEEK 26'!B21+5,""))</f>
        <v/>
      </c>
      <c r="C28" s="253" t="str">
        <f>IF(OR(ISBLANK('WEEK 26'!F26),ISBLANK('WEEK 26'!F25),ISBLANK('WEEK 26'!F24)),"",IF('WEEK 26'!F26&gt;=6,"REP OUT",""))</f>
        <v/>
      </c>
      <c r="D28" s="254" t="str">
        <f>IF(OR(ISBLANK('WEEK 26'!F26),ISBLANK('WEEK 26'!F25),ISBLANK('WEEK 26'!F24)),"",IF('WEEK 26'!F26&gt;5,"1 MIN",""))</f>
        <v/>
      </c>
      <c r="E28" s="84" t="str">
        <f>IF('WEEK 25'!P27='WEEK 26'!B28,'WEEK 25'!T27,"")</f>
        <v/>
      </c>
      <c r="F28" s="67"/>
      <c r="H28" s="251" t="str">
        <f>IF(OR(ISBLANK('WEEK 26'!M26),ISBLANK('WEEK 26'!M25),ISBLANK('WEEK 26'!M24)),"",IF('WEEK 26'!M26&gt;=6,5,""))</f>
        <v/>
      </c>
      <c r="I28" s="252" t="str">
        <f>IF(OR(ISBLANK('WEEK 26'!M26),ISBLANK('WEEK 26'!M25),ISBLANK('WEEK 26'!M24)),"",IF('WEEK 26'!M26&gt;=6,'WEEK 26'!I21+5,""))</f>
        <v/>
      </c>
      <c r="J28" s="253" t="str">
        <f>IF(OR(ISBLANK('WEEK 26'!M26),ISBLANK('WEEK 26'!M25),ISBLANK('WEEK 26'!M24)),"",IF('WEEK 26'!M26&gt;=6,"REP OUT",""))</f>
        <v/>
      </c>
      <c r="K28" s="254" t="str">
        <f>IF(OR(ISBLANK('WEEK 26'!M26),ISBLANK('WEEK 26'!M25),ISBLANK('WEEK 26'!M24)),"",IF('WEEK 26'!M26&gt;5,"1 MIN",""))</f>
        <v/>
      </c>
      <c r="L28" s="84" t="str">
        <f>IF('WEEK 25'!I27='WEEK 26'!I28,'WEEK 25'!M27,"")</f>
        <v/>
      </c>
      <c r="M28" s="67"/>
    </row>
    <row r="29">
      <c r="A29" s="260" t="str">
        <f>IF(OR(ISBLANK('WEEK 26'!F26),ISBLANK('WEEK 26'!F25),ISBLANK('WEEK 26'!F24)),"FILL OUT REP LOG FIRST","DOWN SETS")</f>
        <v>FILL OUT REP LOG FIRST</v>
      </c>
      <c r="B29" s="16"/>
      <c r="C29" s="16"/>
      <c r="D29" s="16"/>
      <c r="E29" s="16"/>
      <c r="F29" s="230"/>
      <c r="G29" s="141"/>
      <c r="H29" s="260" t="str">
        <f>IF(OR(ISBLANK('WEEK 26'!M26),ISBLANK('WEEK 26'!M25),ISBLANK('WEEK 26'!M24)),"FILL OUT REP LOG FIRST","DOWN SETS")</f>
        <v>FILL OUT REP LOG FIRST</v>
      </c>
      <c r="I29" s="16"/>
      <c r="J29" s="16"/>
      <c r="K29" s="16"/>
      <c r="L29" s="16"/>
      <c r="M29" s="230"/>
    </row>
    <row r="30">
      <c r="A30" s="545" t="str">
        <f>IF('WEEK 26'!F28&gt;=4,"",IF(OR(ISBLANK('WEEK 26'!F26),ISBLANK('WEEK 26'!F25),ISBLANK('WEEK 26'!F24)),"",IF('WEEK 26'!F26&gt;5,6,5)))</f>
        <v/>
      </c>
      <c r="B30" s="261" t="str">
        <f>IF('WEEK 26'!F28&gt;=4,"",IF(OR(ISBLANK('WEEK 26'!F26),ISBLANK('WEEK 26'!F25),ISBLANK('WEEK 26'!F24)),"",IF('WEEK 26'!F26&lt;6,mround('WEEK 26'!B21*0.8,5),IF('WEEK 26'!F26&lt;10,mround('WEEK 26'!B21*0.93,5),mround('WEEK 26'!B21*0.7,5)))))</f>
        <v/>
      </c>
      <c r="C30" s="262" t="str">
        <f>IF('WEEK 26'!F28&gt;=4,"",IF(OR(ISBLANK('WEEK 26'!F26),ISBLANK('WEEK 26'!F25),ISBLANK('WEEK 26'!F24)),"","REP OUT"))</f>
        <v/>
      </c>
      <c r="D30" s="65" t="str">
        <f>IF('WEEK 26'!F28&gt;=4,"",IF(OR(ISBLANK('WEEK 26'!F26),ISBLANK('WEEK 26'!F25),ISBLANK('WEEK 26'!F24)),"","1 MIN"))</f>
        <v/>
      </c>
      <c r="E30" s="84" t="str">
        <f>IF('WEEK 25'!P29='WEEK 26'!B30,'WEEK 25'!T29,"")</f>
        <v/>
      </c>
      <c r="F30" s="263"/>
      <c r="H30" s="91" t="str">
        <f>IF('WEEK 26'!M28&gt;=4,"",IF(OR(ISBLANK('WEEK 26'!M26),ISBLANK('WEEK 26'!M25),ISBLANK('WEEK 26'!M24)),"",IF('WEEK 26'!M26&gt;5,6,5)))</f>
        <v/>
      </c>
      <c r="I30" s="261" t="str">
        <f>IF('WEEK 26'!M28&gt;=4,"",IF(OR(ISBLANK('WEEK 26'!M26),ISBLANK('WEEK 26'!M25),ISBLANK('WEEK 26'!M24)),"",IF('WEEK 26'!M26&lt;6,mround('WEEK 26'!I21*0.8,5),IF('WEEK 26'!M26&lt;10,mround('WEEK 26'!I21*0.93,5),mround('WEEK 26'!I21*0.7,5)))))</f>
        <v/>
      </c>
      <c r="J30" s="262" t="str">
        <f>IF('WEEK 26'!M28&gt;=4,"",IF(OR(ISBLANK('WEEK 26'!M26),ISBLANK('WEEK 26'!M25),ISBLANK('WEEK 26'!M24)),"","REP OUT"))</f>
        <v/>
      </c>
      <c r="K30" s="65" t="str">
        <f>IF('WEEK 26'!M28&gt;=4,"",IF(OR(ISBLANK('WEEK 26'!M26),ISBLANK('WEEK 26'!M25),ISBLANK('WEEK 26'!M24)),"","1 MIN"))</f>
        <v/>
      </c>
      <c r="L30" s="84" t="str">
        <f>IF('WEEK 25'!I29='WEEK 26'!I30,'WEEK 25'!M29,"")</f>
        <v/>
      </c>
      <c r="M30" s="263"/>
    </row>
    <row r="31">
      <c r="A31" s="546" t="str">
        <f>IF('WEEK 26'!F28&gt;=4,"",IF(OR(ISBLANK('WEEK 26'!F26),ISBLANK('WEEK 26'!F25),ISBLANK('WEEK 26'!F24)),"",IF('WEEK 26'!F26&gt;5,7,6)))</f>
        <v/>
      </c>
      <c r="B31" s="254" t="str">
        <f>IF('WEEK 26'!F28&gt;=4,"",IF(OR(ISBLANK('WEEK 26'!F26),ISBLANK('WEEK 26'!F25),ISBLANK('WEEK 26'!F24)),"",IF('WEEK 26'!F26&lt;6,mround('WEEK 26'!B21*0.65,5),IF('WEEK 26'!F26&lt;10,mround('WEEK 26'!B21*0.7,5),mround('WEEK 26'!B21*0.65,5)))))</f>
        <v/>
      </c>
      <c r="C31" s="253" t="str">
        <f>IF('WEEK 26'!F28&gt;=4,"",IF(OR(ISBLANK('WEEK 26'!F26),ISBLANK('WEEK 26'!F25),ISBLANK('WEEK 26'!F24)),"","REP OUT"))</f>
        <v/>
      </c>
      <c r="D31" s="65" t="str">
        <f>IF('WEEK 26'!F28&gt;=4,"",IF(OR(ISBLANK('WEEK 26'!F26),ISBLANK('WEEK 26'!F25),ISBLANK('WEEK 26'!F24)),"","1 MIN"))</f>
        <v/>
      </c>
      <c r="E31" s="84" t="str">
        <f>IF('WEEK 25'!P30='WEEK 26'!B31,'WEEK 25'!T30,"")</f>
        <v/>
      </c>
      <c r="F31" s="270"/>
      <c r="H31" s="269" t="str">
        <f>IF('WEEK 26'!M28&gt;=4,"",IF(OR(ISBLANK('WEEK 26'!M26),ISBLANK('WEEK 26'!M25),ISBLANK('WEEK 26'!M24)),"",IF('WEEK 26'!M26&gt;5,7,6)))</f>
        <v/>
      </c>
      <c r="I31" s="254" t="str">
        <f>IF('WEEK 26'!M28&gt;=4,"",IF(OR(ISBLANK('WEEK 26'!M26),ISBLANK('WEEK 26'!M25),ISBLANK('WEEK 26'!M24)),"",IF('WEEK 26'!M26&lt;6,mround('WEEK 26'!I21*0.65,5),IF('WEEK 26'!M26&lt;10,mround('WEEK 26'!I21*0.7,5),mround('WEEK 26'!I21*0.65,5)))))</f>
        <v/>
      </c>
      <c r="J31" s="253" t="str">
        <f>IF('WEEK 26'!M28&gt;=4,"",IF(OR(ISBLANK('WEEK 26'!M26),ISBLANK('WEEK 26'!M25),ISBLANK('WEEK 26'!M24)),"","REP OUT"))</f>
        <v/>
      </c>
      <c r="K31" s="65" t="str">
        <f>IF('WEEK 26'!M28&gt;=4,"",IF(OR(ISBLANK('WEEK 26'!M26),ISBLANK('WEEK 26'!M25),ISBLANK('WEEK 26'!M24)),"","1 MIN"))</f>
        <v/>
      </c>
      <c r="L31" s="84" t="str">
        <f>IF('WEEK 25'!I30='WEEK 26'!I31,'WEEK 25'!M30,"")</f>
        <v/>
      </c>
      <c r="M31" s="270"/>
    </row>
    <row r="32">
      <c r="A32" s="546" t="str">
        <f>IF('WEEK 26'!F28&lt;4,"",IF(OR(ISBLANK('WEEK 26'!F26),ISBLANK('WEEK 26'!F25),ISBLANK('WEEK 26'!F24)),"",IF('WEEK 26'!F28&gt;3,6,5)))</f>
        <v/>
      </c>
      <c r="B32" s="254" t="str">
        <f>IF('WEEK 26'!F28&lt;4,"",IF(OR(ISBLANK('WEEK 26'!F26),ISBLANK('WEEK 26'!F25),ISBLANK('WEEK 26'!F24)),"",IF('WEEK 26'!F28&lt;6,mround('WEEK 26'!B34*0.8,5),IF('WEEK 26'!F28&lt;10,mround('WEEK 26'!B34*0.93,5),mround(B34*0.7,5)))))</f>
        <v/>
      </c>
      <c r="C32" s="253" t="str">
        <f>IF('WEEK 26'!F28&lt;4,"",IF(OR(ISBLANK('WEEK 26'!F26),ISBLANK('WEEK 26'!F25),ISBLANK('WEEK 26'!F24)),"","REP OUT"))</f>
        <v/>
      </c>
      <c r="D32" s="65" t="str">
        <f>IF('WEEK 26'!F28&lt;4,"",IF(OR(ISBLANK('WEEK 26'!F26),ISBLANK('WEEK 26'!F25),ISBLANK('WEEK 26'!F24)),"","1 MIN"))</f>
        <v/>
      </c>
      <c r="E32" s="84" t="str">
        <f>IF('WEEK 25'!P31='WEEK 26'!B32,'WEEK 25'!T31,"")</f>
        <v/>
      </c>
      <c r="F32" s="270"/>
      <c r="G32" s="141"/>
      <c r="H32" s="269" t="str">
        <f>IF('WEEK 26'!M28&lt;4,"",IF(OR(ISBLANK('WEEK 26'!M26),ISBLANK('WEEK 26'!M25),ISBLANK('WEEK 26'!M24)),"",IF('WEEK 26'!M28&gt;3,6,5)))</f>
        <v/>
      </c>
      <c r="I32" s="254" t="str">
        <f>IF('WEEK 26'!M28&lt;4,"",IF(OR(ISBLANK('WEEK 26'!M26),ISBLANK('WEEK 26'!M25),ISBLANK('WEEK 26'!M24)),"",IF('WEEK 26'!M28&lt;6,mround('WEEK 26'!I34*0.8,5),IF('WEEK 26'!M28&lt;10,mround('WEEK 26'!I34*0.93,5),mround(I34*0.7,5)))))</f>
        <v/>
      </c>
      <c r="J32" s="253" t="str">
        <f>IF('WEEK 26'!M28&lt;4,"",IF(OR(ISBLANK('WEEK 26'!M26),ISBLANK('WEEK 26'!M25),ISBLANK('WEEK 26'!M24)),"","REP OUT"))</f>
        <v/>
      </c>
      <c r="K32" s="65" t="str">
        <f>IF('WEEK 26'!M28&lt;4,"",IF(OR(ISBLANK('WEEK 26'!M26),ISBLANK('WEEK 26'!M25),ISBLANK('WEEK 26'!M24)),"","1 MIN"))</f>
        <v/>
      </c>
      <c r="L32" s="84" t="str">
        <f>IF('WEEK 25'!I31='WEEK 26'!I32,'WEEK 25'!M31,"")</f>
        <v/>
      </c>
      <c r="M32" s="270"/>
      <c r="N32" s="141"/>
    </row>
    <row r="33">
      <c r="A33" s="546" t="str">
        <f>IF('WEEK 26'!F28&lt;4,"",IF(OR(ISBLANK('WEEK 26'!F26),ISBLANK('WEEK 26'!F25),ISBLANK('WEEK 26'!F24)),"",IF('WEEK 26'!F28&gt;3,7,"")))</f>
        <v/>
      </c>
      <c r="B33" s="254" t="str">
        <f>IF('WEEK 26'!F28&lt;4,"",IF(OR(ISBLANK('WEEK 26'!F26),ISBLANK('WEEK 26'!F25),ISBLANK('WEEK 26'!F24)),"",IF('WEEK 26'!F28&lt;6,mround('WEEK 26'!B34*0.65,5),IF('WEEK 26'!F28&lt;10,mround('WEEK 26'!B34*0.7,5),mround(B34*0.65,5)))))</f>
        <v/>
      </c>
      <c r="C33" s="253" t="str">
        <f>IF('WEEK 26'!F28&lt;4,"",IF(OR(ISBLANK('WEEK 26'!F26),ISBLANK('WEEK 26'!F25),ISBLANK('WEEK 26'!F24)),"","REP OUT"))</f>
        <v/>
      </c>
      <c r="D33" s="65" t="str">
        <f>IF('WEEK 26'!F28&lt;4,"",IF(OR(ISBLANK('WEEK 26'!F26),ISBLANK('WEEK 26'!F25),ISBLANK('WEEK 26'!F24)),"","1 MIN"))</f>
        <v/>
      </c>
      <c r="E33" s="84" t="str">
        <f>IF('WEEK 25'!P32='WEEK 26'!B33,'WEEK 25'!T32,"")</f>
        <v/>
      </c>
      <c r="F33" s="270"/>
      <c r="G33" s="141"/>
      <c r="H33" s="269" t="str">
        <f>IF('WEEK 26'!M28&lt;4,"",IF(OR(ISBLANK('WEEK 26'!M26),ISBLANK('WEEK 26'!M25),ISBLANK('WEEK 26'!M24)),"",IF('WEEK 26'!M28&gt;3,7,"")))</f>
        <v/>
      </c>
      <c r="I33" s="254" t="str">
        <f>IF('WEEK 26'!M28&lt;4,"",IF(OR(ISBLANK('WEEK 26'!M26),ISBLANK('WEEK 26'!M25),ISBLANK('WEEK 26'!M24)),"",IF('WEEK 26'!M28&lt;6,mround('WEEK 26'!I34*0.65,5),IF('WEEK 26'!M28&lt;10,mround('WEEK 26'!I34*0.7,5),mround(I34*0.65,5)))))</f>
        <v/>
      </c>
      <c r="J33" s="253" t="str">
        <f>IF('WEEK 26'!M28&lt;4,"",IF(OR(ISBLANK('WEEK 26'!M26),ISBLANK('WEEK 26'!M25),ISBLANK('WEEK 26'!M24)),"","REP OUT"))</f>
        <v/>
      </c>
      <c r="K33" s="65" t="str">
        <f>IF('WEEK 26'!M28&lt;4,"",IF(OR(ISBLANK('WEEK 26'!M26),ISBLANK('WEEK 26'!M25),ISBLANK('WEEK 26'!M24)),"","1 MIN"))</f>
        <v/>
      </c>
      <c r="L33" s="84" t="str">
        <f>IF('WEEK 25'!I32='WEEK 26'!I33,'WEEK 25'!M32,"")</f>
        <v/>
      </c>
      <c r="M33" s="270"/>
      <c r="N33" s="141"/>
    </row>
    <row r="34">
      <c r="A34" s="280" t="s">
        <v>124</v>
      </c>
      <c r="B34" s="273" t="str">
        <f>IF(OR(ISBLANK('WEEK 26'!F24),ISBLANK('WEEK 26'!F25),ISBLANK('WEEK 26'!F26)),"",IF('WEEK 26'!F28&gt;=4,'WEEK 26'!B28,IF('WEEK 26'!F26&lt;=3,'WEEK 26'!B26-5,'WEEK 26'!B26)))</f>
        <v/>
      </c>
      <c r="C34" s="11"/>
      <c r="D34" s="11"/>
      <c r="E34" s="11"/>
      <c r="F34" s="46"/>
      <c r="G34" s="141"/>
      <c r="H34" s="280" t="s">
        <v>124</v>
      </c>
      <c r="I34" s="273" t="str">
        <f>IF(OR(ISBLANK('WEEK 26'!M24),ISBLANK('WEEK 26'!M25),ISBLANK('WEEK 26'!M26)),"",IF('WEEK 26'!M28&gt;=4,'WEEK 26'!I28,IF('WEEK 26'!M26&lt;=3,'WEEK 26'!I26-5,'WEEK 26'!I26)))</f>
        <v/>
      </c>
      <c r="J34" s="11"/>
      <c r="K34" s="11"/>
      <c r="L34" s="11"/>
      <c r="M34" s="46"/>
      <c r="N34" s="141"/>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143</v>
      </c>
      <c r="B38" s="548" t="str">
        <f>if('WEEK 26'!B34="",'WEEK 26'!B21,'WEEK 26'!B34)</f>
        <v/>
      </c>
      <c r="C38" s="13"/>
      <c r="D38" s="13"/>
      <c r="E38" s="13"/>
      <c r="F38" s="57"/>
      <c r="H38" s="226" t="s">
        <v>143</v>
      </c>
      <c r="I38" s="548" t="str">
        <f>'WEEK 26'!B38</f>
        <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mround(B38*0.29,2.5)</f>
        <v>0</v>
      </c>
      <c r="C40" s="241">
        <v>15.0</v>
      </c>
      <c r="D40" s="83" t="s">
        <v>57</v>
      </c>
      <c r="E40" s="84" t="str">
        <f>IF('WEEK 25'!B37='WEEK 26'!B40,'WEEK 25'!F37,"")</f>
        <v/>
      </c>
      <c r="F40" s="85"/>
      <c r="H40" s="240">
        <v>1.0</v>
      </c>
      <c r="I40" s="254">
        <f>mround(I38*2*0.75,10)</f>
        <v>0</v>
      </c>
      <c r="J40" s="241">
        <v>15.0</v>
      </c>
      <c r="K40" s="83" t="s">
        <v>57</v>
      </c>
      <c r="L40" s="84" t="str">
        <f>IF('WEEK 25'!I37='WEEK 26'!I40,'WEEK 25'!M37,"")</f>
        <v/>
      </c>
      <c r="M40" s="85"/>
    </row>
    <row r="41">
      <c r="A41" s="661">
        <v>2.0</v>
      </c>
      <c r="B41" s="662">
        <f>mround(B38*0.29,2.5)</f>
        <v>0</v>
      </c>
      <c r="C41" s="662">
        <v>15.0</v>
      </c>
      <c r="D41" s="88" t="s">
        <v>57</v>
      </c>
      <c r="E41" s="89" t="str">
        <f>IF('WEEK 25'!B38='WEEK 26'!B41,'WEEK 25'!F38,"")</f>
        <v/>
      </c>
      <c r="F41" s="85"/>
      <c r="H41" s="661">
        <v>2.0</v>
      </c>
      <c r="I41" s="662">
        <f>mround(I38*0.75,10)</f>
        <v>0</v>
      </c>
      <c r="J41" s="662">
        <v>15.0</v>
      </c>
      <c r="K41" s="88" t="s">
        <v>57</v>
      </c>
      <c r="L41" s="89" t="str">
        <f>IF('WEEK 25'!I38='WEEK 26'!I41,'WEEK 25'!M38,"")</f>
        <v/>
      </c>
      <c r="M41" s="85"/>
    </row>
    <row r="42">
      <c r="A42" s="212"/>
    </row>
    <row r="44">
      <c r="A44" s="73" t="str">
        <f>HYPERLINK("https://youtu.be/9YH1YvZbiY0","3. MACHINE LOW ROW ")</f>
        <v>3. MACHINE LOW ROW </v>
      </c>
      <c r="B44" s="53"/>
      <c r="C44" s="53"/>
      <c r="D44" s="53"/>
      <c r="E44" s="53"/>
      <c r="F44" s="54"/>
      <c r="G44" s="141"/>
      <c r="H44" s="141"/>
      <c r="I44" s="141"/>
      <c r="J44" s="141"/>
      <c r="K44" s="141"/>
      <c r="L44" s="141"/>
      <c r="M44" s="141"/>
      <c r="N44" s="141"/>
    </row>
    <row r="45">
      <c r="A45" s="226" t="s">
        <v>119</v>
      </c>
      <c r="B45" s="227">
        <f>'WEEK 25'!B58</f>
        <v>185</v>
      </c>
      <c r="C45" s="20"/>
      <c r="D45" s="20"/>
      <c r="E45" s="20"/>
      <c r="F45" s="95"/>
      <c r="G45" s="141"/>
      <c r="H45" s="141"/>
      <c r="I45" s="141"/>
      <c r="J45" s="141"/>
      <c r="K45" s="141"/>
      <c r="L45" s="141"/>
      <c r="M45" s="141"/>
      <c r="N45" s="141"/>
    </row>
    <row r="46">
      <c r="A46" s="231" t="s">
        <v>50</v>
      </c>
      <c r="B46" s="232" t="s">
        <v>51</v>
      </c>
      <c r="C46" s="232" t="s">
        <v>52</v>
      </c>
      <c r="D46" s="232" t="s">
        <v>53</v>
      </c>
      <c r="E46" s="233" t="s">
        <v>54</v>
      </c>
      <c r="F46" s="61" t="s">
        <v>55</v>
      </c>
      <c r="G46" s="141"/>
      <c r="H46" s="141"/>
      <c r="I46" s="141"/>
      <c r="J46" s="141"/>
      <c r="K46" s="141"/>
      <c r="L46" s="141"/>
      <c r="M46" s="141"/>
      <c r="N46" s="141"/>
    </row>
    <row r="47">
      <c r="A47" s="236">
        <v>1.0</v>
      </c>
      <c r="B47" s="237">
        <f>mround('WEEK 26'!B45*0.35,5)</f>
        <v>65</v>
      </c>
      <c r="C47" s="237">
        <v>6.0</v>
      </c>
      <c r="D47" s="238" t="s">
        <v>120</v>
      </c>
      <c r="E47" s="84" t="str">
        <f>IF('WEEK 22'!B30='WEEK 26'!B47,'WEEK 22'!F30,"")</f>
        <v/>
      </c>
      <c r="F47" s="67"/>
      <c r="G47" s="141"/>
      <c r="H47" s="141"/>
      <c r="I47" s="141"/>
      <c r="J47" s="141"/>
      <c r="K47" s="141"/>
      <c r="L47" s="141"/>
      <c r="M47" s="141"/>
      <c r="N47" s="141"/>
    </row>
    <row r="48">
      <c r="A48" s="236">
        <v>2.0</v>
      </c>
      <c r="B48" s="237">
        <f>mround('WEEK 26'!B45*0.65,5)</f>
        <v>120</v>
      </c>
      <c r="C48" s="238">
        <v>3.0</v>
      </c>
      <c r="D48" s="238" t="s">
        <v>121</v>
      </c>
      <c r="E48" s="84" t="str">
        <f>IF('WEEK 22'!B31='WEEK 26'!B48,'WEEK 22'!F31,"")</f>
        <v/>
      </c>
      <c r="F48" s="67"/>
      <c r="G48" s="141"/>
      <c r="H48" s="141"/>
      <c r="I48" s="141"/>
      <c r="J48" s="141"/>
      <c r="K48" s="141"/>
      <c r="L48" s="141"/>
      <c r="M48" s="141"/>
      <c r="N48" s="141"/>
    </row>
    <row r="49">
      <c r="A49" s="242">
        <v>3.0</v>
      </c>
      <c r="B49" s="237">
        <f>mround('WEEK 26'!B45*0.9,5)</f>
        <v>165</v>
      </c>
      <c r="C49" s="63">
        <v>2.0</v>
      </c>
      <c r="D49" s="238" t="s">
        <v>121</v>
      </c>
      <c r="E49" s="84" t="str">
        <f>IF('WEEK 22'!B32='WEEK 26'!B49,'WEEK 22'!F32,"")</f>
        <v/>
      </c>
      <c r="F49" s="67"/>
      <c r="G49" s="141"/>
      <c r="H49" s="141"/>
      <c r="I49" s="141"/>
      <c r="J49" s="141"/>
      <c r="K49" s="141"/>
      <c r="L49" s="141"/>
      <c r="M49" s="141"/>
      <c r="N49" s="141"/>
    </row>
    <row r="50">
      <c r="A50" s="243">
        <v>4.0</v>
      </c>
      <c r="B50" s="237">
        <f>'WEEK 26'!B45</f>
        <v>185</v>
      </c>
      <c r="C50" s="257">
        <v>3.0</v>
      </c>
      <c r="D50" s="238" t="s">
        <v>122</v>
      </c>
      <c r="E50" s="84" t="str">
        <f>IF('WEEK 22'!B33='WEEK 26'!B50,'WEEK 22'!F33,"")</f>
        <v/>
      </c>
      <c r="F50" s="67"/>
      <c r="G50" s="141"/>
      <c r="H50" s="141"/>
      <c r="I50" s="141"/>
      <c r="J50" s="141"/>
      <c r="K50" s="141"/>
      <c r="L50" s="141"/>
      <c r="M50" s="141"/>
      <c r="N50" s="141"/>
    </row>
    <row r="51">
      <c r="A51" s="246" t="str">
        <f>IF('WEEK 26'!F50&lt;3,"PROCEED TO DOWN SETS","NEW 4 REP MAX ATTEMPT")</f>
        <v>NEW 4 REP MAX ATTEMPT</v>
      </c>
      <c r="B51" s="20"/>
      <c r="C51" s="20"/>
      <c r="D51" s="20"/>
      <c r="E51" s="20"/>
      <c r="F51" s="95"/>
      <c r="G51" s="141"/>
      <c r="H51" s="141"/>
      <c r="I51" s="141"/>
      <c r="J51" s="141"/>
      <c r="K51" s="141"/>
      <c r="L51" s="141"/>
      <c r="M51" s="141"/>
      <c r="N51" s="141"/>
    </row>
    <row r="52">
      <c r="A52" s="249">
        <f>if('WEEK 26'!F50&lt;=2,"",5)</f>
        <v>5</v>
      </c>
      <c r="B52" s="175">
        <f>IF('WEEK 26'!F50&lt;=2,"",'WEEK 26'!B50+5)</f>
        <v>190</v>
      </c>
      <c r="C52" s="238">
        <f>if('WEEK 26'!F50&lt;=2,"",4)</f>
        <v>4</v>
      </c>
      <c r="D52" s="238" t="str">
        <f>if('WEEK 26'!F50&lt;=2,"","1-5 MIN")</f>
        <v>1-5 MIN</v>
      </c>
      <c r="E52" s="84" t="str">
        <f>IF('WEEK 22'!B35='WEEK 26'!B52,'WEEK 22'!F35,"")</f>
        <v/>
      </c>
      <c r="F52" s="67"/>
      <c r="G52" s="141"/>
      <c r="H52" s="141"/>
      <c r="I52" s="141"/>
      <c r="J52" s="141"/>
      <c r="K52" s="141"/>
      <c r="L52" s="141"/>
      <c r="M52" s="141"/>
      <c r="N52" s="141"/>
    </row>
    <row r="53">
      <c r="A53" s="259" t="str">
        <f>IF('WEEK 26'!F52&lt;4,"","6")</f>
        <v>6</v>
      </c>
      <c r="B53" s="237">
        <f>IF('WEEK 26'!F52&lt;4,"",'WEEK 26'!B52+5)</f>
        <v>195</v>
      </c>
      <c r="C53" s="257" t="str">
        <f>IF('WEEK 26'!F52&lt;4,"","4")</f>
        <v>4</v>
      </c>
      <c r="D53" s="257" t="str">
        <f>IF('WEEK 26'!F52&lt;4,"","1-5 MIN")</f>
        <v>1-5 MIN</v>
      </c>
      <c r="E53" s="84" t="str">
        <f>IF('WEEK 22'!B36='WEEK 26'!B53,'WEEK 22'!F36,"")</f>
        <v/>
      </c>
      <c r="F53" s="67"/>
      <c r="G53" s="141"/>
      <c r="H53" s="141"/>
      <c r="I53" s="141"/>
      <c r="J53" s="141"/>
      <c r="K53" s="141"/>
      <c r="L53" s="141"/>
      <c r="M53" s="141"/>
      <c r="N53" s="141"/>
    </row>
    <row r="54">
      <c r="A54" s="246" t="s">
        <v>133</v>
      </c>
      <c r="B54" s="20"/>
      <c r="C54" s="20"/>
      <c r="D54" s="20"/>
      <c r="E54" s="20"/>
      <c r="F54" s="95"/>
      <c r="G54" s="141"/>
      <c r="H54" s="141"/>
      <c r="I54" s="141"/>
      <c r="J54" s="141"/>
      <c r="K54" s="141"/>
      <c r="L54" s="141"/>
      <c r="M54" s="141"/>
      <c r="N54" s="141"/>
    </row>
    <row r="55">
      <c r="A55" s="264">
        <f>IF(OR(ISBLANK('WEEK 26'!F50),ISBLANK('WEEK 26'!F49),ISBLANK('WEEK 26'!F48)),"",IF((AND('WEEK 26'!A52="",'WEEK 26'!A53="")),5,IF((AND('WEEK 26'!A52&gt;1,'WEEK 26'!A53="")),6,7)))</f>
        <v>7</v>
      </c>
      <c r="B55" s="265">
        <f>MROUND('WEEK 26'!B57*0.8,5)</f>
        <v>155</v>
      </c>
      <c r="C55" s="266" t="s">
        <v>65</v>
      </c>
      <c r="D55" s="267" t="s">
        <v>127</v>
      </c>
      <c r="E55" s="84" t="str">
        <f>IF('WEEK 22'!B38='WEEK 26'!B55,'WEEK 22'!F38,"")</f>
        <v/>
      </c>
      <c r="F55" s="67"/>
      <c r="G55" s="141"/>
      <c r="H55" s="141"/>
      <c r="I55" s="141"/>
      <c r="J55" s="141"/>
      <c r="K55" s="141"/>
      <c r="L55" s="141"/>
      <c r="M55" s="141"/>
      <c r="N55" s="141"/>
    </row>
    <row r="56">
      <c r="A56" s="243">
        <f>IF(OR(ISBLANK('WEEK 26'!F50),ISBLANK('WEEK 26'!F49),ISBLANK('WEEK 26'!F48)),"",IF((AND('WEEK 26'!A52="",'WEEK 26'!A53="")),6,IF((AND('WEEK 26'!A52&gt;1,'WEEK 26'!A53="")),7,8)))</f>
        <v>8</v>
      </c>
      <c r="B56" s="237">
        <f>mround('WEEK 26'!B57*0.7,5)</f>
        <v>135</v>
      </c>
      <c r="C56" s="245" t="s">
        <v>65</v>
      </c>
      <c r="D56" s="65" t="s">
        <v>127</v>
      </c>
      <c r="E56" s="84" t="str">
        <f>IF('WEEK 22'!B39='WEEK 26'!B56,'WEEK 22'!F39,"")</f>
        <v/>
      </c>
      <c r="F56" s="271"/>
      <c r="G56" s="141"/>
      <c r="H56" s="141"/>
      <c r="I56" s="141"/>
      <c r="J56" s="141"/>
      <c r="K56" s="141"/>
      <c r="L56" s="141"/>
      <c r="M56" s="141"/>
      <c r="N56" s="141"/>
    </row>
    <row r="57">
      <c r="A57" s="272" t="s">
        <v>124</v>
      </c>
      <c r="B57" s="273">
        <f>IF(OR(ISBLANK('WEEK 26'!F50),ISBLANK('WEEK 26'!F49),ISBLANK('WEEK 26'!F48)),"",IF('WEEK 26'!F53&gt;=4,'WEEK 26'!B53,IF('WEEK 26'!F52&gt;=1,'WEEK 26'!B52,IF('WEEK 26'!F50&lt;3,'WEEK 26'!B50-5,'WEEK 26'!B50))))</f>
        <v>195</v>
      </c>
      <c r="C57" s="11"/>
      <c r="D57" s="11"/>
      <c r="E57" s="11"/>
      <c r="F57" s="46"/>
      <c r="G57" s="141"/>
      <c r="H57" s="141"/>
      <c r="I57" s="141"/>
      <c r="J57" s="141"/>
      <c r="K57" s="141"/>
      <c r="L57" s="141"/>
      <c r="M57" s="141"/>
      <c r="N57" s="141"/>
    </row>
    <row r="58">
      <c r="A58" s="292"/>
      <c r="B58" s="292"/>
      <c r="C58" s="292"/>
      <c r="D58" s="292"/>
      <c r="E58" s="292"/>
      <c r="F58" s="292"/>
      <c r="G58" s="141"/>
      <c r="H58" s="141"/>
      <c r="I58" s="141"/>
      <c r="J58" s="141"/>
      <c r="K58" s="141"/>
      <c r="L58" s="141"/>
      <c r="M58" s="141"/>
      <c r="N58" s="141"/>
    </row>
    <row r="59">
      <c r="A59" s="73" t="str">
        <f>HYPERLINK("https://youtu.be/hMUUvL3FlkE","4. HIGH ROW")</f>
        <v>4. HIGH ROW</v>
      </c>
      <c r="B59" s="53"/>
      <c r="C59" s="53"/>
      <c r="D59" s="53"/>
      <c r="E59" s="53"/>
      <c r="F59" s="54"/>
      <c r="G59" s="141"/>
      <c r="H59" s="141"/>
      <c r="I59" s="141"/>
      <c r="J59" s="141"/>
      <c r="K59" s="141"/>
      <c r="L59" s="141"/>
      <c r="M59" s="141"/>
      <c r="N59" s="141"/>
    </row>
    <row r="60">
      <c r="A60" s="282" t="s">
        <v>119</v>
      </c>
      <c r="B60" s="56">
        <f>'WEEK 25'!B66</f>
        <v>145</v>
      </c>
      <c r="C60" s="13"/>
      <c r="D60" s="13"/>
      <c r="E60" s="13"/>
      <c r="F60" s="57"/>
      <c r="G60" s="141"/>
      <c r="H60" s="141"/>
      <c r="I60" s="141"/>
      <c r="J60" s="141"/>
      <c r="K60" s="141"/>
      <c r="L60" s="141"/>
      <c r="M60" s="141"/>
      <c r="N60" s="141"/>
    </row>
    <row r="61">
      <c r="A61" s="58" t="s">
        <v>50</v>
      </c>
      <c r="B61" s="59" t="s">
        <v>51</v>
      </c>
      <c r="C61" s="59" t="s">
        <v>52</v>
      </c>
      <c r="D61" s="59" t="s">
        <v>53</v>
      </c>
      <c r="E61" s="60" t="s">
        <v>54</v>
      </c>
      <c r="F61" s="61" t="s">
        <v>55</v>
      </c>
      <c r="G61" s="141"/>
      <c r="H61" s="141"/>
      <c r="I61" s="141"/>
      <c r="J61" s="141"/>
      <c r="K61" s="141"/>
      <c r="L61" s="141"/>
      <c r="M61" s="141"/>
      <c r="N61" s="141"/>
    </row>
    <row r="62">
      <c r="A62" s="62">
        <v>1.0</v>
      </c>
      <c r="B62" s="63">
        <f> mround('WEEK 26'!B60*0.85,5)</f>
        <v>125</v>
      </c>
      <c r="C62" s="104" t="s">
        <v>65</v>
      </c>
      <c r="D62" s="65" t="s">
        <v>57</v>
      </c>
      <c r="E62" s="84" t="str">
        <f>IF('WEEK 25'!B68='WEEK 26'!B62,'WEEK 25'!F68,"")</f>
        <v/>
      </c>
      <c r="F62" s="67"/>
      <c r="G62" s="141"/>
      <c r="H62" s="141"/>
      <c r="I62" s="141"/>
      <c r="J62" s="141"/>
      <c r="K62" s="141"/>
      <c r="L62" s="141"/>
      <c r="M62" s="141"/>
      <c r="N62" s="141"/>
    </row>
    <row r="63">
      <c r="A63" s="62">
        <v>2.0</v>
      </c>
      <c r="B63" s="63">
        <f>IF('WEEK 26'!F62&lt;6,MROUND('WEEK 26'!B60*0.75,5),IF('WEEK 26'!F62&lt;=11,MROUND('WEEK 26'!B60*0.85,5),'WEEK 26'!B62))</f>
        <v>125</v>
      </c>
      <c r="C63" s="104" t="s">
        <v>65</v>
      </c>
      <c r="D63" s="65" t="s">
        <v>57</v>
      </c>
      <c r="E63" s="84" t="str">
        <f>IF('WEEK 25'!B69='WEEK 26'!B63,'WEEK 25'!F69,"")</f>
        <v/>
      </c>
      <c r="F63" s="67"/>
      <c r="G63" s="141"/>
      <c r="H63" s="141"/>
      <c r="I63" s="141"/>
      <c r="J63" s="141"/>
      <c r="K63" s="141"/>
      <c r="L63" s="141"/>
      <c r="M63" s="141"/>
      <c r="N63" s="141"/>
    </row>
    <row r="64">
      <c r="A64" s="68">
        <v>3.0</v>
      </c>
      <c r="B64" s="69">
        <f>IF('WEEK 26'!F63&lt;6,MROUND('WEEK 26'!B60*0.75,5),IF('WEEK 26'!F63&lt;=11,MROUND('WEEK 26'!B60*0.85,5),'WEEK 26'!B63))</f>
        <v>125</v>
      </c>
      <c r="C64" s="105" t="s">
        <v>65</v>
      </c>
      <c r="D64" s="71" t="s">
        <v>57</v>
      </c>
      <c r="E64" s="89" t="str">
        <f>IF('WEEK 25'!B70='WEEK 26'!B64,'WEEK 25'!F70,"")</f>
        <v/>
      </c>
      <c r="F64" s="67"/>
      <c r="G64" s="141"/>
      <c r="H64" s="141"/>
      <c r="I64" s="141"/>
      <c r="J64" s="141"/>
      <c r="K64" s="141"/>
      <c r="L64" s="141"/>
      <c r="M64" s="141"/>
      <c r="N64" s="141"/>
    </row>
    <row r="65">
      <c r="A65" s="657"/>
      <c r="G65" s="141"/>
      <c r="H65" s="141"/>
      <c r="I65" s="141"/>
      <c r="J65" s="141"/>
      <c r="K65" s="141"/>
      <c r="L65" s="141"/>
      <c r="M65" s="141"/>
      <c r="N65" s="141"/>
    </row>
    <row r="66">
      <c r="G66" s="141"/>
      <c r="H66" s="141"/>
      <c r="I66" s="141"/>
      <c r="J66" s="141"/>
      <c r="K66" s="141"/>
      <c r="L66" s="141"/>
      <c r="M66" s="141"/>
      <c r="N66" s="141"/>
    </row>
    <row r="67">
      <c r="A67" s="440" t="str">
        <f>HYPERLINK("https://www.youtube.com/watch?v=PnaDzYh2axA","5. LAT PULL DOWN")</f>
        <v>5. LAT PULL DOWN</v>
      </c>
      <c r="B67" s="53"/>
      <c r="C67" s="53"/>
      <c r="D67" s="53"/>
      <c r="E67" s="53"/>
      <c r="F67" s="54"/>
      <c r="G67" s="141"/>
      <c r="H67" s="141"/>
      <c r="I67" s="141"/>
      <c r="J67" s="141"/>
      <c r="K67" s="141"/>
      <c r="L67" s="141"/>
      <c r="M67" s="141"/>
      <c r="N67" s="141"/>
    </row>
    <row r="68">
      <c r="A68" s="282" t="s">
        <v>119</v>
      </c>
      <c r="B68" s="56">
        <f>IF('WEEK 25'!B54="",'WEEK 25'!B42,'WEEK 25'!B54)</f>
        <v>215</v>
      </c>
      <c r="C68" s="13"/>
      <c r="D68" s="13"/>
      <c r="E68" s="13"/>
      <c r="F68" s="57"/>
      <c r="G68" s="141"/>
      <c r="H68" s="141"/>
      <c r="I68" s="141"/>
      <c r="J68" s="141"/>
      <c r="K68" s="141"/>
      <c r="L68" s="141"/>
      <c r="M68" s="141"/>
      <c r="N68" s="141"/>
    </row>
    <row r="69">
      <c r="A69" s="58" t="s">
        <v>50</v>
      </c>
      <c r="B69" s="59" t="s">
        <v>51</v>
      </c>
      <c r="C69" s="59" t="s">
        <v>52</v>
      </c>
      <c r="D69" s="59" t="s">
        <v>53</v>
      </c>
      <c r="E69" s="60" t="s">
        <v>54</v>
      </c>
      <c r="F69" s="61" t="s">
        <v>55</v>
      </c>
      <c r="G69" s="141"/>
      <c r="H69" s="141"/>
      <c r="I69" s="141"/>
      <c r="J69" s="141"/>
      <c r="K69" s="141"/>
      <c r="L69" s="141"/>
      <c r="M69" s="141"/>
      <c r="N69" s="141"/>
    </row>
    <row r="70">
      <c r="A70" s="62">
        <v>1.0</v>
      </c>
      <c r="B70" s="63">
        <f>mround('WEEK 26'!B68*0.8,5)</f>
        <v>170</v>
      </c>
      <c r="C70" s="104" t="s">
        <v>65</v>
      </c>
      <c r="D70" s="65" t="s">
        <v>57</v>
      </c>
      <c r="E70" s="66" t="str">
        <f>if('WEEK 26'!B70='WEEK 23'!B62,'WEEK 23'!F62,"")</f>
        <v/>
      </c>
      <c r="F70" s="67"/>
      <c r="G70" s="141"/>
      <c r="H70" s="141"/>
      <c r="I70" s="141"/>
      <c r="J70" s="141"/>
      <c r="K70" s="141"/>
      <c r="L70" s="141"/>
      <c r="M70" s="141"/>
      <c r="N70" s="141"/>
    </row>
    <row r="71">
      <c r="A71" s="62">
        <v>2.0</v>
      </c>
      <c r="B71" s="663">
        <f>IF('WEEK 26'!F70&lt;6,MROUND('WEEK 26'!B70*0.85,5),IF('WEEK 26'!F70&lt;=11,MROUND('WEEK 26'!B70*0.95,5),'WEEK 26'!B70))</f>
        <v>145</v>
      </c>
      <c r="C71" s="104" t="s">
        <v>65</v>
      </c>
      <c r="D71" s="65" t="s">
        <v>57</v>
      </c>
      <c r="E71" s="66" t="str">
        <f>if('WEEK 26'!B71='WEEK 23'!B63,'WEEK 23'!F63,"")</f>
        <v/>
      </c>
      <c r="F71" s="67"/>
      <c r="G71" s="141"/>
      <c r="H71" s="141"/>
      <c r="I71" s="141"/>
      <c r="J71" s="141"/>
      <c r="K71" s="141"/>
      <c r="L71" s="141"/>
      <c r="M71" s="141"/>
      <c r="N71" s="141"/>
    </row>
    <row r="72">
      <c r="A72" s="325">
        <v>3.0</v>
      </c>
      <c r="B72" s="663">
        <f>IF('WEEK 26'!F71&lt;6,MROUND('WEEK 26'!B71*0.85,5),IF('WEEK 26'!F71&lt;=11,MROUND('WEEK 26'!B71*0.95,5),'WEEK 26'!B71))</f>
        <v>145</v>
      </c>
      <c r="C72" s="327" t="s">
        <v>65</v>
      </c>
      <c r="D72" s="631" t="s">
        <v>57</v>
      </c>
      <c r="E72" s="66" t="str">
        <f>if('WEEK 26'!B72='WEEK 23'!B64,'WEEK 23'!F64,"")</f>
        <v/>
      </c>
      <c r="F72" s="665"/>
      <c r="G72" s="141"/>
      <c r="H72" s="141"/>
      <c r="I72" s="141"/>
      <c r="J72" s="141"/>
      <c r="K72" s="141"/>
      <c r="L72" s="141"/>
      <c r="M72" s="141"/>
      <c r="N72" s="141"/>
    </row>
    <row r="73">
      <c r="A73" s="580"/>
      <c r="B73" s="666"/>
      <c r="C73" s="667"/>
      <c r="D73" s="666"/>
      <c r="E73" s="668"/>
      <c r="F73" s="666"/>
      <c r="G73" s="141"/>
      <c r="H73" s="141"/>
      <c r="I73" s="141"/>
      <c r="J73" s="141"/>
      <c r="K73" s="141"/>
      <c r="L73" s="141"/>
      <c r="M73" s="141"/>
      <c r="N73" s="141"/>
    </row>
    <row r="74">
      <c r="A74" s="581" t="str">
        <f>HYPERLINK("https://docs.google.com/a/fitnessresults.com/forms/d/e/1FAIpQLSd7MoczESe8Yjv6BKpmwAZGn9Aiymrs9-UdgfYIUpbr9t5NXg/viewform?usp=pp_url&amp;entry.93370101","CLICK TO COMPLETE WORKOUT")</f>
        <v>CLICK TO COMPLETE WORKOUT</v>
      </c>
      <c r="B74" s="25"/>
      <c r="C74" s="25"/>
      <c r="D74" s="25"/>
      <c r="E74" s="25"/>
      <c r="F74" s="26"/>
      <c r="G74" s="141"/>
      <c r="H74" s="141"/>
      <c r="I74" s="141"/>
      <c r="J74" s="141"/>
      <c r="K74" s="141"/>
      <c r="L74" s="141"/>
      <c r="M74" s="141"/>
      <c r="N74" s="141"/>
    </row>
    <row r="75">
      <c r="A75" s="336"/>
      <c r="B75" s="11"/>
      <c r="C75" s="11"/>
      <c r="D75" s="11"/>
      <c r="E75" s="11"/>
      <c r="F75" s="46"/>
      <c r="G75" s="141"/>
      <c r="H75" s="141"/>
      <c r="I75" s="141"/>
      <c r="J75" s="141"/>
      <c r="K75" s="141"/>
      <c r="L75" s="141"/>
      <c r="M75" s="141"/>
      <c r="N75" s="141"/>
    </row>
    <row r="76">
      <c r="A76" s="582"/>
      <c r="B76" s="582"/>
      <c r="C76" s="582"/>
      <c r="D76" s="582"/>
      <c r="E76" s="582"/>
      <c r="F76" s="582"/>
      <c r="G76" s="141"/>
      <c r="H76" s="141"/>
      <c r="I76" s="141"/>
      <c r="J76" s="141"/>
      <c r="K76" s="141"/>
      <c r="L76" s="141"/>
      <c r="M76" s="141"/>
      <c r="N76" s="141"/>
    </row>
    <row r="77">
      <c r="A77" s="669" t="s">
        <v>128</v>
      </c>
      <c r="B77" s="11"/>
      <c r="C77" s="11"/>
      <c r="D77" s="11"/>
      <c r="E77" s="11"/>
      <c r="F77" s="46"/>
      <c r="G77" s="141"/>
      <c r="H77" s="141"/>
      <c r="I77" s="141"/>
      <c r="J77" s="141"/>
      <c r="K77" s="141"/>
      <c r="L77" s="141"/>
      <c r="M77" s="141"/>
      <c r="N77" s="141"/>
    </row>
    <row r="78">
      <c r="A78" s="657"/>
      <c r="G78" s="141"/>
      <c r="H78" s="141"/>
      <c r="I78" s="141"/>
      <c r="J78" s="141"/>
      <c r="K78" s="141"/>
      <c r="L78" s="141"/>
      <c r="M78" s="141"/>
      <c r="N78" s="141"/>
    </row>
    <row r="79">
      <c r="A79" s="657" t="s">
        <v>129</v>
      </c>
      <c r="G79" s="141"/>
      <c r="H79" s="141"/>
      <c r="I79" s="141"/>
      <c r="J79" s="141"/>
      <c r="K79" s="141"/>
      <c r="L79" s="141"/>
      <c r="M79" s="141"/>
      <c r="N79" s="141"/>
    </row>
    <row r="80">
      <c r="A80" s="323" t="str">
        <f>HYPERLINK("https://www.youtube.com/watch?v=ZjpkMnGZjTQ"," 1. SISSY SQUATS")</f>
        <v> 1. SISSY SQUATS</v>
      </c>
      <c r="B80" s="53"/>
      <c r="C80" s="53"/>
      <c r="D80" s="53"/>
      <c r="E80" s="53"/>
      <c r="F80" s="54"/>
      <c r="G80" s="141"/>
      <c r="H80" s="141"/>
      <c r="I80" s="141"/>
      <c r="J80" s="141"/>
      <c r="K80" s="141"/>
      <c r="L80" s="141"/>
      <c r="M80" s="141"/>
      <c r="N80" s="141"/>
    </row>
    <row r="81">
      <c r="A81" s="460" t="s">
        <v>50</v>
      </c>
      <c r="B81" s="461" t="s">
        <v>51</v>
      </c>
      <c r="C81" s="461" t="s">
        <v>52</v>
      </c>
      <c r="D81" s="461" t="s">
        <v>53</v>
      </c>
      <c r="E81" s="98" t="s">
        <v>54</v>
      </c>
      <c r="F81" s="235" t="s">
        <v>55</v>
      </c>
      <c r="G81" s="141"/>
      <c r="H81" s="141"/>
      <c r="I81" s="141"/>
      <c r="J81" s="141"/>
      <c r="K81" s="141"/>
      <c r="L81" s="141"/>
      <c r="M81" s="141"/>
      <c r="N81" s="141"/>
    </row>
    <row r="82">
      <c r="A82" s="342">
        <v>1.0</v>
      </c>
      <c r="B82" s="65" t="s">
        <v>130</v>
      </c>
      <c r="C82" s="65">
        <v>10.0</v>
      </c>
      <c r="D82" s="65" t="s">
        <v>121</v>
      </c>
      <c r="E82" s="312"/>
      <c r="F82" s="67"/>
      <c r="G82" s="141"/>
      <c r="H82" s="141"/>
      <c r="I82" s="141"/>
      <c r="J82" s="141"/>
      <c r="K82" s="141"/>
      <c r="L82" s="141"/>
      <c r="M82" s="141"/>
      <c r="N82" s="141"/>
    </row>
    <row r="83">
      <c r="A83" s="485">
        <v>2.0</v>
      </c>
      <c r="B83" s="71" t="s">
        <v>130</v>
      </c>
      <c r="C83" s="71">
        <v>10.0</v>
      </c>
      <c r="D83" s="71" t="s">
        <v>121</v>
      </c>
      <c r="E83" s="314"/>
      <c r="F83" s="67"/>
      <c r="G83" s="141"/>
      <c r="H83" s="141"/>
      <c r="I83" s="141"/>
      <c r="J83" s="141"/>
      <c r="K83" s="141"/>
      <c r="L83" s="141"/>
      <c r="M83" s="141"/>
      <c r="N83" s="141"/>
    </row>
    <row r="84">
      <c r="A84" s="657"/>
      <c r="G84" s="141"/>
      <c r="H84" s="141"/>
      <c r="I84" s="141"/>
      <c r="J84" s="141"/>
      <c r="K84" s="141"/>
      <c r="L84" s="141"/>
      <c r="M84" s="141"/>
      <c r="N84" s="141"/>
    </row>
    <row r="85">
      <c r="G85" s="141"/>
      <c r="H85" s="141"/>
      <c r="I85" s="141"/>
      <c r="J85" s="141"/>
      <c r="K85" s="141"/>
      <c r="L85" s="141"/>
      <c r="M85" s="141"/>
      <c r="N85" s="141"/>
    </row>
    <row r="86">
      <c r="A86" s="323" t="str">
        <f>HYPERLINK("https://www.youtube.com/watch?v=dVterVQksD4","2. LEG PRESS")</f>
        <v>2. LEG PRESS</v>
      </c>
      <c r="B86" s="53"/>
      <c r="C86" s="53"/>
      <c r="D86" s="53"/>
      <c r="E86" s="53"/>
      <c r="F86" s="54"/>
      <c r="G86" s="141"/>
      <c r="H86" s="141"/>
      <c r="I86" s="141"/>
      <c r="J86" s="141"/>
      <c r="K86" s="141"/>
      <c r="L86" s="141"/>
      <c r="M86" s="141"/>
      <c r="N86" s="141"/>
    </row>
    <row r="87">
      <c r="A87" s="670" t="s">
        <v>119</v>
      </c>
      <c r="B87" s="671">
        <f>IF('WEEK 21'!B94="",'WEEK 21'!B82,'WEEK 21'!B94)</f>
        <v>250</v>
      </c>
      <c r="C87" s="36"/>
      <c r="D87" s="36"/>
      <c r="E87" s="36"/>
      <c r="F87" s="37"/>
      <c r="G87" s="141"/>
      <c r="H87" s="141"/>
      <c r="I87" s="141"/>
      <c r="J87" s="141"/>
      <c r="K87" s="141"/>
      <c r="L87" s="141"/>
      <c r="M87" s="141"/>
      <c r="N87" s="141"/>
    </row>
    <row r="88">
      <c r="A88" s="96" t="s">
        <v>50</v>
      </c>
      <c r="B88" s="672" t="s">
        <v>51</v>
      </c>
      <c r="C88" s="672" t="s">
        <v>52</v>
      </c>
      <c r="D88" s="672" t="s">
        <v>53</v>
      </c>
      <c r="E88" s="673" t="s">
        <v>54</v>
      </c>
      <c r="F88" s="235" t="s">
        <v>55</v>
      </c>
      <c r="G88" s="141"/>
      <c r="H88" s="141"/>
      <c r="I88" s="141"/>
      <c r="J88" s="141"/>
      <c r="K88" s="141"/>
      <c r="L88" s="141"/>
      <c r="M88" s="141"/>
      <c r="N88" s="141"/>
    </row>
    <row r="89">
      <c r="A89" s="342">
        <v>1.0</v>
      </c>
      <c r="B89" s="674">
        <f>mround('WEEK 26'!B87*0.5,5)</f>
        <v>125</v>
      </c>
      <c r="C89" s="675">
        <v>20.0</v>
      </c>
      <c r="D89" s="350" t="s">
        <v>122</v>
      </c>
      <c r="E89" s="84" t="str">
        <f>IF('WEEK 21'!E84='WEEK 26'!B89,'WEEK 21'!F84,"")</f>
        <v/>
      </c>
      <c r="F89" s="85"/>
      <c r="G89" s="141"/>
      <c r="H89" s="141"/>
      <c r="I89" s="141"/>
      <c r="J89" s="141"/>
      <c r="K89" s="141"/>
      <c r="L89" s="141"/>
      <c r="M89" s="141"/>
      <c r="N89" s="141"/>
    </row>
    <row r="90">
      <c r="A90" s="342">
        <v>2.0</v>
      </c>
      <c r="B90" s="674">
        <f>mround('WEEK 26'!B87*0.65,5)</f>
        <v>165</v>
      </c>
      <c r="C90" s="675">
        <v>20.0</v>
      </c>
      <c r="D90" s="350" t="s">
        <v>122</v>
      </c>
      <c r="E90" s="84" t="str">
        <f>IF('WEEK 21'!E85='WEEK 26'!B90,'WEEK 21'!F85,"")</f>
        <v/>
      </c>
      <c r="F90" s="85"/>
      <c r="G90" s="141"/>
      <c r="H90" s="141"/>
      <c r="I90" s="141"/>
      <c r="J90" s="141"/>
      <c r="K90" s="141"/>
      <c r="L90" s="141"/>
      <c r="M90" s="141"/>
      <c r="N90" s="141"/>
    </row>
    <row r="91">
      <c r="A91" s="342">
        <v>3.0</v>
      </c>
      <c r="B91" s="674">
        <f>mround('WEEK 26'!B87*0.8,5)</f>
        <v>200</v>
      </c>
      <c r="C91" s="675">
        <v>20.0</v>
      </c>
      <c r="D91" s="350" t="s">
        <v>122</v>
      </c>
      <c r="E91" s="84" t="str">
        <f>IF('WEEK 21'!E86='WEEK 26'!B91,'WEEK 21'!F86,"")</f>
        <v/>
      </c>
      <c r="F91" s="85"/>
      <c r="G91" s="141"/>
      <c r="H91" s="141"/>
      <c r="I91" s="141"/>
      <c r="J91" s="141"/>
      <c r="K91" s="141"/>
      <c r="L91" s="141"/>
      <c r="M91" s="141"/>
      <c r="N91" s="141"/>
    </row>
    <row r="92">
      <c r="A92" s="342">
        <v>4.0</v>
      </c>
      <c r="B92" s="99">
        <f>mround('WEEK 26'!B87*0.95,5)</f>
        <v>240</v>
      </c>
      <c r="C92" s="675">
        <v>15.0</v>
      </c>
      <c r="D92" s="350" t="s">
        <v>122</v>
      </c>
      <c r="E92" s="84" t="str">
        <f>IF('WEEK 21'!E87='WEEK 26'!B92,'WEEK 21'!F87,"")</f>
        <v/>
      </c>
      <c r="F92" s="85"/>
      <c r="G92" s="141"/>
      <c r="H92" s="141"/>
      <c r="I92" s="141"/>
      <c r="J92" s="141"/>
      <c r="K92" s="141"/>
      <c r="L92" s="141"/>
      <c r="M92" s="141"/>
      <c r="N92" s="141"/>
    </row>
    <row r="93">
      <c r="A93" s="342">
        <v>5.0</v>
      </c>
      <c r="B93" s="170">
        <f>mround('WEEK 26'!B87*1.05,5)</f>
        <v>265</v>
      </c>
      <c r="C93" s="343" t="s">
        <v>144</v>
      </c>
      <c r="D93" s="350" t="s">
        <v>122</v>
      </c>
      <c r="E93" s="84" t="str">
        <f>IF('WEEK 21'!E88='WEEK 26'!B93,'WEEK 21'!F88,"")</f>
        <v/>
      </c>
      <c r="F93" s="85"/>
      <c r="G93" s="141"/>
      <c r="H93" s="141"/>
      <c r="I93" s="141"/>
      <c r="J93" s="141"/>
      <c r="K93" s="141"/>
      <c r="L93" s="141"/>
      <c r="M93" s="141"/>
      <c r="N93" s="141"/>
    </row>
    <row r="94">
      <c r="A94" s="342">
        <v>6.0</v>
      </c>
      <c r="B94" s="674">
        <f>IF('WEEK 26'!F93&lt;11,mround('WEEK 26'!B93*0.95,5),mround('WEEK 26'!B93*1.05,5))</f>
        <v>250</v>
      </c>
      <c r="C94" s="676" t="str">
        <f>IF(F93&lt;11,"REP OUT","10 - 20")</f>
        <v>REP OUT</v>
      </c>
      <c r="D94" s="350" t="s">
        <v>122</v>
      </c>
      <c r="E94" s="84" t="str">
        <f>IF('WEEK 21'!E89='WEEK 26'!B94,'WEEK 21'!F89,"")</f>
        <v/>
      </c>
      <c r="F94" s="85"/>
      <c r="G94" s="141"/>
      <c r="H94" s="141"/>
      <c r="I94" s="141"/>
      <c r="J94" s="141"/>
      <c r="K94" s="141"/>
      <c r="L94" s="141"/>
      <c r="M94" s="141"/>
      <c r="N94" s="141"/>
    </row>
    <row r="95">
      <c r="A95" s="342">
        <v>7.0</v>
      </c>
      <c r="B95" s="99">
        <f>IF('WEEK 26'!F93&lt;11,mround('WEEK 26'!B94*0.95,5),IF('WEEK 26'!F94&lt;10,mround('WEEK 26'!B94*0.95,5),mround('WEEK 26'!B94*1.15,5)))</f>
        <v>240</v>
      </c>
      <c r="C95" s="676" t="str">
        <f>IF(F93&lt;11,"REP OUT","10 - 20")</f>
        <v>REP OUT</v>
      </c>
      <c r="D95" s="350" t="s">
        <v>122</v>
      </c>
      <c r="E95" s="84" t="str">
        <f>IF('WEEK 21'!E90='WEEK 26'!B95,'WEEK 21'!F90,"")</f>
        <v/>
      </c>
      <c r="F95" s="85"/>
      <c r="G95" s="141"/>
      <c r="H95" s="141"/>
      <c r="I95" s="141"/>
      <c r="J95" s="141"/>
      <c r="K95" s="141"/>
      <c r="L95" s="141"/>
      <c r="M95" s="141"/>
      <c r="N95" s="141"/>
    </row>
    <row r="96">
      <c r="A96" s="272" t="s">
        <v>192</v>
      </c>
      <c r="B96" s="1109">
        <f>IF(,'WEEK 26'!B84,IF((AND('WEEK 26'!F95&gt;=10,'WEEK 26'!B95&gt;'WEEK 26'!B94)),'WEEK 26'!B95,IF((AND('WEEK 26'!F94&gt;=10,'WEEK 26'!B94&gt;'WEEK 26'!B93)),'WEEK 26'!B94,IF((AND('WEEK 26'!F93&gt;=10,'WEEK 26'!B93&gt;'WEEK 26'!B92)),'WEEK 26'!B93,IF((AND('WEEK 26'!F92&gt;=10,'WEEK 26'!B92&gt;'WEEK 26'!B91)),'WEEK 26'!B92,IF((AND('WEEK 26'!F91&gt;=10,'WEEK 26'!B91&gt;'WEEK 26'!B90)),'WEEK 26'!B91,IF((AND('WEEK 26'!F90&gt;=10,'WEEK 26'!B90&gt;'WEEK 26'!B89)),'WEEK 26'!B90,IF((AND('WEEK 26'!F89&gt;=10,'WEEK 26'!B89&gt;'WEEK 26'!B88)),'WEEK 26'!B89,'WEEK 26'!B87))))))))</f>
        <v>250</v>
      </c>
      <c r="C96" s="11"/>
      <c r="D96" s="11"/>
      <c r="E96" s="11"/>
      <c r="F96" s="46"/>
      <c r="G96" s="141"/>
      <c r="H96" s="141"/>
      <c r="I96" s="141"/>
      <c r="J96" s="141"/>
      <c r="K96" s="141"/>
      <c r="L96" s="141"/>
      <c r="M96" s="141"/>
      <c r="N96" s="141"/>
    </row>
    <row r="97">
      <c r="A97" s="677"/>
      <c r="G97" s="141"/>
      <c r="H97" s="141"/>
      <c r="I97" s="141"/>
      <c r="J97" s="141"/>
      <c r="K97" s="141"/>
      <c r="L97" s="141"/>
      <c r="M97" s="141"/>
      <c r="N97" s="141"/>
    </row>
    <row r="98">
      <c r="G98" s="141"/>
      <c r="H98" s="141"/>
      <c r="I98" s="141"/>
      <c r="J98" s="141"/>
      <c r="K98" s="141"/>
      <c r="L98" s="141"/>
      <c r="M98" s="141"/>
      <c r="N98" s="141"/>
    </row>
    <row r="99">
      <c r="A99" s="323" t="str">
        <f>HYPERLINK("https://www.youtube.com/watch?v=NZ9KiFtbiMs","3. LEG EXTENSION")</f>
        <v>3. LEG EXTENSION</v>
      </c>
      <c r="B99" s="53"/>
      <c r="C99" s="53"/>
      <c r="D99" s="53"/>
      <c r="E99" s="53"/>
      <c r="F99" s="54"/>
      <c r="G99" s="141"/>
      <c r="H99" s="141"/>
      <c r="I99" s="141"/>
      <c r="J99" s="141"/>
      <c r="K99" s="141"/>
      <c r="L99" s="141"/>
      <c r="M99" s="141"/>
      <c r="N99" s="141"/>
    </row>
    <row r="100">
      <c r="A100" s="226" t="s">
        <v>119</v>
      </c>
      <c r="B100" s="90">
        <f>IF('MSW25'!B95='MSW25'!B97,'MSW25'!B95+5,IF('WEEK 25'!F95&lt;=9,MROUND('WEEK 25'!B93*0.95,5),'WEEK 25'!B95))</f>
        <v>50</v>
      </c>
      <c r="C100" s="13"/>
      <c r="D100" s="13"/>
      <c r="E100" s="13"/>
      <c r="F100" s="57"/>
      <c r="G100" s="141"/>
      <c r="H100" s="141"/>
      <c r="I100" s="141"/>
      <c r="J100" s="141"/>
      <c r="K100" s="141"/>
      <c r="L100" s="141"/>
      <c r="M100" s="141"/>
      <c r="N100" s="141"/>
    </row>
    <row r="101">
      <c r="A101" s="96" t="s">
        <v>50</v>
      </c>
      <c r="B101" s="97" t="s">
        <v>51</v>
      </c>
      <c r="C101" s="97" t="s">
        <v>52</v>
      </c>
      <c r="D101" s="97" t="s">
        <v>53</v>
      </c>
      <c r="E101" s="98" t="s">
        <v>54</v>
      </c>
      <c r="F101" s="235" t="s">
        <v>55</v>
      </c>
      <c r="G101" s="141"/>
      <c r="H101" s="141"/>
      <c r="I101" s="141"/>
      <c r="J101" s="141"/>
      <c r="K101" s="141"/>
      <c r="L101" s="141"/>
      <c r="M101" s="141"/>
      <c r="N101" s="141"/>
    </row>
    <row r="102">
      <c r="A102" s="352">
        <v>1.0</v>
      </c>
      <c r="B102" s="237">
        <f>if('WEEK 25'!B96='WEEK 25'!B97,'WEEK 25'!B93,'WEEK 25'!B93)</f>
        <v>50</v>
      </c>
      <c r="C102" s="678">
        <v>20.0</v>
      </c>
      <c r="D102" s="350" t="s">
        <v>57</v>
      </c>
      <c r="E102" s="84" t="str">
        <f>IF('WEEK 25'!B95='WEEK 26'!B102,'WEEK 25'!F95,"")</f>
        <v/>
      </c>
      <c r="F102" s="85"/>
      <c r="G102" s="141"/>
      <c r="H102" s="141"/>
      <c r="I102" s="141"/>
      <c r="J102" s="141"/>
      <c r="K102" s="141"/>
      <c r="L102" s="141"/>
      <c r="M102" s="141"/>
      <c r="N102" s="141"/>
    </row>
    <row r="103">
      <c r="A103" s="352">
        <v>2.0</v>
      </c>
      <c r="B103" s="237">
        <f>if('WEEK 26'!F102&lt;8,mround('WEEK 26'!B102*0.8,5),IF('WEEK 26'!F102&lt;=14,MROUND('WEEK 26'!B102*0.95,5),'WEEK 26'!B102))</f>
        <v>40</v>
      </c>
      <c r="C103" s="678">
        <v>20.0</v>
      </c>
      <c r="D103" s="350" t="s">
        <v>57</v>
      </c>
      <c r="E103" s="679"/>
      <c r="F103" s="85"/>
      <c r="G103" s="141"/>
      <c r="H103" s="141"/>
      <c r="I103" s="141"/>
      <c r="J103" s="141"/>
      <c r="K103" s="141"/>
      <c r="L103" s="141"/>
      <c r="M103" s="141"/>
      <c r="N103" s="141"/>
    </row>
    <row r="104">
      <c r="A104" s="352">
        <v>3.0</v>
      </c>
      <c r="B104" s="237">
        <f>if('WEEK 26'!F103&lt;8,mround('WEEK 26'!B103*0.8,5),IF('WEEK 26'!F103&lt;=14,MROUND('WEEK 26'!B103*0.95,5),'WEEK 26'!B103))</f>
        <v>30</v>
      </c>
      <c r="C104" s="678">
        <v>20.0</v>
      </c>
      <c r="D104" s="350" t="s">
        <v>57</v>
      </c>
      <c r="E104" s="679"/>
      <c r="F104" s="85"/>
      <c r="G104" s="141"/>
      <c r="H104" s="141"/>
      <c r="I104" s="141"/>
      <c r="J104" s="141"/>
      <c r="K104" s="141"/>
      <c r="L104" s="141"/>
      <c r="M104" s="141"/>
      <c r="N104" s="141"/>
    </row>
    <row r="105">
      <c r="A105" s="228" t="s">
        <v>124</v>
      </c>
      <c r="B105" s="229">
        <f>IF('WEEK 26'!F102&lt;10,'WEEK 26'!B100,IF('WEEK 26'!F103&gt;=10,'WEEK 26'!B103,'WEEK 26'!B102))</f>
        <v>50</v>
      </c>
      <c r="C105" s="16"/>
      <c r="D105" s="16"/>
      <c r="E105" s="16"/>
      <c r="F105" s="230"/>
      <c r="G105" s="141"/>
      <c r="H105" s="141"/>
      <c r="I105" s="141"/>
      <c r="J105" s="141"/>
      <c r="K105" s="141"/>
      <c r="L105" s="141"/>
      <c r="M105" s="141"/>
      <c r="N105" s="141"/>
    </row>
    <row r="106">
      <c r="A106" s="680"/>
      <c r="B106" s="25"/>
      <c r="C106" s="25"/>
      <c r="D106" s="25"/>
      <c r="E106" s="25"/>
      <c r="F106" s="25"/>
      <c r="G106" s="141"/>
      <c r="H106" s="141"/>
      <c r="I106" s="141"/>
      <c r="J106" s="141"/>
      <c r="K106" s="141"/>
      <c r="L106" s="141"/>
      <c r="M106" s="141"/>
      <c r="N106" s="141"/>
    </row>
    <row r="107">
      <c r="G107" s="141"/>
      <c r="H107" s="141"/>
      <c r="I107" s="141"/>
      <c r="J107" s="141"/>
      <c r="K107" s="141"/>
      <c r="L107" s="141"/>
      <c r="M107" s="141"/>
      <c r="N107" s="141"/>
    </row>
    <row r="108">
      <c r="A108" s="323" t="str">
        <f>HYPERLINK("https://www.youtube.com/watch?v=NZ9KiFtbiMs","4. LEG CURL")</f>
        <v>4. LEG CURL</v>
      </c>
      <c r="B108" s="53"/>
      <c r="C108" s="53"/>
      <c r="D108" s="53"/>
      <c r="E108" s="53"/>
      <c r="F108" s="54"/>
      <c r="G108" s="141"/>
      <c r="H108" s="323" t="str">
        <f>HYPERLINK("https://youtu.be/kmN9cJ79PDE","4. PRONE LEG CURL")</f>
        <v>4. PRONE LEG CURL</v>
      </c>
      <c r="I108" s="53"/>
      <c r="J108" s="53"/>
      <c r="K108" s="53"/>
      <c r="L108" s="53"/>
      <c r="M108" s="54"/>
      <c r="N108" s="141"/>
    </row>
    <row r="109">
      <c r="A109" s="226" t="s">
        <v>119</v>
      </c>
      <c r="B109" s="90">
        <f>IF('WEEK 25'!B103='WEEK 25'!B105,'WEEK 25'!B103+5,IF('WEEK 25'!F103&lt;=9,MROUND('WEEK 25'!B101*0.95,5),'WEEK 25'!B103))</f>
        <v>15</v>
      </c>
      <c r="C109" s="13"/>
      <c r="D109" s="13"/>
      <c r="E109" s="13"/>
      <c r="F109" s="57"/>
      <c r="H109" s="226" t="s">
        <v>119</v>
      </c>
      <c r="I109" s="316">
        <f>IF('WEEK 25'!I103='WEEK 25'!I105,'WEEK 25'!I103+5,IF('WEEK 25'!M103&lt;=9,MROUND( 'WEEK 25'!I101*0.95,5),'WEEK 25'!I103))</f>
        <v>15</v>
      </c>
      <c r="J109" s="20"/>
      <c r="K109" s="20"/>
      <c r="L109" s="20"/>
      <c r="M109" s="95"/>
    </row>
    <row r="110">
      <c r="A110" s="96" t="s">
        <v>50</v>
      </c>
      <c r="B110" s="97" t="s">
        <v>51</v>
      </c>
      <c r="C110" s="97" t="s">
        <v>52</v>
      </c>
      <c r="D110" s="97" t="s">
        <v>53</v>
      </c>
      <c r="E110" s="98" t="s">
        <v>54</v>
      </c>
      <c r="F110" s="235" t="s">
        <v>55</v>
      </c>
      <c r="H110" s="96" t="s">
        <v>50</v>
      </c>
      <c r="I110" s="97" t="s">
        <v>51</v>
      </c>
      <c r="J110" s="97" t="s">
        <v>52</v>
      </c>
      <c r="K110" s="97" t="s">
        <v>53</v>
      </c>
      <c r="L110" s="341" t="s">
        <v>54</v>
      </c>
      <c r="M110" s="235" t="s">
        <v>55</v>
      </c>
    </row>
    <row r="111">
      <c r="A111" s="352">
        <v>1.0</v>
      </c>
      <c r="B111" s="237">
        <f>if('WEEK 25'!B104='WEEK 25'!B105,'WEEK 26'!B109,'WEEK 26'!B109)</f>
        <v>15</v>
      </c>
      <c r="C111" s="678">
        <v>20.0</v>
      </c>
      <c r="D111" s="350" t="s">
        <v>57</v>
      </c>
      <c r="E111" s="84" t="str">
        <f>IF('WEEK 25'!B103='WEEK 26'!B111,'WEEK 25'!F103,"")</f>
        <v/>
      </c>
      <c r="F111" s="85"/>
      <c r="G111" s="434" t="s">
        <v>123</v>
      </c>
      <c r="H111" s="352">
        <v>1.0</v>
      </c>
      <c r="I111" s="237">
        <f>if('WEEK 25'!I104='WEEK 25'!I105,'WEEK 26'!I109,'WEEK 26'!I109)</f>
        <v>15</v>
      </c>
      <c r="J111" s="678">
        <v>20.0</v>
      </c>
      <c r="K111" s="350" t="s">
        <v>57</v>
      </c>
      <c r="L111" s="84" t="str">
        <f>IF('WEEK 25'!I103='WEEK 26'!I111,'WEEK 25'!M103,"")</f>
        <v/>
      </c>
      <c r="M111" s="85"/>
    </row>
    <row r="112">
      <c r="A112" s="352">
        <v>2.0</v>
      </c>
      <c r="B112" s="237">
        <f>if('WEEK 26'!F111&lt;8,mround('WEEK 26'!B111*0.8,5),IF('WEEK 26'!F111&lt;=14,MROUND('WEEK 26'!B111*0.95,5),'WEEK 26'!B111))</f>
        <v>10</v>
      </c>
      <c r="C112" s="678">
        <v>20.0</v>
      </c>
      <c r="D112" s="350" t="s">
        <v>57</v>
      </c>
      <c r="E112" s="84" t="str">
        <f>IF('WEEK 25'!B104='WEEK 26'!B112,'WEEK 25'!F104,"")</f>
        <v/>
      </c>
      <c r="F112" s="85"/>
      <c r="H112" s="352">
        <v>2.0</v>
      </c>
      <c r="I112" s="237">
        <f>if('WEEK 26'!M111&lt;5,mround('WEEK 26'!I111*0.8,5),IF('WEEK 26'!M111&lt;=10,MROUND('WEEK 26'!I111*0.95,5),'WEEK 26'!I111))</f>
        <v>10</v>
      </c>
      <c r="J112" s="681" t="s">
        <v>65</v>
      </c>
      <c r="K112" s="350" t="s">
        <v>57</v>
      </c>
      <c r="L112" s="84" t="str">
        <f>IF('WEEK 25'!I104='WEEK 26'!I112,'WEEK 25'!M104,"")</f>
        <v/>
      </c>
      <c r="M112" s="85"/>
    </row>
    <row r="113">
      <c r="A113" s="352">
        <v>3.0</v>
      </c>
      <c r="B113" s="237">
        <f>if('WEEK 26'!F112&lt;8,mround('WEEK 26'!B112*0.8,5),IF('WEEK 26'!F112&lt;=14,MROUND('WEEK 26'!B112*0.95,5),'WEEK 26'!B112))</f>
        <v>10</v>
      </c>
      <c r="C113" s="678">
        <v>20.0</v>
      </c>
      <c r="D113" s="350" t="s">
        <v>57</v>
      </c>
      <c r="E113" s="84" t="str">
        <f>IF('WEEK 25'!B105='WEEK 26'!B113,'WEEK 25'!F105,"")</f>
        <v/>
      </c>
      <c r="F113" s="85"/>
      <c r="G113" s="682"/>
      <c r="H113" s="352">
        <v>3.0</v>
      </c>
      <c r="I113" s="237">
        <f>if('WEEK 26'!M112&lt;4,mround('WEEK 26'!I112*0.8,5),IF('WEEK 26'!M112&lt;=10,MROUND('WEEK 26'!I112*0.95,5),'WEEK 26'!I112))</f>
        <v>10</v>
      </c>
      <c r="J113" s="681" t="s">
        <v>65</v>
      </c>
      <c r="K113" s="350" t="s">
        <v>57</v>
      </c>
      <c r="L113" s="84" t="str">
        <f>IF('WEEK 25'!I105='WEEK 26'!I113,'WEEK 25'!M105,"")</f>
        <v/>
      </c>
      <c r="M113" s="85"/>
    </row>
    <row r="114">
      <c r="A114" s="272" t="s">
        <v>124</v>
      </c>
      <c r="B114" s="332">
        <f>IF('WEEK 26'!F111&lt;10,'WEEK 26'!B109,IF('WEEK 26'!F112&gt;=10,'WEEK 26'!B112,'WEEK 26'!B111))</f>
        <v>15</v>
      </c>
      <c r="C114" s="33"/>
      <c r="D114" s="33"/>
      <c r="E114" s="33"/>
      <c r="F114" s="34"/>
      <c r="H114" s="272" t="s">
        <v>124</v>
      </c>
      <c r="I114" s="332">
        <f>IF('WEEK 26'!M111&lt;10,'WEEK 26'!I109,IF('WEEK 26'!M112&gt;=10,'WEEK 26'!I112,'WEEK 26'!I111))</f>
        <v>15</v>
      </c>
      <c r="J114" s="33"/>
      <c r="K114" s="33"/>
      <c r="L114" s="33"/>
      <c r="M114" s="34"/>
    </row>
    <row r="115">
      <c r="A115" s="683"/>
      <c r="G115" s="683"/>
    </row>
    <row r="116">
      <c r="A116" s="684" t="s">
        <v>62</v>
      </c>
      <c r="B116" s="20"/>
      <c r="C116" s="20"/>
      <c r="D116" s="20"/>
      <c r="E116" s="20"/>
      <c r="F116" s="21"/>
    </row>
    <row r="117">
      <c r="A117" s="685"/>
      <c r="B117" s="685"/>
      <c r="C117" s="685"/>
      <c r="D117" s="685"/>
      <c r="E117" s="685"/>
      <c r="F117" s="685"/>
      <c r="G117" s="686"/>
      <c r="H117" s="686"/>
      <c r="I117" s="686"/>
      <c r="J117" s="686"/>
      <c r="K117" s="686"/>
      <c r="L117" s="686"/>
      <c r="M117" s="686"/>
      <c r="N117" s="686"/>
    </row>
    <row r="118">
      <c r="A118" s="310" t="str">
        <f>HYPERLINK("https://docs.google.com/a/fitnessresults.com/forms/d/e/1FAIpQLSd7MoczESe8Yjv6BKpmwAZGn9Aiymrs9-UdgfYIUpbr9t5NXg/viewform?usp=pp_url&amp;entry.93370101","CLICK TO COMPLETE WORKOUT")</f>
        <v>CLICK TO COMPLETE WORKOUT</v>
      </c>
      <c r="B118" s="36"/>
      <c r="C118" s="36"/>
      <c r="D118" s="36"/>
      <c r="E118" s="36"/>
      <c r="F118" s="37"/>
      <c r="G118" s="141"/>
      <c r="H118" s="141"/>
      <c r="I118" s="141"/>
      <c r="J118" s="141"/>
      <c r="K118" s="141"/>
      <c r="L118" s="141"/>
      <c r="M118" s="141"/>
      <c r="N118" s="141"/>
    </row>
    <row r="119">
      <c r="A119" s="51" t="s">
        <v>131</v>
      </c>
      <c r="B119" s="36"/>
      <c r="C119" s="36"/>
      <c r="D119" s="36"/>
      <c r="E119" s="36"/>
      <c r="F119" s="37"/>
      <c r="G119" s="141"/>
      <c r="H119" s="141"/>
      <c r="I119" s="141"/>
      <c r="J119" s="141"/>
      <c r="K119" s="141"/>
      <c r="L119" s="141"/>
      <c r="M119" s="141"/>
      <c r="N119" s="141"/>
    </row>
    <row r="120">
      <c r="A120" s="323" t="str">
        <f>HYPERLINK("https://youtu.be/ZhZ733bUA9Q","1. SHOULDER CLEANS")</f>
        <v>1. SHOULDER CLEANS</v>
      </c>
      <c r="B120" s="53"/>
      <c r="C120" s="53"/>
      <c r="D120" s="53"/>
      <c r="E120" s="53"/>
      <c r="F120" s="54"/>
      <c r="G120" s="141"/>
      <c r="H120" s="141"/>
      <c r="I120" s="141"/>
      <c r="J120" s="141"/>
      <c r="K120" s="141"/>
      <c r="L120" s="141"/>
      <c r="M120" s="141"/>
      <c r="N120" s="141"/>
    </row>
    <row r="121">
      <c r="A121" s="226" t="s">
        <v>119</v>
      </c>
      <c r="B121" s="76">
        <f>IF('WEEK 23'!B117='WEEK 23'!B119,'WEEK 23'!B117+5,IF('WEEK 23'!F117&lt;=15,MROUND('WEEK 23'!B115*0.85,5),'WEEK 23'!B117))</f>
        <v>40</v>
      </c>
      <c r="C121" s="13"/>
      <c r="D121" s="13"/>
      <c r="E121" s="13"/>
      <c r="F121" s="57"/>
      <c r="G121" s="141"/>
      <c r="H121" s="141"/>
      <c r="I121" s="141"/>
      <c r="J121" s="141"/>
      <c r="K121" s="141"/>
      <c r="L121" s="141"/>
      <c r="M121" s="141"/>
      <c r="N121" s="141"/>
    </row>
    <row r="122">
      <c r="A122" s="96" t="s">
        <v>50</v>
      </c>
      <c r="B122" s="97" t="s">
        <v>51</v>
      </c>
      <c r="C122" s="97" t="s">
        <v>52</v>
      </c>
      <c r="D122" s="97" t="s">
        <v>53</v>
      </c>
      <c r="E122" s="98" t="s">
        <v>54</v>
      </c>
      <c r="F122" s="235" t="s">
        <v>55</v>
      </c>
      <c r="G122" s="141"/>
      <c r="H122" s="141"/>
      <c r="I122" s="141"/>
      <c r="J122" s="141"/>
      <c r="K122" s="141"/>
      <c r="L122" s="141"/>
      <c r="M122" s="141"/>
      <c r="N122" s="141"/>
    </row>
    <row r="123">
      <c r="A123" s="62">
        <v>1.0</v>
      </c>
      <c r="B123" s="99">
        <f>MROUND('WEEK 26'!B121,2.5)</f>
        <v>30</v>
      </c>
      <c r="C123" s="99">
        <v>20.0</v>
      </c>
      <c r="D123" s="83" t="s">
        <v>57</v>
      </c>
      <c r="E123" s="100" t="str">
        <f>IF('WEEK 26'!B123='WEEK 23'!B117,'WEEK 23'!F117,"")</f>
        <v/>
      </c>
      <c r="F123" s="85"/>
      <c r="G123" s="141"/>
      <c r="H123" s="141"/>
      <c r="I123" s="141"/>
      <c r="J123" s="141"/>
      <c r="K123" s="141"/>
      <c r="L123" s="141"/>
      <c r="M123" s="141"/>
      <c r="N123" s="141"/>
    </row>
    <row r="124">
      <c r="A124" s="62">
        <v>2.0</v>
      </c>
      <c r="B124" s="99">
        <f>if('WEEK 26'!F123&lt;20,mround('WEEK 26'!B123*0.75,5),'WEEK 26'!B123)</f>
        <v>30</v>
      </c>
      <c r="C124" s="99">
        <v>20.0</v>
      </c>
      <c r="D124" s="83" t="s">
        <v>57</v>
      </c>
      <c r="E124" s="100" t="str">
        <f>IF('WEEK 26'!B124='WEEK 23'!B118,'WEEK 23'!F118,"")</f>
        <v/>
      </c>
      <c r="F124" s="85"/>
      <c r="G124" s="141"/>
      <c r="H124" s="141"/>
      <c r="I124" s="141"/>
      <c r="J124" s="141"/>
      <c r="K124" s="141"/>
      <c r="L124" s="141"/>
      <c r="M124" s="141"/>
      <c r="N124" s="141"/>
    </row>
    <row r="125">
      <c r="A125" s="68">
        <v>3.0</v>
      </c>
      <c r="B125" s="101">
        <f>if('WEEK 26'!F124&lt;20,mround('WEEK 26'!B124*0.6,5),'WEEK 26'!B124)</f>
        <v>30</v>
      </c>
      <c r="C125" s="101">
        <v>20.0</v>
      </c>
      <c r="D125" s="88" t="s">
        <v>57</v>
      </c>
      <c r="E125" s="102" t="str">
        <f>IF('WEEK 26'!B125='WEEK 23'!B119,'WEEK 23'!F119,"")</f>
        <v/>
      </c>
      <c r="F125" s="85"/>
      <c r="G125" s="141"/>
      <c r="H125" s="141"/>
      <c r="I125" s="141"/>
      <c r="J125" s="141"/>
      <c r="K125" s="141"/>
      <c r="L125" s="141"/>
      <c r="M125" s="141"/>
      <c r="N125" s="141"/>
    </row>
    <row r="126">
      <c r="A126" s="212"/>
      <c r="G126" s="141"/>
      <c r="H126" s="141"/>
      <c r="I126" s="141"/>
      <c r="J126" s="141"/>
      <c r="K126" s="141"/>
      <c r="L126" s="141"/>
      <c r="M126" s="141"/>
      <c r="N126" s="141"/>
    </row>
    <row r="127">
      <c r="G127" s="141"/>
      <c r="H127" s="141"/>
      <c r="I127" s="141"/>
      <c r="J127" s="141"/>
      <c r="K127" s="141"/>
      <c r="L127" s="141"/>
      <c r="M127" s="141"/>
      <c r="N127" s="141"/>
    </row>
    <row r="128">
      <c r="A128" s="687" t="str">
        <f>HYPERLINK("https://www.youtube.com/watch?v=XDLQt1j3qUU","2. Dumbbell REAR DELT FLY ")</f>
        <v>2. Dumbbell REAR DELT FLY </v>
      </c>
      <c r="B128" s="53"/>
      <c r="C128" s="53"/>
      <c r="D128" s="53"/>
      <c r="E128" s="53"/>
      <c r="F128" s="54"/>
      <c r="G128" s="688"/>
      <c r="H128" s="606"/>
      <c r="I128" s="606"/>
      <c r="J128" s="606"/>
      <c r="K128" s="606"/>
      <c r="L128" s="606"/>
      <c r="M128" s="606"/>
      <c r="N128" s="141"/>
    </row>
    <row r="129">
      <c r="A129" s="226" t="s">
        <v>145</v>
      </c>
      <c r="B129" s="691" t="str">
        <f>IF('WEEK 25'!B125="",'WEEK 25'!B113,'WEEK 25'!B125)</f>
        <v/>
      </c>
      <c r="C129" s="13"/>
      <c r="D129" s="13"/>
      <c r="E129" s="13"/>
      <c r="F129" s="57"/>
      <c r="G129" s="688"/>
      <c r="H129" s="606"/>
      <c r="I129" s="606"/>
      <c r="J129" s="606"/>
      <c r="K129" s="606"/>
      <c r="L129" s="606"/>
      <c r="M129" s="606"/>
    </row>
    <row r="130">
      <c r="A130" s="96" t="s">
        <v>50</v>
      </c>
      <c r="B130" s="97" t="s">
        <v>51</v>
      </c>
      <c r="C130" s="97" t="s">
        <v>52</v>
      </c>
      <c r="D130" s="97" t="s">
        <v>53</v>
      </c>
      <c r="E130" s="341" t="s">
        <v>54</v>
      </c>
      <c r="F130" s="235" t="s">
        <v>55</v>
      </c>
      <c r="G130" s="688"/>
      <c r="H130" s="606"/>
      <c r="I130" s="606"/>
      <c r="J130" s="606"/>
      <c r="K130" s="606"/>
      <c r="L130" s="606"/>
      <c r="M130" s="606"/>
    </row>
    <row r="131">
      <c r="A131" s="556">
        <v>1.0</v>
      </c>
      <c r="B131" s="237">
        <f>MROUND('WEEK 26'!B129*0.2,2.5)</f>
        <v>15</v>
      </c>
      <c r="C131" s="65">
        <v>20.0</v>
      </c>
      <c r="D131" s="693" t="s">
        <v>146</v>
      </c>
      <c r="E131" s="100" t="str">
        <f>IF('WEEK 26'!B131='WEEK 22'!B119,'WEEK 22'!F119,"")</f>
        <v/>
      </c>
      <c r="F131" s="694"/>
      <c r="G131" s="688"/>
      <c r="H131" s="606"/>
      <c r="I131" s="606"/>
      <c r="J131" s="606"/>
      <c r="K131" s="606"/>
      <c r="L131" s="606"/>
      <c r="M131" s="606"/>
    </row>
    <row r="132">
      <c r="A132" s="556">
        <v>2.0</v>
      </c>
      <c r="B132" s="237">
        <f>if('WEEK 26'!F131&lt;10,mround('WEEK 26'!B131*0.8,5),IF('WEEK 26'!F131&lt;=15,MROUND('WEEK 26'!B131*0.95,5),'WEEK 26'!B131))</f>
        <v>15</v>
      </c>
      <c r="C132" s="65">
        <v>20.0</v>
      </c>
      <c r="D132" s="693" t="s">
        <v>146</v>
      </c>
      <c r="E132" s="100" t="str">
        <f>IF('WEEK 26'!B132='WEEK 22'!B120,'WEEK 22'!F120,"")</f>
        <v/>
      </c>
      <c r="F132" s="694"/>
      <c r="G132" s="688"/>
      <c r="H132" s="606"/>
      <c r="I132" s="606"/>
      <c r="J132" s="606"/>
      <c r="K132" s="606"/>
      <c r="L132" s="606"/>
      <c r="M132" s="606"/>
    </row>
    <row r="133">
      <c r="A133" s="561">
        <v>3.0</v>
      </c>
      <c r="B133" s="237">
        <f>if('WEEK 26'!F132&lt;10,mround('WEEK 26'!B132*0.8,5),IF('WEEK 26'!F132&lt;=15,MROUND('WEEK 26'!B132*0.95,5),'WEEK 26'!B132))</f>
        <v>15</v>
      </c>
      <c r="C133" s="65">
        <v>20.0</v>
      </c>
      <c r="D133" s="693" t="s">
        <v>146</v>
      </c>
      <c r="E133" s="100" t="str">
        <f>IF('WEEK 26'!B133='WEEK 22'!B121,'WEEK 22'!F121,"")</f>
        <v/>
      </c>
      <c r="F133" s="694"/>
      <c r="G133" s="688"/>
      <c r="H133" s="606"/>
      <c r="I133" s="606"/>
      <c r="J133" s="606"/>
      <c r="K133" s="606"/>
      <c r="L133" s="606"/>
      <c r="M133" s="606"/>
    </row>
    <row r="134">
      <c r="A134" s="292"/>
      <c r="B134" s="292"/>
      <c r="C134" s="292"/>
      <c r="D134" s="292"/>
      <c r="E134" s="292"/>
      <c r="F134" s="292"/>
      <c r="G134" s="292"/>
      <c r="H134" s="292"/>
      <c r="I134" s="292"/>
      <c r="J134" s="292"/>
      <c r="K134" s="292"/>
      <c r="L134" s="292"/>
      <c r="M134" s="292"/>
      <c r="N134" s="292"/>
    </row>
    <row r="135">
      <c r="A135" s="292"/>
      <c r="B135" s="292"/>
      <c r="C135" s="292"/>
      <c r="D135" s="292"/>
      <c r="E135" s="292"/>
      <c r="F135" s="292"/>
      <c r="G135" s="292"/>
      <c r="H135" s="292"/>
      <c r="I135" s="292"/>
      <c r="J135" s="292"/>
      <c r="K135" s="292"/>
      <c r="L135" s="292"/>
      <c r="M135" s="292"/>
      <c r="N135" s="292"/>
    </row>
    <row r="136">
      <c r="A136" s="513" t="str">
        <f>HYPERLINK("https://youtu.be/QUNZvtb6mnY","3. DUMBBELL SIDE LATERAL RAISE")</f>
        <v>3. DUMBBELL SIDE LATERAL RAISE</v>
      </c>
      <c r="B136" s="53"/>
      <c r="C136" s="53"/>
      <c r="D136" s="53"/>
      <c r="E136" s="53"/>
      <c r="F136" s="54"/>
      <c r="G136" s="688"/>
      <c r="H136" s="688"/>
      <c r="I136" s="688"/>
      <c r="J136" s="688"/>
      <c r="K136" s="688"/>
      <c r="L136" s="688"/>
      <c r="M136" s="688"/>
      <c r="N136" s="688"/>
    </row>
    <row r="137">
      <c r="A137" s="226" t="s">
        <v>145</v>
      </c>
      <c r="B137" s="90" t="str">
        <f>'WEEK 25'!B136</f>
        <v/>
      </c>
      <c r="C137" s="13"/>
      <c r="D137" s="13"/>
      <c r="E137" s="13"/>
      <c r="F137" s="57"/>
      <c r="G137" s="688"/>
      <c r="H137" s="688"/>
      <c r="I137" s="688"/>
      <c r="J137" s="688"/>
      <c r="K137" s="688"/>
      <c r="L137" s="688"/>
      <c r="M137" s="688"/>
      <c r="N137" s="688"/>
    </row>
    <row r="138">
      <c r="A138" s="376" t="s">
        <v>50</v>
      </c>
      <c r="B138" s="79" t="s">
        <v>51</v>
      </c>
      <c r="C138" s="79" t="s">
        <v>52</v>
      </c>
      <c r="D138" s="79" t="s">
        <v>53</v>
      </c>
      <c r="E138" s="98" t="s">
        <v>54</v>
      </c>
      <c r="F138" s="377" t="s">
        <v>55</v>
      </c>
      <c r="G138" s="688"/>
      <c r="H138" s="688"/>
      <c r="I138" s="688"/>
      <c r="J138" s="688"/>
      <c r="K138" s="688"/>
      <c r="L138" s="688"/>
      <c r="M138" s="688"/>
      <c r="N138" s="688"/>
    </row>
    <row r="139">
      <c r="A139" s="81">
        <v>1.0</v>
      </c>
      <c r="B139" s="82">
        <f> mround('WEEK 26'!B137*0.2,5)</f>
        <v>15</v>
      </c>
      <c r="C139" s="65">
        <v>20.0</v>
      </c>
      <c r="D139" s="83" t="s">
        <v>57</v>
      </c>
      <c r="E139" s="89" t="str">
        <f>IF('WEEK 25'!B139='WEEK 26'!B139,'WEEK 25'!F139,"")</f>
        <v/>
      </c>
      <c r="F139" s="330"/>
      <c r="G139" s="688"/>
      <c r="H139" s="688"/>
      <c r="I139" s="688"/>
      <c r="J139" s="688"/>
      <c r="K139" s="688"/>
      <c r="L139" s="688"/>
      <c r="M139" s="688"/>
      <c r="N139" s="688"/>
    </row>
    <row r="140">
      <c r="A140" s="81">
        <v>2.0</v>
      </c>
      <c r="B140" s="82">
        <f>if('WEEK 26'!F139&lt;15,mround('WEEK 26'!B137*0.15,2.5),'WEEK 26'!B139)</f>
        <v>15</v>
      </c>
      <c r="C140" s="65">
        <v>20.0</v>
      </c>
      <c r="D140" s="83" t="s">
        <v>57</v>
      </c>
      <c r="E140" s="89" t="str">
        <f>IF('WEEK 25'!B140='WEEK 26'!B140,'WEEK 25'!F140,"")</f>
        <v/>
      </c>
      <c r="F140" s="330"/>
      <c r="G140" s="688"/>
      <c r="H140" s="688"/>
      <c r="I140" s="688"/>
      <c r="J140" s="688"/>
      <c r="K140" s="688"/>
      <c r="L140" s="688"/>
      <c r="M140" s="688"/>
      <c r="N140" s="688"/>
    </row>
    <row r="141">
      <c r="A141" s="86">
        <v>3.0</v>
      </c>
      <c r="B141" s="87">
        <f>if('WEEK 26'!F140&lt;15,mround('WEEK 26'!B137*0.1,2.5),'WEEK 26'!B140)</f>
        <v>15</v>
      </c>
      <c r="C141" s="71">
        <v>20.0</v>
      </c>
      <c r="D141" s="88" t="s">
        <v>57</v>
      </c>
      <c r="E141" s="89" t="str">
        <f>IF('WEEK 25'!B141='WEEK 26'!B141,'WEEK 25'!F141,"")</f>
        <v/>
      </c>
      <c r="F141" s="85"/>
      <c r="G141" s="688"/>
      <c r="H141" s="688"/>
      <c r="I141" s="688"/>
      <c r="J141" s="688"/>
      <c r="K141" s="688"/>
      <c r="L141" s="688"/>
      <c r="M141" s="688"/>
      <c r="N141" s="688"/>
    </row>
    <row r="142">
      <c r="A142" s="696"/>
      <c r="G142" s="688"/>
      <c r="H142" s="688"/>
      <c r="I142" s="688"/>
      <c r="J142" s="688"/>
      <c r="K142" s="688"/>
      <c r="L142" s="688"/>
      <c r="M142" s="688"/>
      <c r="N142" s="688"/>
    </row>
    <row r="143">
      <c r="G143" s="688"/>
      <c r="H143" s="688"/>
      <c r="I143" s="688"/>
      <c r="J143" s="688"/>
      <c r="K143" s="688"/>
      <c r="L143" s="688"/>
      <c r="M143" s="688"/>
      <c r="N143" s="688"/>
    </row>
    <row r="144">
      <c r="A144" s="73" t="str">
        <f>HYPERLINK("https://youtu.be/Yke__29qVfo","4. TRICEP PUSH DOWNS")</f>
        <v>4. TRICEP PUSH DOWNS</v>
      </c>
      <c r="B144" s="53"/>
      <c r="C144" s="53"/>
      <c r="D144" s="53"/>
      <c r="E144" s="53"/>
      <c r="F144" s="54"/>
      <c r="G144" s="697"/>
      <c r="H144" s="697"/>
      <c r="I144" s="697"/>
      <c r="J144" s="697"/>
      <c r="K144" s="697"/>
      <c r="L144" s="697"/>
      <c r="M144" s="697"/>
      <c r="N144" s="697"/>
    </row>
    <row r="145">
      <c r="A145" s="226" t="s">
        <v>119</v>
      </c>
      <c r="B145" s="90">
        <f>IF('WEEK 25'!B146='WEEK 25'!B148,'WEEK 25'!B146+5,IF('WEEK 25'!F146&lt;=9,MROUND('WEEK 25'!B144*0.95,5),'WEEK 25'!B146))</f>
        <v>30</v>
      </c>
      <c r="C145" s="13"/>
      <c r="D145" s="13"/>
      <c r="E145" s="13"/>
      <c r="F145" s="57"/>
      <c r="G145" s="697"/>
      <c r="H145" s="697"/>
      <c r="I145" s="697"/>
      <c r="J145" s="697"/>
      <c r="K145" s="697"/>
      <c r="L145" s="697"/>
      <c r="M145" s="697"/>
      <c r="N145" s="697"/>
    </row>
    <row r="146">
      <c r="A146" s="77" t="s">
        <v>50</v>
      </c>
      <c r="B146" s="78" t="s">
        <v>51</v>
      </c>
      <c r="C146" s="78" t="s">
        <v>52</v>
      </c>
      <c r="D146" s="78" t="s">
        <v>53</v>
      </c>
      <c r="E146" s="80" t="s">
        <v>54</v>
      </c>
      <c r="F146" s="235" t="s">
        <v>55</v>
      </c>
      <c r="G146" s="697"/>
      <c r="H146" s="697"/>
      <c r="I146" s="697"/>
      <c r="J146" s="697"/>
      <c r="K146" s="697"/>
      <c r="L146" s="697"/>
      <c r="M146" s="697"/>
      <c r="N146" s="697"/>
    </row>
    <row r="147">
      <c r="A147" s="81">
        <v>1.0</v>
      </c>
      <c r="B147" s="82">
        <f>'WEEK 26'!B145</f>
        <v>30</v>
      </c>
      <c r="C147" s="65">
        <v>20.0</v>
      </c>
      <c r="D147" s="83" t="s">
        <v>58</v>
      </c>
      <c r="E147" s="84" t="str">
        <f>IF('WEEK 25'!B146='WEEK 26'!B147,'WEEK 25'!F146,"")</f>
        <v/>
      </c>
      <c r="F147" s="85"/>
      <c r="G147" s="697"/>
      <c r="H147" s="697"/>
      <c r="I147" s="697"/>
      <c r="J147" s="697"/>
      <c r="K147" s="697"/>
      <c r="L147" s="697"/>
      <c r="M147" s="697"/>
      <c r="N147" s="697"/>
    </row>
    <row r="148">
      <c r="A148" s="81">
        <v>2.0</v>
      </c>
      <c r="B148" s="82">
        <f>if('WEEK 26'!F147&lt;10,mround('WEEK 26'!B147*0.8,5),IF('WEEK 26'!F147&lt;=14,MROUND('WEEK 26'!B145*0.95,5),'WEEK 26'!B147))</f>
        <v>25</v>
      </c>
      <c r="C148" s="65">
        <v>20.0</v>
      </c>
      <c r="D148" s="83" t="s">
        <v>58</v>
      </c>
      <c r="E148" s="84" t="str">
        <f>IF('WEEK 25'!B147='WEEK 26'!B148,'WEEK 25'!F147,"")</f>
        <v/>
      </c>
      <c r="F148" s="85"/>
      <c r="G148" s="697"/>
      <c r="H148" s="697"/>
      <c r="I148" s="697"/>
      <c r="J148" s="697"/>
      <c r="K148" s="697"/>
      <c r="L148" s="697"/>
      <c r="M148" s="697"/>
      <c r="N148" s="697"/>
    </row>
    <row r="149">
      <c r="A149" s="629">
        <v>3.0</v>
      </c>
      <c r="B149" s="630">
        <f>if('WEEK 26'!F148&lt;10,mround('WEEK 26'!B148*0.8,5),IF('WEEK 26'!F148&lt;=14,MROUND('WEEK 26'!B148*0.95,5),'WEEK 26'!B148))</f>
        <v>20</v>
      </c>
      <c r="C149" s="631">
        <v>20.0</v>
      </c>
      <c r="D149" s="328" t="s">
        <v>58</v>
      </c>
      <c r="E149" s="84" t="str">
        <f>IF('WEEK 25'!B148='WEEK 26'!B149,'WEEK 25'!F148,"")</f>
        <v/>
      </c>
      <c r="F149" s="330"/>
      <c r="G149" s="697"/>
      <c r="H149" s="1507"/>
      <c r="I149" s="697"/>
      <c r="J149" s="697"/>
      <c r="K149" s="697"/>
      <c r="L149" s="697"/>
      <c r="M149" s="697"/>
      <c r="N149" s="697"/>
    </row>
    <row r="150">
      <c r="G150" s="697"/>
      <c r="H150" s="697"/>
      <c r="I150" s="697"/>
      <c r="J150" s="697"/>
      <c r="K150" s="697"/>
      <c r="L150" s="697"/>
      <c r="M150" s="697"/>
      <c r="N150" s="697"/>
    </row>
    <row r="151">
      <c r="G151" s="697"/>
      <c r="H151" s="697"/>
      <c r="I151" s="697"/>
      <c r="J151" s="697"/>
      <c r="K151" s="697"/>
      <c r="L151" s="697"/>
      <c r="M151" s="697"/>
      <c r="N151" s="697"/>
    </row>
    <row r="152">
      <c r="A152" s="75" t="str">
        <f>HYPERLINK("https://www.youtube.com/watch?v=9IqvmIhFxtY","4. BICEP CABLE CURL")</f>
        <v>4. BICEP CABLE CURL</v>
      </c>
      <c r="B152" s="53"/>
      <c r="C152" s="53"/>
      <c r="D152" s="53"/>
      <c r="E152" s="53"/>
      <c r="F152" s="54"/>
      <c r="G152" s="698"/>
      <c r="H152" s="75" t="s">
        <v>178</v>
      </c>
      <c r="I152" s="53"/>
      <c r="J152" s="53"/>
      <c r="K152" s="53"/>
      <c r="L152" s="53"/>
      <c r="M152" s="54"/>
      <c r="N152" s="141"/>
    </row>
    <row r="153">
      <c r="A153" s="226" t="s">
        <v>119</v>
      </c>
      <c r="B153" s="76">
        <f>IF('WEEK 23'!B146='WEEK 23'!B148,'WEEK 23'!B146,IF('WEEK 23'!F146&lt;=15,MROUND('WEEK 23'!B144*0.95,5),'WEEK 23'!B146))</f>
        <v>30</v>
      </c>
      <c r="C153" s="13"/>
      <c r="D153" s="13"/>
      <c r="E153" s="13"/>
      <c r="F153" s="57"/>
      <c r="G153" s="698"/>
      <c r="H153" s="226" t="s">
        <v>119</v>
      </c>
      <c r="I153" s="618">
        <f>IF('WEEK 25'!I154='WEEK 25'!I156,'WEEK 25'!I154,IF('WEEK 25'!M154&lt;=15,MROUND('WEEK 25'!I154*0.95,5),'WEEK 25'!I154))</f>
        <v>15</v>
      </c>
      <c r="J153" s="13"/>
      <c r="K153" s="13"/>
      <c r="L153" s="13"/>
      <c r="M153" s="57"/>
    </row>
    <row r="154">
      <c r="A154" s="77" t="s">
        <v>50</v>
      </c>
      <c r="B154" s="78" t="s">
        <v>51</v>
      </c>
      <c r="C154" s="78" t="s">
        <v>52</v>
      </c>
      <c r="D154" s="78" t="s">
        <v>53</v>
      </c>
      <c r="E154" s="80" t="s">
        <v>54</v>
      </c>
      <c r="F154" s="235" t="s">
        <v>55</v>
      </c>
      <c r="G154" s="698"/>
      <c r="H154" s="77" t="s">
        <v>50</v>
      </c>
      <c r="I154" s="78" t="s">
        <v>51</v>
      </c>
      <c r="J154" s="78" t="s">
        <v>52</v>
      </c>
      <c r="K154" s="78" t="s">
        <v>53</v>
      </c>
      <c r="L154" s="80" t="s">
        <v>54</v>
      </c>
      <c r="M154" s="235" t="s">
        <v>55</v>
      </c>
    </row>
    <row r="155">
      <c r="A155" s="81">
        <v>1.0</v>
      </c>
      <c r="B155" s="82">
        <f>'WEEK 26'!B153</f>
        <v>50</v>
      </c>
      <c r="C155" s="65">
        <v>20.0</v>
      </c>
      <c r="D155" s="83" t="s">
        <v>58</v>
      </c>
      <c r="E155" s="84" t="str">
        <f>IF('WEEK 25'!B158='WEEK 23'!B146,'WEEK 23'!F146,"")</f>
        <v/>
      </c>
      <c r="F155" s="85"/>
      <c r="G155" s="698"/>
      <c r="H155" s="81">
        <v>1.0</v>
      </c>
      <c r="I155" s="82">
        <f>MROUND('WEEK 26'!I153,5)</f>
        <v>15</v>
      </c>
      <c r="J155" s="65">
        <v>20.0</v>
      </c>
      <c r="K155" s="83" t="s">
        <v>58</v>
      </c>
      <c r="L155" s="1388" t="str">
        <f>IF('WEEK 25'!I155='WEEK 23'!I147,'WEEK 23'!M147,"")</f>
        <v/>
      </c>
      <c r="M155" s="85"/>
    </row>
    <row r="156">
      <c r="A156" s="81">
        <v>2.0</v>
      </c>
      <c r="B156" s="82">
        <f>if('WEEK 26'!F155&lt;10,mround('WEEK 26'!B155*0.8,5),IF('WEEK 26'!F155&lt;=14,MROUND('WEEK 26'!B153*0.95,5),'WEEK 26'!B155))</f>
        <v>40</v>
      </c>
      <c r="C156" s="65">
        <v>20.0</v>
      </c>
      <c r="D156" s="83" t="s">
        <v>58</v>
      </c>
      <c r="E156" s="84" t="str">
        <f>IF('WEEK 25'!B159='WEEK 23'!B147,'WEEK 23'!F147,"")</f>
        <v/>
      </c>
      <c r="F156" s="85"/>
      <c r="G156" s="698"/>
      <c r="H156" s="81">
        <v>2.0</v>
      </c>
      <c r="I156" s="82">
        <f>if('WEEK 26'!M155&lt;15,mround('WEEK 26'!I155*0.8,5),IF('WEEK 26'!M155&lt;=18,MROUND('WEEK 26'!I153*0.95,5),'WEEK 26'!I155))</f>
        <v>10</v>
      </c>
      <c r="J156" s="65">
        <v>20.0</v>
      </c>
      <c r="K156" s="83" t="s">
        <v>58</v>
      </c>
      <c r="L156" s="1388" t="str">
        <f>IF('WEEK 25'!I156='WEEK 23'!I148,'WEEK 23'!M148,"")</f>
        <v/>
      </c>
      <c r="M156" s="85"/>
    </row>
    <row r="157">
      <c r="A157" s="629">
        <v>3.0</v>
      </c>
      <c r="B157" s="630">
        <f>if('WEEK 26'!F156&lt;10,mround('WEEK 26'!B156*0.8,5),IF('WEEK 26'!F156&lt;=14,MROUND('WEEK 26'!B156*0.95,5),'WEEK 26'!B156))</f>
        <v>30</v>
      </c>
      <c r="C157" s="631">
        <v>20.0</v>
      </c>
      <c r="D157" s="328" t="s">
        <v>58</v>
      </c>
      <c r="E157" s="84" t="str">
        <f>IF('WEEK 25'!B160='WEEK 23'!B148,'WEEK 23'!F148,"")</f>
        <v/>
      </c>
      <c r="F157" s="330"/>
      <c r="G157" s="698"/>
      <c r="H157" s="629">
        <v>3.0</v>
      </c>
      <c r="I157" s="630">
        <f>if('WEEK 26'!M156&lt;15,mround('WEEK 26'!I156*0.8,5),IF('WEEK 26'!M156&lt;=18,MROUND('WEEK 26'!I154*0.95,5),'WEEK 26'!I156))</f>
        <v>10</v>
      </c>
      <c r="J157" s="631">
        <v>20.0</v>
      </c>
      <c r="K157" s="328" t="s">
        <v>58</v>
      </c>
      <c r="L157" s="1390" t="str">
        <f>IF('WEEK 25'!I157='WEEK 23'!I149,'WEEK 23'!M149,"")</f>
        <v/>
      </c>
      <c r="M157" s="85"/>
    </row>
    <row r="158">
      <c r="A158" s="633"/>
      <c r="B158" s="633"/>
      <c r="C158" s="633"/>
      <c r="D158" s="633"/>
      <c r="E158" s="633"/>
      <c r="F158" s="633"/>
      <c r="G158" s="976"/>
      <c r="H158" s="1508"/>
      <c r="I158" s="1508"/>
      <c r="J158" s="1508"/>
      <c r="K158" s="1508"/>
      <c r="L158" s="1508"/>
      <c r="M158" s="945"/>
    </row>
    <row r="159">
      <c r="A159" s="945"/>
      <c r="B159" s="945"/>
      <c r="C159" s="945"/>
      <c r="D159" s="945"/>
      <c r="E159" s="945"/>
      <c r="F159" s="945"/>
      <c r="G159" s="141"/>
      <c r="H159" s="1509"/>
      <c r="I159" s="1509"/>
      <c r="J159" s="1509"/>
      <c r="K159" s="1509"/>
      <c r="L159" s="1509"/>
      <c r="M159" s="416"/>
    </row>
    <row r="160">
      <c r="A160" s="945"/>
      <c r="B160" s="945"/>
      <c r="C160" s="945"/>
      <c r="D160" s="945"/>
      <c r="E160" s="945"/>
      <c r="F160" s="945"/>
      <c r="H160" s="1509"/>
      <c r="I160" s="1509"/>
      <c r="J160" s="1509"/>
      <c r="K160" s="1509"/>
      <c r="L160" s="1509"/>
      <c r="M160" s="416"/>
    </row>
    <row r="161">
      <c r="A161" s="945"/>
      <c r="B161" s="945"/>
      <c r="C161" s="945"/>
      <c r="D161" s="945"/>
      <c r="E161" s="945"/>
      <c r="F161" s="945"/>
      <c r="H161" s="1509"/>
      <c r="I161" s="1509"/>
      <c r="J161" s="1509"/>
      <c r="K161" s="1509"/>
      <c r="L161" s="1509"/>
      <c r="M161" s="1510"/>
    </row>
    <row r="162" ht="15.0" customHeight="1">
      <c r="A162" s="712"/>
      <c r="B162" s="712"/>
      <c r="C162" s="712"/>
      <c r="D162" s="712"/>
      <c r="E162" s="712"/>
      <c r="F162" s="712"/>
      <c r="H162" s="1509"/>
      <c r="I162" s="1509"/>
      <c r="J162" s="1509"/>
      <c r="K162" s="1509"/>
      <c r="L162" s="1509"/>
      <c r="M162" s="712"/>
      <c r="N162" s="713"/>
    </row>
    <row r="163">
      <c r="A163" s="581" t="str">
        <f>HYPERLINK("https://docs.google.com/a/fitnessresults.com/forms/d/e/1FAIpQLSd7MoczESe8Yjv6BKpmwAZGn9Aiymrs9-UdgfYIUpbr9t5NXg/viewform?usp=pp_url&amp;entry.93370101","CLICK TO COMPLETE WORKOUT")</f>
        <v>CLICK TO COMPLETE WORKOUT</v>
      </c>
      <c r="B163" s="25"/>
      <c r="C163" s="25"/>
      <c r="D163" s="25"/>
      <c r="E163" s="25"/>
      <c r="F163" s="26"/>
      <c r="G163" s="712"/>
      <c r="M163" s="712"/>
      <c r="N163" s="712"/>
    </row>
    <row r="164">
      <c r="A164" s="336"/>
      <c r="B164" s="11"/>
      <c r="C164" s="11"/>
      <c r="D164" s="11"/>
      <c r="E164" s="11"/>
      <c r="F164" s="46"/>
      <c r="G164" s="712"/>
      <c r="H164" s="712"/>
      <c r="I164" s="712"/>
      <c r="J164" s="712"/>
      <c r="K164" s="712"/>
      <c r="L164" s="712"/>
      <c r="M164" s="712"/>
      <c r="N164" s="712"/>
    </row>
    <row r="165">
      <c r="A165" s="683"/>
      <c r="G165" s="712"/>
      <c r="H165" s="712"/>
      <c r="I165" s="712"/>
      <c r="J165" s="712"/>
      <c r="K165" s="712"/>
      <c r="L165" s="712"/>
      <c r="M165" s="712"/>
      <c r="N165" s="712"/>
    </row>
    <row r="166">
      <c r="A166" s="641" t="str">
        <f>HYPERLINK("https://www.amazon.com/30-Minute-Body-Investment-Champion/dp/0692791892/ref=sr_1_1?ie=UTF8&amp;qid=1490447969&amp;sr=8-1&amp;keywords=30+minute+body","WANT TO LEARN MORE?")</f>
        <v>WANT TO LEARN MORE?</v>
      </c>
      <c r="B166" s="16"/>
      <c r="C166" s="16"/>
      <c r="D166" s="16"/>
      <c r="E166" s="16"/>
      <c r="F166" s="17"/>
      <c r="G166" s="712"/>
      <c r="H166" s="712"/>
      <c r="I166" s="712"/>
      <c r="J166" s="712"/>
      <c r="K166" s="712"/>
      <c r="L166" s="712"/>
      <c r="M166" s="712"/>
      <c r="N166" s="712"/>
    </row>
    <row r="167">
      <c r="A167" s="18"/>
      <c r="B167" s="13"/>
      <c r="C167" s="13"/>
      <c r="D167" s="13"/>
      <c r="E167" s="13"/>
      <c r="F167" s="14"/>
      <c r="G167" s="712"/>
      <c r="H167" s="712"/>
      <c r="I167" s="712"/>
      <c r="J167" s="712"/>
      <c r="K167" s="712"/>
      <c r="L167" s="712"/>
      <c r="M167" s="712"/>
      <c r="N167" s="712"/>
    </row>
    <row r="168">
      <c r="A168" s="642"/>
      <c r="B168" s="643"/>
      <c r="C168" s="714" t="s">
        <v>67</v>
      </c>
      <c r="D168" s="25"/>
      <c r="E168" s="25"/>
      <c r="F168" s="26"/>
      <c r="G168" s="712"/>
      <c r="H168" s="712"/>
      <c r="I168" s="712"/>
      <c r="J168" s="712"/>
      <c r="K168" s="712"/>
      <c r="L168" s="712"/>
      <c r="M168" s="712"/>
      <c r="N168" s="712"/>
    </row>
    <row r="169">
      <c r="A169" s="645"/>
      <c r="B169" s="646"/>
      <c r="C169" s="529"/>
      <c r="F169" s="28"/>
      <c r="G169" s="712"/>
      <c r="H169" s="712"/>
      <c r="I169" s="712"/>
      <c r="J169" s="712"/>
      <c r="K169" s="712"/>
      <c r="L169" s="712"/>
      <c r="M169" s="712"/>
      <c r="N169" s="712"/>
    </row>
    <row r="170">
      <c r="A170" s="645"/>
      <c r="B170" s="646"/>
      <c r="C170" s="529"/>
      <c r="F170" s="28"/>
      <c r="G170" s="712"/>
      <c r="H170" s="712"/>
      <c r="I170" s="712"/>
      <c r="J170" s="712"/>
      <c r="K170" s="712"/>
      <c r="L170" s="712"/>
      <c r="M170" s="712"/>
      <c r="N170" s="712"/>
    </row>
    <row r="171">
      <c r="A171" s="645"/>
      <c r="B171" s="646"/>
      <c r="C171" s="529"/>
      <c r="F171" s="28"/>
      <c r="G171" s="712"/>
      <c r="H171" s="712"/>
      <c r="I171" s="712"/>
      <c r="J171" s="712"/>
      <c r="K171" s="712"/>
      <c r="L171" s="712"/>
      <c r="M171" s="712"/>
      <c r="N171" s="712"/>
    </row>
    <row r="172">
      <c r="A172" s="645"/>
      <c r="B172" s="646"/>
      <c r="C172" s="529"/>
      <c r="F172" s="28"/>
      <c r="G172" s="712"/>
      <c r="H172" s="712"/>
      <c r="I172" s="712"/>
      <c r="J172" s="712"/>
      <c r="K172" s="712"/>
      <c r="L172" s="712"/>
      <c r="M172" s="712"/>
      <c r="N172" s="712"/>
    </row>
    <row r="173">
      <c r="A173" s="645"/>
      <c r="B173" s="646"/>
      <c r="C173" s="529"/>
      <c r="F173" s="28"/>
      <c r="G173" s="712"/>
      <c r="H173" s="712"/>
      <c r="I173" s="712"/>
      <c r="J173" s="712"/>
      <c r="K173" s="712"/>
      <c r="L173" s="712"/>
      <c r="M173" s="712"/>
      <c r="N173" s="712"/>
    </row>
    <row r="174">
      <c r="A174" s="647"/>
      <c r="B174" s="646"/>
      <c r="C174" s="529"/>
      <c r="F174" s="28"/>
      <c r="G174" s="712"/>
      <c r="H174" s="712"/>
      <c r="I174" s="712"/>
      <c r="J174" s="712"/>
      <c r="K174" s="712"/>
      <c r="L174" s="712"/>
      <c r="M174" s="712"/>
      <c r="N174" s="712"/>
    </row>
    <row r="175">
      <c r="A175" s="645"/>
      <c r="B175" s="646"/>
      <c r="C175" s="529"/>
      <c r="F175" s="28"/>
      <c r="G175" s="712"/>
      <c r="H175" s="712"/>
      <c r="I175" s="712"/>
      <c r="J175" s="712"/>
      <c r="K175" s="712"/>
      <c r="L175" s="712"/>
      <c r="M175" s="712"/>
      <c r="N175" s="712"/>
    </row>
    <row r="176">
      <c r="A176" s="645"/>
      <c r="B176" s="646"/>
      <c r="C176" s="529"/>
      <c r="F176" s="28"/>
      <c r="G176" s="712"/>
      <c r="H176" s="712"/>
      <c r="I176" s="712"/>
      <c r="J176" s="712"/>
      <c r="K176" s="712"/>
      <c r="L176" s="712"/>
      <c r="M176" s="712"/>
      <c r="N176" s="712"/>
    </row>
    <row r="177">
      <c r="A177" s="648"/>
      <c r="B177" s="646"/>
      <c r="C177" s="529"/>
      <c r="F177" s="28"/>
      <c r="G177" s="712"/>
      <c r="H177" s="712"/>
      <c r="I177" s="712"/>
      <c r="J177" s="712"/>
      <c r="K177" s="712"/>
      <c r="L177" s="712"/>
      <c r="M177" s="712"/>
      <c r="N177" s="712"/>
    </row>
    <row r="178">
      <c r="A178" s="645"/>
      <c r="B178" s="646"/>
      <c r="C178" s="529"/>
      <c r="F178" s="28"/>
      <c r="G178" s="712"/>
      <c r="H178" s="712"/>
      <c r="I178" s="712"/>
      <c r="J178" s="712"/>
      <c r="K178" s="712"/>
      <c r="L178" s="712"/>
      <c r="M178" s="712"/>
      <c r="N178" s="712"/>
    </row>
    <row r="179">
      <c r="A179" s="645"/>
      <c r="B179" s="646"/>
      <c r="C179" s="529"/>
      <c r="F179" s="28"/>
      <c r="G179" s="712"/>
      <c r="H179" s="712"/>
      <c r="I179" s="712"/>
      <c r="J179" s="712"/>
      <c r="K179" s="712"/>
      <c r="L179" s="712"/>
      <c r="M179" s="712"/>
      <c r="N179" s="712"/>
    </row>
    <row r="180">
      <c r="A180" s="645"/>
      <c r="B180" s="646"/>
      <c r="C180" s="529"/>
      <c r="F180" s="28"/>
      <c r="G180" s="712"/>
      <c r="H180" s="712"/>
      <c r="I180" s="712"/>
      <c r="J180" s="712"/>
      <c r="K180" s="712"/>
      <c r="L180" s="712"/>
      <c r="M180" s="712"/>
      <c r="N180" s="712"/>
    </row>
    <row r="181">
      <c r="A181" s="645"/>
      <c r="B181" s="646"/>
      <c r="C181" s="529"/>
      <c r="F181" s="28"/>
      <c r="G181" s="712"/>
      <c r="H181" s="712"/>
      <c r="I181" s="712"/>
      <c r="J181" s="712"/>
      <c r="K181" s="712"/>
      <c r="L181" s="712"/>
      <c r="M181" s="712"/>
      <c r="N181" s="712"/>
    </row>
    <row r="182">
      <c r="A182" s="649"/>
      <c r="B182" s="650"/>
      <c r="C182" s="336"/>
      <c r="D182" s="11"/>
      <c r="E182" s="11"/>
      <c r="F182" s="46"/>
      <c r="G182" s="712"/>
      <c r="H182" s="712"/>
      <c r="I182" s="712"/>
      <c r="J182" s="712"/>
      <c r="K182" s="712"/>
      <c r="L182" s="712"/>
      <c r="M182" s="712"/>
      <c r="N182" s="712"/>
    </row>
  </sheetData>
  <mergeCells count="94">
    <mergeCell ref="G1:N15"/>
    <mergeCell ref="A9:F9"/>
    <mergeCell ref="A10:F11"/>
    <mergeCell ref="A12:F12"/>
    <mergeCell ref="A13:F13"/>
    <mergeCell ref="A14:F15"/>
    <mergeCell ref="A16:F16"/>
    <mergeCell ref="A20:F20"/>
    <mergeCell ref="B21:F21"/>
    <mergeCell ref="A19:F19"/>
    <mergeCell ref="A27:F27"/>
    <mergeCell ref="G27:G28"/>
    <mergeCell ref="H27:M27"/>
    <mergeCell ref="G19:G26"/>
    <mergeCell ref="G29:G31"/>
    <mergeCell ref="G37:G41"/>
    <mergeCell ref="A29:F29"/>
    <mergeCell ref="B34:F34"/>
    <mergeCell ref="H16:M16"/>
    <mergeCell ref="A17:N18"/>
    <mergeCell ref="H19:M19"/>
    <mergeCell ref="N19:N31"/>
    <mergeCell ref="H20:M20"/>
    <mergeCell ref="I21:M21"/>
    <mergeCell ref="H29:M29"/>
    <mergeCell ref="A108:F108"/>
    <mergeCell ref="B109:F109"/>
    <mergeCell ref="A99:F99"/>
    <mergeCell ref="B100:F100"/>
    <mergeCell ref="B105:F105"/>
    <mergeCell ref="A106:F107"/>
    <mergeCell ref="H108:M108"/>
    <mergeCell ref="N108:N114"/>
    <mergeCell ref="I109:M109"/>
    <mergeCell ref="G113:G114"/>
    <mergeCell ref="B114:F114"/>
    <mergeCell ref="A115:F115"/>
    <mergeCell ref="A116:F116"/>
    <mergeCell ref="A118:F118"/>
    <mergeCell ref="A119:F119"/>
    <mergeCell ref="A120:F120"/>
    <mergeCell ref="B121:F121"/>
    <mergeCell ref="A126:F127"/>
    <mergeCell ref="A128:F128"/>
    <mergeCell ref="N128:N133"/>
    <mergeCell ref="B129:F129"/>
    <mergeCell ref="A136:F136"/>
    <mergeCell ref="B137:F137"/>
    <mergeCell ref="H152:M152"/>
    <mergeCell ref="I153:M153"/>
    <mergeCell ref="A142:F143"/>
    <mergeCell ref="A144:F144"/>
    <mergeCell ref="B145:F145"/>
    <mergeCell ref="A150:F151"/>
    <mergeCell ref="A152:F152"/>
    <mergeCell ref="N152:N161"/>
    <mergeCell ref="B153:F153"/>
    <mergeCell ref="I34:M34"/>
    <mergeCell ref="A35:N36"/>
    <mergeCell ref="A37:F37"/>
    <mergeCell ref="H37:M37"/>
    <mergeCell ref="B38:F38"/>
    <mergeCell ref="I38:M38"/>
    <mergeCell ref="N38:N41"/>
    <mergeCell ref="A42:N43"/>
    <mergeCell ref="A44:F44"/>
    <mergeCell ref="B45:F45"/>
    <mergeCell ref="A51:F51"/>
    <mergeCell ref="A54:F54"/>
    <mergeCell ref="B57:F57"/>
    <mergeCell ref="A59:F59"/>
    <mergeCell ref="B60:F60"/>
    <mergeCell ref="A65:F66"/>
    <mergeCell ref="A67:F67"/>
    <mergeCell ref="B68:F68"/>
    <mergeCell ref="A74:F75"/>
    <mergeCell ref="A77:F77"/>
    <mergeCell ref="A78:F78"/>
    <mergeCell ref="A79:F79"/>
    <mergeCell ref="A80:F80"/>
    <mergeCell ref="A84:F85"/>
    <mergeCell ref="A86:F86"/>
    <mergeCell ref="B87:F87"/>
    <mergeCell ref="B96:F96"/>
    <mergeCell ref="A97:F98"/>
    <mergeCell ref="G108:G110"/>
    <mergeCell ref="G111:G112"/>
    <mergeCell ref="I114:M114"/>
    <mergeCell ref="G115:N116"/>
    <mergeCell ref="G159:G162"/>
    <mergeCell ref="A163:F164"/>
    <mergeCell ref="A165:F165"/>
    <mergeCell ref="A166:F167"/>
    <mergeCell ref="C168:F182"/>
  </mergeCells>
  <dataValidations>
    <dataValidation type="decimal" operator="greaterThanOrEqual" allowBlank="1" showDropDown="1" showErrorMessage="1" sqref="F1:F8 F22:F26 F39:F41 F46:F49 F53 F55 F61:F64 F69:F73 F81:F83 F88:F95 F101:F104 F110:F113 F122:F125 F138:F141">
      <formula1>0.0</formula1>
    </dataValidation>
  </dataValidations>
  <drawing r:id="rId2"/>
  <legacyDrawing r:id="rId3"/>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6.38"/>
    <col customWidth="1" min="5" max="5" width="13.13"/>
  </cols>
  <sheetData>
    <row r="1">
      <c r="A1" s="533"/>
    </row>
    <row r="8">
      <c r="A8" s="11"/>
      <c r="B8" s="11"/>
      <c r="C8" s="11"/>
      <c r="D8" s="11"/>
      <c r="E8" s="11"/>
      <c r="F8" s="11"/>
      <c r="G8" s="11"/>
      <c r="H8" s="11"/>
      <c r="I8" s="11"/>
      <c r="J8" s="11"/>
      <c r="K8" s="11"/>
      <c r="L8" s="11"/>
      <c r="M8" s="11"/>
    </row>
    <row r="9">
      <c r="A9" s="534" t="str">
        <f>'MSW26'!A9</f>
        <v>Week 26</v>
      </c>
      <c r="B9" s="13"/>
      <c r="C9" s="13"/>
      <c r="D9" s="13"/>
      <c r="E9" s="13"/>
      <c r="F9" s="14"/>
      <c r="G9" s="535"/>
      <c r="H9" s="24" t="s">
        <v>35</v>
      </c>
      <c r="I9" s="25"/>
      <c r="J9" s="25"/>
      <c r="K9" s="25"/>
      <c r="L9" s="25"/>
      <c r="M9" s="26"/>
    </row>
    <row r="10">
      <c r="A10" s="536" t="str">
        <f>'MSW26'!A10</f>
        <v>PRESS TO RECORD BODY WEIGHT</v>
      </c>
      <c r="B10" s="16"/>
      <c r="C10" s="16"/>
      <c r="D10" s="16"/>
      <c r="E10" s="16"/>
      <c r="F10" s="17"/>
      <c r="H10" s="27" t="s">
        <v>307</v>
      </c>
      <c r="M10" s="28"/>
    </row>
    <row r="11">
      <c r="A11" s="18"/>
      <c r="B11" s="13"/>
      <c r="C11" s="13"/>
      <c r="D11" s="13"/>
      <c r="E11" s="13"/>
      <c r="F11" s="14"/>
      <c r="H11" s="29" t="s">
        <v>308</v>
      </c>
      <c r="I11" s="30"/>
      <c r="J11" s="30"/>
      <c r="K11" s="30"/>
      <c r="L11" s="30"/>
      <c r="M11" s="31"/>
    </row>
    <row r="12">
      <c r="A12" s="19" t="s">
        <v>69</v>
      </c>
      <c r="B12" s="20"/>
      <c r="C12" s="20"/>
      <c r="D12" s="20"/>
      <c r="E12" s="20"/>
      <c r="F12" s="21"/>
      <c r="H12" s="535"/>
    </row>
    <row r="13">
      <c r="A13" s="537" t="str">
        <f>'MSW26'!A13</f>
        <v>This week we are going to continue to attemp new maxes in some areas as well as go for max repititions in others. Be sure to push your hardest and keep good form.</v>
      </c>
      <c r="B13" s="20"/>
      <c r="C13" s="20"/>
      <c r="D13" s="20"/>
      <c r="E13" s="20"/>
      <c r="F13" s="21"/>
    </row>
    <row r="14">
      <c r="A14" s="428" t="s">
        <v>138</v>
      </c>
    </row>
    <row r="16">
      <c r="A16" s="538" t="s">
        <v>47</v>
      </c>
      <c r="B16" s="36"/>
      <c r="C16" s="36"/>
      <c r="D16" s="36"/>
      <c r="E16" s="36"/>
      <c r="F16" s="37"/>
      <c r="H16" s="539" t="str">
        <f>'MSW26'!H16</f>
        <v>ALTERNATE WORKOUTS</v>
      </c>
      <c r="I16" s="25"/>
      <c r="J16" s="25"/>
      <c r="K16" s="25"/>
      <c r="L16" s="25"/>
      <c r="M16" s="26"/>
    </row>
    <row r="17">
      <c r="A17" s="540"/>
      <c r="H17" s="541"/>
      <c r="I17" s="25"/>
      <c r="J17" s="25"/>
      <c r="K17" s="25"/>
      <c r="L17" s="25"/>
      <c r="M17" s="25"/>
    </row>
    <row r="18">
      <c r="A18" s="120"/>
    </row>
    <row r="19">
      <c r="A19" s="542" t="str">
        <f>'MSW26'!A19</f>
        <v>CHEST &amp; BACK </v>
      </c>
      <c r="B19" s="36"/>
      <c r="C19" s="36"/>
      <c r="D19" s="36"/>
      <c r="E19" s="36"/>
      <c r="F19" s="37"/>
      <c r="H19" s="542" t="str">
        <f>'MSW26'!H19</f>
        <v>CHEST &amp; BACK </v>
      </c>
      <c r="I19" s="36"/>
      <c r="J19" s="36"/>
      <c r="K19" s="36"/>
      <c r="L19" s="36"/>
      <c r="M19" s="37"/>
    </row>
    <row r="20">
      <c r="A20" s="52" t="str">
        <f>'MSW26'!A20</f>
        <v>1. DUMBBELL INCLINE PRESS</v>
      </c>
      <c r="B20" s="53"/>
      <c r="C20" s="53"/>
      <c r="D20" s="53"/>
      <c r="E20" s="53"/>
      <c r="F20" s="54"/>
      <c r="G20" s="543" t="s">
        <v>123</v>
      </c>
      <c r="H20" s="52" t="str">
        <f>'MSW26'!H20</f>
        <v>1. MACHINE PRESS</v>
      </c>
      <c r="I20" s="53"/>
      <c r="J20" s="53"/>
      <c r="K20" s="53"/>
      <c r="L20" s="53"/>
      <c r="M20" s="54"/>
    </row>
    <row r="21">
      <c r="A21" s="228" t="str">
        <f>'MSW26'!A21</f>
        <v>CURRENT MAX</v>
      </c>
      <c r="B21" s="229" t="str">
        <f>'MSW26'!B21</f>
        <v/>
      </c>
      <c r="C21" s="16"/>
      <c r="D21" s="16"/>
      <c r="E21" s="16"/>
      <c r="F21" s="230"/>
      <c r="G21" s="543"/>
      <c r="H21" s="228" t="str">
        <f>'MSW26'!H21</f>
        <v>CURRENT MAX</v>
      </c>
      <c r="I21" s="229" t="str">
        <f>'MSW26'!I21</f>
        <v/>
      </c>
      <c r="J21" s="16"/>
      <c r="K21" s="16"/>
      <c r="L21" s="16"/>
      <c r="M21" s="230"/>
    </row>
    <row r="22">
      <c r="A22" s="96" t="str">
        <f>'MSW26'!A22</f>
        <v>SET</v>
      </c>
      <c r="B22" s="97" t="str">
        <f>'MSW26'!B22</f>
        <v>WEIGHT</v>
      </c>
      <c r="C22" s="97" t="str">
        <f>'MSW26'!C22</f>
        <v>REPS</v>
      </c>
      <c r="D22" s="97" t="str">
        <f>'MSW26'!D22</f>
        <v>REST</v>
      </c>
      <c r="E22" s="98" t="str">
        <f>'MSW26'!E22</f>
        <v>PREVIOUS</v>
      </c>
      <c r="F22" s="235" t="str">
        <f>'MSW26'!F22</f>
        <v>REP LOG</v>
      </c>
      <c r="H22" s="96" t="str">
        <f>'MSW26'!H22</f>
        <v>SET</v>
      </c>
      <c r="I22" s="97" t="str">
        <f>'MSW26'!I22</f>
        <v>WEIGHT</v>
      </c>
      <c r="J22" s="97" t="str">
        <f>'MSW26'!J22</f>
        <v>REPS</v>
      </c>
      <c r="K22" s="97" t="str">
        <f>'MSW26'!K22</f>
        <v>REST</v>
      </c>
      <c r="L22" s="98" t="str">
        <f>'MSW26'!L22</f>
        <v>PREVIOUS</v>
      </c>
      <c r="M22" s="235" t="str">
        <f>'MSW26'!M22</f>
        <v>REP LOG</v>
      </c>
    </row>
    <row r="23">
      <c r="A23" s="240">
        <f>'MSW26'!A23</f>
        <v>1</v>
      </c>
      <c r="B23" s="241">
        <f>'MSW26'!B23</f>
        <v>0</v>
      </c>
      <c r="C23" s="241">
        <f>'MSW26'!C23</f>
        <v>6</v>
      </c>
      <c r="D23" s="83" t="str">
        <f>'MSW26'!D23</f>
        <v>1 MIN</v>
      </c>
      <c r="E23" s="544" t="str">
        <f>'MSW26'!E23</f>
        <v/>
      </c>
      <c r="F23" s="85"/>
      <c r="H23" s="244">
        <f>'MSW26'!H23</f>
        <v>1</v>
      </c>
      <c r="I23" s="241">
        <f>'MSW26'!I23</f>
        <v>0</v>
      </c>
      <c r="J23" s="63">
        <f>'MSW26'!J23</f>
        <v>6</v>
      </c>
      <c r="K23" s="83" t="str">
        <f>'MSW26'!K23</f>
        <v>1 MIN</v>
      </c>
      <c r="L23" s="84" t="str">
        <f>'MSW26'!L23</f>
        <v/>
      </c>
      <c r="M23" s="85"/>
    </row>
    <row r="24">
      <c r="A24" s="240">
        <f>'MSW26'!A24</f>
        <v>2</v>
      </c>
      <c r="B24" s="241">
        <f>'MSW26'!B24</f>
        <v>0</v>
      </c>
      <c r="C24" s="241">
        <f>'MSW26'!C24</f>
        <v>1</v>
      </c>
      <c r="D24" s="83" t="str">
        <f>'MSW26'!D24</f>
        <v>1 MIN</v>
      </c>
      <c r="E24" s="544" t="str">
        <f>'MSW26'!E24</f>
        <v/>
      </c>
      <c r="F24" s="85"/>
      <c r="H24" s="240">
        <f>'MSW26'!H24</f>
        <v>2</v>
      </c>
      <c r="I24" s="241">
        <f>'MSW26'!I24</f>
        <v>0</v>
      </c>
      <c r="J24" s="241">
        <f>'MSW26'!J24</f>
        <v>1</v>
      </c>
      <c r="K24" s="83" t="str">
        <f>'MSW26'!K24</f>
        <v>1 MIN</v>
      </c>
      <c r="L24" s="84" t="str">
        <f>'MSW26'!L24</f>
        <v/>
      </c>
      <c r="M24" s="85"/>
    </row>
    <row r="25">
      <c r="A25" s="240">
        <f>'MSW26'!A25</f>
        <v>3</v>
      </c>
      <c r="B25" s="241">
        <f>'MSW26'!B25</f>
        <v>0</v>
      </c>
      <c r="C25" s="241">
        <f>'MSW26'!C25</f>
        <v>1</v>
      </c>
      <c r="D25" s="83" t="str">
        <f>'MSW26'!D25</f>
        <v>1 MIN</v>
      </c>
      <c r="E25" s="544" t="str">
        <f>'MSW26'!E25</f>
        <v/>
      </c>
      <c r="F25" s="85"/>
      <c r="H25" s="240">
        <f>'MSW26'!H25</f>
        <v>3</v>
      </c>
      <c r="I25" s="241">
        <f>'MSW26'!I25</f>
        <v>0</v>
      </c>
      <c r="J25" s="241">
        <f>'MSW26'!J25</f>
        <v>1</v>
      </c>
      <c r="K25" s="83" t="str">
        <f>'MSW26'!K25</f>
        <v>1 MIN</v>
      </c>
      <c r="L25" s="84" t="str">
        <f>'MSW26'!L25</f>
        <v/>
      </c>
      <c r="M25" s="85"/>
    </row>
    <row r="26">
      <c r="A26" s="240">
        <f>'MSW26'!A26</f>
        <v>4</v>
      </c>
      <c r="B26" s="241">
        <f>'MSW26'!B26</f>
        <v>0</v>
      </c>
      <c r="C26" s="245" t="str">
        <f>'MSW26'!C26</f>
        <v>REP OUT</v>
      </c>
      <c r="D26" s="83" t="str">
        <f>'MSW26'!D26</f>
        <v>1 MIN</v>
      </c>
      <c r="E26" s="544" t="str">
        <f>'MSW26'!E26</f>
        <v/>
      </c>
      <c r="F26" s="85"/>
      <c r="H26" s="240">
        <f>'MSW26'!H26</f>
        <v>4</v>
      </c>
      <c r="I26" s="241">
        <f>'MSW26'!I26</f>
        <v>0</v>
      </c>
      <c r="J26" s="245" t="str">
        <f>'MSW26'!J26</f>
        <v>REP OUT</v>
      </c>
      <c r="K26" s="83" t="str">
        <f>'MSW26'!K26</f>
        <v>1 MIN</v>
      </c>
      <c r="L26" s="84" t="str">
        <f>'MSW26'!L26</f>
        <v/>
      </c>
      <c r="M26" s="85"/>
    </row>
    <row r="27">
      <c r="A27" s="248" t="str">
        <f>'MSW26'!A27</f>
        <v>PROCEED TO DOWNSETS</v>
      </c>
      <c r="F27" s="28"/>
      <c r="H27" s="248" t="str">
        <f>'MSW26'!H27</f>
        <v>PROCEED TO DOWNSETS</v>
      </c>
      <c r="M27" s="28"/>
    </row>
    <row r="28">
      <c r="A28" s="251" t="str">
        <f>'MSW26'!A28</f>
        <v/>
      </c>
      <c r="B28" s="252" t="str">
        <f>'MSW26'!B28</f>
        <v/>
      </c>
      <c r="C28" s="253" t="str">
        <f>'MSW26'!C28</f>
        <v/>
      </c>
      <c r="D28" s="254" t="str">
        <f>'MSW26'!D28</f>
        <v/>
      </c>
      <c r="E28" s="544" t="str">
        <f>'MSW26'!E28</f>
        <v/>
      </c>
      <c r="F28" s="67"/>
      <c r="H28" s="251" t="str">
        <f>'MSW26'!H28</f>
        <v/>
      </c>
      <c r="I28" s="252" t="str">
        <f>'MSW26'!I28</f>
        <v/>
      </c>
      <c r="J28" s="253" t="str">
        <f>'MSW26'!J28</f>
        <v/>
      </c>
      <c r="K28" s="254" t="str">
        <f>'MSW26'!K28</f>
        <v/>
      </c>
      <c r="L28" s="84" t="str">
        <f>'MSW26'!L28</f>
        <v/>
      </c>
      <c r="M28" s="67"/>
    </row>
    <row r="29">
      <c r="A29" s="260" t="str">
        <f>'MSW26'!A29</f>
        <v>FILL OUT REP LOG FIRST</v>
      </c>
      <c r="B29" s="16"/>
      <c r="C29" s="16"/>
      <c r="D29" s="16"/>
      <c r="E29" s="16"/>
      <c r="F29" s="230"/>
      <c r="H29" s="260" t="str">
        <f>'MSW26'!H29</f>
        <v>FILL OUT REP LOG FIRST</v>
      </c>
      <c r="I29" s="16"/>
      <c r="J29" s="16"/>
      <c r="K29" s="16"/>
      <c r="L29" s="16"/>
      <c r="M29" s="230"/>
    </row>
    <row r="30">
      <c r="A30" s="545" t="str">
        <f>'MSW26'!A30</f>
        <v/>
      </c>
      <c r="B30" s="261" t="str">
        <f>'MSW26'!B30</f>
        <v/>
      </c>
      <c r="C30" s="262" t="str">
        <f>'MSW26'!C30</f>
        <v/>
      </c>
      <c r="D30" s="65" t="str">
        <f>'MSW26'!D30</f>
        <v/>
      </c>
      <c r="E30" s="544" t="str">
        <f>'MSW26'!E30</f>
        <v/>
      </c>
      <c r="F30" s="263"/>
      <c r="H30" s="91" t="str">
        <f>'MSW26'!H30</f>
        <v/>
      </c>
      <c r="I30" s="261" t="str">
        <f>'MSW26'!I30</f>
        <v/>
      </c>
      <c r="J30" s="262" t="str">
        <f>'MSW26'!J30</f>
        <v/>
      </c>
      <c r="K30" s="65" t="str">
        <f>'MSW26'!K30</f>
        <v/>
      </c>
      <c r="L30" s="84" t="str">
        <f>'MSW26'!L30</f>
        <v/>
      </c>
      <c r="M30" s="263"/>
    </row>
    <row r="31">
      <c r="A31" s="546" t="str">
        <f>'MSW26'!A31</f>
        <v/>
      </c>
      <c r="B31" s="254" t="str">
        <f>'MSW26'!B31</f>
        <v/>
      </c>
      <c r="C31" s="253" t="str">
        <f>'MSW26'!C31</f>
        <v/>
      </c>
      <c r="D31" s="254" t="str">
        <f>'MSW26'!D31</f>
        <v/>
      </c>
      <c r="E31" s="544" t="str">
        <f>'MSW26'!E31</f>
        <v/>
      </c>
      <c r="F31" s="263"/>
      <c r="H31" s="269" t="str">
        <f>'MSW26'!H31</f>
        <v/>
      </c>
      <c r="I31" s="254" t="str">
        <f>'MSW26'!I31</f>
        <v/>
      </c>
      <c r="J31" s="254" t="str">
        <f>'MSW26'!J31</f>
        <v/>
      </c>
      <c r="K31" s="254" t="str">
        <f>'MSW26'!K31</f>
        <v/>
      </c>
      <c r="L31" s="84"/>
      <c r="M31" s="263"/>
    </row>
    <row r="32">
      <c r="A32" s="546" t="str">
        <f>'MSW26'!A32</f>
        <v/>
      </c>
      <c r="B32" s="254" t="str">
        <f>'MSW26'!B32</f>
        <v/>
      </c>
      <c r="C32" s="253" t="str">
        <f>'MSW26'!C32</f>
        <v/>
      </c>
      <c r="D32" s="254" t="str">
        <f>'MSW26'!D32</f>
        <v/>
      </c>
      <c r="E32" s="544" t="str">
        <f>'MSW26'!E32</f>
        <v/>
      </c>
      <c r="F32" s="263"/>
      <c r="H32" s="269" t="str">
        <f>'MSW26'!H32</f>
        <v/>
      </c>
      <c r="I32" s="254" t="str">
        <f>'MSW26'!I32</f>
        <v/>
      </c>
      <c r="J32" s="253" t="str">
        <f>'MSW26'!J32</f>
        <v/>
      </c>
      <c r="K32" s="254" t="str">
        <f>'MSW26'!K32</f>
        <v/>
      </c>
      <c r="L32" s="84"/>
      <c r="M32" s="263"/>
    </row>
    <row r="33">
      <c r="A33" s="546" t="str">
        <f>'MSW26'!A33</f>
        <v/>
      </c>
      <c r="B33" s="254" t="str">
        <f>'MSW26'!B33</f>
        <v/>
      </c>
      <c r="C33" s="253" t="str">
        <f>'MSW26'!C33</f>
        <v/>
      </c>
      <c r="D33" s="254" t="str">
        <f>'MSW26'!D33</f>
        <v/>
      </c>
      <c r="E33" s="544" t="str">
        <f>'MSW26'!E33</f>
        <v/>
      </c>
      <c r="F33" s="263"/>
      <c r="H33" s="269" t="str">
        <f>'MSW26'!H33</f>
        <v/>
      </c>
      <c r="I33" s="254" t="str">
        <f>'MSW26'!I33</f>
        <v/>
      </c>
      <c r="J33" s="253" t="str">
        <f>'MSW26'!J33</f>
        <v/>
      </c>
      <c r="K33" s="254" t="str">
        <f>'MSW26'!K33</f>
        <v/>
      </c>
      <c r="L33" s="84"/>
      <c r="M33" s="263"/>
    </row>
    <row r="34">
      <c r="A34" s="280" t="str">
        <f>'MSW26'!A34</f>
        <v>FINAL MAX</v>
      </c>
      <c r="B34" s="273" t="str">
        <f>'MSW26'!B34</f>
        <v/>
      </c>
      <c r="C34" s="11"/>
      <c r="D34" s="11"/>
      <c r="E34" s="11"/>
      <c r="F34" s="46"/>
      <c r="H34" s="280" t="str">
        <f>'MSW26'!H34</f>
        <v>FINAL MAX</v>
      </c>
      <c r="I34" s="273" t="str">
        <f>'MSW26'!I34</f>
        <v/>
      </c>
      <c r="J34" s="11"/>
      <c r="K34" s="11"/>
      <c r="L34" s="11"/>
      <c r="M34" s="46"/>
    </row>
    <row r="35">
      <c r="A35" s="547"/>
    </row>
    <row r="37">
      <c r="A37" s="73" t="str">
        <f>'MSW26'!A37</f>
        <v>2. DUMBBELL CHEST FLY</v>
      </c>
      <c r="B37" s="53"/>
      <c r="C37" s="53"/>
      <c r="D37" s="53"/>
      <c r="E37" s="53"/>
      <c r="F37" s="54"/>
      <c r="G37" s="543" t="s">
        <v>123</v>
      </c>
      <c r="H37" s="440" t="str">
        <f>'MSW26'!H37</f>
        <v>2. MACHINE CHEST FLY</v>
      </c>
      <c r="I37" s="53"/>
      <c r="J37" s="53"/>
      <c r="K37" s="53"/>
      <c r="L37" s="53"/>
      <c r="M37" s="54"/>
    </row>
    <row r="38">
      <c r="A38" s="226" t="str">
        <f>'MSW26'!A38</f>
        <v>DB INCLINE MAX</v>
      </c>
      <c r="B38" s="548" t="str">
        <f>'MSW26'!B38</f>
        <v/>
      </c>
      <c r="C38" s="13"/>
      <c r="D38" s="13"/>
      <c r="E38" s="13"/>
      <c r="F38" s="57"/>
      <c r="H38" s="228" t="str">
        <f>'MSW26'!H38</f>
        <v>DB INCLINE MAX</v>
      </c>
      <c r="I38" s="549" t="str">
        <f>'MSW26'!I38</f>
        <v/>
      </c>
      <c r="M38" s="28"/>
    </row>
    <row r="39">
      <c r="A39" s="364" t="str">
        <f>'MSW26'!A39</f>
        <v>SET</v>
      </c>
      <c r="B39" s="365" t="str">
        <f>'MSW26'!B39</f>
        <v>WEIGHT</v>
      </c>
      <c r="C39" s="365" t="str">
        <f>'MSW26'!C39</f>
        <v>REPS</v>
      </c>
      <c r="D39" s="365" t="str">
        <f>'MSW26'!D39</f>
        <v>REST</v>
      </c>
      <c r="E39" s="550" t="str">
        <f>'MSW26'!E39</f>
        <v>PREVIOUS</v>
      </c>
      <c r="F39" s="235" t="str">
        <f>'MSW26'!F39</f>
        <v>REP LOG</v>
      </c>
      <c r="G39" s="551"/>
      <c r="H39" s="96" t="str">
        <f>'MSW26'!H39</f>
        <v>SET</v>
      </c>
      <c r="I39" s="97" t="str">
        <f>'MSW26'!I39</f>
        <v>WEIGHT</v>
      </c>
      <c r="J39" s="97" t="str">
        <f>'MSW26'!J39</f>
        <v>REPS</v>
      </c>
      <c r="K39" s="97" t="str">
        <f>'MSW26'!K39</f>
        <v>REST</v>
      </c>
      <c r="L39" s="507" t="str">
        <f>'MSW26'!L39</f>
        <v>PREVIOUS</v>
      </c>
      <c r="M39" s="235" t="str">
        <f>'MSW26'!M39</f>
        <v>REP LOG</v>
      </c>
    </row>
    <row r="40">
      <c r="A40" s="552">
        <f>'MSW26'!A40</f>
        <v>1</v>
      </c>
      <c r="B40" s="553">
        <f>'MSW26'!B40</f>
        <v>0</v>
      </c>
      <c r="C40" s="553">
        <f>'MSW26'!C40</f>
        <v>15</v>
      </c>
      <c r="D40" s="553" t="str">
        <f>'MSW26'!D40</f>
        <v>1 MIN</v>
      </c>
      <c r="E40" s="554" t="str">
        <f>'MSW26'!E40</f>
        <v/>
      </c>
      <c r="F40" s="555"/>
      <c r="H40" s="556">
        <f>'MSW26'!H40</f>
        <v>1</v>
      </c>
      <c r="I40" s="557">
        <f>'MSW26'!I40</f>
        <v>0</v>
      </c>
      <c r="J40" s="557">
        <f>'MSW26'!J40</f>
        <v>15</v>
      </c>
      <c r="K40" s="557" t="str">
        <f>'MSW26'!K40</f>
        <v>1 MIN</v>
      </c>
      <c r="L40" s="557" t="str">
        <f>'MSW26'!L40</f>
        <v/>
      </c>
      <c r="M40" s="555"/>
    </row>
    <row r="41">
      <c r="A41" s="558">
        <f>'MSW26'!A41</f>
        <v>2</v>
      </c>
      <c r="B41" s="559">
        <f>'MSW26'!B41</f>
        <v>0</v>
      </c>
      <c r="C41" s="559">
        <f>'MSW26'!C41</f>
        <v>15</v>
      </c>
      <c r="D41" s="559" t="str">
        <f>'MSW26'!D41</f>
        <v>1 MIN</v>
      </c>
      <c r="E41" s="560" t="str">
        <f>'MSW26'!E41</f>
        <v/>
      </c>
      <c r="F41" s="555"/>
      <c r="H41" s="561">
        <f>'MSW26'!H41</f>
        <v>2</v>
      </c>
      <c r="I41" s="562">
        <f>'MSW26'!I41</f>
        <v>0</v>
      </c>
      <c r="J41" s="562">
        <f>'MSW26'!J41</f>
        <v>15</v>
      </c>
      <c r="K41" s="562" t="str">
        <f>'MSW26'!K41</f>
        <v>1 MIN</v>
      </c>
      <c r="L41" s="562" t="str">
        <f>'MSW26'!L41</f>
        <v/>
      </c>
      <c r="M41" s="555"/>
    </row>
    <row r="42">
      <c r="A42" s="563"/>
    </row>
    <row r="44">
      <c r="A44" s="564" t="str">
        <f>'MSW26'!A44</f>
        <v>3. MACHINE LOW ROW </v>
      </c>
      <c r="B44" s="53"/>
      <c r="C44" s="53"/>
      <c r="D44" s="53"/>
      <c r="E44" s="53"/>
      <c r="F44" s="54"/>
      <c r="G44" s="551"/>
    </row>
    <row r="45">
      <c r="A45" s="226" t="str">
        <f>'MSW26'!A45</f>
        <v>CURRENT MAX</v>
      </c>
      <c r="B45" s="227">
        <f>'MSW26'!B45</f>
        <v>185</v>
      </c>
      <c r="C45" s="20"/>
      <c r="D45" s="20"/>
      <c r="E45" s="20"/>
      <c r="F45" s="95"/>
    </row>
    <row r="46">
      <c r="A46" s="231" t="str">
        <f>'MSW26'!A46</f>
        <v>SET</v>
      </c>
      <c r="B46" s="232" t="str">
        <f>'MSW26'!B46</f>
        <v>WEIGHT</v>
      </c>
      <c r="C46" s="232" t="str">
        <f>'MSW26'!C46</f>
        <v>REPS</v>
      </c>
      <c r="D46" s="232" t="str">
        <f>'MSW26'!D46</f>
        <v>REST</v>
      </c>
      <c r="E46" s="233" t="str">
        <f>'MSW26'!E46</f>
        <v>PREVIOUS</v>
      </c>
      <c r="F46" s="235" t="str">
        <f>'MSW26'!F46</f>
        <v>REP LOG</v>
      </c>
    </row>
    <row r="47">
      <c r="A47" s="236">
        <f>'MSW26'!A47</f>
        <v>1</v>
      </c>
      <c r="B47" s="237">
        <f>'MSW26'!B47</f>
        <v>65</v>
      </c>
      <c r="C47" s="237">
        <f>'MSW26'!C47</f>
        <v>6</v>
      </c>
      <c r="D47" s="238" t="str">
        <f>'MSW26'!D47</f>
        <v>30s</v>
      </c>
      <c r="E47" s="66" t="str">
        <f>'MSW26'!E47</f>
        <v/>
      </c>
      <c r="F47" s="67">
        <v>6.0</v>
      </c>
    </row>
    <row r="48">
      <c r="A48" s="236">
        <f>'MSW26'!A48</f>
        <v>2</v>
      </c>
      <c r="B48" s="237">
        <f>'MSW26'!B48</f>
        <v>120</v>
      </c>
      <c r="C48" s="238">
        <f>'MSW26'!C48</f>
        <v>3</v>
      </c>
      <c r="D48" s="238" t="str">
        <f>'MSW26'!D48</f>
        <v>1-2 MIN</v>
      </c>
      <c r="E48" s="66" t="str">
        <f>'MSW26'!E48</f>
        <v/>
      </c>
      <c r="F48" s="67">
        <v>3.0</v>
      </c>
    </row>
    <row r="49">
      <c r="A49" s="242">
        <f>'MSW26'!A49</f>
        <v>3</v>
      </c>
      <c r="B49" s="237">
        <f>'MSW26'!B49</f>
        <v>165</v>
      </c>
      <c r="C49" s="63">
        <f>'MSW26'!C49</f>
        <v>2</v>
      </c>
      <c r="D49" s="238" t="str">
        <f>'MSW26'!D49</f>
        <v>1-2 MIN</v>
      </c>
      <c r="E49" s="66" t="str">
        <f>'MSW26'!E49</f>
        <v/>
      </c>
      <c r="F49" s="67">
        <v>2.0</v>
      </c>
    </row>
    <row r="50">
      <c r="A50" s="243">
        <f>'MSW26'!A50</f>
        <v>4</v>
      </c>
      <c r="B50" s="237">
        <f>'MSW26'!B50</f>
        <v>185</v>
      </c>
      <c r="C50" s="63">
        <f>'MSW26'!C50</f>
        <v>3</v>
      </c>
      <c r="D50" s="238" t="str">
        <f>'MSW26'!D50</f>
        <v>1-5 MIN</v>
      </c>
      <c r="E50" s="66"/>
      <c r="F50" s="67">
        <v>3.0</v>
      </c>
    </row>
    <row r="51">
      <c r="A51" s="246" t="str">
        <f>'MSW26'!A51</f>
        <v>NEW 4 REP MAX ATTEMPT</v>
      </c>
      <c r="B51" s="20"/>
      <c r="C51" s="20"/>
      <c r="D51" s="20"/>
      <c r="E51" s="20"/>
      <c r="F51" s="95"/>
    </row>
    <row r="52">
      <c r="A52" s="249">
        <f>'MSW26'!A52</f>
        <v>5</v>
      </c>
      <c r="B52" s="237">
        <f>'MSW26'!B52</f>
        <v>190</v>
      </c>
      <c r="C52" s="237">
        <f>'MSW26'!C52</f>
        <v>4</v>
      </c>
      <c r="D52" s="237" t="str">
        <f>'MSW26'!D52</f>
        <v>1-5 MIN</v>
      </c>
      <c r="E52" s="250"/>
      <c r="F52" s="67">
        <v>4.0</v>
      </c>
    </row>
    <row r="53">
      <c r="A53" s="259" t="str">
        <f>'MSW26'!A53</f>
        <v>6</v>
      </c>
      <c r="B53" s="237">
        <f>'MSW26'!B53</f>
        <v>195</v>
      </c>
      <c r="C53" s="237" t="str">
        <f>'MSW26'!C53</f>
        <v>4</v>
      </c>
      <c r="D53" s="237" t="str">
        <f>'MSW26'!D53</f>
        <v>1-5 MIN</v>
      </c>
      <c r="E53" s="258" t="str">
        <f>'MSW26'!E53</f>
        <v/>
      </c>
      <c r="F53" s="67">
        <v>4.0</v>
      </c>
    </row>
    <row r="54">
      <c r="A54" s="246" t="str">
        <f>'MSW26'!A54</f>
        <v>DOWN SETS</v>
      </c>
      <c r="B54" s="20"/>
      <c r="C54" s="20"/>
      <c r="D54" s="20"/>
      <c r="E54" s="20"/>
      <c r="F54" s="95"/>
    </row>
    <row r="55">
      <c r="A55" s="264">
        <f>'MSW26'!A55</f>
        <v>7</v>
      </c>
      <c r="B55" s="265">
        <f>'MSW26'!B55</f>
        <v>155</v>
      </c>
      <c r="C55" s="266" t="str">
        <f>'MSW26'!C55</f>
        <v>REP OUT</v>
      </c>
      <c r="D55" s="267" t="str">
        <f>'MSW26'!D55</f>
        <v>1-3 MIN</v>
      </c>
      <c r="E55" s="268" t="str">
        <f>'MSW26'!E55</f>
        <v/>
      </c>
      <c r="F55" s="555">
        <v>11.0</v>
      </c>
    </row>
    <row r="56">
      <c r="A56" s="243">
        <f>'MSW26'!A56</f>
        <v>8</v>
      </c>
      <c r="B56" s="237">
        <f>'MSW26'!B56</f>
        <v>135</v>
      </c>
      <c r="C56" s="438" t="str">
        <f>'MSW26'!C56</f>
        <v>REP OUT</v>
      </c>
      <c r="D56" s="237" t="str">
        <f>'MSW26'!D56</f>
        <v>1-3 MIN</v>
      </c>
      <c r="E56" s="258"/>
      <c r="F56" s="555">
        <v>11.0</v>
      </c>
    </row>
    <row r="57">
      <c r="A57" s="272" t="str">
        <f>'MSW26'!A57</f>
        <v>FINAL MAX</v>
      </c>
      <c r="B57" s="273">
        <f>'MSW26'!B57</f>
        <v>195</v>
      </c>
      <c r="C57" s="11"/>
      <c r="D57" s="11"/>
      <c r="E57" s="11"/>
      <c r="F57" s="46"/>
      <c r="G57" s="551"/>
    </row>
    <row r="58">
      <c r="A58" s="565"/>
    </row>
    <row r="59">
      <c r="A59" s="564" t="str">
        <f>'MSW26'!A59</f>
        <v>4. HIGH ROW</v>
      </c>
      <c r="B59" s="53"/>
      <c r="C59" s="53"/>
      <c r="D59" s="53"/>
      <c r="E59" s="53"/>
      <c r="F59" s="54"/>
    </row>
    <row r="60">
      <c r="A60" s="226" t="str">
        <f>'MSW26'!A60</f>
        <v>CURRENT MAX</v>
      </c>
      <c r="B60" s="566">
        <f>'MSW26'!B60</f>
        <v>145</v>
      </c>
      <c r="C60" s="13"/>
      <c r="D60" s="13"/>
      <c r="E60" s="13"/>
      <c r="F60" s="57"/>
    </row>
    <row r="61">
      <c r="A61" s="567" t="str">
        <f>'MSW26'!A61</f>
        <v>SET</v>
      </c>
      <c r="B61" s="568" t="str">
        <f>'MSW26'!B61</f>
        <v>WEIGHT</v>
      </c>
      <c r="C61" s="568" t="str">
        <f>'MSW26'!C61</f>
        <v>REPS</v>
      </c>
      <c r="D61" s="568" t="str">
        <f>'MSW26'!D61</f>
        <v>REST</v>
      </c>
      <c r="E61" s="569" t="str">
        <f>'MSW26'!A59:F59</f>
        <v/>
      </c>
      <c r="F61" s="235" t="str">
        <f>'MSW26'!F61</f>
        <v>REP LOG</v>
      </c>
    </row>
    <row r="62">
      <c r="A62" s="570">
        <f>'MSW26'!A62</f>
        <v>1</v>
      </c>
      <c r="B62" s="571">
        <f>'MSW26'!B62</f>
        <v>125</v>
      </c>
      <c r="C62" s="572" t="str">
        <f>'MSW26'!C62</f>
        <v>REP OUT</v>
      </c>
      <c r="D62" s="571" t="str">
        <f>'MSW26'!D62</f>
        <v>1 MIN</v>
      </c>
      <c r="E62" s="573" t="str">
        <f>'MSW26'!E62</f>
        <v/>
      </c>
      <c r="F62" s="555">
        <v>20.0</v>
      </c>
    </row>
    <row r="63">
      <c r="A63" s="570">
        <f>'MSW26'!A63</f>
        <v>2</v>
      </c>
      <c r="B63" s="571">
        <f>'MSW26'!B63</f>
        <v>125</v>
      </c>
      <c r="C63" s="572" t="str">
        <f>'MSW26'!C63</f>
        <v>REP OUT</v>
      </c>
      <c r="D63" s="571" t="str">
        <f>'MSW26'!D63</f>
        <v>1 MIN</v>
      </c>
      <c r="E63" s="573" t="str">
        <f>'MSW26'!E63</f>
        <v/>
      </c>
      <c r="F63" s="555">
        <v>19.0</v>
      </c>
    </row>
    <row r="64">
      <c r="A64" s="574">
        <f>'MSW26'!A64</f>
        <v>3</v>
      </c>
      <c r="B64" s="575">
        <f>'MSW26'!B64</f>
        <v>125</v>
      </c>
      <c r="C64" s="576" t="str">
        <f>'MSW26'!C64</f>
        <v>REP OUT</v>
      </c>
      <c r="D64" s="575" t="str">
        <f>'MSW26'!D64</f>
        <v>1 MIN</v>
      </c>
      <c r="E64" s="577" t="str">
        <f>'MSW26'!E64</f>
        <v/>
      </c>
      <c r="F64" s="555"/>
    </row>
    <row r="65">
      <c r="A65" s="578"/>
    </row>
    <row r="67">
      <c r="A67" s="73" t="str">
        <f>'MSW26'!A67</f>
        <v>5. LAT PULL DOWN</v>
      </c>
      <c r="B67" s="53"/>
      <c r="C67" s="53"/>
      <c r="D67" s="53"/>
      <c r="E67" s="53"/>
      <c r="F67" s="54"/>
    </row>
    <row r="68">
      <c r="A68" s="226" t="str">
        <f>'MSW26'!A68</f>
        <v>CURRENT MAX</v>
      </c>
      <c r="B68" s="566">
        <f>'MSW26'!B68</f>
        <v>215</v>
      </c>
      <c r="C68" s="13"/>
      <c r="D68" s="13"/>
      <c r="E68" s="13"/>
      <c r="F68" s="57"/>
    </row>
    <row r="69">
      <c r="A69" s="364" t="str">
        <f>'MSW26'!A69</f>
        <v>SET</v>
      </c>
      <c r="B69" s="365" t="str">
        <f>'MSW26'!B69</f>
        <v>WEIGHT</v>
      </c>
      <c r="C69" s="365" t="str">
        <f>'MSW26'!C69</f>
        <v>REPS</v>
      </c>
      <c r="D69" s="365" t="str">
        <f>'MSW26'!D69</f>
        <v>REST</v>
      </c>
      <c r="E69" s="550" t="str">
        <f>'MSW26'!E69</f>
        <v>PREVIOUS</v>
      </c>
      <c r="F69" s="235" t="str">
        <f>'MSW26'!F69</f>
        <v>REP LOG</v>
      </c>
    </row>
    <row r="70">
      <c r="A70" s="244">
        <f>'MSW26'!A70</f>
        <v>1</v>
      </c>
      <c r="B70" s="571">
        <f>'MSW26'!B70</f>
        <v>170</v>
      </c>
      <c r="C70" s="572" t="str">
        <f>'MSW26'!C70</f>
        <v>REP OUT</v>
      </c>
      <c r="D70" s="571" t="str">
        <f>'MSW26'!D70</f>
        <v>1 MIN</v>
      </c>
      <c r="E70" s="573" t="str">
        <f>'MSW26'!E70</f>
        <v/>
      </c>
      <c r="F70" s="555">
        <v>4.0</v>
      </c>
    </row>
    <row r="71">
      <c r="A71" s="244">
        <f>'MSW26'!A71</f>
        <v>2</v>
      </c>
      <c r="B71" s="571">
        <f>'MSW26'!B71</f>
        <v>145</v>
      </c>
      <c r="C71" s="572" t="str">
        <f>'MSW26'!C71</f>
        <v>REP OUT</v>
      </c>
      <c r="D71" s="571" t="str">
        <f>'MSW26'!D71</f>
        <v>1 MIN</v>
      </c>
      <c r="E71" s="573" t="str">
        <f>'MSW26'!E71</f>
        <v/>
      </c>
      <c r="F71" s="555">
        <v>12.0</v>
      </c>
    </row>
    <row r="72">
      <c r="A72" s="579">
        <f>'MSW26'!A72</f>
        <v>3</v>
      </c>
      <c r="B72" s="575">
        <f>'MSW26'!B72</f>
        <v>145</v>
      </c>
      <c r="C72" s="576" t="str">
        <f>'MSW26'!C72</f>
        <v>REP OUT</v>
      </c>
      <c r="D72" s="575" t="str">
        <f>'MSW26'!D72</f>
        <v>1 MIN</v>
      </c>
      <c r="E72" s="577" t="str">
        <f>'MSW26'!E72</f>
        <v/>
      </c>
      <c r="F72" s="555"/>
    </row>
    <row r="73">
      <c r="A73" s="580"/>
      <c r="B73" s="25"/>
      <c r="C73" s="25"/>
      <c r="D73" s="25"/>
      <c r="E73" s="25"/>
      <c r="F73" s="25"/>
    </row>
    <row r="74">
      <c r="A74" s="581" t="str">
        <f>'MSW26'!A74</f>
        <v>CLICK TO COMPLETE WORKOUT</v>
      </c>
      <c r="B74" s="25"/>
      <c r="C74" s="25"/>
      <c r="D74" s="25"/>
      <c r="E74" s="25"/>
      <c r="F74" s="26"/>
    </row>
    <row r="75">
      <c r="A75" s="336"/>
      <c r="B75" s="11"/>
      <c r="C75" s="11"/>
      <c r="D75" s="11"/>
      <c r="E75" s="11"/>
      <c r="F75" s="46"/>
    </row>
    <row r="76">
      <c r="A76" s="582"/>
      <c r="B76" s="36"/>
      <c r="C76" s="36"/>
      <c r="D76" s="36"/>
      <c r="E76" s="36"/>
      <c r="F76" s="36"/>
    </row>
    <row r="77">
      <c r="A77" s="538" t="s">
        <v>59</v>
      </c>
      <c r="B77" s="36"/>
      <c r="C77" s="36"/>
      <c r="D77" s="36"/>
      <c r="E77" s="36"/>
      <c r="F77" s="37"/>
    </row>
    <row r="78">
      <c r="A78" s="583"/>
    </row>
    <row r="79">
      <c r="A79" s="542" t="str">
        <f>'MSW26'!A79</f>
        <v>LEGS</v>
      </c>
      <c r="B79" s="36"/>
      <c r="C79" s="36"/>
      <c r="D79" s="36"/>
      <c r="E79" s="36"/>
      <c r="F79" s="37"/>
    </row>
    <row r="80">
      <c r="A80" s="73" t="str">
        <f>'MSW26'!A80</f>
        <v> 1. SISSY SQUATS</v>
      </c>
      <c r="B80" s="53"/>
      <c r="C80" s="53"/>
      <c r="D80" s="53"/>
      <c r="E80" s="53"/>
      <c r="F80" s="54"/>
    </row>
    <row r="81">
      <c r="A81" s="58" t="str">
        <f>'MSW26'!A81</f>
        <v>SET</v>
      </c>
      <c r="B81" s="59" t="str">
        <f>'MSW26'!B81</f>
        <v>WEIGHT</v>
      </c>
      <c r="C81" s="59" t="str">
        <f>'MSW26'!C81</f>
        <v>REPS</v>
      </c>
      <c r="D81" s="59" t="str">
        <f>'MSW26'!D81</f>
        <v>REST</v>
      </c>
      <c r="E81" s="584" t="str">
        <f>'MSW26'!E81</f>
        <v>PREVIOUS</v>
      </c>
      <c r="F81" s="235" t="str">
        <f>'MSW26'!F81</f>
        <v>REP LOG</v>
      </c>
    </row>
    <row r="82">
      <c r="A82" s="62">
        <f>'MSW26'!A82</f>
        <v>1</v>
      </c>
      <c r="B82" s="585" t="str">
        <f>'MSW26'!B82</f>
        <v>BODY</v>
      </c>
      <c r="C82" s="585">
        <f>'MSW26'!C82</f>
        <v>10</v>
      </c>
      <c r="D82" s="585" t="str">
        <f>'MSW26'!D82</f>
        <v>1-2 MIN</v>
      </c>
      <c r="E82" s="586" t="str">
        <f>'MSW26'!E82</f>
        <v/>
      </c>
      <c r="F82" s="555"/>
    </row>
    <row r="83">
      <c r="A83" s="68">
        <f>'MSW26'!A83</f>
        <v>2</v>
      </c>
      <c r="B83" s="587" t="str">
        <f>'MSW26'!B83</f>
        <v>BODY</v>
      </c>
      <c r="C83" s="587">
        <f>'MSW26'!C83</f>
        <v>10</v>
      </c>
      <c r="D83" s="587" t="str">
        <f>'MSW26'!D83</f>
        <v>1-2 MIN</v>
      </c>
      <c r="E83" s="588" t="str">
        <f>'MSW26'!E83</f>
        <v/>
      </c>
      <c r="F83" s="555"/>
    </row>
    <row r="84">
      <c r="A84" s="578"/>
    </row>
    <row r="86">
      <c r="A86" s="73" t="str">
        <f>'MSW26'!A86</f>
        <v>2. LEG PRESS</v>
      </c>
      <c r="B86" s="53"/>
      <c r="C86" s="53"/>
      <c r="D86" s="53"/>
      <c r="E86" s="53"/>
      <c r="F86" s="54"/>
    </row>
    <row r="87">
      <c r="A87" s="589" t="str">
        <f>'MSW26'!A87</f>
        <v>CURRENT MAX</v>
      </c>
      <c r="B87" s="227">
        <f>'MSW26'!B87</f>
        <v>250</v>
      </c>
      <c r="C87" s="20"/>
      <c r="D87" s="20"/>
      <c r="E87" s="20"/>
      <c r="F87" s="95"/>
    </row>
    <row r="88">
      <c r="A88" s="567" t="str">
        <f>'MSW26'!A88</f>
        <v>SET</v>
      </c>
      <c r="B88" s="568" t="str">
        <f>'MSW26'!B88</f>
        <v>WEIGHT</v>
      </c>
      <c r="C88" s="568" t="str">
        <f>'MSW26'!C88</f>
        <v>REPS</v>
      </c>
      <c r="D88" s="568" t="str">
        <f>'MSW26'!D88</f>
        <v>REST</v>
      </c>
      <c r="E88" s="569" t="str">
        <f>'MSW26'!E88</f>
        <v>PREVIOUS</v>
      </c>
      <c r="F88" s="235" t="str">
        <f>'MSW26'!F88</f>
        <v>REP LOG</v>
      </c>
    </row>
    <row r="89">
      <c r="A89" s="570">
        <f>'MSW26'!A89</f>
        <v>1</v>
      </c>
      <c r="B89" s="571">
        <f>'MSW26'!B89</f>
        <v>125</v>
      </c>
      <c r="C89" s="571">
        <f>'MSW26'!C89</f>
        <v>20</v>
      </c>
      <c r="D89" s="571" t="str">
        <f>'MSW26'!D89</f>
        <v>1-5 MIN</v>
      </c>
      <c r="E89" s="573" t="str">
        <f>'MSW26'!E89</f>
        <v/>
      </c>
      <c r="F89" s="555"/>
    </row>
    <row r="90">
      <c r="A90" s="570">
        <f>'MSW26'!A90</f>
        <v>2</v>
      </c>
      <c r="B90" s="571">
        <f>'MSW26'!B90</f>
        <v>165</v>
      </c>
      <c r="C90" s="571">
        <f>'MSW26'!C90</f>
        <v>20</v>
      </c>
      <c r="D90" s="571" t="str">
        <f>'MSW26'!D90</f>
        <v>1-5 MIN</v>
      </c>
      <c r="E90" s="573" t="str">
        <f>'MSW26'!E90</f>
        <v/>
      </c>
      <c r="F90" s="555"/>
    </row>
    <row r="91">
      <c r="A91" s="570">
        <f>'MSW26'!A91</f>
        <v>3</v>
      </c>
      <c r="B91" s="571">
        <f>'MSW26'!B91</f>
        <v>200</v>
      </c>
      <c r="C91" s="571">
        <f>'MSW26'!C91</f>
        <v>20</v>
      </c>
      <c r="D91" s="571" t="str">
        <f>'MSW26'!D91</f>
        <v>1-5 MIN</v>
      </c>
      <c r="E91" s="573" t="str">
        <f>'MSW26'!E91</f>
        <v/>
      </c>
      <c r="F91" s="555"/>
    </row>
    <row r="92">
      <c r="A92" s="570">
        <f>'MSW26'!A92</f>
        <v>4</v>
      </c>
      <c r="B92" s="571">
        <f>'MSW26'!B92</f>
        <v>240</v>
      </c>
      <c r="C92" s="571">
        <f>'MSW26'!C92</f>
        <v>15</v>
      </c>
      <c r="D92" s="571" t="str">
        <f>'MSW26'!D92</f>
        <v>1-5 MIN</v>
      </c>
      <c r="E92" s="573" t="str">
        <f>'MSW26'!E92</f>
        <v/>
      </c>
      <c r="F92" s="555"/>
    </row>
    <row r="93">
      <c r="A93" s="570">
        <f>'MSW26'!A93</f>
        <v>5</v>
      </c>
      <c r="B93" s="571">
        <f>'MSW26'!B93</f>
        <v>265</v>
      </c>
      <c r="C93" s="571" t="str">
        <f>'MSW26'!C93</f>
        <v>10 - 20</v>
      </c>
      <c r="D93" s="571" t="str">
        <f>'MSW26'!D93</f>
        <v>1-5 MIN</v>
      </c>
      <c r="E93" s="573" t="str">
        <f>'MSW26'!E93</f>
        <v/>
      </c>
      <c r="F93" s="555"/>
    </row>
    <row r="94">
      <c r="A94" s="570">
        <f>'MSW26'!A94</f>
        <v>6</v>
      </c>
      <c r="B94" s="571">
        <f>'MSW26'!B94</f>
        <v>250</v>
      </c>
      <c r="C94" s="572" t="str">
        <f>'MSW26'!C94</f>
        <v>REP OUT</v>
      </c>
      <c r="D94" s="571" t="str">
        <f>'MSW26'!D94</f>
        <v>1-5 MIN</v>
      </c>
      <c r="E94" s="573" t="str">
        <f>'MSW26'!E94</f>
        <v/>
      </c>
      <c r="F94" s="555"/>
    </row>
    <row r="95">
      <c r="A95" s="570">
        <f>'MSW26'!A95</f>
        <v>7</v>
      </c>
      <c r="B95" s="571">
        <f>'MSW26'!B95</f>
        <v>240</v>
      </c>
      <c r="C95" s="572" t="str">
        <f>'MSW26'!C95</f>
        <v>REP OUT</v>
      </c>
      <c r="D95" s="571" t="str">
        <f>'MSW26'!D95</f>
        <v>1-5 MIN</v>
      </c>
      <c r="E95" s="573" t="str">
        <f>'MSW26'!E95</f>
        <v/>
      </c>
      <c r="F95" s="555"/>
    </row>
    <row r="96">
      <c r="A96" s="272" t="str">
        <f>'MSW26'!A96</f>
        <v>10 REP MAX</v>
      </c>
      <c r="B96" s="332">
        <f>'MSW26'!B96</f>
        <v>250</v>
      </c>
      <c r="C96" s="33"/>
      <c r="D96" s="33"/>
      <c r="E96" s="33"/>
      <c r="F96" s="34"/>
    </row>
    <row r="97">
      <c r="A97" s="590"/>
    </row>
    <row r="99">
      <c r="A99" s="73" t="str">
        <f>'MSW26'!A99</f>
        <v>3. LEG EXTENSION</v>
      </c>
      <c r="B99" s="53"/>
      <c r="C99" s="53"/>
      <c r="D99" s="53"/>
      <c r="E99" s="53"/>
      <c r="F99" s="54"/>
    </row>
    <row r="100">
      <c r="A100" s="226" t="str">
        <f>'MSW26'!A100</f>
        <v>CURRENT MAX</v>
      </c>
      <c r="B100" s="566">
        <f>'MSW26'!B100</f>
        <v>50</v>
      </c>
      <c r="C100" s="13"/>
      <c r="D100" s="13"/>
      <c r="E100" s="13"/>
      <c r="F100" s="57"/>
    </row>
    <row r="101">
      <c r="A101" s="364" t="str">
        <f>'MSW26'!A101</f>
        <v>SET</v>
      </c>
      <c r="B101" s="365" t="str">
        <f>'MSW26'!B101</f>
        <v>WEIGHT</v>
      </c>
      <c r="C101" s="365" t="str">
        <f>'MSW26'!C101</f>
        <v>REPS</v>
      </c>
      <c r="D101" s="365" t="str">
        <f>'MSW26'!D101</f>
        <v>REST</v>
      </c>
      <c r="E101" s="550" t="str">
        <f>'MSW26'!E101</f>
        <v>PREVIOUS</v>
      </c>
      <c r="F101" s="235" t="str">
        <f>'MSW26'!F101</f>
        <v>REP LOG</v>
      </c>
    </row>
    <row r="102">
      <c r="A102" s="570">
        <f>'MSW26'!A102</f>
        <v>1</v>
      </c>
      <c r="B102" s="591">
        <f>'MSW26'!B102</f>
        <v>50</v>
      </c>
      <c r="C102" s="592">
        <f>'MSW26'!C102</f>
        <v>20</v>
      </c>
      <c r="D102" s="591" t="str">
        <f>'MSW26'!D102</f>
        <v>1 MIN</v>
      </c>
      <c r="E102" s="593" t="str">
        <f>'MSW26'!E102</f>
        <v/>
      </c>
      <c r="F102" s="555"/>
    </row>
    <row r="103">
      <c r="A103" s="570">
        <f>'MSW26'!A103</f>
        <v>2</v>
      </c>
      <c r="B103" s="591">
        <f>'MSW26'!B103</f>
        <v>40</v>
      </c>
      <c r="C103" s="592">
        <f>'MSW26'!C103</f>
        <v>20</v>
      </c>
      <c r="D103" s="591" t="str">
        <f>'MSW26'!D103</f>
        <v>1 MIN</v>
      </c>
      <c r="E103" s="593" t="str">
        <f>'MSW26'!E103</f>
        <v/>
      </c>
      <c r="F103" s="555"/>
    </row>
    <row r="104">
      <c r="A104" s="570">
        <f>'MSW26'!A104</f>
        <v>3</v>
      </c>
      <c r="B104" s="591">
        <f>'MSW26'!B104</f>
        <v>30</v>
      </c>
      <c r="C104" s="592">
        <f>'MSW26'!C104</f>
        <v>20</v>
      </c>
      <c r="D104" s="591" t="str">
        <f>'MSW26'!D104</f>
        <v>1 MIN</v>
      </c>
      <c r="E104" s="593" t="str">
        <f>'MSW26'!E104</f>
        <v/>
      </c>
      <c r="F104" s="555"/>
    </row>
    <row r="105">
      <c r="A105" s="272" t="s">
        <v>124</v>
      </c>
      <c r="B105" s="332">
        <f>'MSW26'!B105</f>
        <v>50</v>
      </c>
      <c r="C105" s="33"/>
      <c r="D105" s="33"/>
      <c r="E105" s="33"/>
      <c r="F105" s="34"/>
    </row>
    <row r="106">
      <c r="A106" s="594"/>
    </row>
    <row r="108">
      <c r="A108" s="595" t="str">
        <f>'MSW26'!A108</f>
        <v>4. LEG CURL</v>
      </c>
      <c r="B108" s="53"/>
      <c r="C108" s="53"/>
      <c r="D108" s="53"/>
      <c r="E108" s="53"/>
      <c r="F108" s="54"/>
      <c r="G108" s="543" t="s">
        <v>123</v>
      </c>
      <c r="H108" s="595" t="str">
        <f>'MSW26'!H108</f>
        <v>4. PRONE LEG CURL</v>
      </c>
      <c r="I108" s="53"/>
      <c r="J108" s="53"/>
      <c r="K108" s="53"/>
      <c r="L108" s="53"/>
      <c r="M108" s="54"/>
    </row>
    <row r="109">
      <c r="A109" s="226" t="str">
        <f>'MSW26'!A109</f>
        <v>CURRENT MAX</v>
      </c>
      <c r="B109" s="566">
        <f>'MSW26'!B109</f>
        <v>15</v>
      </c>
      <c r="C109" s="13"/>
      <c r="D109" s="13"/>
      <c r="E109" s="13"/>
      <c r="F109" s="57"/>
      <c r="H109" s="596" t="str">
        <f>'MSW26'!H109</f>
        <v>CURRENT MAX</v>
      </c>
      <c r="I109" s="597">
        <f>'MSW26'!I109</f>
        <v>15</v>
      </c>
      <c r="J109" s="20"/>
      <c r="K109" s="20"/>
      <c r="L109" s="20"/>
      <c r="M109" s="95"/>
    </row>
    <row r="110">
      <c r="A110" s="364" t="str">
        <f>'MSW26'!A110</f>
        <v>SET</v>
      </c>
      <c r="B110" s="365" t="str">
        <f>'MSW26'!B110</f>
        <v>WEIGHT</v>
      </c>
      <c r="C110" s="365" t="str">
        <f>'MSW26'!C110</f>
        <v>REPS</v>
      </c>
      <c r="D110" s="365" t="str">
        <f>'MSW26'!D110</f>
        <v>REST</v>
      </c>
      <c r="E110" s="550" t="str">
        <f>'MSW26'!E110</f>
        <v>PREVIOUS</v>
      </c>
      <c r="F110" s="235" t="str">
        <f>'MSW26'!F110</f>
        <v>REP LOG</v>
      </c>
      <c r="G110" s="598"/>
      <c r="H110" s="364" t="str">
        <f>'MSW26'!H110</f>
        <v>SET</v>
      </c>
      <c r="I110" s="365" t="str">
        <f>'MSW26'!I110</f>
        <v>WEIGHT</v>
      </c>
      <c r="J110" s="365" t="str">
        <f>'MSW26'!J110</f>
        <v>REPS</v>
      </c>
      <c r="K110" s="365" t="str">
        <f>'MSW26'!K110</f>
        <v>REST</v>
      </c>
      <c r="L110" s="550" t="str">
        <f>'MSW26'!L110</f>
        <v>PREVIOUS</v>
      </c>
      <c r="M110" s="235" t="str">
        <f>'MSW26'!M110</f>
        <v>REP LOG</v>
      </c>
    </row>
    <row r="111">
      <c r="A111" s="570">
        <f>'MSW26'!A111</f>
        <v>1</v>
      </c>
      <c r="B111" s="591">
        <f>'MSW26'!B111</f>
        <v>15</v>
      </c>
      <c r="C111" s="592">
        <f>'MSW26'!C111</f>
        <v>20</v>
      </c>
      <c r="D111" s="591" t="str">
        <f>'MSW26'!D111</f>
        <v>1 MIN</v>
      </c>
      <c r="E111" s="591" t="str">
        <f>'MSW26'!E111</f>
        <v/>
      </c>
      <c r="F111" s="555"/>
      <c r="H111" s="599">
        <f>'MSW26'!H111</f>
        <v>1</v>
      </c>
      <c r="I111" s="591">
        <f>'MSW26'!I111</f>
        <v>15</v>
      </c>
      <c r="J111" s="592">
        <f>'MSW26'!J111</f>
        <v>20</v>
      </c>
      <c r="K111" s="591" t="str">
        <f>'MSW26'!K111</f>
        <v>1 MIN</v>
      </c>
      <c r="L111" s="591" t="str">
        <f>'MSW26'!L111</f>
        <v/>
      </c>
      <c r="M111" s="555"/>
    </row>
    <row r="112">
      <c r="A112" s="570">
        <f>'MSW26'!A112</f>
        <v>2</v>
      </c>
      <c r="B112" s="591">
        <f>'MSW26'!B112</f>
        <v>10</v>
      </c>
      <c r="C112" s="592">
        <f>'MSW26'!C112</f>
        <v>20</v>
      </c>
      <c r="D112" s="591" t="str">
        <f>'MSW26'!D112</f>
        <v>1 MIN</v>
      </c>
      <c r="E112" s="591" t="str">
        <f>'MSW26'!E112</f>
        <v/>
      </c>
      <c r="F112" s="555"/>
      <c r="H112" s="599">
        <f>'MSW26'!H112</f>
        <v>2</v>
      </c>
      <c r="I112" s="591">
        <f>'MSW26'!I112</f>
        <v>10</v>
      </c>
      <c r="J112" s="600" t="str">
        <f>'MSW26'!J112</f>
        <v>REP OUT</v>
      </c>
      <c r="K112" s="591" t="str">
        <f>'MSW26'!K112</f>
        <v>1 MIN</v>
      </c>
      <c r="L112" s="591" t="str">
        <f>'MSW26'!L112</f>
        <v/>
      </c>
      <c r="M112" s="555"/>
    </row>
    <row r="113">
      <c r="A113" s="570">
        <f>'MSW26'!A113</f>
        <v>3</v>
      </c>
      <c r="B113" s="591">
        <f>'MSW26'!B113</f>
        <v>10</v>
      </c>
      <c r="C113" s="592">
        <f>'MSW26'!C113</f>
        <v>20</v>
      </c>
      <c r="D113" s="591" t="str">
        <f>'MSW26'!D113</f>
        <v>1 MIN</v>
      </c>
      <c r="E113" s="591" t="str">
        <f>'MSW26'!E113</f>
        <v/>
      </c>
      <c r="F113" s="555"/>
      <c r="H113" s="599">
        <f>'MSW26'!H113</f>
        <v>3</v>
      </c>
      <c r="I113" s="591">
        <f>'MSW26'!I113</f>
        <v>10</v>
      </c>
      <c r="J113" s="600" t="str">
        <f>'MSW26'!J113</f>
        <v>REP OUT</v>
      </c>
      <c r="K113" s="591" t="str">
        <f>'MSW26'!K113</f>
        <v>1 MIN</v>
      </c>
      <c r="L113" s="591" t="str">
        <f>'MSW26'!L113</f>
        <v/>
      </c>
      <c r="M113" s="555"/>
    </row>
    <row r="114">
      <c r="A114" s="272" t="s">
        <v>124</v>
      </c>
      <c r="B114" s="332">
        <f>'MSW26'!B114</f>
        <v>15</v>
      </c>
      <c r="C114" s="33"/>
      <c r="D114" s="33"/>
      <c r="E114" s="33"/>
      <c r="F114" s="34"/>
      <c r="H114" s="272" t="str">
        <f>'MSW26'!H114</f>
        <v>FINAL MAX</v>
      </c>
      <c r="I114" s="332">
        <f>'MSW26'!I114</f>
        <v>15</v>
      </c>
      <c r="J114" s="33"/>
      <c r="K114" s="33"/>
      <c r="L114" s="33"/>
      <c r="M114" s="34"/>
    </row>
    <row r="115">
      <c r="A115" s="601"/>
      <c r="G115" s="598"/>
    </row>
    <row r="116">
      <c r="A116" s="602" t="str">
        <f>'MSW26'!A116</f>
        <v>DAY 3</v>
      </c>
      <c r="B116" s="36"/>
      <c r="C116" s="36"/>
      <c r="D116" s="36"/>
      <c r="E116" s="36"/>
      <c r="F116" s="37"/>
    </row>
    <row r="117">
      <c r="A117" s="603"/>
    </row>
    <row r="118">
      <c r="A118" s="604" t="str">
        <f>'MSW26'!A118</f>
        <v>CLICK TO COMPLETE WORKOUT</v>
      </c>
      <c r="B118" s="36"/>
      <c r="C118" s="36"/>
      <c r="D118" s="36"/>
      <c r="E118" s="36"/>
      <c r="F118" s="37"/>
    </row>
    <row r="119">
      <c r="A119" s="542" t="s">
        <v>131</v>
      </c>
      <c r="B119" s="36"/>
      <c r="C119" s="36"/>
      <c r="D119" s="36"/>
      <c r="E119" s="36"/>
      <c r="F119" s="37"/>
    </row>
    <row r="120">
      <c r="A120" s="595" t="str">
        <f>'MSW26'!A120</f>
        <v>1. SHOULDER CLEANS</v>
      </c>
      <c r="B120" s="53"/>
      <c r="C120" s="53"/>
      <c r="D120" s="53"/>
      <c r="E120" s="53"/>
      <c r="F120" s="54"/>
    </row>
    <row r="121">
      <c r="A121" s="226" t="str">
        <f>'MSW26'!A121</f>
        <v>CURRENT MAX</v>
      </c>
      <c r="B121" s="227">
        <v>30.0</v>
      </c>
      <c r="C121" s="20"/>
      <c r="D121" s="20"/>
      <c r="E121" s="20"/>
      <c r="F121" s="95"/>
    </row>
    <row r="122">
      <c r="A122" s="364" t="str">
        <f>'MSW26'!A122</f>
        <v>SET</v>
      </c>
      <c r="B122" s="365" t="str">
        <f>'MSW26'!B122</f>
        <v>WEIGHT</v>
      </c>
      <c r="C122" s="365" t="str">
        <f>'MSW26'!C122</f>
        <v>REPS</v>
      </c>
      <c r="D122" s="365" t="str">
        <f>'MSW26'!D122</f>
        <v>REST</v>
      </c>
      <c r="E122" s="550" t="str">
        <f>'MSW26'!E122</f>
        <v>PREVIOUS</v>
      </c>
      <c r="F122" s="235" t="str">
        <f>'MSW26'!F122</f>
        <v>REP LOG</v>
      </c>
    </row>
    <row r="123">
      <c r="A123" s="570">
        <f>'MSW26'!A123</f>
        <v>1</v>
      </c>
      <c r="B123" s="571">
        <f>'MSW26'!B123</f>
        <v>30</v>
      </c>
      <c r="C123" s="571">
        <f>'MSW26'!C123</f>
        <v>20</v>
      </c>
      <c r="D123" s="571" t="str">
        <f>'MSW26'!D123</f>
        <v>1 MIN</v>
      </c>
      <c r="E123" s="573" t="str">
        <f>'MSW26'!E123</f>
        <v/>
      </c>
      <c r="F123" s="555">
        <v>20.0</v>
      </c>
    </row>
    <row r="124">
      <c r="A124" s="570">
        <f>'MSW26'!A124</f>
        <v>2</v>
      </c>
      <c r="B124" s="571">
        <f>'MSW26'!B124</f>
        <v>30</v>
      </c>
      <c r="C124" s="571">
        <f>'MSW26'!C124</f>
        <v>20</v>
      </c>
      <c r="D124" s="571" t="str">
        <f>'MSW26'!D124</f>
        <v>1 MIN</v>
      </c>
      <c r="E124" s="573" t="str">
        <f>'MSW26'!E124</f>
        <v/>
      </c>
      <c r="F124" s="555">
        <v>20.0</v>
      </c>
    </row>
    <row r="125">
      <c r="A125" s="574">
        <f>'MSW26'!A125</f>
        <v>3</v>
      </c>
      <c r="B125" s="575">
        <f>'MSW26'!B125</f>
        <v>30</v>
      </c>
      <c r="C125" s="575">
        <f>'MSW26'!C125</f>
        <v>20</v>
      </c>
      <c r="D125" s="575" t="str">
        <f>'MSW26'!D125</f>
        <v>1 MIN</v>
      </c>
      <c r="E125" s="577" t="str">
        <f>'MSW26'!E125</f>
        <v/>
      </c>
      <c r="F125" s="555">
        <v>20.0</v>
      </c>
    </row>
    <row r="126">
      <c r="A126" s="563"/>
    </row>
    <row r="128">
      <c r="A128" s="605" t="str">
        <f>'MSW26'!A128</f>
        <v>2. Dumbbell REAR DELT FLY </v>
      </c>
      <c r="B128" s="53"/>
      <c r="C128" s="53"/>
      <c r="D128" s="53"/>
      <c r="E128" s="53"/>
      <c r="F128" s="54"/>
    </row>
    <row r="129">
      <c r="A129" s="226" t="str">
        <f>'MSW26'!A129</f>
        <v>SHLDR PRESS MAX</v>
      </c>
      <c r="B129" s="566">
        <v>80.0</v>
      </c>
      <c r="C129" s="13"/>
      <c r="D129" s="13"/>
      <c r="E129" s="13"/>
      <c r="F129" s="57"/>
    </row>
    <row r="130">
      <c r="A130" s="607" t="str">
        <f>'MSW26'!A130</f>
        <v>SET</v>
      </c>
      <c r="B130" s="608" t="str">
        <f>'MSW26'!B130</f>
        <v>WEIGHT</v>
      </c>
      <c r="C130" s="608" t="str">
        <f>'MSW26'!C130</f>
        <v>REPS</v>
      </c>
      <c r="D130" s="608" t="str">
        <f>'MSW26'!D130</f>
        <v>REST</v>
      </c>
      <c r="E130" s="609" t="str">
        <f>'MSW26'!E130</f>
        <v>PREVIOUS</v>
      </c>
      <c r="F130" s="235" t="str">
        <f>'MSW26'!F130</f>
        <v>REP LOG</v>
      </c>
    </row>
    <row r="131">
      <c r="A131" s="610">
        <f>'MSW26'!A131</f>
        <v>1</v>
      </c>
      <c r="B131" s="591">
        <f>'MSW26'!B131</f>
        <v>15</v>
      </c>
      <c r="C131" s="591">
        <f>'MSW26'!C131</f>
        <v>20</v>
      </c>
      <c r="D131" s="591" t="str">
        <f>'MSW26'!D131</f>
        <v>1 - MIN</v>
      </c>
      <c r="E131" s="611" t="str">
        <f>'MSW26'!E131</f>
        <v/>
      </c>
      <c r="F131" s="555">
        <v>15.0</v>
      </c>
    </row>
    <row r="132">
      <c r="A132" s="610">
        <f>'MSW26'!A132</f>
        <v>2</v>
      </c>
      <c r="B132" s="591">
        <f>'MSW26'!B132</f>
        <v>15</v>
      </c>
      <c r="C132" s="591">
        <f>'MSW26'!C132</f>
        <v>20</v>
      </c>
      <c r="D132" s="591" t="str">
        <f>'MSW26'!D132</f>
        <v>1 - MIN</v>
      </c>
      <c r="E132" s="611" t="str">
        <f>'MSW26'!E132</f>
        <v/>
      </c>
      <c r="F132" s="555">
        <v>15.0</v>
      </c>
    </row>
    <row r="133">
      <c r="A133" s="612">
        <f>'MSW26'!A133</f>
        <v>3</v>
      </c>
      <c r="B133" s="613">
        <f>'MSW26'!B133</f>
        <v>15</v>
      </c>
      <c r="C133" s="613">
        <f>'MSW26'!C133</f>
        <v>20</v>
      </c>
      <c r="D133" s="613" t="str">
        <f>'MSW26'!D133</f>
        <v>1 - MIN</v>
      </c>
      <c r="E133" s="614" t="str">
        <f>'MSW26'!E133</f>
        <v/>
      </c>
      <c r="F133" s="555">
        <v>15.0</v>
      </c>
    </row>
    <row r="134">
      <c r="A134" s="578"/>
    </row>
    <row r="136">
      <c r="A136" s="513" t="str">
        <f>'MSW26'!A136</f>
        <v>3. DUMBBELL SIDE LATERAL RAISE</v>
      </c>
      <c r="B136" s="53"/>
      <c r="C136" s="53"/>
      <c r="D136" s="53"/>
      <c r="E136" s="53"/>
      <c r="F136" s="54"/>
    </row>
    <row r="137">
      <c r="A137" s="226" t="str">
        <f>'MSW26'!A129</f>
        <v>SHLDR PRESS MAX</v>
      </c>
      <c r="B137" s="90">
        <v>80.0</v>
      </c>
      <c r="C137" s="13"/>
      <c r="D137" s="13"/>
      <c r="E137" s="13"/>
      <c r="F137" s="57"/>
    </row>
    <row r="138">
      <c r="A138" s="376" t="str">
        <f>'MSW26'!A138</f>
        <v>SET</v>
      </c>
      <c r="B138" s="79" t="str">
        <f>'MSW26'!B138</f>
        <v>WEIGHT</v>
      </c>
      <c r="C138" s="79" t="str">
        <f>'MSW26'!C138</f>
        <v>REPS</v>
      </c>
      <c r="D138" s="79" t="str">
        <f>'MSW26'!D138</f>
        <v>REST</v>
      </c>
      <c r="E138" s="341" t="str">
        <f>'MSW26'!E138</f>
        <v>PREVIOUS</v>
      </c>
      <c r="F138" s="235" t="str">
        <f>'MSW26'!F138</f>
        <v>REP LOG</v>
      </c>
    </row>
    <row r="139">
      <c r="A139" s="514">
        <f>'MSW26'!A139</f>
        <v>1</v>
      </c>
      <c r="B139" s="82">
        <f>'MSW26'!B139</f>
        <v>15</v>
      </c>
      <c r="C139" s="82">
        <f>'MSW26'!C139</f>
        <v>20</v>
      </c>
      <c r="D139" s="82" t="str">
        <f>'MSW26'!D139</f>
        <v>1 MIN</v>
      </c>
      <c r="E139" s="615" t="str">
        <f>'MSW26'!E139</f>
        <v/>
      </c>
      <c r="F139" s="616">
        <v>15.0</v>
      </c>
    </row>
    <row r="140">
      <c r="A140" s="514">
        <f>'MSW26'!A140</f>
        <v>2</v>
      </c>
      <c r="B140" s="82">
        <f>'MSW26'!B140</f>
        <v>15</v>
      </c>
      <c r="C140" s="82">
        <f>'MSW26'!C140</f>
        <v>20</v>
      </c>
      <c r="D140" s="82" t="str">
        <f>'MSW26'!D140</f>
        <v>1 MIN</v>
      </c>
      <c r="E140" s="615" t="str">
        <f>'MSW26'!E140</f>
        <v/>
      </c>
      <c r="F140" s="330">
        <v>15.0</v>
      </c>
    </row>
    <row r="141">
      <c r="A141" s="517">
        <f>'MSW26'!A141</f>
        <v>3</v>
      </c>
      <c r="B141" s="87">
        <f>'MSW26'!B141</f>
        <v>15</v>
      </c>
      <c r="C141" s="87">
        <f>'MSW26'!C141</f>
        <v>20</v>
      </c>
      <c r="D141" s="87" t="str">
        <f>'MSW26'!D141</f>
        <v>1 MIN</v>
      </c>
      <c r="E141" s="617" t="str">
        <f>'MSW26'!E141</f>
        <v/>
      </c>
      <c r="F141" s="85">
        <v>15.0</v>
      </c>
    </row>
    <row r="142">
      <c r="A142" s="578"/>
    </row>
    <row r="144">
      <c r="A144" s="74" t="str">
        <f>HYPERLINK("https://www.youtube.com/watch?v=Yke__29qVfo","3. TRICEPS PUSHDOWN (STRAIGHT BAR)")</f>
        <v>3. TRICEPS PUSHDOWN (STRAIGHT BAR)</v>
      </c>
      <c r="B144" s="53"/>
      <c r="C144" s="53"/>
      <c r="D144" s="53"/>
      <c r="E144" s="53"/>
      <c r="F144" s="54"/>
    </row>
    <row r="145">
      <c r="A145" s="226" t="s">
        <v>119</v>
      </c>
      <c r="B145" s="76">
        <f>'MSW26'!B145</f>
        <v>30</v>
      </c>
      <c r="C145" s="13"/>
      <c r="D145" s="13"/>
      <c r="E145" s="13"/>
      <c r="F145" s="57"/>
    </row>
    <row r="146">
      <c r="A146" s="77" t="s">
        <v>50</v>
      </c>
      <c r="B146" s="78" t="s">
        <v>51</v>
      </c>
      <c r="C146" s="78" t="s">
        <v>52</v>
      </c>
      <c r="D146" s="78" t="s">
        <v>53</v>
      </c>
      <c r="E146" s="80" t="s">
        <v>54</v>
      </c>
      <c r="F146" s="235" t="str">
        <f>'MSW26'!F146</f>
        <v>REP LOG</v>
      </c>
    </row>
    <row r="147">
      <c r="A147" s="81">
        <v>1.0</v>
      </c>
      <c r="B147" s="82">
        <f>'MSW26'!B147</f>
        <v>30</v>
      </c>
      <c r="C147" s="65">
        <f>'MSW26'!C147</f>
        <v>20</v>
      </c>
      <c r="D147" s="83" t="str">
        <f>'MSW26'!D147</f>
        <v>1MIN</v>
      </c>
      <c r="E147" s="84" t="str">
        <f>'MSW26'!E147</f>
        <v/>
      </c>
      <c r="F147" s="85"/>
    </row>
    <row r="148">
      <c r="A148" s="81">
        <f>'MSW26'!A148</f>
        <v>2</v>
      </c>
      <c r="B148" s="82">
        <f>'MSW26'!B148</f>
        <v>25</v>
      </c>
      <c r="C148" s="65">
        <f>'MSW26'!C148</f>
        <v>20</v>
      </c>
      <c r="D148" s="83" t="str">
        <f>'MSW26'!D148</f>
        <v>1MIN</v>
      </c>
      <c r="E148" s="84"/>
      <c r="F148" s="85"/>
    </row>
    <row r="149">
      <c r="A149" s="86">
        <v>3.0</v>
      </c>
      <c r="B149" s="87">
        <f>'MSW26'!B149</f>
        <v>20</v>
      </c>
      <c r="C149" s="71">
        <f>'MSW26'!C149</f>
        <v>20</v>
      </c>
      <c r="D149" s="88" t="str">
        <f>'MSW26'!D149</f>
        <v>1MIN</v>
      </c>
      <c r="E149" s="89" t="str">
        <f>'MSW26'!E149</f>
        <v/>
      </c>
      <c r="F149" s="85"/>
    </row>
    <row r="150">
      <c r="A150" s="619"/>
    </row>
    <row r="152">
      <c r="A152" s="75" t="str">
        <f>'MSW26'!A152</f>
        <v>4. BICEP CABLE CURL</v>
      </c>
      <c r="B152" s="53"/>
      <c r="C152" s="53"/>
      <c r="D152" s="53"/>
      <c r="E152" s="53"/>
      <c r="F152" s="54"/>
      <c r="G152" s="543" t="s">
        <v>123</v>
      </c>
      <c r="H152" s="75" t="str">
        <f>'MSW26'!H152</f>
        <v>4. BICEP BAR CURL</v>
      </c>
      <c r="I152" s="53"/>
      <c r="J152" s="53"/>
      <c r="K152" s="53"/>
      <c r="L152" s="53"/>
      <c r="M152" s="54"/>
    </row>
    <row r="153">
      <c r="A153" s="226" t="str">
        <f>'MSW26'!A153</f>
        <v>CURRENT MAX</v>
      </c>
      <c r="B153" s="618">
        <v>50.0</v>
      </c>
      <c r="C153" s="13"/>
      <c r="D153" s="13"/>
      <c r="E153" s="13"/>
      <c r="F153" s="57"/>
      <c r="H153" s="226" t="str">
        <f>'MSW26'!H153</f>
        <v>CURRENT MAX</v>
      </c>
      <c r="I153" s="76">
        <f>'MSW26'!I153</f>
        <v>15</v>
      </c>
      <c r="J153" s="13"/>
      <c r="K153" s="13"/>
      <c r="L153" s="13"/>
      <c r="M153" s="57"/>
    </row>
    <row r="154">
      <c r="A154" s="77" t="str">
        <f>'MSW26'!A154</f>
        <v>SET</v>
      </c>
      <c r="B154" s="78" t="str">
        <f>'MSW26'!B154</f>
        <v>WEIGHT</v>
      </c>
      <c r="C154" s="78" t="str">
        <f>'MSW26'!C154</f>
        <v>REPS</v>
      </c>
      <c r="D154" s="78" t="str">
        <f>'MSW26'!D154</f>
        <v>REST</v>
      </c>
      <c r="E154" s="80" t="str">
        <f>'MSW26'!E154</f>
        <v>PREVIOUS</v>
      </c>
      <c r="F154" s="235" t="str">
        <f>'MSW26'!F154</f>
        <v>REP LOG</v>
      </c>
      <c r="G154" s="623"/>
      <c r="H154" s="77" t="str">
        <f>'MSW26'!H154</f>
        <v>SET</v>
      </c>
      <c r="I154" s="78" t="str">
        <f>'MSW26'!I154</f>
        <v>WEIGHT</v>
      </c>
      <c r="J154" s="78" t="str">
        <f>'MSW26'!J154</f>
        <v>REPS</v>
      </c>
      <c r="K154" s="78" t="str">
        <f>'MSW26'!K154</f>
        <v>REST</v>
      </c>
      <c r="L154" s="80" t="str">
        <f>'MSW26'!L154</f>
        <v>PREVIOUS</v>
      </c>
      <c r="M154" s="235"/>
    </row>
    <row r="155">
      <c r="A155" s="81">
        <f>'MSW26'!A155</f>
        <v>1</v>
      </c>
      <c r="B155" s="82">
        <f>'MSW26'!B155</f>
        <v>50</v>
      </c>
      <c r="C155" s="65">
        <f>'MSW26'!C155</f>
        <v>20</v>
      </c>
      <c r="D155" s="83" t="str">
        <f>'MSW26'!D155</f>
        <v>1MIN</v>
      </c>
      <c r="E155" s="84" t="str">
        <f>'MSW26'!E155</f>
        <v/>
      </c>
      <c r="F155" s="85">
        <v>3.0</v>
      </c>
      <c r="H155" s="81">
        <f>'MSW26'!H155</f>
        <v>1</v>
      </c>
      <c r="I155" s="82">
        <f>'MSW26'!I155</f>
        <v>15</v>
      </c>
      <c r="J155" s="65">
        <f>'MSW26'!J155</f>
        <v>20</v>
      </c>
      <c r="K155" s="83" t="str">
        <f>'MSW26'!K155</f>
        <v>1MIN</v>
      </c>
      <c r="L155" s="1388"/>
      <c r="M155" s="85"/>
    </row>
    <row r="156">
      <c r="A156" s="81">
        <f>'MSW26'!A156</f>
        <v>2</v>
      </c>
      <c r="B156" s="82">
        <f>'MSW26'!B156</f>
        <v>40</v>
      </c>
      <c r="C156" s="65">
        <f>'MSW26'!C156</f>
        <v>20</v>
      </c>
      <c r="D156" s="83" t="str">
        <f>'MSW26'!D156</f>
        <v>1MIN</v>
      </c>
      <c r="E156" s="84"/>
      <c r="F156" s="85">
        <v>5.0</v>
      </c>
      <c r="H156" s="81">
        <f>'MSW26'!H156</f>
        <v>2</v>
      </c>
      <c r="I156" s="82">
        <f>'MSW26'!I156</f>
        <v>10</v>
      </c>
      <c r="J156" s="65">
        <f>'MSW26'!J156</f>
        <v>20</v>
      </c>
      <c r="K156" s="83" t="str">
        <f>'MSW26'!K156</f>
        <v>1MIN</v>
      </c>
      <c r="L156" s="1388"/>
      <c r="M156" s="85"/>
    </row>
    <row r="157">
      <c r="A157" s="629">
        <f>'MSW26'!A157</f>
        <v>3</v>
      </c>
      <c r="B157" s="630">
        <f>'MSW26'!B157</f>
        <v>30</v>
      </c>
      <c r="C157" s="631">
        <f>'MSW26'!C157</f>
        <v>20</v>
      </c>
      <c r="D157" s="328" t="str">
        <f>'MSW26'!D157</f>
        <v>1MIN</v>
      </c>
      <c r="E157" s="632" t="str">
        <f>'MSW26'!E157</f>
        <v/>
      </c>
      <c r="F157" s="330"/>
      <c r="H157" s="629">
        <f>'MSW26'!H157</f>
        <v>3</v>
      </c>
      <c r="I157" s="630">
        <f>'MSW26'!I157</f>
        <v>10</v>
      </c>
      <c r="J157" s="631">
        <f>'MSW26'!J157</f>
        <v>20</v>
      </c>
      <c r="K157" s="328" t="str">
        <f>'MSW26'!K157</f>
        <v>1MIN</v>
      </c>
      <c r="L157" s="1390"/>
      <c r="M157" s="330"/>
    </row>
    <row r="158">
      <c r="A158" s="633"/>
      <c r="B158" s="25"/>
      <c r="C158" s="25"/>
      <c r="D158" s="25"/>
      <c r="E158" s="25"/>
      <c r="F158" s="25"/>
      <c r="H158" s="1508" t="str">
        <f>'MSW26'!H158</f>
        <v/>
      </c>
      <c r="I158" s="25"/>
      <c r="J158" s="25"/>
      <c r="K158" s="25"/>
      <c r="L158" s="25"/>
      <c r="M158" s="25"/>
    </row>
    <row r="162">
      <c r="A162" s="635"/>
      <c r="G162" s="636"/>
    </row>
    <row r="163">
      <c r="A163" s="638" t="str">
        <f>'MSW26'!A163</f>
        <v>CLICK TO COMPLETE WORKOUT</v>
      </c>
      <c r="B163" s="36"/>
      <c r="C163" s="36"/>
      <c r="D163" s="36"/>
      <c r="E163" s="36"/>
      <c r="F163" s="37"/>
    </row>
    <row r="164">
      <c r="A164" s="639" t="s">
        <v>135</v>
      </c>
      <c r="B164" s="36"/>
      <c r="C164" s="36"/>
      <c r="D164" s="36"/>
      <c r="E164" s="36"/>
      <c r="F164" s="37"/>
      <c r="G164" s="598"/>
    </row>
    <row r="165">
      <c r="A165" s="640"/>
    </row>
    <row r="166">
      <c r="A166" s="641" t="str">
        <f>HYPERLINK("https://www.amazon.com/30-Minute-Body-Investment-Champion/dp/0692791892/ref=sr_1_1?ie=UTF8&amp;qid=1490447969&amp;sr=8-1&amp;keywords=30+minute+body","WANT TO LEARN MORE?")</f>
        <v>WANT TO LEARN MORE?</v>
      </c>
      <c r="B166" s="16"/>
      <c r="C166" s="16"/>
      <c r="D166" s="16"/>
      <c r="E166" s="16"/>
      <c r="F166" s="17"/>
    </row>
    <row r="167">
      <c r="A167" s="18"/>
      <c r="B167" s="13"/>
      <c r="C167" s="13"/>
      <c r="D167" s="13"/>
      <c r="E167" s="13"/>
      <c r="F167" s="14"/>
    </row>
    <row r="168">
      <c r="A168" s="642"/>
      <c r="B168" s="643"/>
      <c r="C168" s="644" t="s">
        <v>67</v>
      </c>
      <c r="D168" s="25"/>
      <c r="E168" s="25"/>
      <c r="F168" s="26"/>
    </row>
    <row r="169">
      <c r="A169" s="645"/>
      <c r="B169" s="646"/>
      <c r="C169" s="529"/>
      <c r="F169" s="28"/>
    </row>
    <row r="170">
      <c r="A170" s="645"/>
      <c r="B170" s="646"/>
      <c r="C170" s="529"/>
      <c r="F170" s="28"/>
    </row>
    <row r="171">
      <c r="A171" s="645"/>
      <c r="B171" s="646"/>
      <c r="C171" s="529"/>
      <c r="F171" s="28"/>
    </row>
    <row r="172">
      <c r="A172" s="645"/>
      <c r="B172" s="646"/>
      <c r="C172" s="529"/>
      <c r="F172" s="28"/>
    </row>
    <row r="173">
      <c r="A173" s="645"/>
      <c r="B173" s="646"/>
      <c r="C173" s="529"/>
      <c r="F173" s="28"/>
    </row>
    <row r="174">
      <c r="A174" s="647"/>
      <c r="B174" s="646"/>
      <c r="C174" s="529"/>
      <c r="F174" s="28"/>
    </row>
    <row r="175">
      <c r="A175" s="645"/>
      <c r="B175" s="646"/>
      <c r="C175" s="529"/>
      <c r="F175" s="28"/>
    </row>
    <row r="176">
      <c r="A176" s="645"/>
      <c r="B176" s="646"/>
      <c r="C176" s="529"/>
      <c r="F176" s="28"/>
    </row>
    <row r="177">
      <c r="A177" s="648"/>
      <c r="B177" s="646"/>
      <c r="C177" s="529"/>
      <c r="F177" s="28"/>
    </row>
    <row r="178">
      <c r="A178" s="645"/>
      <c r="B178" s="646"/>
      <c r="C178" s="529"/>
      <c r="F178" s="28"/>
    </row>
    <row r="179">
      <c r="A179" s="645"/>
      <c r="C179" s="529"/>
      <c r="F179" s="28"/>
    </row>
    <row r="180">
      <c r="A180" s="645"/>
      <c r="B180" s="646"/>
      <c r="C180" s="529"/>
      <c r="F180" s="28"/>
    </row>
    <row r="181">
      <c r="A181" s="645"/>
      <c r="B181" s="646"/>
      <c r="C181" s="529"/>
      <c r="F181" s="28"/>
    </row>
    <row r="182">
      <c r="A182" s="649"/>
      <c r="B182" s="650"/>
      <c r="C182" s="336"/>
      <c r="D182" s="11"/>
      <c r="E182" s="11"/>
      <c r="F182" s="46"/>
    </row>
  </sheetData>
  <mergeCells count="106">
    <mergeCell ref="A12:F12"/>
    <mergeCell ref="A13:F13"/>
    <mergeCell ref="A14:F15"/>
    <mergeCell ref="A16:F16"/>
    <mergeCell ref="G21:G34"/>
    <mergeCell ref="A27:F27"/>
    <mergeCell ref="A29:F29"/>
    <mergeCell ref="B34:F34"/>
    <mergeCell ref="H16:M16"/>
    <mergeCell ref="A17:F18"/>
    <mergeCell ref="H17:M18"/>
    <mergeCell ref="A19:F19"/>
    <mergeCell ref="H19:M19"/>
    <mergeCell ref="A1:M8"/>
    <mergeCell ref="A9:F9"/>
    <mergeCell ref="G9:G19"/>
    <mergeCell ref="H9:M9"/>
    <mergeCell ref="A10:F11"/>
    <mergeCell ref="H10:M10"/>
    <mergeCell ref="H12:M15"/>
    <mergeCell ref="A20:F20"/>
    <mergeCell ref="H20:M20"/>
    <mergeCell ref="B21:F21"/>
    <mergeCell ref="I21:M21"/>
    <mergeCell ref="H27:M27"/>
    <mergeCell ref="H29:M29"/>
    <mergeCell ref="I34:M34"/>
    <mergeCell ref="A35:M36"/>
    <mergeCell ref="A37:F37"/>
    <mergeCell ref="G37:G38"/>
    <mergeCell ref="H37:M37"/>
    <mergeCell ref="B38:F38"/>
    <mergeCell ref="I38:M38"/>
    <mergeCell ref="G39:G41"/>
    <mergeCell ref="B57:F57"/>
    <mergeCell ref="A58:F58"/>
    <mergeCell ref="A59:F59"/>
    <mergeCell ref="B60:F60"/>
    <mergeCell ref="A65:F66"/>
    <mergeCell ref="A67:F67"/>
    <mergeCell ref="A74:F75"/>
    <mergeCell ref="A76:F76"/>
    <mergeCell ref="A77:F77"/>
    <mergeCell ref="A78:F78"/>
    <mergeCell ref="A79:F79"/>
    <mergeCell ref="A80:F80"/>
    <mergeCell ref="A84:F85"/>
    <mergeCell ref="A86:F86"/>
    <mergeCell ref="A128:F128"/>
    <mergeCell ref="B129:F129"/>
    <mergeCell ref="A116:F116"/>
    <mergeCell ref="A117:F117"/>
    <mergeCell ref="A118:F118"/>
    <mergeCell ref="A119:F119"/>
    <mergeCell ref="A120:F120"/>
    <mergeCell ref="B121:F121"/>
    <mergeCell ref="A126:F127"/>
    <mergeCell ref="A152:F152"/>
    <mergeCell ref="B153:F153"/>
    <mergeCell ref="G154:G161"/>
    <mergeCell ref="A158:F161"/>
    <mergeCell ref="A134:F135"/>
    <mergeCell ref="A136:F136"/>
    <mergeCell ref="B137:F137"/>
    <mergeCell ref="A142:F143"/>
    <mergeCell ref="A144:F144"/>
    <mergeCell ref="B145:F145"/>
    <mergeCell ref="A150:F151"/>
    <mergeCell ref="B100:F100"/>
    <mergeCell ref="B105:F105"/>
    <mergeCell ref="A106:F107"/>
    <mergeCell ref="A108:F108"/>
    <mergeCell ref="G108:G109"/>
    <mergeCell ref="B109:F109"/>
    <mergeCell ref="G110:G114"/>
    <mergeCell ref="B114:F114"/>
    <mergeCell ref="A115:F115"/>
    <mergeCell ref="B68:F68"/>
    <mergeCell ref="A73:F73"/>
    <mergeCell ref="B87:F87"/>
    <mergeCell ref="B96:F96"/>
    <mergeCell ref="A97:F98"/>
    <mergeCell ref="A99:F99"/>
    <mergeCell ref="A42:M43"/>
    <mergeCell ref="A44:F44"/>
    <mergeCell ref="G44:M56"/>
    <mergeCell ref="B45:F45"/>
    <mergeCell ref="A51:F51"/>
    <mergeCell ref="A54:F54"/>
    <mergeCell ref="G57:M107"/>
    <mergeCell ref="H158:M163"/>
    <mergeCell ref="G162:G163"/>
    <mergeCell ref="G164:M182"/>
    <mergeCell ref="H108:M108"/>
    <mergeCell ref="I109:M109"/>
    <mergeCell ref="I114:M114"/>
    <mergeCell ref="G115:M151"/>
    <mergeCell ref="G152:G153"/>
    <mergeCell ref="H152:M152"/>
    <mergeCell ref="I153:M153"/>
    <mergeCell ref="A162:F162"/>
    <mergeCell ref="A163:F163"/>
    <mergeCell ref="A164:F164"/>
    <mergeCell ref="A165:F165"/>
    <mergeCell ref="A166:F167"/>
    <mergeCell ref="C168:F182"/>
  </mergeCells>
  <dataValidations>
    <dataValidation type="decimal" allowBlank="1" showDropDown="1" showInputMessage="1" showErrorMessage="1" prompt="Enter a number between 0 and 30" sqref="F22:F26 M22:M26 F28 M28 F30:F33 M30:M33 F39:F41 M39:M41 F46:F50 F52:F53 F55:F56 F61:F64 F69:F72 F81:F83 F88:F95 F101:F104 F110:F113 M110:M113 F122:F125 F130:F133 F138:F141 F146:F149 F154:F157 M154:M157">
      <formula1>0.0</formula1>
      <formula2>30.0</formula2>
    </dataValidation>
    <dataValidation type="decimal" operator="greaterThan" allowBlank="1" showDropDown="1" showErrorMessage="1" sqref="M11">
      <formula1>0.0</formula1>
    </dataValidation>
  </dataValidations>
  <drawing r:id="rId2"/>
  <legacyDrawing r:id="rId3"/>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25"/>
    <col customWidth="1" min="8" max="8" width="13.13"/>
    <col customWidth="1" min="12" max="12" width="13.88"/>
  </cols>
  <sheetData>
    <row r="1">
      <c r="A1" s="715"/>
      <c r="B1" s="715"/>
      <c r="C1" s="715"/>
      <c r="D1" s="715"/>
      <c r="E1" s="716"/>
      <c r="F1" s="419"/>
      <c r="G1" s="419"/>
      <c r="H1" s="419"/>
      <c r="I1" s="419"/>
      <c r="J1" s="419"/>
      <c r="K1" s="419"/>
      <c r="L1" s="717"/>
      <c r="M1" s="419"/>
      <c r="N1" s="419"/>
      <c r="O1" s="419"/>
      <c r="P1" s="419"/>
      <c r="Q1" s="419"/>
      <c r="R1" s="419"/>
      <c r="S1" s="419"/>
      <c r="T1" s="419"/>
      <c r="U1" s="419"/>
      <c r="V1" s="419"/>
      <c r="W1" s="419"/>
      <c r="X1" s="419"/>
      <c r="Y1" s="419"/>
      <c r="Z1" s="419"/>
    </row>
    <row r="2">
      <c r="A2" s="715"/>
      <c r="B2" s="715"/>
      <c r="C2" s="715"/>
      <c r="D2" s="715"/>
      <c r="E2" s="716"/>
      <c r="F2" s="419"/>
      <c r="G2" s="419"/>
      <c r="H2" s="419"/>
      <c r="I2" s="419"/>
      <c r="J2" s="419"/>
      <c r="K2" s="419"/>
      <c r="L2" s="419"/>
      <c r="M2" s="419"/>
      <c r="N2" s="419"/>
      <c r="O2" s="419"/>
      <c r="P2" s="419"/>
      <c r="Q2" s="419"/>
      <c r="R2" s="419"/>
      <c r="S2" s="419"/>
      <c r="T2" s="419"/>
      <c r="U2" s="419"/>
      <c r="V2" s="419"/>
      <c r="W2" s="419"/>
      <c r="X2" s="419"/>
      <c r="Y2" s="419"/>
      <c r="Z2" s="419"/>
    </row>
    <row r="3">
      <c r="A3" s="715"/>
      <c r="B3" s="715"/>
      <c r="C3" s="715"/>
      <c r="D3" s="715"/>
      <c r="E3" s="716"/>
      <c r="F3" s="419"/>
      <c r="G3" s="419"/>
      <c r="H3" s="419"/>
      <c r="I3" s="419"/>
      <c r="J3" s="419"/>
      <c r="K3" s="419"/>
      <c r="L3" s="419"/>
      <c r="M3" s="419"/>
      <c r="N3" s="419"/>
      <c r="O3" s="419"/>
      <c r="P3" s="419"/>
      <c r="Q3" s="419"/>
      <c r="R3" s="419"/>
      <c r="S3" s="419"/>
      <c r="T3" s="419"/>
      <c r="U3" s="419"/>
      <c r="V3" s="419"/>
      <c r="W3" s="419"/>
      <c r="X3" s="419"/>
      <c r="Y3" s="419"/>
      <c r="Z3" s="419"/>
    </row>
    <row r="4">
      <c r="A4" s="715"/>
      <c r="B4" s="715"/>
      <c r="C4" s="715"/>
      <c r="D4" s="715"/>
      <c r="E4" s="716"/>
      <c r="F4" s="419"/>
      <c r="G4" s="419"/>
      <c r="H4" s="419"/>
      <c r="I4" s="419"/>
      <c r="J4" s="419"/>
      <c r="K4" s="419"/>
      <c r="L4" s="717"/>
      <c r="M4" s="419"/>
      <c r="N4" s="419"/>
      <c r="O4" s="419"/>
      <c r="P4" s="419"/>
      <c r="Q4" s="419"/>
      <c r="R4" s="419"/>
      <c r="S4" s="419"/>
      <c r="T4" s="419"/>
      <c r="U4" s="419"/>
      <c r="V4" s="419"/>
      <c r="W4" s="419"/>
      <c r="X4" s="419"/>
      <c r="Y4" s="419"/>
      <c r="Z4" s="419"/>
    </row>
    <row r="5">
      <c r="A5" s="715"/>
      <c r="B5" s="715"/>
      <c r="C5" s="715"/>
      <c r="D5" s="715"/>
      <c r="E5" s="716"/>
      <c r="F5" s="419"/>
      <c r="G5" s="419"/>
      <c r="H5" s="419"/>
      <c r="I5" s="419"/>
      <c r="J5" s="419"/>
      <c r="K5" s="419"/>
      <c r="L5" s="717"/>
      <c r="M5" s="419"/>
      <c r="N5" s="419"/>
      <c r="O5" s="419"/>
      <c r="P5" s="419"/>
      <c r="Q5" s="419"/>
      <c r="R5" s="419"/>
      <c r="S5" s="419"/>
      <c r="T5" s="419"/>
      <c r="U5" s="419"/>
      <c r="V5" s="419"/>
      <c r="W5" s="419"/>
      <c r="X5" s="419"/>
      <c r="Y5" s="419"/>
      <c r="Z5" s="419"/>
    </row>
    <row r="6">
      <c r="A6" s="715"/>
      <c r="B6" s="715"/>
      <c r="C6" s="715"/>
      <c r="D6" s="715"/>
      <c r="E6" s="716"/>
      <c r="F6" s="419"/>
      <c r="G6" s="419"/>
      <c r="H6" s="419"/>
      <c r="I6" s="419"/>
      <c r="J6" s="419"/>
      <c r="K6" s="419"/>
      <c r="L6" s="717"/>
      <c r="M6" s="419"/>
      <c r="N6" s="419"/>
      <c r="O6" s="419"/>
      <c r="P6" s="419"/>
      <c r="Q6" s="419"/>
      <c r="R6" s="419"/>
      <c r="S6" s="419"/>
      <c r="T6" s="419"/>
      <c r="U6" s="419"/>
      <c r="V6" s="419"/>
      <c r="W6" s="419"/>
      <c r="X6" s="419"/>
      <c r="Y6" s="419"/>
      <c r="Z6" s="419"/>
    </row>
    <row r="7">
      <c r="A7" s="715"/>
      <c r="B7" s="715"/>
      <c r="C7" s="715"/>
      <c r="D7" s="715"/>
      <c r="E7" s="716"/>
      <c r="F7" s="419"/>
      <c r="G7" s="419"/>
      <c r="H7" s="419"/>
      <c r="I7" s="419"/>
      <c r="J7" s="419"/>
      <c r="K7" s="419"/>
      <c r="L7" s="717"/>
      <c r="M7" s="419"/>
      <c r="N7" s="419"/>
      <c r="O7" s="419"/>
      <c r="P7" s="419"/>
      <c r="Q7" s="419"/>
      <c r="R7" s="419"/>
      <c r="S7" s="419"/>
      <c r="T7" s="419"/>
      <c r="U7" s="419"/>
      <c r="V7" s="419"/>
      <c r="W7" s="419"/>
      <c r="X7" s="419"/>
      <c r="Y7" s="419"/>
      <c r="Z7" s="419"/>
    </row>
    <row r="8">
      <c r="A8" s="715"/>
      <c r="B8" s="715"/>
      <c r="C8" s="715"/>
      <c r="D8" s="715"/>
      <c r="E8" s="716"/>
      <c r="F8" s="419"/>
      <c r="G8" s="419"/>
      <c r="H8" s="419"/>
      <c r="I8" s="419"/>
      <c r="J8" s="419"/>
      <c r="K8" s="419"/>
      <c r="L8" s="717"/>
      <c r="M8" s="419"/>
      <c r="N8" s="419"/>
      <c r="O8" s="419"/>
      <c r="P8" s="419"/>
      <c r="Q8" s="419"/>
      <c r="R8" s="419"/>
      <c r="S8" s="419"/>
      <c r="T8" s="419"/>
      <c r="U8" s="419"/>
      <c r="V8" s="419"/>
      <c r="W8" s="419"/>
      <c r="X8" s="419"/>
      <c r="Y8" s="419"/>
      <c r="Z8" s="419"/>
    </row>
    <row r="9">
      <c r="A9" s="1293" t="s">
        <v>309</v>
      </c>
      <c r="B9" s="36"/>
      <c r="C9" s="36"/>
      <c r="D9" s="36"/>
      <c r="E9" s="36"/>
      <c r="F9" s="37"/>
      <c r="G9" s="419"/>
      <c r="H9" s="419"/>
      <c r="I9" s="419"/>
      <c r="J9" s="419"/>
      <c r="K9" s="419"/>
      <c r="L9" s="717"/>
      <c r="M9" s="419"/>
      <c r="N9" s="419"/>
      <c r="O9" s="419"/>
      <c r="P9" s="419"/>
      <c r="Q9" s="419"/>
      <c r="R9" s="419"/>
      <c r="S9" s="419"/>
      <c r="T9" s="419"/>
      <c r="U9" s="419"/>
      <c r="V9" s="419"/>
      <c r="W9" s="419"/>
      <c r="X9" s="419"/>
      <c r="Y9" s="419"/>
      <c r="Z9" s="419"/>
    </row>
    <row r="10">
      <c r="A10" s="719" t="str">
        <f>HYPERLINK("https://goo.gl/forms/3ibooB993Hi7SS2d2","PRESS TO RECORD BODY WEIGHT")</f>
        <v>PRESS TO RECORD BODY WEIGHT</v>
      </c>
      <c r="B10" s="25"/>
      <c r="C10" s="25"/>
      <c r="D10" s="25"/>
      <c r="E10" s="25"/>
      <c r="F10" s="26"/>
      <c r="G10" s="419"/>
      <c r="H10" s="419"/>
      <c r="I10" s="419"/>
      <c r="J10" s="419"/>
      <c r="K10" s="419"/>
      <c r="L10" s="717"/>
      <c r="M10" s="419"/>
      <c r="N10" s="419"/>
      <c r="O10" s="419"/>
      <c r="P10" s="419"/>
      <c r="Q10" s="419"/>
      <c r="R10" s="419"/>
      <c r="S10" s="419"/>
      <c r="T10" s="419"/>
      <c r="U10" s="419"/>
      <c r="V10" s="419"/>
      <c r="W10" s="419"/>
      <c r="X10" s="419"/>
      <c r="Y10" s="419"/>
      <c r="Z10" s="419"/>
    </row>
    <row r="11">
      <c r="A11" s="336"/>
      <c r="B11" s="11"/>
      <c r="C11" s="11"/>
      <c r="D11" s="11"/>
      <c r="E11" s="11"/>
      <c r="F11" s="46"/>
      <c r="G11" s="419"/>
      <c r="H11" s="419"/>
      <c r="I11" s="419"/>
      <c r="J11" s="419"/>
      <c r="K11" s="419"/>
      <c r="L11" s="717"/>
      <c r="M11" s="419"/>
      <c r="N11" s="419"/>
      <c r="O11" s="419"/>
      <c r="P11" s="419"/>
      <c r="Q11" s="419"/>
      <c r="R11" s="419"/>
      <c r="S11" s="419"/>
      <c r="T11" s="419"/>
      <c r="U11" s="419"/>
      <c r="V11" s="419"/>
      <c r="W11" s="419"/>
      <c r="X11" s="419"/>
      <c r="Y11" s="419"/>
      <c r="Z11" s="419"/>
    </row>
    <row r="12" ht="32.25" customHeight="1">
      <c r="A12" s="720" t="s">
        <v>69</v>
      </c>
      <c r="B12" s="36"/>
      <c r="C12" s="36"/>
      <c r="D12" s="36"/>
      <c r="E12" s="36"/>
      <c r="F12" s="37"/>
      <c r="G12" s="419"/>
      <c r="H12" s="419"/>
      <c r="I12" s="419"/>
      <c r="J12" s="419"/>
      <c r="K12" s="419"/>
      <c r="L12" s="717"/>
      <c r="M12" s="419"/>
      <c r="N12" s="419"/>
      <c r="O12" s="419"/>
      <c r="P12" s="419"/>
      <c r="Q12" s="419"/>
      <c r="R12" s="419"/>
      <c r="S12" s="419"/>
      <c r="T12" s="419"/>
      <c r="U12" s="419"/>
      <c r="V12" s="419"/>
      <c r="W12" s="419"/>
      <c r="X12" s="419"/>
      <c r="Y12" s="419"/>
      <c r="Z12" s="419"/>
    </row>
    <row r="13">
      <c r="A13" s="721" t="s">
        <v>149</v>
      </c>
      <c r="B13" s="36"/>
      <c r="C13" s="36"/>
      <c r="D13" s="36"/>
      <c r="E13" s="36"/>
      <c r="F13" s="37"/>
      <c r="G13" s="419"/>
      <c r="H13" s="419"/>
      <c r="I13" s="419"/>
      <c r="J13" s="419"/>
      <c r="K13" s="419"/>
      <c r="L13" s="717"/>
      <c r="M13" s="419"/>
      <c r="N13" s="419"/>
      <c r="O13" s="419"/>
      <c r="P13" s="419"/>
      <c r="Q13" s="419"/>
      <c r="R13" s="419"/>
      <c r="S13" s="419"/>
      <c r="T13" s="419"/>
      <c r="U13" s="419"/>
      <c r="V13" s="419"/>
      <c r="W13" s="419"/>
      <c r="X13" s="419"/>
      <c r="Y13" s="419"/>
      <c r="Z13" s="419"/>
    </row>
    <row r="14">
      <c r="A14" s="653"/>
      <c r="B14" s="653"/>
      <c r="C14" s="653"/>
      <c r="D14" s="653"/>
      <c r="E14" s="654"/>
      <c r="F14" s="141"/>
      <c r="G14" s="419"/>
      <c r="H14" s="419"/>
      <c r="I14" s="419"/>
      <c r="J14" s="419"/>
      <c r="K14" s="419"/>
      <c r="L14" s="717"/>
      <c r="M14" s="419"/>
      <c r="N14" s="419"/>
      <c r="O14" s="419"/>
      <c r="P14" s="419"/>
      <c r="Q14" s="419"/>
      <c r="R14" s="419"/>
      <c r="S14" s="419"/>
      <c r="T14" s="419"/>
      <c r="U14" s="419"/>
      <c r="V14" s="419"/>
      <c r="W14" s="419"/>
      <c r="X14" s="419"/>
      <c r="Y14" s="419"/>
      <c r="Z14" s="419"/>
    </row>
    <row r="15">
      <c r="A15" s="50" t="s">
        <v>47</v>
      </c>
      <c r="B15" s="36"/>
      <c r="C15" s="36"/>
      <c r="D15" s="36"/>
      <c r="E15" s="36"/>
      <c r="F15" s="37"/>
      <c r="G15" s="722"/>
      <c r="H15" s="429" t="s">
        <v>118</v>
      </c>
      <c r="I15" s="36"/>
      <c r="J15" s="36"/>
      <c r="K15" s="36"/>
      <c r="L15" s="36"/>
      <c r="M15" s="37"/>
      <c r="N15" s="419"/>
      <c r="O15" s="429" t="s">
        <v>118</v>
      </c>
      <c r="P15" s="36"/>
      <c r="Q15" s="36"/>
      <c r="R15" s="36"/>
      <c r="S15" s="36"/>
      <c r="T15" s="37"/>
      <c r="U15" s="419"/>
      <c r="V15" s="419"/>
      <c r="W15" s="419"/>
      <c r="X15" s="419"/>
      <c r="Y15" s="419"/>
      <c r="Z15" s="419"/>
    </row>
    <row r="16">
      <c r="A16" s="657"/>
      <c r="B16" s="657"/>
      <c r="C16" s="657"/>
      <c r="D16" s="657"/>
      <c r="E16" s="657"/>
      <c r="F16" s="657"/>
      <c r="G16" s="722"/>
      <c r="H16" s="657"/>
      <c r="I16" s="657"/>
      <c r="J16" s="657"/>
      <c r="K16" s="657"/>
      <c r="L16" s="657"/>
      <c r="M16" s="657"/>
      <c r="N16" s="419"/>
      <c r="O16" s="419"/>
      <c r="P16" s="419"/>
      <c r="Q16" s="419"/>
      <c r="R16" s="419"/>
      <c r="S16" s="419"/>
      <c r="T16" s="419"/>
      <c r="U16" s="419"/>
      <c r="V16" s="419"/>
      <c r="W16" s="419"/>
      <c r="X16" s="419"/>
      <c r="Y16" s="419"/>
      <c r="Z16" s="419"/>
    </row>
    <row r="17">
      <c r="A17" s="657"/>
      <c r="B17" s="657"/>
      <c r="C17" s="657"/>
      <c r="D17" s="657"/>
      <c r="E17" s="657"/>
      <c r="F17" s="657"/>
      <c r="G17" s="722"/>
      <c r="H17" s="657"/>
      <c r="I17" s="657"/>
      <c r="J17" s="657"/>
      <c r="K17" s="657"/>
      <c r="L17" s="657"/>
      <c r="M17" s="657"/>
      <c r="N17" s="419"/>
      <c r="O17" s="419"/>
      <c r="P17" s="419"/>
      <c r="Q17" s="419"/>
      <c r="R17" s="419"/>
      <c r="S17" s="419"/>
      <c r="T17" s="419"/>
      <c r="U17" s="419"/>
      <c r="V17" s="419"/>
      <c r="W17" s="419"/>
      <c r="X17" s="419"/>
      <c r="Y17" s="419"/>
      <c r="Z17" s="419"/>
    </row>
    <row r="18">
      <c r="A18" s="51" t="s">
        <v>48</v>
      </c>
      <c r="B18" s="36"/>
      <c r="C18" s="36"/>
      <c r="D18" s="36"/>
      <c r="E18" s="36"/>
      <c r="F18" s="37"/>
      <c r="G18" s="722"/>
      <c r="H18" s="51" t="s">
        <v>48</v>
      </c>
      <c r="I18" s="36"/>
      <c r="J18" s="36"/>
      <c r="K18" s="36"/>
      <c r="L18" s="36"/>
      <c r="M18" s="37"/>
      <c r="N18" s="419"/>
      <c r="O18" s="51" t="s">
        <v>48</v>
      </c>
      <c r="P18" s="36"/>
      <c r="Q18" s="36"/>
      <c r="R18" s="36"/>
      <c r="S18" s="36"/>
      <c r="T18" s="37"/>
      <c r="U18" s="419"/>
      <c r="V18" s="419"/>
      <c r="W18" s="419"/>
      <c r="X18" s="419"/>
      <c r="Y18" s="419"/>
      <c r="Z18" s="419"/>
    </row>
    <row r="19">
      <c r="A19" s="93" t="str">
        <f>HYPERLINK("https://youtu.be/iLgUDezDMbU","1. BENCH PRESS")</f>
        <v>1. BENCH PRESS</v>
      </c>
      <c r="B19" s="53"/>
      <c r="C19" s="53"/>
      <c r="D19" s="53"/>
      <c r="E19" s="53"/>
      <c r="F19" s="54"/>
      <c r="G19" s="722"/>
      <c r="H19" s="93" t="str">
        <f>HYPERLINK("https://youtu.be/75e_H9Vq_Lw","1. MACHINE PRESS")</f>
        <v>1. MACHINE PRESS</v>
      </c>
      <c r="I19" s="53"/>
      <c r="J19" s="53"/>
      <c r="K19" s="53"/>
      <c r="L19" s="53"/>
      <c r="M19" s="54"/>
      <c r="N19" s="419"/>
      <c r="O19" s="75" t="str">
        <f>HYPERLINK("https://youtu.be/4fTS4jsJ-48","1. DUMBBELL INCLINE PRESS")</f>
        <v>1. DUMBBELL INCLINE PRESS</v>
      </c>
      <c r="P19" s="53"/>
      <c r="Q19" s="53"/>
      <c r="R19" s="53"/>
      <c r="S19" s="53"/>
      <c r="T19" s="54"/>
      <c r="U19" s="419"/>
      <c r="V19" s="419"/>
      <c r="W19" s="419"/>
      <c r="X19" s="419"/>
      <c r="Y19" s="419"/>
      <c r="Z19" s="419"/>
    </row>
    <row r="20">
      <c r="A20" s="226" t="s">
        <v>119</v>
      </c>
      <c r="B20" s="691">
        <f>if('WEEK 25'!B32="",'WEEK 25'!B20,'WEEK 25'!B32)</f>
        <v>270</v>
      </c>
      <c r="C20" s="13"/>
      <c r="D20" s="13"/>
      <c r="E20" s="13"/>
      <c r="F20" s="57"/>
      <c r="G20" s="722"/>
      <c r="H20" s="226" t="s">
        <v>119</v>
      </c>
      <c r="I20" s="691" t="str">
        <f>if('WEEK 25'!I32="",'WEEK 25'!I20,'WEEK 25'!I32)</f>
        <v/>
      </c>
      <c r="J20" s="13"/>
      <c r="K20" s="13"/>
      <c r="L20" s="13"/>
      <c r="M20" s="57"/>
      <c r="N20" s="419"/>
      <c r="O20" s="226" t="s">
        <v>119</v>
      </c>
      <c r="P20" s="691" t="str">
        <f>if('WEEK 25'!P32="",'WEEK 25'!P20,'WEEK 25'!P32)</f>
        <v/>
      </c>
      <c r="Q20" s="13"/>
      <c r="R20" s="13"/>
      <c r="S20" s="13"/>
      <c r="T20" s="57"/>
      <c r="U20" s="419"/>
      <c r="V20" s="419"/>
      <c r="W20" s="419"/>
      <c r="X20" s="419"/>
      <c r="Y20" s="419"/>
      <c r="Z20" s="419"/>
    </row>
    <row r="21">
      <c r="A21" s="96" t="s">
        <v>50</v>
      </c>
      <c r="B21" s="97" t="s">
        <v>51</v>
      </c>
      <c r="C21" s="97" t="s">
        <v>52</v>
      </c>
      <c r="D21" s="97" t="s">
        <v>53</v>
      </c>
      <c r="E21" s="341" t="s">
        <v>54</v>
      </c>
      <c r="F21" s="235" t="s">
        <v>55</v>
      </c>
      <c r="G21" s="723"/>
      <c r="H21" s="96" t="s">
        <v>50</v>
      </c>
      <c r="I21" s="97" t="s">
        <v>51</v>
      </c>
      <c r="J21" s="97" t="s">
        <v>52</v>
      </c>
      <c r="K21" s="97" t="s">
        <v>53</v>
      </c>
      <c r="L21" s="341" t="s">
        <v>54</v>
      </c>
      <c r="M21" s="235" t="s">
        <v>55</v>
      </c>
      <c r="N21" s="724"/>
      <c r="O21" s="96" t="s">
        <v>50</v>
      </c>
      <c r="P21" s="97" t="s">
        <v>51</v>
      </c>
      <c r="Q21" s="97" t="s">
        <v>52</v>
      </c>
      <c r="R21" s="97" t="s">
        <v>53</v>
      </c>
      <c r="S21" s="341" t="s">
        <v>54</v>
      </c>
      <c r="T21" s="235" t="s">
        <v>55</v>
      </c>
      <c r="U21" s="724"/>
      <c r="V21" s="724"/>
      <c r="W21" s="724"/>
      <c r="X21" s="724"/>
      <c r="Y21" s="724"/>
      <c r="Z21" s="724"/>
    </row>
    <row r="22">
      <c r="A22" s="725">
        <v>1.0</v>
      </c>
      <c r="B22" s="344">
        <f>mround('WEEK 27'!B20*0.9*0.35,5)</f>
        <v>85</v>
      </c>
      <c r="C22" s="344">
        <v>6.0</v>
      </c>
      <c r="D22" s="343" t="s">
        <v>150</v>
      </c>
      <c r="E22" s="84" t="str">
        <f>IF('WEEK 19'!B22='WEEK 27'!B22,'WEEK 19'!F22,"")</f>
        <v/>
      </c>
      <c r="F22" s="85"/>
      <c r="G22" s="423"/>
      <c r="H22" s="725">
        <v>1.0</v>
      </c>
      <c r="I22" s="344">
        <f>mround('WEEK 27'!I20*0.9*0.35,5)</f>
        <v>0</v>
      </c>
      <c r="J22" s="344">
        <v>6.0</v>
      </c>
      <c r="K22" s="343" t="s">
        <v>150</v>
      </c>
      <c r="L22" s="84" t="str">
        <f>IF('WEEK 19'!I22='WEEK 27'!I22,'WEEK 19'!M22,"")</f>
        <v/>
      </c>
      <c r="M22" s="85"/>
      <c r="N22" s="728"/>
      <c r="O22" s="725">
        <v>1.0</v>
      </c>
      <c r="P22" s="344">
        <f>mround('WEEK 27'!P20*0.9*0.35,5)</f>
        <v>0</v>
      </c>
      <c r="Q22" s="344">
        <v>6.0</v>
      </c>
      <c r="R22" s="343" t="s">
        <v>150</v>
      </c>
      <c r="S22" s="727"/>
      <c r="T22" s="85"/>
      <c r="U22" s="728"/>
      <c r="V22" s="728"/>
      <c r="W22" s="728"/>
      <c r="X22" s="728"/>
      <c r="Y22" s="728"/>
      <c r="Z22" s="728"/>
    </row>
    <row r="23">
      <c r="A23" s="725">
        <v>2.0</v>
      </c>
      <c r="B23" s="344">
        <f>mround('WEEK 27'!B20*0.9*0.72,5)</f>
        <v>175</v>
      </c>
      <c r="C23" s="344">
        <v>1.0</v>
      </c>
      <c r="D23" s="343" t="s">
        <v>151</v>
      </c>
      <c r="E23" s="84" t="str">
        <f>IF('WEEK 19'!B23='WEEK 27'!B23,'WEEK 19'!F23,"")</f>
        <v/>
      </c>
      <c r="F23" s="85"/>
      <c r="G23" s="423"/>
      <c r="H23" s="725">
        <v>2.0</v>
      </c>
      <c r="I23" s="344">
        <f>mround('WEEK 27'!I20*0.9*0.72,5)</f>
        <v>0</v>
      </c>
      <c r="J23" s="344">
        <v>1.0</v>
      </c>
      <c r="K23" s="343" t="s">
        <v>151</v>
      </c>
      <c r="L23" s="84" t="str">
        <f>IF('WEEK 19'!I23='WEEK 27'!I23,'WEEK 19'!M23,"")</f>
        <v/>
      </c>
      <c r="M23" s="85"/>
      <c r="N23" s="728"/>
      <c r="O23" s="725">
        <v>2.0</v>
      </c>
      <c r="P23" s="344">
        <f>mround('WEEK 27'!P20*0.9*0.72,5)</f>
        <v>0</v>
      </c>
      <c r="Q23" s="344">
        <v>1.0</v>
      </c>
      <c r="R23" s="343" t="s">
        <v>151</v>
      </c>
      <c r="S23" s="727"/>
      <c r="T23" s="85"/>
      <c r="U23" s="728"/>
      <c r="V23" s="728"/>
      <c r="W23" s="728"/>
      <c r="X23" s="728"/>
      <c r="Y23" s="728"/>
      <c r="Z23" s="728"/>
    </row>
    <row r="24">
      <c r="A24" s="725">
        <v>3.0</v>
      </c>
      <c r="B24" s="344">
        <f>mround('WEEK 27'!B20*0.9*0.9,5)</f>
        <v>220</v>
      </c>
      <c r="C24" s="344">
        <v>1.0</v>
      </c>
      <c r="D24" s="343" t="s">
        <v>57</v>
      </c>
      <c r="E24" s="84" t="str">
        <f>IF('WEEK 19'!B24='WEEK 27'!B24,'WEEK 19'!F24,"")</f>
        <v/>
      </c>
      <c r="F24" s="85"/>
      <c r="G24" s="423"/>
      <c r="H24" s="725">
        <v>3.0</v>
      </c>
      <c r="I24" s="344">
        <f>mround('WEEK 27'!I20*0.9*0.9,5)</f>
        <v>0</v>
      </c>
      <c r="J24" s="344">
        <v>1.0</v>
      </c>
      <c r="K24" s="343" t="s">
        <v>57</v>
      </c>
      <c r="L24" s="84" t="str">
        <f>IF('WEEK 19'!I24='WEEK 27'!I24,'WEEK 19'!M24,"")</f>
        <v/>
      </c>
      <c r="M24" s="85"/>
      <c r="N24" s="728"/>
      <c r="O24" s="725">
        <v>3.0</v>
      </c>
      <c r="P24" s="344">
        <f>mround('WEEK 27'!P20*0.9*0.9,5)</f>
        <v>0</v>
      </c>
      <c r="Q24" s="344">
        <v>1.0</v>
      </c>
      <c r="R24" s="343" t="s">
        <v>57</v>
      </c>
      <c r="S24" s="727"/>
      <c r="T24" s="85"/>
      <c r="U24" s="728"/>
      <c r="V24" s="728"/>
      <c r="W24" s="728"/>
      <c r="X24" s="728"/>
      <c r="Y24" s="728"/>
      <c r="Z24" s="728"/>
    </row>
    <row r="25">
      <c r="A25" s="730" t="s">
        <v>152</v>
      </c>
      <c r="B25" s="13"/>
      <c r="C25" s="13"/>
      <c r="D25" s="13"/>
      <c r="E25" s="13"/>
      <c r="F25" s="57"/>
      <c r="G25" s="731" t="s">
        <v>123</v>
      </c>
      <c r="H25" s="730" t="s">
        <v>152</v>
      </c>
      <c r="I25" s="13"/>
      <c r="J25" s="13"/>
      <c r="K25" s="13"/>
      <c r="L25" s="13"/>
      <c r="M25" s="57"/>
      <c r="N25" s="419"/>
      <c r="O25" s="730" t="s">
        <v>152</v>
      </c>
      <c r="P25" s="13"/>
      <c r="Q25" s="13"/>
      <c r="R25" s="13"/>
      <c r="S25" s="13"/>
      <c r="T25" s="57"/>
      <c r="U25" s="419"/>
      <c r="V25" s="419"/>
      <c r="W25" s="419"/>
      <c r="X25" s="419"/>
      <c r="Y25" s="419"/>
      <c r="Z25" s="419"/>
    </row>
    <row r="26">
      <c r="A26" s="96" t="s">
        <v>50</v>
      </c>
      <c r="B26" s="97" t="s">
        <v>51</v>
      </c>
      <c r="C26" s="97" t="s">
        <v>52</v>
      </c>
      <c r="D26" s="97" t="s">
        <v>53</v>
      </c>
      <c r="E26" s="341" t="s">
        <v>54</v>
      </c>
      <c r="F26" s="235" t="s">
        <v>55</v>
      </c>
      <c r="H26" s="96" t="s">
        <v>50</v>
      </c>
      <c r="I26" s="97" t="s">
        <v>51</v>
      </c>
      <c r="J26" s="97" t="s">
        <v>52</v>
      </c>
      <c r="K26" s="97" t="s">
        <v>53</v>
      </c>
      <c r="L26" s="341" t="s">
        <v>54</v>
      </c>
      <c r="M26" s="235" t="s">
        <v>55</v>
      </c>
      <c r="N26" s="724"/>
      <c r="O26" s="96" t="s">
        <v>50</v>
      </c>
      <c r="P26" s="97" t="s">
        <v>51</v>
      </c>
      <c r="Q26" s="97" t="s">
        <v>52</v>
      </c>
      <c r="R26" s="97" t="s">
        <v>53</v>
      </c>
      <c r="S26" s="341" t="s">
        <v>54</v>
      </c>
      <c r="T26" s="235" t="s">
        <v>55</v>
      </c>
      <c r="U26" s="724"/>
      <c r="V26" s="724"/>
      <c r="W26" s="724"/>
      <c r="X26" s="724"/>
      <c r="Y26" s="724"/>
      <c r="Z26" s="724"/>
    </row>
    <row r="27">
      <c r="A27" s="342">
        <v>1.0</v>
      </c>
      <c r="B27" s="348">
        <f>mround('WEEK 27'!B20*1*0.9,5)</f>
        <v>245</v>
      </c>
      <c r="C27" s="437" t="s">
        <v>65</v>
      </c>
      <c r="D27" s="343" t="s">
        <v>122</v>
      </c>
      <c r="E27" s="84" t="str">
        <f>IF('WEEK 19'!B27='WEEK 27'!B27,'WEEK 19'!F27,"")</f>
        <v/>
      </c>
      <c r="F27" s="85"/>
      <c r="G27" s="423"/>
      <c r="H27" s="725">
        <v>1.0</v>
      </c>
      <c r="I27" s="348">
        <f>mround('WEEK 27'!I20*1*0.9,5)</f>
        <v>0</v>
      </c>
      <c r="J27" s="437" t="s">
        <v>65</v>
      </c>
      <c r="K27" s="343" t="s">
        <v>122</v>
      </c>
      <c r="L27" s="84" t="str">
        <f>IF('WEEK 19'!I27='WEEK 27'!I27,'WEEK 19'!M27,"")</f>
        <v/>
      </c>
      <c r="M27" s="85"/>
      <c r="N27" s="728"/>
      <c r="O27" s="725">
        <v>1.0</v>
      </c>
      <c r="P27" s="348">
        <f>mround('WEEK 27'!P20*1*0.9,5)</f>
        <v>0</v>
      </c>
      <c r="Q27" s="437" t="s">
        <v>65</v>
      </c>
      <c r="R27" s="343" t="s">
        <v>122</v>
      </c>
      <c r="S27" s="727"/>
      <c r="T27" s="85"/>
      <c r="U27" s="728"/>
      <c r="V27" s="728"/>
      <c r="W27" s="728"/>
      <c r="X27" s="728"/>
      <c r="Y27" s="728"/>
      <c r="Z27" s="728"/>
    </row>
    <row r="28">
      <c r="A28" s="725">
        <v>2.0</v>
      </c>
      <c r="B28" s="348">
        <f>IF('WEEK 27'!F27&lt;3,MROUND('WEEK 27'!B27*0.75,5),IF('WEEK 27'!F27&lt;6,MROUND('WEEK 27'!B27*0.85,5),mround('WEEK 27'!B27*0.9,5)))</f>
        <v>185</v>
      </c>
      <c r="C28" s="437" t="s">
        <v>65</v>
      </c>
      <c r="D28" s="343" t="s">
        <v>122</v>
      </c>
      <c r="E28" s="84" t="str">
        <f>IF('WEEK 19'!B28='WEEK 27'!B28,'WEEK 19'!F28,"")</f>
        <v/>
      </c>
      <c r="F28" s="85"/>
      <c r="G28" s="722"/>
      <c r="H28" s="725">
        <v>2.0</v>
      </c>
      <c r="I28" s="348">
        <f>IF('WEEK 27'!M27&lt;3,MROUND('WEEK 27'!I27*0.75,5),IF('WEEK 27'!M27&lt;6,MROUND('WEEK 27'!I27*0.85,5),mround('WEEK 27'!I27*0.9,5)))</f>
        <v>0</v>
      </c>
      <c r="J28" s="437" t="s">
        <v>65</v>
      </c>
      <c r="K28" s="343" t="s">
        <v>122</v>
      </c>
      <c r="L28" s="84" t="str">
        <f>IF('WEEK 19'!I28='WEEK 27'!I28,'WEEK 19'!M28,"")</f>
        <v/>
      </c>
      <c r="M28" s="85"/>
      <c r="N28" s="419"/>
      <c r="O28" s="725">
        <v>2.0</v>
      </c>
      <c r="P28" s="348">
        <f>IF('WEEK 27'!T27&lt;3,MROUND(P27*0.75,5),IF(T27&lt;6,MROUND(P27*0.85,5),mround(P27*0.9,5)))</f>
        <v>0</v>
      </c>
      <c r="Q28" s="437" t="s">
        <v>65</v>
      </c>
      <c r="R28" s="343" t="s">
        <v>122</v>
      </c>
      <c r="S28" s="727"/>
      <c r="T28" s="85"/>
      <c r="U28" s="419"/>
      <c r="V28" s="419"/>
      <c r="W28" s="419"/>
      <c r="X28" s="419"/>
      <c r="Y28" s="419"/>
      <c r="Z28" s="419"/>
    </row>
    <row r="29">
      <c r="A29" s="485">
        <v>3.0</v>
      </c>
      <c r="B29" s="732">
        <f>IF('WEEK 27'!F28&lt;3,MROUND('WEEK 27'!B28*0.75,5),IF('WEEK 27'!F28&lt;6,MROUND('WEEK 27'!B28*0.85,5),mround('WEEK 27'!B28*0.9,5)))</f>
        <v>165</v>
      </c>
      <c r="C29" s="733" t="s">
        <v>65</v>
      </c>
      <c r="D29" s="486" t="s">
        <v>122</v>
      </c>
      <c r="E29" s="84" t="str">
        <f>IF('WEEK 19'!B29='WEEK 27'!B29,'WEEK 19'!F29,"")</f>
        <v/>
      </c>
      <c r="F29" s="85"/>
      <c r="G29" s="722"/>
      <c r="H29" s="735">
        <v>3.0</v>
      </c>
      <c r="I29" s="736">
        <f>IF('WEEK 27'!M28&lt;3,MROUND('WEEK 27'!I28*0.75,5),IF('WEEK 27'!M28&lt;6,MROUND('WEEK 27'!I28*0.85,5),mround('WEEK 27'!I28*0.9,5)))</f>
        <v>0</v>
      </c>
      <c r="J29" s="737" t="s">
        <v>65</v>
      </c>
      <c r="K29" s="738" t="s">
        <v>122</v>
      </c>
      <c r="L29" s="84" t="str">
        <f>IF('WEEK 19'!I29='WEEK 27'!I29,'WEEK 19'!M29,"")</f>
        <v/>
      </c>
      <c r="M29" s="330"/>
      <c r="N29" s="419"/>
      <c r="O29" s="485">
        <v>3.0</v>
      </c>
      <c r="P29" s="732">
        <f>IF('WEEK 27'!T28&lt;3,MROUND('WEEK 27'!P28*0.75,5),IF('WEEK 27'!T28&lt;6,MROUND('WEEK 27'!P28*0.85,5),mround('WEEK 27'!P28*0.9,5)))</f>
        <v>0</v>
      </c>
      <c r="Q29" s="733" t="s">
        <v>65</v>
      </c>
      <c r="R29" s="486" t="s">
        <v>122</v>
      </c>
      <c r="S29" s="734"/>
      <c r="T29" s="85"/>
      <c r="U29" s="419"/>
      <c r="V29" s="419"/>
      <c r="W29" s="419"/>
      <c r="X29" s="419"/>
      <c r="Y29" s="419"/>
      <c r="Z29" s="419"/>
    </row>
    <row r="30">
      <c r="A30" s="740"/>
      <c r="B30" s="740"/>
      <c r="C30" s="740"/>
      <c r="D30" s="740"/>
      <c r="E30" s="741"/>
      <c r="F30" s="419"/>
      <c r="G30" s="722"/>
      <c r="H30" s="742"/>
      <c r="I30" s="742"/>
      <c r="J30" s="742"/>
      <c r="K30" s="742"/>
      <c r="L30" s="742"/>
      <c r="M30" s="742"/>
      <c r="N30" s="419"/>
      <c r="O30" s="419"/>
      <c r="P30" s="419"/>
      <c r="Q30" s="419"/>
      <c r="R30" s="419"/>
      <c r="S30" s="419"/>
      <c r="T30" s="419"/>
      <c r="U30" s="419"/>
      <c r="V30" s="419"/>
      <c r="W30" s="419"/>
      <c r="X30" s="419"/>
      <c r="Y30" s="419"/>
      <c r="Z30" s="419"/>
    </row>
    <row r="31">
      <c r="A31" s="740"/>
      <c r="B31" s="740"/>
      <c r="C31" s="740"/>
      <c r="D31" s="740"/>
      <c r="E31" s="741"/>
      <c r="F31" s="419"/>
      <c r="G31" s="419"/>
      <c r="H31" s="657"/>
      <c r="I31" s="657"/>
      <c r="J31" s="657"/>
      <c r="K31" s="657"/>
      <c r="L31" s="657"/>
      <c r="M31" s="657"/>
      <c r="N31" s="419"/>
      <c r="O31" s="419"/>
      <c r="P31" s="419"/>
      <c r="Q31" s="419"/>
      <c r="R31" s="419"/>
      <c r="S31" s="419"/>
      <c r="T31" s="419"/>
      <c r="U31" s="419"/>
      <c r="V31" s="419"/>
      <c r="W31" s="419"/>
      <c r="X31" s="419"/>
      <c r="Y31" s="419"/>
      <c r="Z31" s="419"/>
    </row>
    <row r="32">
      <c r="A32" s="440" t="str">
        <f>HYPERLINK("https://www.youtube.com/watch?v=mGv8D2DGyNQ","2. DB CHEST FLY")</f>
        <v>2. DB CHEST FLY</v>
      </c>
      <c r="B32" s="53"/>
      <c r="C32" s="53"/>
      <c r="D32" s="53"/>
      <c r="E32" s="53"/>
      <c r="F32" s="54"/>
      <c r="G32" s="419"/>
      <c r="H32" s="504" t="str">
        <f>HYPERLINK("https://www.youtube.com/watch?v=THb0dhfIu1k","2. MACHINE CHEST FLY")</f>
        <v>2. MACHINE CHEST FLY</v>
      </c>
      <c r="I32" s="53"/>
      <c r="J32" s="53"/>
      <c r="K32" s="53"/>
      <c r="L32" s="53"/>
      <c r="M32" s="54"/>
      <c r="N32" s="419"/>
      <c r="O32" s="419"/>
      <c r="P32" s="419"/>
      <c r="Q32" s="419"/>
      <c r="R32" s="419"/>
      <c r="S32" s="419"/>
      <c r="T32" s="419"/>
      <c r="U32" s="419"/>
      <c r="V32" s="419"/>
      <c r="W32" s="419"/>
      <c r="X32" s="419"/>
      <c r="Y32" s="419"/>
      <c r="Z32" s="419"/>
    </row>
    <row r="33">
      <c r="A33" s="226" t="s">
        <v>153</v>
      </c>
      <c r="B33" s="691" t="str">
        <f>'WEEK 27'!P20</f>
        <v/>
      </c>
      <c r="C33" s="13"/>
      <c r="D33" s="13"/>
      <c r="E33" s="13"/>
      <c r="F33" s="57"/>
      <c r="G33" s="419"/>
      <c r="H33" s="226" t="s">
        <v>119</v>
      </c>
      <c r="I33" s="548">
        <f>'WEEK 27'!B33</f>
        <v>100</v>
      </c>
      <c r="J33" s="13"/>
      <c r="K33" s="13"/>
      <c r="L33" s="13"/>
      <c r="M33" s="57"/>
      <c r="N33" s="419"/>
      <c r="O33" s="419"/>
      <c r="P33" s="419"/>
      <c r="Q33" s="419"/>
      <c r="R33" s="419"/>
      <c r="S33" s="419"/>
      <c r="T33" s="419"/>
      <c r="U33" s="419"/>
      <c r="V33" s="419"/>
      <c r="W33" s="419"/>
      <c r="X33" s="419"/>
      <c r="Y33" s="419"/>
      <c r="Z33" s="419"/>
    </row>
    <row r="34">
      <c r="A34" s="743" t="s">
        <v>50</v>
      </c>
      <c r="B34" s="744" t="s">
        <v>51</v>
      </c>
      <c r="C34" s="744" t="s">
        <v>52</v>
      </c>
      <c r="D34" s="744" t="s">
        <v>53</v>
      </c>
      <c r="E34" s="745" t="s">
        <v>54</v>
      </c>
      <c r="F34" s="746" t="s">
        <v>55</v>
      </c>
      <c r="G34" s="724"/>
      <c r="H34" s="96" t="s">
        <v>50</v>
      </c>
      <c r="I34" s="97" t="s">
        <v>51</v>
      </c>
      <c r="J34" s="97" t="s">
        <v>52</v>
      </c>
      <c r="K34" s="97" t="s">
        <v>53</v>
      </c>
      <c r="L34" s="341" t="s">
        <v>54</v>
      </c>
      <c r="M34" s="235" t="s">
        <v>55</v>
      </c>
      <c r="N34" s="724"/>
      <c r="O34" s="724"/>
      <c r="P34" s="724"/>
      <c r="Q34" s="724"/>
      <c r="R34" s="724"/>
      <c r="S34" s="724"/>
      <c r="T34" s="724"/>
      <c r="U34" s="724"/>
      <c r="V34" s="724"/>
      <c r="W34" s="724"/>
      <c r="X34" s="724"/>
      <c r="Y34" s="724"/>
      <c r="Z34" s="724"/>
    </row>
    <row r="35">
      <c r="A35" s="725">
        <v>1.0</v>
      </c>
      <c r="B35" s="254">
        <f>mround('WEEK 27'!B33*0.29,2.5)</f>
        <v>30</v>
      </c>
      <c r="C35" s="343" t="s">
        <v>61</v>
      </c>
      <c r="D35" s="343" t="s">
        <v>57</v>
      </c>
      <c r="E35" s="84" t="str">
        <f>IF('WEEK 26'!B40='WEEK 27'!B35,'WEEK 26'!F40,"")</f>
        <v/>
      </c>
      <c r="F35" s="85"/>
      <c r="G35" s="728"/>
      <c r="H35" s="240">
        <v>1.0</v>
      </c>
      <c r="I35" s="254">
        <f>mround('WEEK 27'!I33*2*0.75,10)</f>
        <v>150</v>
      </c>
      <c r="J35" s="343" t="s">
        <v>61</v>
      </c>
      <c r="K35" s="83" t="s">
        <v>57</v>
      </c>
      <c r="L35" s="84" t="str">
        <f>IF('WEEK 25'!I32='WEEK 26'!I35,'WEEK 25'!M32,"")</f>
        <v/>
      </c>
      <c r="M35" s="85"/>
      <c r="N35" s="728"/>
      <c r="O35" s="728"/>
      <c r="P35" s="728"/>
      <c r="Q35" s="728"/>
      <c r="R35" s="728"/>
      <c r="S35" s="728"/>
      <c r="T35" s="728"/>
      <c r="U35" s="728"/>
      <c r="V35" s="728"/>
      <c r="W35" s="728"/>
      <c r="X35" s="728"/>
      <c r="Y35" s="728"/>
      <c r="Z35" s="728"/>
    </row>
    <row r="36">
      <c r="A36" s="747">
        <v>2.0</v>
      </c>
      <c r="B36" s="662">
        <f>mround('WEEK 27'!B33*0.29,2.5)</f>
        <v>30</v>
      </c>
      <c r="C36" s="343" t="s">
        <v>61</v>
      </c>
      <c r="D36" s="486" t="s">
        <v>57</v>
      </c>
      <c r="E36" s="84" t="str">
        <f>IF('WEEK 26'!B41='WEEK 27'!B36,'WEEK 26'!F41,"")</f>
        <v/>
      </c>
      <c r="F36" s="85"/>
      <c r="G36" s="728"/>
      <c r="H36" s="661">
        <v>2.0</v>
      </c>
      <c r="I36" s="662">
        <f>mround('WEEK 27'!I33*2*0.75,10)</f>
        <v>150</v>
      </c>
      <c r="J36" s="343" t="s">
        <v>61</v>
      </c>
      <c r="K36" s="88" t="s">
        <v>57</v>
      </c>
      <c r="L36" s="89" t="str">
        <f>IF('WEEK 25'!I33='WEEK 26'!I36,'WEEK 25'!M33,"")</f>
        <v/>
      </c>
      <c r="M36" s="85"/>
      <c r="N36" s="728"/>
      <c r="O36" s="728"/>
      <c r="P36" s="728"/>
      <c r="Q36" s="728"/>
      <c r="R36" s="728"/>
      <c r="S36" s="728"/>
      <c r="T36" s="728"/>
      <c r="U36" s="728"/>
      <c r="V36" s="728"/>
      <c r="W36" s="728"/>
      <c r="X36" s="728"/>
      <c r="Y36" s="728"/>
      <c r="Z36" s="728"/>
    </row>
    <row r="37">
      <c r="A37" s="419"/>
      <c r="B37" s="419"/>
      <c r="C37" s="419"/>
      <c r="D37" s="419"/>
      <c r="E37" s="717"/>
      <c r="F37" s="419"/>
      <c r="G37" s="419"/>
      <c r="H37" s="419"/>
      <c r="I37" s="419"/>
      <c r="J37" s="419"/>
      <c r="K37" s="419"/>
      <c r="L37" s="717"/>
      <c r="M37" s="419"/>
      <c r="N37" s="419"/>
      <c r="O37" s="419"/>
      <c r="P37" s="419"/>
      <c r="Q37" s="419"/>
      <c r="R37" s="419"/>
      <c r="S37" s="419"/>
      <c r="T37" s="419"/>
      <c r="U37" s="419"/>
      <c r="V37" s="419"/>
      <c r="W37" s="419"/>
      <c r="X37" s="419"/>
      <c r="Y37" s="419"/>
      <c r="Z37" s="419"/>
    </row>
    <row r="38">
      <c r="A38" s="419"/>
      <c r="B38" s="419"/>
      <c r="C38" s="419"/>
      <c r="D38" s="419"/>
      <c r="E38" s="717"/>
      <c r="F38" s="419"/>
      <c r="G38" s="419"/>
      <c r="H38" s="419"/>
      <c r="I38" s="419"/>
      <c r="J38" s="419"/>
      <c r="K38" s="419"/>
      <c r="L38" s="717"/>
      <c r="M38" s="419"/>
      <c r="N38" s="419"/>
      <c r="O38" s="419"/>
      <c r="P38" s="419"/>
      <c r="Q38" s="419"/>
      <c r="R38" s="419"/>
      <c r="S38" s="419"/>
      <c r="T38" s="419"/>
      <c r="U38" s="419"/>
      <c r="V38" s="419"/>
      <c r="W38" s="419"/>
      <c r="X38" s="419"/>
      <c r="Y38" s="419"/>
      <c r="Z38" s="419"/>
    </row>
    <row r="39">
      <c r="A39" s="73" t="str">
        <f>HYPERLINK("https://youtu.be/hMUUvL3FlkE","3. MACHINE HIGH ROW")</f>
        <v>3. MACHINE HIGH ROW</v>
      </c>
      <c r="B39" s="53"/>
      <c r="C39" s="53"/>
      <c r="D39" s="53"/>
      <c r="E39" s="53"/>
      <c r="F39" s="54"/>
      <c r="G39" s="419"/>
      <c r="H39" s="419"/>
      <c r="I39" s="419"/>
      <c r="J39" s="419"/>
      <c r="K39" s="419"/>
      <c r="L39" s="717"/>
      <c r="M39" s="419"/>
      <c r="N39" s="419"/>
      <c r="O39" s="419"/>
      <c r="P39" s="419"/>
      <c r="Q39" s="419"/>
      <c r="R39" s="419"/>
      <c r="S39" s="419"/>
      <c r="T39" s="419"/>
      <c r="U39" s="419"/>
      <c r="V39" s="419"/>
      <c r="W39" s="419"/>
      <c r="X39" s="419"/>
      <c r="Y39" s="419"/>
      <c r="Z39" s="419"/>
    </row>
    <row r="40">
      <c r="A40" s="226" t="s">
        <v>119</v>
      </c>
      <c r="B40" s="227">
        <f>'WEEK 26'!B60</f>
        <v>145</v>
      </c>
      <c r="C40" s="20"/>
      <c r="D40" s="20"/>
      <c r="E40" s="20"/>
      <c r="F40" s="95"/>
      <c r="G40" s="419"/>
      <c r="H40" s="419"/>
      <c r="I40" s="419"/>
      <c r="J40" s="419"/>
      <c r="K40" s="419"/>
      <c r="L40" s="717"/>
      <c r="M40" s="419"/>
      <c r="N40" s="419"/>
      <c r="O40" s="419"/>
      <c r="P40" s="419"/>
      <c r="Q40" s="419"/>
      <c r="R40" s="419"/>
      <c r="S40" s="419"/>
      <c r="T40" s="419"/>
      <c r="U40" s="419"/>
      <c r="V40" s="419"/>
      <c r="W40" s="419"/>
      <c r="X40" s="419"/>
      <c r="Y40" s="419"/>
      <c r="Z40" s="419"/>
    </row>
    <row r="41">
      <c r="A41" s="231" t="s">
        <v>50</v>
      </c>
      <c r="B41" s="232" t="s">
        <v>51</v>
      </c>
      <c r="C41" s="232" t="s">
        <v>52</v>
      </c>
      <c r="D41" s="232" t="s">
        <v>53</v>
      </c>
      <c r="E41" s="233" t="s">
        <v>54</v>
      </c>
      <c r="F41" s="61" t="s">
        <v>55</v>
      </c>
      <c r="G41" s="724"/>
      <c r="H41" s="724"/>
      <c r="I41" s="724"/>
      <c r="J41" s="724"/>
      <c r="K41" s="724"/>
      <c r="L41" s="748"/>
      <c r="M41" s="724"/>
      <c r="N41" s="724"/>
      <c r="O41" s="724"/>
      <c r="P41" s="724"/>
      <c r="Q41" s="724"/>
      <c r="R41" s="724"/>
      <c r="S41" s="724"/>
      <c r="T41" s="724"/>
      <c r="U41" s="724"/>
      <c r="V41" s="724"/>
      <c r="W41" s="724"/>
      <c r="X41" s="724"/>
      <c r="Y41" s="724"/>
      <c r="Z41" s="724"/>
    </row>
    <row r="42">
      <c r="A42" s="236">
        <v>1.0</v>
      </c>
      <c r="B42" s="237">
        <f>mround('WEEK 27'!B40*0.35,5)</f>
        <v>50</v>
      </c>
      <c r="C42" s="237">
        <v>6.0</v>
      </c>
      <c r="D42" s="238" t="s">
        <v>120</v>
      </c>
      <c r="E42" s="66"/>
      <c r="F42" s="67">
        <v>6.0</v>
      </c>
      <c r="G42" s="728"/>
      <c r="H42" s="728"/>
      <c r="I42" s="728"/>
      <c r="J42" s="728"/>
      <c r="K42" s="728"/>
      <c r="L42" s="749"/>
      <c r="M42" s="728"/>
      <c r="N42" s="728"/>
      <c r="O42" s="728"/>
      <c r="P42" s="728"/>
      <c r="Q42" s="728"/>
      <c r="R42" s="728"/>
      <c r="S42" s="728"/>
      <c r="T42" s="728"/>
      <c r="U42" s="728"/>
      <c r="V42" s="728"/>
      <c r="W42" s="728"/>
      <c r="X42" s="728"/>
      <c r="Y42" s="728"/>
      <c r="Z42" s="728"/>
    </row>
    <row r="43">
      <c r="A43" s="236">
        <v>2.0</v>
      </c>
      <c r="B43" s="237">
        <f>mround('WEEK 27'!B40*0.65,5)</f>
        <v>95</v>
      </c>
      <c r="C43" s="238">
        <v>3.0</v>
      </c>
      <c r="D43" s="238" t="s">
        <v>121</v>
      </c>
      <c r="E43" s="66"/>
      <c r="F43" s="67">
        <v>3.0</v>
      </c>
      <c r="G43" s="728"/>
      <c r="H43" s="728"/>
      <c r="I43" s="728"/>
      <c r="J43" s="728"/>
      <c r="K43" s="728"/>
      <c r="L43" s="749"/>
      <c r="M43" s="728"/>
      <c r="N43" s="728"/>
      <c r="O43" s="728"/>
      <c r="P43" s="728"/>
      <c r="Q43" s="728"/>
      <c r="R43" s="728"/>
      <c r="S43" s="728"/>
      <c r="T43" s="728"/>
      <c r="U43" s="728"/>
      <c r="V43" s="728"/>
      <c r="W43" s="728"/>
      <c r="X43" s="728"/>
      <c r="Y43" s="728"/>
      <c r="Z43" s="728"/>
    </row>
    <row r="44">
      <c r="A44" s="242">
        <v>3.0</v>
      </c>
      <c r="B44" s="237">
        <f>mround('WEEK 27'!B40*0.9,5)</f>
        <v>130</v>
      </c>
      <c r="C44" s="63">
        <v>2.0</v>
      </c>
      <c r="D44" s="238" t="s">
        <v>121</v>
      </c>
      <c r="E44" s="66"/>
      <c r="F44" s="67">
        <v>2.0</v>
      </c>
      <c r="G44" s="728"/>
      <c r="H44" s="728"/>
      <c r="I44" s="728"/>
      <c r="J44" s="728"/>
      <c r="K44" s="728"/>
      <c r="L44" s="749"/>
      <c r="M44" s="728"/>
      <c r="N44" s="728"/>
      <c r="O44" s="728"/>
      <c r="P44" s="728"/>
      <c r="Q44" s="728"/>
      <c r="R44" s="728"/>
      <c r="S44" s="728"/>
      <c r="T44" s="728"/>
      <c r="U44" s="728"/>
      <c r="V44" s="728"/>
      <c r="W44" s="728"/>
      <c r="X44" s="728"/>
      <c r="Y44" s="728"/>
      <c r="Z44" s="728"/>
    </row>
    <row r="45">
      <c r="A45" s="243">
        <v>4.0</v>
      </c>
      <c r="B45" s="237">
        <f>'WEEK 27'!B40</f>
        <v>145</v>
      </c>
      <c r="C45" s="257">
        <v>3.0</v>
      </c>
      <c r="D45" s="238" t="s">
        <v>122</v>
      </c>
      <c r="E45" s="66"/>
      <c r="F45" s="67">
        <v>3.0</v>
      </c>
      <c r="G45" s="728"/>
      <c r="H45" s="728"/>
      <c r="I45" s="728"/>
      <c r="J45" s="728"/>
      <c r="K45" s="728"/>
      <c r="L45" s="749"/>
      <c r="M45" s="728"/>
      <c r="N45" s="728"/>
      <c r="O45" s="728"/>
      <c r="P45" s="728"/>
      <c r="Q45" s="728"/>
      <c r="R45" s="728"/>
      <c r="S45" s="728"/>
      <c r="T45" s="728"/>
      <c r="U45" s="728"/>
      <c r="V45" s="728"/>
      <c r="W45" s="728"/>
      <c r="X45" s="728"/>
      <c r="Y45" s="728"/>
      <c r="Z45" s="728"/>
    </row>
    <row r="46">
      <c r="A46" s="246" t="str">
        <f>IF('WEEK 27'!F45&lt;3,"PROCEED TO DOWN SETS","NEW 4 REP MAX ATTEMPT")</f>
        <v>NEW 4 REP MAX ATTEMPT</v>
      </c>
      <c r="B46" s="20"/>
      <c r="C46" s="20"/>
      <c r="D46" s="20"/>
      <c r="E46" s="20"/>
      <c r="F46" s="95"/>
      <c r="G46" s="419"/>
      <c r="H46" s="419"/>
      <c r="I46" s="419"/>
      <c r="J46" s="419"/>
      <c r="K46" s="419"/>
      <c r="L46" s="717"/>
      <c r="M46" s="419"/>
      <c r="N46" s="419"/>
      <c r="O46" s="419"/>
      <c r="P46" s="419"/>
      <c r="Q46" s="419"/>
      <c r="R46" s="419"/>
      <c r="S46" s="419"/>
      <c r="T46" s="419"/>
      <c r="U46" s="419"/>
      <c r="V46" s="419"/>
      <c r="W46" s="419"/>
      <c r="X46" s="419"/>
      <c r="Y46" s="419"/>
      <c r="Z46" s="419"/>
    </row>
    <row r="47">
      <c r="A47" s="249">
        <f>if('WEEK 27'!F45&lt;=2,"",5)</f>
        <v>5</v>
      </c>
      <c r="B47" s="175">
        <f>IF('WEEK 27'!F45&lt;=2,"",'WEEK 27'!B45+5)</f>
        <v>150</v>
      </c>
      <c r="C47" s="238">
        <f>if('WEEK 27'!F45&lt;=2,"",4)</f>
        <v>4</v>
      </c>
      <c r="D47" s="238" t="str">
        <f>if('WEEK 27'!F45&lt;=2,"","1-5 MIN")</f>
        <v>1-5 MIN</v>
      </c>
      <c r="E47" s="250"/>
      <c r="F47" s="67"/>
      <c r="G47" s="728"/>
      <c r="H47" s="728"/>
      <c r="I47" s="728"/>
      <c r="J47" s="728"/>
      <c r="K47" s="728"/>
      <c r="L47" s="749"/>
      <c r="M47" s="728"/>
      <c r="N47" s="728"/>
      <c r="O47" s="728"/>
      <c r="P47" s="728"/>
      <c r="Q47" s="728"/>
      <c r="R47" s="728"/>
      <c r="S47" s="728"/>
      <c r="T47" s="728"/>
      <c r="U47" s="728"/>
      <c r="V47" s="728"/>
      <c r="W47" s="728"/>
      <c r="X47" s="728"/>
      <c r="Y47" s="728"/>
      <c r="Z47" s="728"/>
    </row>
    <row r="48">
      <c r="A48" s="259" t="str">
        <f>IF('WEEK 27'!F47&lt;4,"","6")</f>
        <v>6</v>
      </c>
      <c r="B48" s="237">
        <f>IF('WEEK 27'!F47&lt;4,"",'WEEK 27'!B47+5)</f>
        <v>155</v>
      </c>
      <c r="C48" s="257" t="str">
        <f>IF('WEEK 27'!F47&lt;4,"","4")</f>
        <v>4</v>
      </c>
      <c r="D48" s="257" t="str">
        <f>IF('WEEK 27'!F47&lt;4,"","1-5 MIN")</f>
        <v>1-5 MIN</v>
      </c>
      <c r="E48" s="258"/>
      <c r="F48" s="67"/>
      <c r="G48" s="728"/>
      <c r="H48" s="728"/>
      <c r="I48" s="728"/>
      <c r="J48" s="728"/>
      <c r="K48" s="728"/>
      <c r="L48" s="749"/>
      <c r="M48" s="728"/>
      <c r="N48" s="728"/>
      <c r="O48" s="728"/>
      <c r="P48" s="728"/>
      <c r="Q48" s="728"/>
      <c r="R48" s="728"/>
      <c r="S48" s="728"/>
      <c r="T48" s="728"/>
      <c r="U48" s="728"/>
      <c r="V48" s="728"/>
      <c r="W48" s="728"/>
      <c r="X48" s="728"/>
      <c r="Y48" s="728"/>
      <c r="Z48" s="728"/>
    </row>
    <row r="49">
      <c r="A49" s="246" t="s">
        <v>133</v>
      </c>
      <c r="B49" s="20"/>
      <c r="C49" s="20"/>
      <c r="D49" s="20"/>
      <c r="E49" s="20"/>
      <c r="F49" s="95"/>
      <c r="G49" s="728"/>
      <c r="H49" s="728"/>
      <c r="I49" s="728"/>
      <c r="J49" s="728"/>
      <c r="K49" s="728"/>
      <c r="L49" s="749"/>
      <c r="M49" s="728"/>
      <c r="N49" s="728"/>
      <c r="O49" s="728"/>
      <c r="P49" s="728"/>
      <c r="Q49" s="728"/>
      <c r="R49" s="728"/>
      <c r="S49" s="728"/>
      <c r="T49" s="728"/>
      <c r="U49" s="728"/>
      <c r="V49" s="728"/>
      <c r="W49" s="728"/>
      <c r="X49" s="728"/>
      <c r="Y49" s="728"/>
      <c r="Z49" s="728"/>
    </row>
    <row r="50">
      <c r="A50" s="264">
        <f>IF('WEEK 27'!F47&gt;=1,7,IF('WEEK 27'!F45&lt;1,5,6))</f>
        <v>7</v>
      </c>
      <c r="B50" s="265">
        <f>MROUND('WEEK 27'!B52*0.8,5)</f>
        <v>135</v>
      </c>
      <c r="C50" s="266" t="s">
        <v>65</v>
      </c>
      <c r="D50" s="267" t="s">
        <v>127</v>
      </c>
      <c r="E50" s="268"/>
      <c r="F50" s="67"/>
      <c r="G50" s="419"/>
      <c r="H50" s="419"/>
      <c r="I50" s="419"/>
      <c r="J50" s="419"/>
      <c r="K50" s="419"/>
      <c r="L50" s="717"/>
      <c r="M50" s="419"/>
      <c r="N50" s="419"/>
      <c r="O50" s="419"/>
      <c r="P50" s="419"/>
      <c r="Q50" s="419"/>
      <c r="R50" s="419"/>
      <c r="S50" s="419"/>
      <c r="T50" s="419"/>
      <c r="U50" s="419"/>
      <c r="V50" s="419"/>
      <c r="W50" s="419"/>
      <c r="X50" s="419"/>
      <c r="Y50" s="419"/>
      <c r="Z50" s="419"/>
    </row>
    <row r="51">
      <c r="A51" s="243">
        <f>IF('WEEK 27'!F47&gt;=1,8,IF('WEEK 27'!F45&lt;1,6,7))</f>
        <v>8</v>
      </c>
      <c r="B51" s="237">
        <f>mround('WEEK 27'!B52*0.7,5)</f>
        <v>120</v>
      </c>
      <c r="C51" s="245" t="s">
        <v>65</v>
      </c>
      <c r="D51" s="65" t="s">
        <v>127</v>
      </c>
      <c r="E51" s="258"/>
      <c r="F51" s="271"/>
      <c r="G51" s="419"/>
      <c r="H51" s="419"/>
      <c r="I51" s="419"/>
      <c r="J51" s="419"/>
      <c r="K51" s="419"/>
      <c r="L51" s="717"/>
      <c r="M51" s="419"/>
      <c r="N51" s="419"/>
      <c r="O51" s="419"/>
      <c r="P51" s="419"/>
      <c r="Q51" s="419"/>
      <c r="R51" s="419"/>
      <c r="S51" s="419"/>
      <c r="T51" s="419"/>
      <c r="U51" s="419"/>
      <c r="V51" s="419"/>
      <c r="W51" s="419"/>
      <c r="X51" s="419"/>
      <c r="Y51" s="419"/>
      <c r="Z51" s="419"/>
    </row>
    <row r="52">
      <c r="A52" s="228" t="s">
        <v>124</v>
      </c>
      <c r="B52" s="549">
        <f>IF(OR(ISBLANK('WEEK 27'!F45),ISBLANK('WEEK 27'!F44),ISBLANK('WEEK 27'!F43)),"",IF('WEEK 27'!F48&gt;=4,'WEEK 27'!B48,IF('WEEK 27'!F47&gt;=1,'WEEK 27'!B47,IF('WEEK 27'!F45&lt;3,'WEEK 27'!B45-5,'WEEK 27'!B45))))</f>
        <v>170</v>
      </c>
      <c r="F52" s="28"/>
      <c r="G52" s="419"/>
      <c r="H52" s="419"/>
      <c r="I52" s="419"/>
      <c r="J52" s="419"/>
      <c r="K52" s="419"/>
      <c r="L52" s="717"/>
      <c r="M52" s="419"/>
      <c r="N52" s="419"/>
      <c r="O52" s="419"/>
      <c r="P52" s="419"/>
      <c r="Q52" s="419"/>
      <c r="R52" s="419"/>
      <c r="S52" s="419"/>
      <c r="T52" s="419"/>
      <c r="U52" s="419"/>
      <c r="V52" s="419"/>
      <c r="W52" s="419"/>
      <c r="X52" s="419"/>
      <c r="Y52" s="419"/>
      <c r="Z52" s="419"/>
    </row>
    <row r="53">
      <c r="A53" s="750"/>
      <c r="B53" s="750"/>
      <c r="C53" s="750"/>
      <c r="D53" s="750"/>
      <c r="E53" s="750"/>
      <c r="F53" s="750"/>
      <c r="G53" s="419"/>
      <c r="H53" s="419"/>
      <c r="I53" s="419"/>
      <c r="J53" s="419"/>
      <c r="K53" s="419"/>
      <c r="L53" s="717"/>
      <c r="M53" s="419"/>
      <c r="N53" s="419"/>
      <c r="O53" s="419"/>
      <c r="P53" s="419"/>
      <c r="Q53" s="419"/>
      <c r="R53" s="419"/>
      <c r="S53" s="419"/>
      <c r="T53" s="419"/>
      <c r="U53" s="419"/>
      <c r="V53" s="419"/>
      <c r="W53" s="419"/>
      <c r="X53" s="419"/>
      <c r="Y53" s="419"/>
      <c r="Z53" s="419"/>
    </row>
    <row r="54">
      <c r="A54" s="751" t="str">
        <f>HYPERLINK("https://www.youtube.com/watch?v=PnaDzYh2axA","4. LAT PULL DOWN")</f>
        <v>4. LAT PULL DOWN</v>
      </c>
      <c r="B54" s="13"/>
      <c r="C54" s="13"/>
      <c r="D54" s="13"/>
      <c r="E54" s="13"/>
      <c r="F54" s="57"/>
      <c r="G54" s="419"/>
      <c r="H54" s="419"/>
      <c r="I54" s="419"/>
      <c r="J54" s="419"/>
      <c r="K54" s="419"/>
      <c r="L54" s="717"/>
      <c r="M54" s="419"/>
      <c r="N54" s="419"/>
      <c r="O54" s="419"/>
      <c r="P54" s="419"/>
      <c r="Q54" s="419"/>
      <c r="R54" s="419"/>
      <c r="S54" s="419"/>
      <c r="T54" s="419"/>
      <c r="U54" s="419"/>
      <c r="V54" s="419"/>
      <c r="W54" s="419"/>
      <c r="X54" s="419"/>
      <c r="Y54" s="419"/>
      <c r="Z54" s="419"/>
    </row>
    <row r="55">
      <c r="A55" s="226" t="s">
        <v>119</v>
      </c>
      <c r="B55" s="691">
        <f>'WEEK 26'!B68</f>
        <v>215</v>
      </c>
      <c r="C55" s="13"/>
      <c r="D55" s="13"/>
      <c r="E55" s="13"/>
      <c r="F55" s="57"/>
      <c r="G55" s="419" t="s">
        <v>41</v>
      </c>
      <c r="H55" s="419"/>
      <c r="I55" s="419"/>
      <c r="J55" s="419"/>
      <c r="K55" s="419"/>
      <c r="L55" s="717"/>
      <c r="M55" s="419"/>
      <c r="N55" s="419"/>
      <c r="O55" s="419"/>
      <c r="P55" s="419"/>
      <c r="Q55" s="419"/>
      <c r="R55" s="419"/>
      <c r="S55" s="419"/>
      <c r="T55" s="419"/>
      <c r="U55" s="419"/>
      <c r="V55" s="419"/>
      <c r="W55" s="419"/>
      <c r="X55" s="419"/>
      <c r="Y55" s="419"/>
      <c r="Z55" s="419"/>
    </row>
    <row r="56">
      <c r="A56" s="96" t="s">
        <v>50</v>
      </c>
      <c r="B56" s="97" t="s">
        <v>51</v>
      </c>
      <c r="C56" s="97" t="s">
        <v>52</v>
      </c>
      <c r="D56" s="97" t="s">
        <v>53</v>
      </c>
      <c r="E56" s="341" t="s">
        <v>54</v>
      </c>
      <c r="F56" s="235" t="s">
        <v>55</v>
      </c>
      <c r="G56" s="724"/>
      <c r="H56" s="724"/>
      <c r="I56" s="724"/>
      <c r="J56" s="724"/>
      <c r="K56" s="724"/>
      <c r="L56" s="748"/>
      <c r="M56" s="724"/>
      <c r="N56" s="724"/>
      <c r="O56" s="724"/>
      <c r="P56" s="724"/>
      <c r="Q56" s="724"/>
      <c r="R56" s="724"/>
      <c r="S56" s="724"/>
      <c r="T56" s="724"/>
      <c r="U56" s="724"/>
      <c r="V56" s="724"/>
      <c r="W56" s="724"/>
      <c r="X56" s="724"/>
      <c r="Y56" s="724"/>
      <c r="Z56" s="724"/>
    </row>
    <row r="57">
      <c r="A57" s="725">
        <v>1.0</v>
      </c>
      <c r="B57" s="344">
        <f> mround('WEEK 27'!B55*0.9,5)</f>
        <v>195</v>
      </c>
      <c r="C57" s="437" t="s">
        <v>65</v>
      </c>
      <c r="D57" s="343" t="s">
        <v>57</v>
      </c>
      <c r="E57" s="84" t="str">
        <f>IF('WEEK 26'!B70='WEEK 27'!B57,'WEEK 26'!F70,"")</f>
        <v/>
      </c>
      <c r="F57" s="85"/>
      <c r="G57" s="728"/>
      <c r="H57" s="728"/>
      <c r="I57" s="728"/>
      <c r="J57" s="728"/>
      <c r="K57" s="728"/>
      <c r="L57" s="749"/>
      <c r="M57" s="728"/>
      <c r="N57" s="728"/>
      <c r="O57" s="728"/>
      <c r="P57" s="728"/>
      <c r="Q57" s="728"/>
      <c r="R57" s="728"/>
      <c r="S57" s="728"/>
      <c r="T57" s="728"/>
      <c r="U57" s="728"/>
      <c r="V57" s="728"/>
      <c r="W57" s="728"/>
      <c r="X57" s="728"/>
      <c r="Y57" s="728"/>
      <c r="Z57" s="728"/>
    </row>
    <row r="58">
      <c r="A58" s="725">
        <v>2.0</v>
      </c>
      <c r="B58" s="344">
        <f>IF('WEEK 27'!F57&lt;6,MROUND('WEEK 27'!B55*0.75,5),IF('WEEK 27'!F57&lt;=11,MROUND('WEEK 27'!B55*0.85,5),'WEEK 27'!B57))</f>
        <v>160</v>
      </c>
      <c r="C58" s="437" t="s">
        <v>65</v>
      </c>
      <c r="D58" s="343" t="s">
        <v>57</v>
      </c>
      <c r="E58" s="84" t="str">
        <f>IF('WEEK 26'!B71='WEEK 27'!B58,'WEEK 26'!F71,"")</f>
        <v/>
      </c>
      <c r="F58" s="85"/>
      <c r="G58" s="728"/>
      <c r="H58" s="728"/>
      <c r="I58" s="728"/>
      <c r="J58" s="728"/>
      <c r="K58" s="728"/>
      <c r="L58" s="749"/>
      <c r="M58" s="728"/>
      <c r="N58" s="728"/>
      <c r="O58" s="728"/>
      <c r="P58" s="728"/>
      <c r="Q58" s="728"/>
      <c r="R58" s="728"/>
      <c r="S58" s="728"/>
      <c r="T58" s="728"/>
      <c r="U58" s="728"/>
      <c r="V58" s="728"/>
      <c r="W58" s="728"/>
      <c r="X58" s="728"/>
      <c r="Y58" s="728"/>
      <c r="Z58" s="728"/>
    </row>
    <row r="59">
      <c r="A59" s="753">
        <v>3.0</v>
      </c>
      <c r="B59" s="754">
        <f>IF('WEEK 27'!F58&lt;6,MROUND('WEEK 27'!B55*0.75,5),IF('WEEK 27'!F58&lt;=11,MROUND('WEEK 27'!B55*0.85,5),'WEEK 27'!B58))</f>
        <v>185</v>
      </c>
      <c r="C59" s="733" t="s">
        <v>65</v>
      </c>
      <c r="D59" s="486" t="s">
        <v>57</v>
      </c>
      <c r="E59" s="84" t="str">
        <f>IF('WEEK 26'!B72='WEEK 27'!B59,'WEEK 26'!F72,"")</f>
        <v/>
      </c>
      <c r="F59" s="85"/>
      <c r="G59" s="728"/>
      <c r="H59" s="728"/>
      <c r="I59" s="728"/>
      <c r="J59" s="728"/>
      <c r="K59" s="728"/>
      <c r="L59" s="749"/>
      <c r="M59" s="728"/>
      <c r="N59" s="728"/>
      <c r="O59" s="728"/>
      <c r="P59" s="728"/>
      <c r="Q59" s="728"/>
      <c r="R59" s="728"/>
      <c r="S59" s="728"/>
      <c r="T59" s="728"/>
      <c r="U59" s="728"/>
      <c r="V59" s="728"/>
      <c r="W59" s="728"/>
      <c r="X59" s="728"/>
      <c r="Y59" s="728"/>
      <c r="Z59" s="728"/>
    </row>
    <row r="60">
      <c r="A60" s="756"/>
      <c r="B60" s="756"/>
      <c r="C60" s="756"/>
      <c r="D60" s="756"/>
      <c r="E60" s="757"/>
      <c r="F60" s="419"/>
      <c r="G60" s="419"/>
      <c r="H60" s="419"/>
      <c r="I60" s="419"/>
      <c r="J60" s="419"/>
      <c r="K60" s="419"/>
      <c r="L60" s="717"/>
      <c r="M60" s="419"/>
      <c r="N60" s="419"/>
      <c r="O60" s="419"/>
      <c r="P60" s="419"/>
      <c r="Q60" s="419"/>
      <c r="R60" s="419"/>
      <c r="S60" s="419"/>
      <c r="T60" s="419"/>
      <c r="U60" s="419"/>
      <c r="V60" s="419"/>
      <c r="W60" s="419"/>
      <c r="X60" s="419"/>
      <c r="Y60" s="419"/>
      <c r="Z60" s="419"/>
    </row>
    <row r="61">
      <c r="A61" s="756"/>
      <c r="B61" s="756"/>
      <c r="C61" s="756"/>
      <c r="D61" s="756"/>
      <c r="E61" s="757"/>
      <c r="F61" s="419"/>
      <c r="G61" s="419"/>
      <c r="H61" s="419"/>
      <c r="I61" s="419"/>
      <c r="J61" s="419"/>
      <c r="K61" s="419"/>
      <c r="L61" s="717"/>
      <c r="M61" s="419"/>
      <c r="N61" s="419"/>
      <c r="O61" s="419"/>
      <c r="P61" s="419"/>
      <c r="Q61" s="419"/>
      <c r="R61" s="419"/>
      <c r="S61" s="419"/>
      <c r="T61" s="419"/>
      <c r="U61" s="419"/>
      <c r="V61" s="419"/>
      <c r="W61" s="419"/>
      <c r="X61" s="419"/>
      <c r="Y61" s="419"/>
      <c r="Z61" s="419"/>
    </row>
    <row r="62">
      <c r="A62" s="73" t="str">
        <f>HYPERLINK("https://youtu.be/9YH1YvZbiY0","5. LOW ROW ")</f>
        <v>5. LOW ROW </v>
      </c>
      <c r="B62" s="53"/>
      <c r="C62" s="53"/>
      <c r="D62" s="53"/>
      <c r="E62" s="53"/>
      <c r="F62" s="54"/>
      <c r="G62" s="419"/>
      <c r="H62" s="419"/>
      <c r="I62" s="419"/>
      <c r="J62" s="419"/>
      <c r="K62" s="419"/>
      <c r="L62" s="717"/>
      <c r="M62" s="419"/>
      <c r="N62" s="419"/>
      <c r="O62" s="419"/>
      <c r="P62" s="419"/>
      <c r="Q62" s="419"/>
      <c r="R62" s="419"/>
      <c r="S62" s="419"/>
      <c r="T62" s="419"/>
      <c r="U62" s="419"/>
      <c r="V62" s="419"/>
      <c r="W62" s="419"/>
      <c r="X62" s="419"/>
      <c r="Y62" s="419"/>
      <c r="Z62" s="419"/>
    </row>
    <row r="63">
      <c r="A63" s="226" t="s">
        <v>119</v>
      </c>
      <c r="B63" s="691">
        <f>if('WEEK 26'!B57="",'WEEK 26'!B45,'WEEK 26'!B57)</f>
        <v>195</v>
      </c>
      <c r="C63" s="13"/>
      <c r="D63" s="13"/>
      <c r="E63" s="13"/>
      <c r="F63" s="57"/>
      <c r="G63" s="419"/>
      <c r="H63" s="419"/>
      <c r="I63" s="419"/>
      <c r="J63" s="419"/>
      <c r="K63" s="419"/>
      <c r="L63" s="717"/>
      <c r="M63" s="419"/>
      <c r="N63" s="419"/>
      <c r="O63" s="419"/>
      <c r="P63" s="419"/>
      <c r="Q63" s="419"/>
      <c r="R63" s="419"/>
      <c r="S63" s="419"/>
      <c r="T63" s="419"/>
      <c r="U63" s="419"/>
      <c r="V63" s="419"/>
      <c r="W63" s="419"/>
      <c r="X63" s="419"/>
      <c r="Y63" s="419"/>
      <c r="Z63" s="419"/>
    </row>
    <row r="64">
      <c r="A64" s="96" t="s">
        <v>50</v>
      </c>
      <c r="B64" s="97" t="s">
        <v>51</v>
      </c>
      <c r="C64" s="97" t="s">
        <v>52</v>
      </c>
      <c r="D64" s="97" t="s">
        <v>53</v>
      </c>
      <c r="E64" s="341" t="s">
        <v>54</v>
      </c>
      <c r="F64" s="235" t="s">
        <v>55</v>
      </c>
      <c r="G64" s="724"/>
      <c r="H64" s="724"/>
      <c r="I64" s="724"/>
      <c r="J64" s="724"/>
      <c r="K64" s="724"/>
      <c r="L64" s="748"/>
      <c r="M64" s="724"/>
      <c r="N64" s="724"/>
      <c r="O64" s="724"/>
      <c r="P64" s="724"/>
      <c r="Q64" s="724"/>
      <c r="R64" s="724"/>
      <c r="S64" s="724"/>
      <c r="T64" s="724"/>
      <c r="U64" s="724"/>
      <c r="V64" s="724"/>
      <c r="W64" s="724"/>
      <c r="X64" s="724"/>
      <c r="Y64" s="724"/>
      <c r="Z64" s="724"/>
    </row>
    <row r="65">
      <c r="A65" s="725">
        <v>1.0</v>
      </c>
      <c r="B65" s="344">
        <f>mround('WEEK 27'!B63*0.85,5)</f>
        <v>165</v>
      </c>
      <c r="C65" s="437" t="s">
        <v>65</v>
      </c>
      <c r="D65" s="343" t="s">
        <v>127</v>
      </c>
      <c r="E65" s="84"/>
      <c r="F65" s="85"/>
      <c r="G65" s="419"/>
      <c r="H65" s="419"/>
      <c r="I65" s="419"/>
      <c r="J65" s="419"/>
      <c r="K65" s="419"/>
      <c r="L65" s="717"/>
      <c r="M65" s="419"/>
      <c r="N65" s="419"/>
      <c r="O65" s="419"/>
      <c r="P65" s="419"/>
      <c r="Q65" s="419"/>
      <c r="R65" s="419"/>
      <c r="S65" s="419"/>
      <c r="T65" s="419"/>
      <c r="U65" s="419"/>
      <c r="V65" s="419"/>
      <c r="W65" s="419"/>
      <c r="X65" s="419"/>
      <c r="Y65" s="419"/>
      <c r="Z65" s="419"/>
    </row>
    <row r="66">
      <c r="A66" s="725">
        <v>2.0</v>
      </c>
      <c r="B66" s="344">
        <f>IF('WEEK 27'!F65&lt;6,MROUND('WEEK 27'!B63*0.75,5),IF('WEEK 27'!F65&lt;=11,MROUND('WEEK 27'!B63*0.75,5),'WEEK 27'!B65))</f>
        <v>145</v>
      </c>
      <c r="C66" s="437" t="s">
        <v>65</v>
      </c>
      <c r="D66" s="343" t="s">
        <v>127</v>
      </c>
      <c r="E66" s="84"/>
      <c r="F66" s="85"/>
      <c r="G66" s="419"/>
      <c r="H66" s="419"/>
      <c r="I66" s="419"/>
      <c r="J66" s="419"/>
      <c r="K66" s="419"/>
      <c r="L66" s="717"/>
      <c r="M66" s="419"/>
      <c r="N66" s="419"/>
      <c r="O66" s="419"/>
      <c r="P66" s="419"/>
      <c r="Q66" s="419"/>
      <c r="R66" s="419"/>
      <c r="S66" s="419"/>
      <c r="T66" s="419"/>
      <c r="U66" s="419"/>
      <c r="V66" s="419"/>
      <c r="W66" s="419"/>
      <c r="X66" s="419"/>
      <c r="Y66" s="419"/>
      <c r="Z66" s="419"/>
    </row>
    <row r="67">
      <c r="A67" s="753">
        <v>3.0</v>
      </c>
      <c r="B67" s="754">
        <f>IF('WEEK 27'!F66&lt;6,MROUND('WEEK 27'!B66*0.8,5),IF('WEEK 27'!F66&lt;=11,MROUND('WEEK 27'!B63*0.75,5),'WEEK 27'!B66))</f>
        <v>145</v>
      </c>
      <c r="C67" s="733" t="s">
        <v>65</v>
      </c>
      <c r="D67" s="486" t="s">
        <v>127</v>
      </c>
      <c r="E67" s="84"/>
      <c r="F67" s="85"/>
      <c r="G67" s="419"/>
      <c r="H67" s="419"/>
      <c r="I67" s="419"/>
      <c r="J67" s="419"/>
      <c r="K67" s="419"/>
      <c r="L67" s="717"/>
      <c r="M67" s="419"/>
      <c r="N67" s="419"/>
      <c r="O67" s="419"/>
      <c r="P67" s="419"/>
      <c r="Q67" s="419"/>
      <c r="R67" s="419"/>
      <c r="S67" s="419"/>
      <c r="T67" s="419"/>
      <c r="U67" s="419"/>
      <c r="V67" s="419"/>
      <c r="W67" s="419"/>
      <c r="X67" s="419"/>
      <c r="Y67" s="419"/>
      <c r="Z67" s="419"/>
    </row>
    <row r="68">
      <c r="A68" s="758"/>
      <c r="B68" s="736"/>
      <c r="C68" s="759"/>
      <c r="D68" s="760"/>
      <c r="E68" s="761"/>
      <c r="F68" s="762"/>
      <c r="G68" s="419"/>
      <c r="H68" s="419"/>
      <c r="I68" s="419"/>
      <c r="J68" s="419"/>
      <c r="K68" s="419"/>
      <c r="L68" s="717"/>
      <c r="M68" s="419"/>
      <c r="N68" s="419"/>
      <c r="O68" s="419"/>
      <c r="P68" s="419"/>
      <c r="Q68" s="419"/>
      <c r="R68" s="419"/>
      <c r="S68" s="419"/>
      <c r="T68" s="419"/>
      <c r="U68" s="419"/>
      <c r="V68" s="419"/>
      <c r="W68" s="419"/>
      <c r="X68" s="419"/>
      <c r="Y68" s="419"/>
      <c r="Z68" s="419"/>
    </row>
    <row r="69">
      <c r="A69" s="310" t="str">
        <f>HYPERLINK("https://docs.google.com/a/fitnessresults.com/forms/d/e/1FAIpQLSd7MoczESe8Yjv6BKpmwAZGn9Aiymrs9-UdgfYIUpbr9t5NXg/viewform?usp=pp_url&amp;entry.93370101","CLICK TO COMPLETE WORKOUT")</f>
        <v>CLICK TO COMPLETE WORKOUT</v>
      </c>
      <c r="B69" s="36"/>
      <c r="C69" s="36"/>
      <c r="D69" s="36"/>
      <c r="E69" s="36"/>
      <c r="F69" s="37"/>
      <c r="G69" s="340"/>
      <c r="H69" s="340"/>
      <c r="I69" s="340"/>
      <c r="J69" s="340"/>
      <c r="K69" s="340"/>
      <c r="L69" s="340"/>
      <c r="M69" s="340"/>
      <c r="N69" s="340"/>
      <c r="O69" s="340"/>
      <c r="P69" s="340"/>
      <c r="Q69" s="340"/>
      <c r="R69" s="340"/>
      <c r="S69" s="340"/>
      <c r="T69" s="340"/>
      <c r="U69" s="340"/>
      <c r="V69" s="340"/>
      <c r="W69" s="340"/>
      <c r="X69" s="340"/>
      <c r="Y69" s="340"/>
      <c r="Z69" s="340"/>
    </row>
    <row r="70">
      <c r="A70" s="763"/>
      <c r="B70" s="764"/>
      <c r="C70" s="764"/>
      <c r="D70" s="764"/>
      <c r="E70" s="764"/>
      <c r="F70" s="764"/>
      <c r="G70" s="340"/>
      <c r="H70" s="340"/>
      <c r="I70" s="340"/>
      <c r="J70" s="340"/>
      <c r="K70" s="340"/>
      <c r="L70" s="340"/>
      <c r="M70" s="340"/>
      <c r="N70" s="340"/>
      <c r="O70" s="340"/>
      <c r="P70" s="340"/>
      <c r="Q70" s="340"/>
      <c r="R70" s="340"/>
      <c r="S70" s="340"/>
      <c r="T70" s="340"/>
      <c r="U70" s="340"/>
      <c r="V70" s="340"/>
      <c r="W70" s="340"/>
      <c r="X70" s="340"/>
      <c r="Y70" s="340"/>
      <c r="Z70" s="340"/>
    </row>
    <row r="71">
      <c r="A71" s="50" t="s">
        <v>128</v>
      </c>
      <c r="B71" s="36"/>
      <c r="C71" s="36"/>
      <c r="D71" s="36"/>
      <c r="E71" s="36"/>
      <c r="F71" s="37"/>
      <c r="G71" s="419"/>
      <c r="H71" s="419"/>
      <c r="I71" s="419"/>
      <c r="J71" s="419"/>
      <c r="K71" s="419"/>
      <c r="L71" s="717"/>
      <c r="M71" s="419"/>
      <c r="N71" s="419"/>
      <c r="O71" s="419"/>
      <c r="P71" s="419"/>
      <c r="Q71" s="419"/>
      <c r="R71" s="419"/>
      <c r="S71" s="419"/>
      <c r="T71" s="419"/>
      <c r="U71" s="419"/>
      <c r="V71" s="419"/>
      <c r="W71" s="419"/>
      <c r="X71" s="419"/>
      <c r="Y71" s="419"/>
      <c r="Z71" s="419"/>
    </row>
    <row r="72">
      <c r="A72" s="765"/>
      <c r="B72" s="765"/>
      <c r="C72" s="765"/>
      <c r="D72" s="765"/>
      <c r="E72" s="765"/>
      <c r="F72" s="765"/>
      <c r="G72" s="419"/>
      <c r="H72" s="419"/>
      <c r="I72" s="419"/>
      <c r="J72" s="419"/>
      <c r="K72" s="419"/>
      <c r="L72" s="717"/>
      <c r="M72" s="419"/>
      <c r="N72" s="419"/>
      <c r="O72" s="419"/>
      <c r="P72" s="419"/>
      <c r="Q72" s="419"/>
      <c r="R72" s="419"/>
      <c r="S72" s="419"/>
      <c r="T72" s="419"/>
      <c r="U72" s="419"/>
      <c r="V72" s="419"/>
      <c r="W72" s="419"/>
      <c r="X72" s="419"/>
      <c r="Y72" s="419"/>
      <c r="Z72" s="419"/>
    </row>
    <row r="73">
      <c r="A73" s="765"/>
      <c r="B73" s="765"/>
      <c r="C73" s="765"/>
      <c r="D73" s="765"/>
      <c r="E73" s="765"/>
      <c r="F73" s="765"/>
      <c r="G73" s="419"/>
      <c r="H73" s="419"/>
      <c r="I73" s="419"/>
      <c r="J73" s="419"/>
      <c r="K73" s="419"/>
      <c r="L73" s="717"/>
      <c r="M73" s="419"/>
      <c r="N73" s="419"/>
      <c r="O73" s="419"/>
      <c r="P73" s="419"/>
      <c r="Q73" s="419"/>
      <c r="R73" s="419"/>
      <c r="S73" s="419"/>
      <c r="T73" s="419"/>
      <c r="U73" s="419"/>
      <c r="V73" s="419"/>
      <c r="W73" s="419"/>
      <c r="X73" s="419"/>
      <c r="Y73" s="419"/>
      <c r="Z73" s="419"/>
    </row>
    <row r="74">
      <c r="A74" s="512"/>
      <c r="B74" s="512"/>
      <c r="C74" s="512"/>
      <c r="D74" s="512"/>
      <c r="E74" s="512"/>
      <c r="F74" s="512"/>
      <c r="G74" s="419"/>
      <c r="H74" s="419"/>
      <c r="I74" s="419"/>
      <c r="J74" s="419"/>
      <c r="K74" s="419"/>
      <c r="L74" s="717"/>
      <c r="M74" s="419"/>
      <c r="N74" s="419"/>
      <c r="O74" s="419"/>
      <c r="P74" s="419"/>
      <c r="Q74" s="419"/>
      <c r="R74" s="419"/>
      <c r="S74" s="419"/>
      <c r="T74" s="419"/>
      <c r="U74" s="419"/>
      <c r="V74" s="419"/>
      <c r="W74" s="419"/>
      <c r="X74" s="419"/>
      <c r="Y74" s="419"/>
      <c r="Z74" s="419"/>
    </row>
    <row r="75">
      <c r="A75" s="1511"/>
      <c r="B75" s="1511"/>
      <c r="C75" s="1511"/>
      <c r="D75" s="1511"/>
      <c r="E75" s="1511"/>
      <c r="F75" s="1511"/>
      <c r="G75" s="419"/>
      <c r="H75" s="419"/>
      <c r="I75" s="419"/>
      <c r="J75" s="419"/>
      <c r="K75" s="419"/>
      <c r="L75" s="717"/>
      <c r="M75" s="419"/>
      <c r="N75" s="419"/>
      <c r="O75" s="419"/>
      <c r="P75" s="419"/>
      <c r="Q75" s="419"/>
      <c r="R75" s="419"/>
      <c r="S75" s="419"/>
      <c r="T75" s="419"/>
      <c r="U75" s="419"/>
      <c r="V75" s="419"/>
      <c r="W75" s="419"/>
      <c r="X75" s="419"/>
      <c r="Y75" s="419"/>
      <c r="Z75" s="419"/>
    </row>
    <row r="76">
      <c r="A76" s="1512" t="s">
        <v>154</v>
      </c>
      <c r="B76" s="11"/>
      <c r="C76" s="11"/>
      <c r="D76" s="11"/>
      <c r="E76" s="11"/>
      <c r="F76" s="46"/>
      <c r="G76" s="419"/>
      <c r="H76" s="51" t="s">
        <v>154</v>
      </c>
      <c r="I76" s="36"/>
      <c r="J76" s="36"/>
      <c r="K76" s="36"/>
      <c r="L76" s="36"/>
      <c r="M76" s="37"/>
      <c r="N76" s="419"/>
      <c r="O76" s="419"/>
      <c r="P76" s="419"/>
      <c r="Q76" s="419"/>
      <c r="R76" s="419"/>
      <c r="S76" s="419"/>
      <c r="T76" s="419"/>
      <c r="U76" s="419"/>
      <c r="V76" s="419"/>
      <c r="W76" s="419"/>
      <c r="X76" s="419"/>
      <c r="Y76" s="419"/>
      <c r="Z76" s="419"/>
    </row>
    <row r="77">
      <c r="A77" s="1198" t="str">
        <f>HYPERLINK("https://www.youtube.com/watch?v=5UOeRbRoFOI","1. MACHINE SQUAT")</f>
        <v>1. MACHINE SQUAT</v>
      </c>
      <c r="B77" s="53"/>
      <c r="C77" s="53"/>
      <c r="D77" s="53"/>
      <c r="E77" s="53"/>
      <c r="F77" s="54"/>
      <c r="G77" s="766"/>
      <c r="H77" s="323" t="str">
        <f>HYPERLINK("https://youtu.be/dVterVQksD4","1. LEG PRESS")</f>
        <v>1. LEG PRESS</v>
      </c>
      <c r="I77" s="53"/>
      <c r="J77" s="53"/>
      <c r="K77" s="53"/>
      <c r="L77" s="53"/>
      <c r="M77" s="54"/>
      <c r="N77" s="419"/>
      <c r="O77" s="419"/>
      <c r="P77" s="419"/>
      <c r="Q77" s="419"/>
      <c r="R77" s="419"/>
      <c r="S77" s="419"/>
      <c r="T77" s="419"/>
      <c r="U77" s="419"/>
      <c r="V77" s="419"/>
      <c r="W77" s="419"/>
      <c r="X77" s="419"/>
      <c r="Y77" s="419"/>
      <c r="Z77" s="419"/>
    </row>
    <row r="78">
      <c r="A78" s="1513" t="s">
        <v>192</v>
      </c>
      <c r="B78" s="1514">
        <f>'WEEK 22'!B75</f>
        <v>100</v>
      </c>
      <c r="C78" s="13"/>
      <c r="D78" s="13"/>
      <c r="E78" s="13"/>
      <c r="F78" s="57"/>
      <c r="G78" s="419"/>
      <c r="H78" s="226" t="s">
        <v>119</v>
      </c>
      <c r="I78" s="691">
        <f>'WEEK 26'!B96</f>
        <v>250</v>
      </c>
      <c r="J78" s="13"/>
      <c r="K78" s="13"/>
      <c r="L78" s="13"/>
      <c r="M78" s="57"/>
      <c r="N78" s="419"/>
      <c r="O78" s="419"/>
      <c r="P78" s="419"/>
      <c r="Q78" s="419"/>
      <c r="R78" s="419"/>
      <c r="S78" s="419"/>
      <c r="T78" s="419"/>
      <c r="U78" s="419"/>
      <c r="V78" s="419"/>
      <c r="W78" s="419"/>
      <c r="X78" s="419"/>
      <c r="Y78" s="419"/>
      <c r="Z78" s="419"/>
    </row>
    <row r="79">
      <c r="A79" s="897" t="s">
        <v>50</v>
      </c>
      <c r="B79" s="898" t="s">
        <v>51</v>
      </c>
      <c r="C79" s="898" t="s">
        <v>52</v>
      </c>
      <c r="D79" s="898" t="s">
        <v>53</v>
      </c>
      <c r="E79" s="1515" t="s">
        <v>54</v>
      </c>
      <c r="F79" s="1516" t="s">
        <v>55</v>
      </c>
      <c r="G79" s="724"/>
      <c r="H79" s="96" t="s">
        <v>50</v>
      </c>
      <c r="I79" s="97" t="s">
        <v>51</v>
      </c>
      <c r="J79" s="97" t="s">
        <v>52</v>
      </c>
      <c r="K79" s="97" t="s">
        <v>53</v>
      </c>
      <c r="L79" s="341" t="s">
        <v>54</v>
      </c>
      <c r="M79" s="235" t="s">
        <v>55</v>
      </c>
      <c r="N79" s="724"/>
      <c r="O79" s="724"/>
      <c r="P79" s="724"/>
      <c r="Q79" s="724"/>
      <c r="R79" s="724"/>
      <c r="S79" s="724"/>
      <c r="T79" s="724"/>
      <c r="U79" s="724"/>
      <c r="V79" s="724"/>
      <c r="W79" s="724"/>
      <c r="X79" s="724"/>
      <c r="Y79" s="724"/>
      <c r="Z79" s="724"/>
    </row>
    <row r="80">
      <c r="A80" s="1517">
        <v>1.0</v>
      </c>
      <c r="B80" s="1518">
        <f>mround('WEEK 27'!B78*0.35,5)</f>
        <v>35</v>
      </c>
      <c r="C80" s="1518">
        <v>10.0</v>
      </c>
      <c r="D80" s="1518" t="s">
        <v>120</v>
      </c>
      <c r="E80" s="84" t="str">
        <f>IF('WEEK 22'!B65='WEEK 27'!B80,'WEEK 22'!F65,"")</f>
        <v/>
      </c>
      <c r="F80" s="1519"/>
      <c r="G80" s="419"/>
      <c r="H80" s="342">
        <v>1.0</v>
      </c>
      <c r="I80" s="348">
        <f>mround('WEEK 27'!I78*0.3,5)</f>
        <v>75</v>
      </c>
      <c r="J80" s="343">
        <v>25.0</v>
      </c>
      <c r="K80" s="345" t="s">
        <v>122</v>
      </c>
      <c r="L80" s="84" t="str">
        <f>IF('WEEK 26'!I89='WEEK 27'!I80,'WEEK 26'!M89,"")</f>
        <v/>
      </c>
      <c r="M80" s="85"/>
      <c r="N80" s="419"/>
      <c r="O80" s="419"/>
      <c r="P80" s="419"/>
      <c r="Q80" s="419"/>
      <c r="R80" s="419"/>
      <c r="S80" s="419"/>
      <c r="T80" s="419"/>
      <c r="U80" s="419"/>
      <c r="V80" s="419"/>
      <c r="W80" s="419"/>
      <c r="X80" s="419"/>
      <c r="Y80" s="419"/>
      <c r="Z80" s="419"/>
    </row>
    <row r="81">
      <c r="A81" s="1517">
        <v>2.0</v>
      </c>
      <c r="B81" s="1518">
        <f>mround('WEEK 27'!B78*0.65,5)</f>
        <v>65</v>
      </c>
      <c r="C81" s="1518">
        <v>10.0</v>
      </c>
      <c r="D81" s="1518" t="s">
        <v>121</v>
      </c>
      <c r="E81" s="84" t="str">
        <f>IF('WEEK 22'!B66='WEEK 27'!B81,'WEEK 22'!F66,"")</f>
        <v/>
      </c>
      <c r="F81" s="1520"/>
      <c r="G81" s="419"/>
      <c r="H81" s="342">
        <v>2.0</v>
      </c>
      <c r="I81" s="348">
        <f>mround('WEEK 27'!I78*0.5,5)</f>
        <v>125</v>
      </c>
      <c r="J81" s="191">
        <v>25.0</v>
      </c>
      <c r="K81" s="345" t="s">
        <v>122</v>
      </c>
      <c r="L81" s="84" t="str">
        <f>IF('WEEK 26'!I90='WEEK 27'!I81,'WEEK 26'!M90,"")</f>
        <v/>
      </c>
      <c r="M81" s="85"/>
      <c r="N81" s="419"/>
      <c r="O81" s="419"/>
      <c r="P81" s="419"/>
      <c r="Q81" s="419"/>
      <c r="R81" s="419"/>
      <c r="S81" s="419"/>
      <c r="T81" s="419"/>
      <c r="U81" s="419"/>
      <c r="V81" s="419"/>
      <c r="W81" s="419"/>
      <c r="X81" s="419"/>
      <c r="Y81" s="419"/>
      <c r="Z81" s="419"/>
    </row>
    <row r="82">
      <c r="A82" s="1521">
        <v>3.0</v>
      </c>
      <c r="B82" s="1518">
        <f>mround('WEEK 27'!B78*0.9,5)</f>
        <v>90</v>
      </c>
      <c r="C82" s="1518">
        <v>10.0</v>
      </c>
      <c r="D82" s="1518" t="s">
        <v>121</v>
      </c>
      <c r="E82" s="84" t="str">
        <f>IF('WEEK 22'!B67='WEEK 27'!B82,'WEEK 22'!F67,"")</f>
        <v/>
      </c>
      <c r="F82" s="1159"/>
      <c r="G82" s="419"/>
      <c r="H82" s="342">
        <v>3.0</v>
      </c>
      <c r="I82" s="348">
        <f>mround('WEEK 27'!I78*0.65,5)</f>
        <v>165</v>
      </c>
      <c r="J82" s="191">
        <v>25.0</v>
      </c>
      <c r="K82" s="345" t="s">
        <v>122</v>
      </c>
      <c r="L82" s="84" t="str">
        <f>IF('WEEK 26'!I91='WEEK 27'!I82,'WEEK 26'!M91,"")</f>
        <v/>
      </c>
      <c r="M82" s="85"/>
      <c r="N82" s="419"/>
      <c r="O82" s="419"/>
      <c r="P82" s="419"/>
      <c r="Q82" s="419"/>
      <c r="R82" s="419"/>
      <c r="S82" s="419"/>
      <c r="T82" s="419"/>
      <c r="U82" s="419"/>
      <c r="V82" s="419"/>
      <c r="W82" s="419"/>
      <c r="X82" s="419"/>
      <c r="Y82" s="419"/>
      <c r="Z82" s="419"/>
    </row>
    <row r="83">
      <c r="A83" s="1522">
        <v>4.0</v>
      </c>
      <c r="B83" s="1523">
        <f>if('WEEK 27'!F82&lt;10,MROUND('WEEK 27'!B82-('WEEK 27'!B82*20%),5),'WEEK 27'!B78)</f>
        <v>70</v>
      </c>
      <c r="C83" s="1518">
        <v>10.0</v>
      </c>
      <c r="D83" s="1518" t="s">
        <v>122</v>
      </c>
      <c r="E83" s="84" t="str">
        <f>IF('WEEK 22'!B68='WEEK 27'!B83,'WEEK 22'!F68,"")</f>
        <v/>
      </c>
      <c r="F83" s="1159"/>
      <c r="G83" s="419"/>
      <c r="H83" s="342">
        <v>4.0</v>
      </c>
      <c r="I83" s="348">
        <f>mround('WEEK 27'!I78*0.75,5)</f>
        <v>190</v>
      </c>
      <c r="J83" s="191">
        <v>25.0</v>
      </c>
      <c r="K83" s="345" t="s">
        <v>122</v>
      </c>
      <c r="L83" s="84" t="str">
        <f>IF('WEEK 26'!I92='WEEK 27'!I83,'WEEK 26'!M92,"")</f>
        <v/>
      </c>
      <c r="M83" s="85"/>
      <c r="N83" s="419"/>
      <c r="O83" s="419"/>
      <c r="P83" s="419"/>
      <c r="Q83" s="419"/>
      <c r="R83" s="419"/>
      <c r="S83" s="419"/>
      <c r="T83" s="419"/>
      <c r="U83" s="419"/>
      <c r="V83" s="419"/>
      <c r="W83" s="419"/>
      <c r="X83" s="419"/>
      <c r="Y83" s="419"/>
      <c r="Z83" s="419"/>
    </row>
    <row r="84">
      <c r="A84" s="1522">
        <v>5.0</v>
      </c>
      <c r="B84" s="1523">
        <f>IF((AND('WEEK 27'!B83&lt;='WEEK 27'!B82,'WEEK 27'!F83&gt;=10)),'WEEK 27'!B83,IF('WEEK 27'!F83&lt;10,MROUND('WEEK 27'!B83-('WEEK 27'!B83*20%),5),if( 'WEEK 27'!F83&lt;10,MROUND('WEEK 27'!B83-('WEEK 27'!B83*10%),5),MROUND('WEEK 27'!B83+('WEEK 27'!B83*10%),5))))</f>
        <v>55</v>
      </c>
      <c r="C84" s="1518">
        <v>10.0</v>
      </c>
      <c r="D84" s="1518" t="s">
        <v>122</v>
      </c>
      <c r="E84" s="84" t="str">
        <f>IF('WEEK 22'!B69='WEEK 27'!B84,'WEEK 22'!F69,"")</f>
        <v/>
      </c>
      <c r="F84" s="1159"/>
      <c r="G84" s="419"/>
      <c r="H84" s="485">
        <v>5.0</v>
      </c>
      <c r="I84" s="754">
        <f>mround('WEEK 27'!I78*0.85,5)</f>
        <v>215</v>
      </c>
      <c r="J84" s="767">
        <v>25.0</v>
      </c>
      <c r="K84" s="488" t="s">
        <v>122</v>
      </c>
      <c r="L84" s="84" t="str">
        <f>IF('WEEK 26'!I93='WEEK 27'!I84,'WEEK 26'!M93,"")</f>
        <v/>
      </c>
      <c r="M84" s="85"/>
      <c r="N84" s="419"/>
      <c r="O84" s="419"/>
      <c r="P84" s="419"/>
      <c r="Q84" s="419"/>
      <c r="R84" s="419"/>
      <c r="S84" s="419"/>
      <c r="T84" s="419"/>
      <c r="U84" s="419"/>
      <c r="V84" s="419"/>
      <c r="W84" s="419"/>
      <c r="X84" s="419"/>
      <c r="Y84" s="419"/>
      <c r="Z84" s="419"/>
    </row>
    <row r="85">
      <c r="A85" s="1522">
        <f>if(F83&lt;10,6,6)</f>
        <v>6</v>
      </c>
      <c r="B85" s="1523">
        <f>IF((AND('WEEK 27'!B84&lt;='WEEK 27'!B83,'WEEK 27'!F84&gt;=10)),'WEEK 27'!B84,IF('WEEK 27'!F84&lt;10,MROUND('WEEK 27'!B84-('WEEK 27'!B84*20%),5),if( 'WEEK 27'!F84&lt;10,MROUND('WEEK 27'!B84-('WEEK 27'!B84*10%),5),MROUND('WEEK 27'!B84+('WEEK 27'!B84*10%),5))))</f>
        <v>45</v>
      </c>
      <c r="C85" s="1518">
        <v>10.0</v>
      </c>
      <c r="D85" s="1518" t="s">
        <v>122</v>
      </c>
      <c r="E85" s="84" t="str">
        <f>IF('WEEK 22'!B70='WEEK 27'!B85,'WEEK 22'!F70,"")</f>
        <v/>
      </c>
      <c r="F85" s="1520"/>
      <c r="G85" s="419"/>
      <c r="H85" s="419"/>
      <c r="I85" s="419"/>
      <c r="J85" s="419"/>
      <c r="K85" s="419"/>
      <c r="L85" s="717"/>
      <c r="M85" s="419"/>
      <c r="N85" s="419"/>
      <c r="O85" s="419"/>
      <c r="P85" s="419"/>
      <c r="Q85" s="419"/>
      <c r="R85" s="419"/>
      <c r="S85" s="419"/>
      <c r="T85" s="419"/>
      <c r="U85" s="419"/>
      <c r="V85" s="419"/>
      <c r="W85" s="419"/>
      <c r="X85" s="419"/>
      <c r="Y85" s="419"/>
      <c r="Z85" s="419"/>
    </row>
    <row r="86">
      <c r="A86" s="1524">
        <f>IF(F85&lt;10,7,"7")</f>
        <v>7</v>
      </c>
      <c r="B86" s="1523">
        <f>IF((AND('WEEK 27'!B85&lt;='WEEK 27'!B84,'WEEK 27'!F85&gt;=10)),'WEEK 27'!B85,IF('WEEK 27'!F85&lt;10,MROUND('WEEK 27'!B85-('WEEK 27'!B85*20%),5),if( 'WEEK 27'!F85&lt;10,MROUND('WEEK 27'!B85-('WEEK 27'!B85*10%),5),MROUND('WEEK 27'!B85+('WEEK 27'!B85*10%),5))))</f>
        <v>35</v>
      </c>
      <c r="C86" s="1518">
        <v>10.0</v>
      </c>
      <c r="D86" s="1518" t="s">
        <v>122</v>
      </c>
      <c r="E86" s="84" t="str">
        <f>IF('WEEK 22'!B71='WEEK 27'!B86,'WEEK 22'!F71,"")</f>
        <v/>
      </c>
      <c r="F86" s="1520"/>
      <c r="G86" s="419"/>
      <c r="H86" s="419"/>
      <c r="I86" s="419"/>
      <c r="J86" s="419"/>
      <c r="K86" s="419"/>
      <c r="L86" s="717"/>
      <c r="M86" s="419"/>
      <c r="N86" s="419"/>
      <c r="O86" s="419"/>
      <c r="P86" s="419"/>
      <c r="Q86" s="419"/>
      <c r="R86" s="419"/>
      <c r="S86" s="419"/>
      <c r="T86" s="419"/>
      <c r="U86" s="419"/>
      <c r="V86" s="419"/>
      <c r="W86" s="419"/>
      <c r="X86" s="419"/>
      <c r="Y86" s="419"/>
      <c r="Z86" s="419"/>
    </row>
    <row r="87">
      <c r="A87" s="1525" t="s">
        <v>192</v>
      </c>
      <c r="B87" s="1109">
        <f>IF((AND('WEEK 27'!F86&gt;=10,'WEEK 27'!B86&gt;'WEEK 27'!B85)),'WEEK 27'!B86,IF((AND('WEEK 27'!F85&gt;=10,'WEEK 27'!B85&gt;'WEEK 27'!B84)),'WEEK 27'!B85,IF((AND('WEEK 27'!F84&gt;=10,'WEEK 27'!B84&gt;'WEEK 27'!B83)),'WEEK 27'!B84,IF((AND('WEEK 27'!F83&gt;=10,'WEEK 27'!B83&gt;'WEEK 27'!B82)),'WEEK 27'!B83,IF((AND('WEEK 27'!F82&gt;=10,'WEEK 27'!B82&gt;'WEEK 27'!B81)),'WEEK 27'!B82,IF((AND('WEEK 27'!F81&gt;=10,'WEEK 27'!B81&gt;'WEEK 27'!B80)),'WEEK 27'!B81,'WEEK 27'!B78))))))</f>
        <v>100</v>
      </c>
      <c r="C87" s="11"/>
      <c r="D87" s="11"/>
      <c r="E87" s="11"/>
      <c r="F87" s="46"/>
      <c r="G87" s="419"/>
      <c r="H87" s="419"/>
      <c r="I87" s="419"/>
      <c r="J87" s="419"/>
      <c r="K87" s="419"/>
      <c r="L87" s="717"/>
      <c r="M87" s="419"/>
      <c r="N87" s="419"/>
      <c r="O87" s="419"/>
      <c r="P87" s="419"/>
      <c r="Q87" s="419"/>
      <c r="R87" s="419"/>
      <c r="S87" s="419"/>
      <c r="T87" s="419"/>
      <c r="U87" s="419"/>
      <c r="V87" s="419"/>
      <c r="W87" s="419"/>
      <c r="X87" s="419"/>
      <c r="Y87" s="419"/>
      <c r="Z87" s="419"/>
    </row>
    <row r="88">
      <c r="A88" s="768"/>
      <c r="B88" s="769"/>
      <c r="C88" s="769"/>
      <c r="D88" s="769"/>
      <c r="E88" s="769"/>
      <c r="F88" s="769"/>
      <c r="G88" s="419"/>
      <c r="H88" s="419"/>
      <c r="I88" s="419"/>
      <c r="J88" s="419"/>
      <c r="K88" s="419"/>
      <c r="L88" s="717"/>
      <c r="M88" s="419"/>
      <c r="N88" s="419"/>
      <c r="O88" s="419"/>
      <c r="P88" s="419"/>
      <c r="Q88" s="419"/>
      <c r="R88" s="419"/>
      <c r="S88" s="419"/>
      <c r="T88" s="419"/>
      <c r="U88" s="419"/>
      <c r="V88" s="419"/>
      <c r="W88" s="419"/>
      <c r="X88" s="419"/>
      <c r="Y88" s="419"/>
      <c r="Z88" s="419"/>
    </row>
    <row r="89">
      <c r="A89" s="323" t="str">
        <f>HYPERLINK("https://www.youtube.com/watch?v=NZ9KiFtbiMs","2. LEG EXTENSION")</f>
        <v>2. LEG EXTENSION</v>
      </c>
      <c r="B89" s="53"/>
      <c r="C89" s="53"/>
      <c r="D89" s="53"/>
      <c r="E89" s="53"/>
      <c r="F89" s="54"/>
      <c r="G89" s="141"/>
      <c r="H89" s="141"/>
      <c r="I89" s="141"/>
      <c r="J89" s="141"/>
      <c r="K89" s="141"/>
      <c r="L89" s="770"/>
      <c r="M89" s="141"/>
      <c r="N89" s="419"/>
      <c r="O89" s="419"/>
      <c r="P89" s="419"/>
      <c r="Q89" s="419"/>
      <c r="R89" s="419"/>
      <c r="S89" s="419"/>
      <c r="T89" s="419"/>
      <c r="U89" s="419"/>
      <c r="V89" s="419"/>
      <c r="W89" s="419"/>
      <c r="X89" s="419"/>
      <c r="Y89" s="419"/>
      <c r="Z89" s="419"/>
    </row>
    <row r="90">
      <c r="A90" s="226" t="s">
        <v>119</v>
      </c>
      <c r="B90" s="90">
        <f>IF('WEEK 26'!B102='WEEK 26'!B104,'WEEK 26'!B102+5,IF('WEEK 26'!F102&lt;=9,MROUND('WEEK 26'!B100*0.95,5),'WEEK 26'!B102))</f>
        <v>50</v>
      </c>
      <c r="C90" s="13"/>
      <c r="D90" s="13"/>
      <c r="E90" s="13"/>
      <c r="F90" s="57"/>
      <c r="G90" s="141"/>
      <c r="H90" s="141"/>
      <c r="I90" s="141"/>
      <c r="J90" s="141"/>
      <c r="K90" s="141"/>
      <c r="L90" s="770"/>
      <c r="M90" s="141"/>
      <c r="N90" s="419"/>
      <c r="O90" s="419"/>
      <c r="P90" s="419"/>
      <c r="Q90" s="419"/>
      <c r="R90" s="419"/>
      <c r="S90" s="419"/>
      <c r="T90" s="419"/>
      <c r="U90" s="419"/>
      <c r="V90" s="419"/>
      <c r="W90" s="419"/>
      <c r="X90" s="419"/>
      <c r="Y90" s="419"/>
      <c r="Z90" s="419"/>
    </row>
    <row r="91">
      <c r="A91" s="96" t="s">
        <v>50</v>
      </c>
      <c r="B91" s="97" t="s">
        <v>51</v>
      </c>
      <c r="C91" s="97" t="s">
        <v>52</v>
      </c>
      <c r="D91" s="97" t="s">
        <v>53</v>
      </c>
      <c r="E91" s="98" t="s">
        <v>54</v>
      </c>
      <c r="F91" s="235" t="s">
        <v>55</v>
      </c>
      <c r="G91" s="141"/>
      <c r="H91" s="141"/>
      <c r="I91" s="141"/>
      <c r="J91" s="141"/>
      <c r="K91" s="141"/>
      <c r="L91" s="770"/>
      <c r="M91" s="141"/>
      <c r="N91" s="419"/>
      <c r="O91" s="419"/>
      <c r="P91" s="419"/>
      <c r="Q91" s="419"/>
      <c r="R91" s="419"/>
      <c r="S91" s="419"/>
      <c r="T91" s="419"/>
      <c r="U91" s="419"/>
      <c r="V91" s="419"/>
      <c r="W91" s="419"/>
      <c r="X91" s="419"/>
      <c r="Y91" s="419"/>
      <c r="Z91" s="419"/>
    </row>
    <row r="92">
      <c r="A92" s="352">
        <v>1.0</v>
      </c>
      <c r="B92" s="237">
        <f>if('WEEK 2'!B103='WEEK 2'!B104,'WEEK 27'!B90,'WEEK 27'!B90)</f>
        <v>50</v>
      </c>
      <c r="C92" s="693" t="s">
        <v>61</v>
      </c>
      <c r="D92" s="350" t="s">
        <v>57</v>
      </c>
      <c r="E92" s="84" t="str">
        <f>IF('WEEK 26'!B102='WEEK 27'!B92,'WEEK 26'!F102,"")</f>
        <v/>
      </c>
      <c r="F92" s="85"/>
      <c r="G92" s="141"/>
      <c r="H92" s="141"/>
      <c r="I92" s="141"/>
      <c r="J92" s="141"/>
      <c r="K92" s="141"/>
      <c r="L92" s="770"/>
      <c r="M92" s="141"/>
      <c r="N92" s="419"/>
      <c r="O92" s="419"/>
      <c r="P92" s="419"/>
      <c r="Q92" s="419"/>
      <c r="R92" s="419"/>
      <c r="S92" s="419"/>
      <c r="T92" s="419"/>
      <c r="U92" s="419"/>
      <c r="V92" s="419"/>
      <c r="W92" s="419"/>
      <c r="X92" s="419"/>
      <c r="Y92" s="419"/>
      <c r="Z92" s="419"/>
    </row>
    <row r="93">
      <c r="A93" s="352">
        <v>2.0</v>
      </c>
      <c r="B93" s="237">
        <f>if('WEEK 27'!F92&lt;8,mround('WEEK 27'!B92*0.8,5),IF('WEEK 27'!F92&lt;=14,MROUND('WEEK 27'!B92*0.95,5),'WEEK 27'!B92))</f>
        <v>40</v>
      </c>
      <c r="C93" s="693" t="s">
        <v>61</v>
      </c>
      <c r="D93" s="350" t="s">
        <v>57</v>
      </c>
      <c r="E93" s="84" t="str">
        <f>IF('WEEK 26'!B103='WEEK 27'!B93,'WEEK 26'!F103,"")</f>
        <v/>
      </c>
      <c r="F93" s="85"/>
      <c r="G93" s="141"/>
      <c r="H93" s="141"/>
      <c r="I93" s="141"/>
      <c r="J93" s="141"/>
      <c r="K93" s="141"/>
      <c r="L93" s="770"/>
      <c r="M93" s="141"/>
      <c r="N93" s="419"/>
      <c r="O93" s="419"/>
      <c r="P93" s="419"/>
      <c r="Q93" s="419"/>
      <c r="R93" s="419"/>
      <c r="S93" s="419"/>
      <c r="T93" s="419"/>
      <c r="U93" s="419"/>
      <c r="V93" s="419"/>
      <c r="W93" s="419"/>
      <c r="X93" s="419"/>
      <c r="Y93" s="419"/>
      <c r="Z93" s="419"/>
    </row>
    <row r="94">
      <c r="A94" s="352">
        <v>3.0</v>
      </c>
      <c r="B94" s="237">
        <f>if('WEEK 27'!F93&lt;8,mround('WEEK 27'!B93*0.8,5),IF('WEEK 27'!F93&lt;=14,MROUND('WEEK 27'!B93*0.95,5),'WEEK 27'!B93))</f>
        <v>30</v>
      </c>
      <c r="C94" s="693" t="s">
        <v>61</v>
      </c>
      <c r="D94" s="350" t="s">
        <v>57</v>
      </c>
      <c r="E94" s="84" t="str">
        <f>IF('WEEK 26'!B104='WEEK 27'!B94,'WEEK 26'!F104,"")</f>
        <v/>
      </c>
      <c r="F94" s="85"/>
      <c r="G94" s="141"/>
      <c r="H94" s="141"/>
      <c r="I94" s="141"/>
      <c r="J94" s="141"/>
      <c r="K94" s="141"/>
      <c r="L94" s="770"/>
      <c r="M94" s="141"/>
      <c r="N94" s="419"/>
      <c r="O94" s="419"/>
      <c r="P94" s="419"/>
      <c r="Q94" s="419"/>
      <c r="R94" s="419"/>
      <c r="S94" s="419"/>
      <c r="T94" s="419"/>
      <c r="U94" s="419"/>
      <c r="V94" s="419"/>
      <c r="W94" s="419"/>
      <c r="X94" s="419"/>
      <c r="Y94" s="419"/>
      <c r="Z94" s="419"/>
    </row>
    <row r="95">
      <c r="A95" s="228" t="s">
        <v>124</v>
      </c>
      <c r="B95" s="229">
        <f>IF('WEEK 2'!F95&lt;10,'WEEK 27'!B90,IF('WEEK 27'!F98&gt;=10,'WEEK 27'!B93,'WEEK 27'!B92))</f>
        <v>50</v>
      </c>
      <c r="C95" s="16"/>
      <c r="D95" s="16"/>
      <c r="E95" s="16"/>
      <c r="F95" s="230"/>
      <c r="G95" s="141"/>
      <c r="H95" s="141"/>
      <c r="I95" s="141"/>
      <c r="J95" s="141"/>
      <c r="K95" s="141"/>
      <c r="L95" s="770"/>
      <c r="M95" s="141"/>
      <c r="N95" s="419"/>
      <c r="O95" s="419"/>
      <c r="P95" s="419"/>
      <c r="Q95" s="419"/>
      <c r="R95" s="419"/>
      <c r="S95" s="419"/>
      <c r="T95" s="419"/>
      <c r="U95" s="419"/>
      <c r="V95" s="419"/>
      <c r="W95" s="419"/>
      <c r="X95" s="419"/>
      <c r="Y95" s="419"/>
      <c r="Z95" s="419"/>
    </row>
    <row r="96">
      <c r="A96" s="771"/>
      <c r="B96" s="771"/>
      <c r="C96" s="771"/>
      <c r="D96" s="771"/>
      <c r="E96" s="772"/>
      <c r="F96" s="773"/>
      <c r="G96" s="141"/>
      <c r="H96" s="141"/>
      <c r="I96" s="141"/>
      <c r="J96" s="141"/>
      <c r="K96" s="141"/>
      <c r="L96" s="770"/>
      <c r="M96" s="141"/>
      <c r="N96" s="419"/>
      <c r="O96" s="419"/>
      <c r="P96" s="419"/>
      <c r="Q96" s="419"/>
      <c r="R96" s="419"/>
      <c r="S96" s="419"/>
      <c r="T96" s="419"/>
      <c r="U96" s="419"/>
      <c r="V96" s="419"/>
      <c r="W96" s="419"/>
      <c r="X96" s="419"/>
      <c r="Y96" s="419"/>
      <c r="Z96" s="419"/>
    </row>
    <row r="97">
      <c r="A97" s="677"/>
      <c r="B97" s="677"/>
      <c r="C97" s="677"/>
      <c r="D97" s="677"/>
      <c r="E97" s="774"/>
      <c r="F97" s="775"/>
      <c r="G97" s="141"/>
      <c r="H97" s="141"/>
      <c r="I97" s="141"/>
      <c r="J97" s="141"/>
      <c r="K97" s="141"/>
      <c r="L97" s="770"/>
      <c r="M97" s="141"/>
      <c r="N97" s="419"/>
      <c r="O97" s="419"/>
      <c r="P97" s="419"/>
      <c r="Q97" s="419"/>
      <c r="R97" s="419"/>
      <c r="S97" s="419"/>
      <c r="T97" s="419"/>
      <c r="U97" s="419"/>
      <c r="V97" s="419"/>
      <c r="W97" s="419"/>
      <c r="X97" s="419"/>
      <c r="Y97" s="419"/>
      <c r="Z97" s="419"/>
    </row>
    <row r="98" ht="17.25" customHeight="1">
      <c r="A98" s="323" t="str">
        <f>HYPERLINK("https://youtu.be/XepOfsnGFJg","3. LEG CURL")</f>
        <v>3. LEG CURL</v>
      </c>
      <c r="B98" s="53"/>
      <c r="C98" s="53"/>
      <c r="D98" s="53"/>
      <c r="E98" s="53"/>
      <c r="F98" s="54"/>
      <c r="G98" s="141"/>
      <c r="H98" s="323" t="str">
        <f>HYPERLINK("https://youtu.be/kmN9cJ79PDE","3. PRONE LEG CURL")</f>
        <v>3. PRONE LEG CURL</v>
      </c>
      <c r="I98" s="53"/>
      <c r="J98" s="53"/>
      <c r="K98" s="53"/>
      <c r="L98" s="53"/>
      <c r="M98" s="54"/>
      <c r="N98" s="419"/>
      <c r="O98" s="419"/>
      <c r="P98" s="419"/>
      <c r="Q98" s="419"/>
      <c r="R98" s="419"/>
      <c r="S98" s="419"/>
      <c r="T98" s="419"/>
      <c r="U98" s="419"/>
      <c r="V98" s="419"/>
      <c r="W98" s="419"/>
      <c r="X98" s="419"/>
      <c r="Y98" s="419"/>
      <c r="Z98" s="419"/>
    </row>
    <row r="99" ht="17.25" customHeight="1">
      <c r="A99" s="226" t="s">
        <v>119</v>
      </c>
      <c r="B99" s="90">
        <f>IF('WEEK 26'!B111='WEEK 26'!B113,'WEEK 26'!B111+5,IF('WEEK 26'!F111&lt;=9,MROUND('WEEK 26'!B109*0.95,5),'WEEK 26'!B111))</f>
        <v>15</v>
      </c>
      <c r="C99" s="13"/>
      <c r="D99" s="13"/>
      <c r="E99" s="13"/>
      <c r="F99" s="57"/>
      <c r="G99" s="141"/>
      <c r="H99" s="226" t="s">
        <v>119</v>
      </c>
      <c r="I99" s="90">
        <f>IF('WEEK 26'!I111='WEEK 26'!I113,'WEEK 26'!I111+5,IF('WEEK 26'!M111&lt;=9,MROUND('WEEK 26'!I109*0.95,5),'WEEK 26'!I111))</f>
        <v>15</v>
      </c>
      <c r="J99" s="13"/>
      <c r="K99" s="13"/>
      <c r="L99" s="13"/>
      <c r="M99" s="57"/>
      <c r="N99" s="419"/>
      <c r="O99" s="419"/>
      <c r="P99" s="419"/>
      <c r="Q99" s="419"/>
      <c r="R99" s="419"/>
      <c r="S99" s="419"/>
      <c r="T99" s="419"/>
      <c r="U99" s="419"/>
      <c r="V99" s="419"/>
      <c r="W99" s="419"/>
      <c r="X99" s="419"/>
      <c r="Y99" s="419"/>
      <c r="Z99" s="419"/>
    </row>
    <row r="100" ht="17.25" customHeight="1">
      <c r="A100" s="96" t="s">
        <v>50</v>
      </c>
      <c r="B100" s="97" t="s">
        <v>51</v>
      </c>
      <c r="C100" s="97" t="s">
        <v>52</v>
      </c>
      <c r="D100" s="97" t="s">
        <v>53</v>
      </c>
      <c r="E100" s="98" t="s">
        <v>54</v>
      </c>
      <c r="F100" s="235" t="s">
        <v>55</v>
      </c>
      <c r="G100" s="141"/>
      <c r="H100" s="96" t="s">
        <v>50</v>
      </c>
      <c r="I100" s="97" t="s">
        <v>51</v>
      </c>
      <c r="J100" s="97" t="s">
        <v>52</v>
      </c>
      <c r="K100" s="776" t="s">
        <v>53</v>
      </c>
      <c r="L100" s="98" t="s">
        <v>54</v>
      </c>
      <c r="M100" s="235" t="s">
        <v>55</v>
      </c>
      <c r="N100" s="419"/>
      <c r="O100" s="419"/>
      <c r="P100" s="419"/>
      <c r="Q100" s="419"/>
      <c r="R100" s="419"/>
      <c r="S100" s="419"/>
      <c r="T100" s="419"/>
      <c r="U100" s="419"/>
      <c r="V100" s="419"/>
      <c r="W100" s="419"/>
      <c r="X100" s="419"/>
      <c r="Y100" s="419"/>
      <c r="Z100" s="419"/>
    </row>
    <row r="101" ht="17.25" customHeight="1">
      <c r="A101" s="352">
        <v>1.0</v>
      </c>
      <c r="B101" s="237">
        <f>if('WEEK 2'!B112='WEEK 2'!B113,'WEEK 27'!B99,'WEEK 27'!B99)</f>
        <v>15</v>
      </c>
      <c r="C101" s="693" t="s">
        <v>61</v>
      </c>
      <c r="D101" s="350" t="s">
        <v>57</v>
      </c>
      <c r="E101" s="84" t="str">
        <f>IF('WEEK 26'!B111='WEEK 27'!B101,'WEEK 26'!F111,"")</f>
        <v/>
      </c>
      <c r="F101" s="85"/>
      <c r="G101" s="434" t="s">
        <v>123</v>
      </c>
      <c r="H101" s="242">
        <v>1.0</v>
      </c>
      <c r="I101" s="99">
        <f>if('WEEK 2'!I112='WEEK 2'!I113,'WEEK 27'!I99,'WEEK 27'!I99)</f>
        <v>15</v>
      </c>
      <c r="J101" s="693" t="s">
        <v>61</v>
      </c>
      <c r="K101" s="777" t="s">
        <v>57</v>
      </c>
      <c r="L101" s="84" t="str">
        <f>IF('WEEK 26'!I111='WEEK 27'!I101,'WEEK 26'!M111,"")</f>
        <v/>
      </c>
      <c r="M101" s="85"/>
      <c r="N101" s="419"/>
      <c r="O101" s="419"/>
      <c r="P101" s="419"/>
      <c r="Q101" s="419"/>
      <c r="R101" s="419"/>
      <c r="S101" s="419"/>
      <c r="T101" s="419"/>
      <c r="U101" s="419"/>
      <c r="V101" s="419"/>
      <c r="W101" s="419"/>
      <c r="X101" s="419"/>
      <c r="Y101" s="419"/>
      <c r="Z101" s="419"/>
    </row>
    <row r="102" ht="17.25" customHeight="1">
      <c r="A102" s="352">
        <v>2.0</v>
      </c>
      <c r="B102" s="237">
        <f>if('WEEK 27'!F101&lt;8,mround('WEEK 27'!B101*0.8,5),IF('WEEK 27'!F101&lt;=14,MROUND('WEEK 27'!B101*0.95,5),'WEEK 27'!B101))</f>
        <v>10</v>
      </c>
      <c r="C102" s="693" t="s">
        <v>61</v>
      </c>
      <c r="D102" s="350" t="s">
        <v>57</v>
      </c>
      <c r="E102" s="84" t="str">
        <f>IF('WEEK 26'!B112='WEEK 27'!B102,'WEEK 26'!F112,"")</f>
        <v/>
      </c>
      <c r="F102" s="85"/>
      <c r="H102" s="242">
        <v>2.0</v>
      </c>
      <c r="I102" s="82">
        <f>if('WEEK 27'!M101&lt;5,mround('WEEK 27'!I101*0.8,5),IF('WEEK 27'!M101&lt;=10,MROUND('WEEK 27'!I101*0.95,5),'WEEK 27'!I101))</f>
        <v>10</v>
      </c>
      <c r="J102" s="693" t="s">
        <v>61</v>
      </c>
      <c r="K102" s="777" t="s">
        <v>57</v>
      </c>
      <c r="L102" s="84" t="str">
        <f>IF('WEEK 26'!I112='WEEK 27'!I102,'WEEK 26'!M112,"")</f>
        <v/>
      </c>
      <c r="M102" s="85"/>
      <c r="N102" s="419"/>
      <c r="O102" s="419"/>
      <c r="P102" s="419"/>
      <c r="Q102" s="419"/>
      <c r="R102" s="419"/>
      <c r="S102" s="419"/>
      <c r="T102" s="419"/>
      <c r="U102" s="419"/>
      <c r="V102" s="419"/>
      <c r="W102" s="419"/>
      <c r="X102" s="419"/>
      <c r="Y102" s="419"/>
      <c r="Z102" s="419"/>
    </row>
    <row r="103" ht="17.25" customHeight="1">
      <c r="A103" s="352">
        <v>3.0</v>
      </c>
      <c r="B103" s="237">
        <f>if('WEEK 27'!F102&lt;8,mround('WEEK 27'!B102*0.8,5),IF('WEEK 27'!F102&lt;=14,MROUND('WEEK 27'!B102*0.95,5),'WEEK 27'!B102))</f>
        <v>10</v>
      </c>
      <c r="C103" s="693" t="s">
        <v>61</v>
      </c>
      <c r="D103" s="350" t="s">
        <v>57</v>
      </c>
      <c r="E103" s="84" t="str">
        <f>IF('WEEK 26'!B113='WEEK 27'!B103,'WEEK 26'!F113,"")</f>
        <v/>
      </c>
      <c r="F103" s="85"/>
      <c r="G103" s="682"/>
      <c r="H103" s="242">
        <v>3.0</v>
      </c>
      <c r="I103" s="82">
        <f>if('WEEK 27'!M102&lt;4,mround('WEEK 27'!I102*0.8,5),IF('WEEK 27'!M102&lt;=10,MROUND('WEEK 27'!I102*0.95,5),'WEEK 27'!I102))</f>
        <v>10</v>
      </c>
      <c r="J103" s="693" t="s">
        <v>61</v>
      </c>
      <c r="K103" s="777" t="s">
        <v>57</v>
      </c>
      <c r="L103" s="84" t="str">
        <f>IF('WEEK 26'!I113='WEEK 27'!I103,'WEEK 26'!M113,"")</f>
        <v/>
      </c>
      <c r="M103" s="85"/>
      <c r="N103" s="419"/>
      <c r="O103" s="419"/>
      <c r="P103" s="419"/>
      <c r="Q103" s="419"/>
      <c r="R103" s="419"/>
      <c r="S103" s="419"/>
      <c r="T103" s="419"/>
      <c r="U103" s="419"/>
      <c r="V103" s="419"/>
      <c r="W103" s="419"/>
      <c r="X103" s="419"/>
      <c r="Y103" s="419"/>
      <c r="Z103" s="419"/>
    </row>
    <row r="104" ht="17.25" customHeight="1">
      <c r="A104" s="272" t="s">
        <v>124</v>
      </c>
      <c r="B104" s="332">
        <f>IF('WEEK 2'!F104&lt;10,'WEEK 27'!B99,IF('WEEK 2'!F105&gt;=10,'WEEK 27'!B102,'WEEK 27'!B101))</f>
        <v>15</v>
      </c>
      <c r="C104" s="33"/>
      <c r="D104" s="33"/>
      <c r="E104" s="33"/>
      <c r="F104" s="34"/>
      <c r="G104" s="141"/>
      <c r="H104" s="272" t="s">
        <v>124</v>
      </c>
      <c r="I104" s="332">
        <f>IF('WEEK 2'!M104&lt;10,'WEEK 27'!I99,IF('WEEK 2'!M105&gt;=10,'WEEK 27'!I102,'WEEK 27'!I101))</f>
        <v>15</v>
      </c>
      <c r="J104" s="33"/>
      <c r="K104" s="33"/>
      <c r="L104" s="33"/>
      <c r="M104" s="34"/>
      <c r="N104" s="419"/>
      <c r="O104" s="419"/>
      <c r="P104" s="419"/>
      <c r="Q104" s="419"/>
      <c r="R104" s="419"/>
      <c r="S104" s="419"/>
      <c r="T104" s="419"/>
      <c r="U104" s="419"/>
      <c r="V104" s="419"/>
      <c r="W104" s="419"/>
      <c r="X104" s="419"/>
      <c r="Y104" s="419"/>
      <c r="Z104" s="419"/>
    </row>
    <row r="105" ht="17.25" customHeight="1">
      <c r="A105" s="419"/>
      <c r="B105" s="419"/>
      <c r="C105" s="419"/>
      <c r="D105" s="419"/>
      <c r="E105" s="717"/>
      <c r="F105" s="419"/>
      <c r="G105" s="419"/>
      <c r="H105" s="419"/>
      <c r="I105" s="419"/>
      <c r="J105" s="419"/>
      <c r="K105" s="419"/>
      <c r="L105" s="717"/>
      <c r="M105" s="419"/>
      <c r="N105" s="419"/>
      <c r="O105" s="419"/>
      <c r="P105" s="419"/>
      <c r="Q105" s="419"/>
      <c r="R105" s="419"/>
      <c r="S105" s="419"/>
      <c r="T105" s="419"/>
      <c r="U105" s="419"/>
      <c r="V105" s="419"/>
      <c r="W105" s="419"/>
      <c r="X105" s="419"/>
      <c r="Y105" s="419"/>
      <c r="Z105" s="419"/>
    </row>
    <row r="106" ht="17.25" customHeight="1">
      <c r="A106" s="310" t="str">
        <f>HYPERLINK("https://docs.google.com/a/fitnessresults.com/forms/d/e/1FAIpQLSd7MoczESe8Yjv6BKpmwAZGn9Aiymrs9-UdgfYIUpbr9t5NXg/viewform?usp=pp_url&amp;entry.93370101","CLICK TO COMPLETE WORKOUT")</f>
        <v>CLICK TO COMPLETE WORKOUT</v>
      </c>
      <c r="B106" s="36"/>
      <c r="C106" s="36"/>
      <c r="D106" s="36"/>
      <c r="E106" s="36"/>
      <c r="F106" s="37"/>
      <c r="G106" s="419"/>
      <c r="H106" s="419"/>
      <c r="I106" s="419"/>
      <c r="J106" s="419"/>
      <c r="K106" s="419"/>
      <c r="L106" s="717"/>
      <c r="M106" s="419"/>
      <c r="N106" s="419"/>
      <c r="O106" s="419"/>
      <c r="P106" s="419"/>
      <c r="Q106" s="419"/>
      <c r="R106" s="419"/>
      <c r="S106" s="419"/>
      <c r="T106" s="419"/>
      <c r="U106" s="419"/>
      <c r="V106" s="419"/>
      <c r="W106" s="419"/>
      <c r="X106" s="419"/>
      <c r="Y106" s="419"/>
      <c r="Z106" s="419"/>
    </row>
    <row r="107" ht="17.25" customHeight="1">
      <c r="A107" s="419"/>
      <c r="B107" s="419"/>
      <c r="C107" s="419"/>
      <c r="D107" s="419"/>
      <c r="E107" s="717"/>
      <c r="F107" s="419"/>
      <c r="G107" s="419"/>
      <c r="H107" s="419"/>
      <c r="I107" s="419"/>
      <c r="J107" s="419"/>
      <c r="K107" s="419"/>
      <c r="L107" s="717"/>
      <c r="M107" s="419"/>
      <c r="N107" s="419"/>
      <c r="O107" s="419"/>
      <c r="P107" s="419"/>
      <c r="Q107" s="419"/>
      <c r="R107" s="419"/>
      <c r="S107" s="419"/>
      <c r="T107" s="419"/>
      <c r="U107" s="419"/>
      <c r="V107" s="419"/>
      <c r="W107" s="419"/>
      <c r="X107" s="419"/>
      <c r="Y107" s="419"/>
      <c r="Z107" s="419"/>
    </row>
    <row r="108">
      <c r="A108" s="50" t="s">
        <v>62</v>
      </c>
      <c r="B108" s="36"/>
      <c r="C108" s="36"/>
      <c r="D108" s="36"/>
      <c r="E108" s="36"/>
      <c r="F108" s="37"/>
      <c r="G108" s="419"/>
      <c r="H108" s="419"/>
      <c r="I108" s="419"/>
      <c r="J108" s="419"/>
      <c r="K108" s="419"/>
      <c r="L108" s="717"/>
      <c r="M108" s="419"/>
      <c r="N108" s="419"/>
      <c r="O108" s="419"/>
      <c r="P108" s="419"/>
      <c r="Q108" s="419"/>
      <c r="R108" s="419"/>
      <c r="S108" s="419"/>
      <c r="T108" s="419"/>
      <c r="U108" s="419"/>
      <c r="V108" s="419"/>
      <c r="W108" s="419"/>
      <c r="X108" s="419"/>
      <c r="Y108" s="419"/>
      <c r="Z108" s="419"/>
    </row>
    <row r="109">
      <c r="A109" s="657"/>
      <c r="B109" s="657"/>
      <c r="C109" s="657"/>
      <c r="D109" s="657"/>
      <c r="E109" s="657"/>
      <c r="F109" s="657"/>
      <c r="G109" s="419"/>
      <c r="H109" s="419"/>
      <c r="I109" s="419"/>
      <c r="J109" s="419"/>
      <c r="K109" s="419"/>
      <c r="L109" s="717"/>
      <c r="M109" s="419"/>
      <c r="N109" s="419"/>
      <c r="O109" s="419"/>
      <c r="P109" s="419"/>
      <c r="Q109" s="419"/>
      <c r="R109" s="419"/>
      <c r="S109" s="419"/>
      <c r="T109" s="419"/>
      <c r="U109" s="419"/>
      <c r="V109" s="419"/>
      <c r="W109" s="419"/>
      <c r="X109" s="419"/>
      <c r="Y109" s="419"/>
      <c r="Z109" s="419"/>
    </row>
    <row r="110">
      <c r="A110" s="657"/>
      <c r="B110" s="657"/>
      <c r="C110" s="657"/>
      <c r="D110" s="657"/>
      <c r="E110" s="657"/>
      <c r="F110" s="657"/>
      <c r="G110" s="419"/>
      <c r="H110" s="419"/>
      <c r="I110" s="419"/>
      <c r="J110" s="419"/>
      <c r="K110" s="419"/>
      <c r="L110" s="717"/>
      <c r="M110" s="419"/>
      <c r="N110" s="419"/>
      <c r="O110" s="419"/>
      <c r="P110" s="419"/>
      <c r="Q110" s="419"/>
      <c r="R110" s="419"/>
      <c r="S110" s="419"/>
      <c r="T110" s="419"/>
      <c r="U110" s="419"/>
      <c r="V110" s="419"/>
      <c r="W110" s="419"/>
      <c r="X110" s="419"/>
      <c r="Y110" s="419"/>
      <c r="Z110" s="419"/>
    </row>
    <row r="111">
      <c r="A111" s="51" t="s">
        <v>131</v>
      </c>
      <c r="B111" s="36"/>
      <c r="C111" s="36"/>
      <c r="D111" s="36"/>
      <c r="E111" s="36"/>
      <c r="F111" s="37"/>
      <c r="G111" s="419"/>
      <c r="H111" s="51" t="s">
        <v>131</v>
      </c>
      <c r="I111" s="36"/>
      <c r="J111" s="36"/>
      <c r="K111" s="36"/>
      <c r="L111" s="36"/>
      <c r="M111" s="37"/>
      <c r="N111" s="419"/>
      <c r="O111" s="419"/>
      <c r="P111" s="419"/>
      <c r="Q111" s="419"/>
      <c r="R111" s="419"/>
      <c r="S111" s="419"/>
      <c r="T111" s="419"/>
      <c r="U111" s="419"/>
      <c r="V111" s="419"/>
      <c r="W111" s="419"/>
      <c r="X111" s="419"/>
      <c r="Y111" s="419"/>
      <c r="Z111" s="419"/>
    </row>
    <row r="112">
      <c r="A112" s="504" t="str">
        <f>HYPERLINK("https://youtu.be/rmxOkkd2hUk","1. SHOULDER PRESS")</f>
        <v>1. SHOULDER PRESS</v>
      </c>
      <c r="B112" s="53"/>
      <c r="C112" s="53"/>
      <c r="D112" s="53"/>
      <c r="E112" s="53"/>
      <c r="F112" s="54"/>
      <c r="G112" s="419"/>
      <c r="H112" s="778" t="str">
        <f>HYPERLINK("https://www.youtube.com/watch?v=-cSBPE-y38M","1. MACHINE SHOULDER PRESS")</f>
        <v>1. MACHINE SHOULDER PRESS</v>
      </c>
      <c r="I112" s="53"/>
      <c r="J112" s="53"/>
      <c r="K112" s="53"/>
      <c r="L112" s="53"/>
      <c r="M112" s="54"/>
      <c r="N112" s="419"/>
      <c r="O112" s="419"/>
      <c r="P112" s="419"/>
      <c r="Q112" s="419"/>
      <c r="R112" s="419"/>
      <c r="S112" s="419"/>
      <c r="T112" s="419"/>
      <c r="U112" s="419"/>
      <c r="V112" s="419"/>
      <c r="W112" s="419"/>
      <c r="X112" s="419"/>
      <c r="Y112" s="419"/>
      <c r="Z112" s="419"/>
    </row>
    <row r="113">
      <c r="A113" s="589" t="s">
        <v>119</v>
      </c>
      <c r="B113" s="227">
        <f>'WEEK 24'!B97</f>
        <v>10</v>
      </c>
      <c r="C113" s="20"/>
      <c r="D113" s="20"/>
      <c r="E113" s="20"/>
      <c r="F113" s="95"/>
      <c r="G113" s="419"/>
      <c r="H113" s="226" t="s">
        <v>119</v>
      </c>
      <c r="I113" s="227">
        <f>if('WEEK 25'!I125="",'WEEK 25'!I113,'WEEK 25'!I125)</f>
        <v>105</v>
      </c>
      <c r="J113" s="20"/>
      <c r="K113" s="20"/>
      <c r="L113" s="20"/>
      <c r="M113" s="95"/>
      <c r="N113" s="419"/>
      <c r="O113" s="419"/>
      <c r="P113" s="419"/>
      <c r="Q113" s="419"/>
      <c r="R113" s="419"/>
      <c r="S113" s="419"/>
      <c r="T113" s="419"/>
      <c r="U113" s="419"/>
      <c r="V113" s="419"/>
      <c r="W113" s="419"/>
      <c r="X113" s="419"/>
      <c r="Y113" s="419"/>
      <c r="Z113" s="419"/>
    </row>
    <row r="114">
      <c r="A114" s="364" t="s">
        <v>50</v>
      </c>
      <c r="B114" s="365" t="s">
        <v>51</v>
      </c>
      <c r="C114" s="365" t="s">
        <v>52</v>
      </c>
      <c r="D114" s="365" t="s">
        <v>53</v>
      </c>
      <c r="E114" s="609" t="s">
        <v>54</v>
      </c>
      <c r="F114" s="61" t="s">
        <v>55</v>
      </c>
      <c r="G114" s="724"/>
      <c r="H114" s="364" t="s">
        <v>50</v>
      </c>
      <c r="I114" s="365" t="s">
        <v>51</v>
      </c>
      <c r="J114" s="365" t="s">
        <v>52</v>
      </c>
      <c r="K114" s="365" t="s">
        <v>53</v>
      </c>
      <c r="L114" s="609" t="s">
        <v>54</v>
      </c>
      <c r="M114" s="61" t="s">
        <v>55</v>
      </c>
      <c r="N114" s="724"/>
      <c r="O114" s="724"/>
      <c r="P114" s="724"/>
      <c r="Q114" s="724"/>
      <c r="R114" s="724"/>
      <c r="S114" s="724"/>
      <c r="T114" s="724"/>
      <c r="U114" s="724"/>
      <c r="V114" s="724"/>
      <c r="W114" s="724"/>
      <c r="X114" s="724"/>
      <c r="Y114" s="724"/>
      <c r="Z114" s="724"/>
    </row>
    <row r="115">
      <c r="A115" s="236">
        <v>1.0</v>
      </c>
      <c r="B115" s="237">
        <f>mround('WEEK 27'!B113*0.35,5)</f>
        <v>30</v>
      </c>
      <c r="C115" s="237">
        <v>6.0</v>
      </c>
      <c r="D115" s="238" t="s">
        <v>120</v>
      </c>
      <c r="E115" s="84" t="str">
        <f>IF('WEEK 24'!B99='WEEK 27'!B115,'WEEK 24'!F99,"")</f>
        <v/>
      </c>
      <c r="F115" s="67"/>
      <c r="G115" s="728"/>
      <c r="H115" s="236">
        <v>1.0</v>
      </c>
      <c r="I115" s="237">
        <f>MROUND(('WEEK 27'!I113*0.4+'WEEK 27'!I113)*0.35,5)</f>
        <v>50</v>
      </c>
      <c r="J115" s="237">
        <v>6.0</v>
      </c>
      <c r="K115" s="238" t="s">
        <v>120</v>
      </c>
      <c r="L115" s="84" t="str">
        <f>IF('WEEK 24'!I99='WEEK 27'!I115,'WEEK 24'!M99,"")</f>
        <v/>
      </c>
      <c r="M115" s="67"/>
      <c r="N115" s="728"/>
      <c r="O115" s="728"/>
      <c r="P115" s="728"/>
      <c r="Q115" s="728"/>
      <c r="R115" s="728"/>
      <c r="S115" s="728"/>
      <c r="T115" s="728"/>
      <c r="U115" s="728"/>
      <c r="V115" s="728"/>
      <c r="W115" s="728"/>
      <c r="X115" s="728"/>
      <c r="Y115" s="728"/>
      <c r="Z115" s="728"/>
    </row>
    <row r="116">
      <c r="A116" s="236">
        <v>2.0</v>
      </c>
      <c r="B116" s="237">
        <f>mround('WEEK 27'!B113*0.65,5)</f>
        <v>50</v>
      </c>
      <c r="C116" s="237">
        <v>1.0</v>
      </c>
      <c r="D116" s="238" t="s">
        <v>57</v>
      </c>
      <c r="E116" s="84" t="str">
        <f>IF('WEEK 24'!B100='WEEK 27'!B116,'WEEK 24'!F100,"")</f>
        <v/>
      </c>
      <c r="F116" s="67"/>
      <c r="G116" s="728"/>
      <c r="H116" s="236">
        <v>2.0</v>
      </c>
      <c r="I116" s="237">
        <f>mround('WEEK 27'!I113*0.65,5)</f>
        <v>70</v>
      </c>
      <c r="J116" s="237">
        <v>1.0</v>
      </c>
      <c r="K116" s="238" t="s">
        <v>57</v>
      </c>
      <c r="L116" s="84" t="str">
        <f>IF('WEEK 24'!I100='WEEK 27'!I116,'WEEK 24'!M100,"")</f>
        <v/>
      </c>
      <c r="M116" s="67"/>
      <c r="N116" s="728"/>
      <c r="O116" s="728"/>
      <c r="P116" s="728"/>
      <c r="Q116" s="728"/>
      <c r="R116" s="728"/>
      <c r="S116" s="728"/>
      <c r="T116" s="728"/>
      <c r="U116" s="728"/>
      <c r="V116" s="728"/>
      <c r="W116" s="728"/>
      <c r="X116" s="728"/>
      <c r="Y116" s="728"/>
      <c r="Z116" s="728"/>
    </row>
    <row r="117">
      <c r="A117" s="779">
        <v>3.0</v>
      </c>
      <c r="B117" s="780">
        <f> mround('WEEK 27'!B113*0.9,5)</f>
        <v>70</v>
      </c>
      <c r="C117" s="781" t="s">
        <v>65</v>
      </c>
      <c r="D117" s="782" t="s">
        <v>57</v>
      </c>
      <c r="E117" s="84" t="str">
        <f>IF('WEEK 24'!B101='WEEK 27'!B117,'WEEK 24'!F101,"")</f>
        <v/>
      </c>
      <c r="F117" s="784"/>
      <c r="G117" s="728"/>
      <c r="H117" s="779">
        <v>3.0</v>
      </c>
      <c r="I117" s="780">
        <f> mround('WEEK 27'!I113*0.9,5)</f>
        <v>95</v>
      </c>
      <c r="J117" s="781" t="s">
        <v>65</v>
      </c>
      <c r="K117" s="782" t="s">
        <v>57</v>
      </c>
      <c r="L117" s="84" t="str">
        <f>IF('WEEK 24'!I101='WEEK 27'!I117,'WEEK 24'!M101,"")</f>
        <v/>
      </c>
      <c r="M117" s="784"/>
      <c r="N117" s="728"/>
      <c r="O117" s="728"/>
      <c r="P117" s="728"/>
      <c r="Q117" s="728"/>
      <c r="R117" s="728"/>
      <c r="S117" s="728"/>
      <c r="T117" s="728"/>
      <c r="U117" s="728"/>
      <c r="V117" s="728"/>
      <c r="W117" s="728"/>
      <c r="X117" s="728"/>
      <c r="Y117" s="728"/>
      <c r="Z117" s="728"/>
    </row>
    <row r="118">
      <c r="A118" s="785">
        <v>4.0</v>
      </c>
      <c r="B118" s="388">
        <f>if('WEEK 27'!F117&lt;20,mround('WEEK 27'!B117*0.9,5),'WEEK 27'!B117)</f>
        <v>65</v>
      </c>
      <c r="C118" s="781" t="s">
        <v>65</v>
      </c>
      <c r="D118" s="390" t="s">
        <v>57</v>
      </c>
      <c r="E118" s="84" t="str">
        <f>IF('WEEK 24'!B102='WEEK 27'!B118,'WEEK 24'!F102,"")</f>
        <v/>
      </c>
      <c r="F118" s="392"/>
      <c r="G118" s="728"/>
      <c r="H118" s="785">
        <v>4.0</v>
      </c>
      <c r="I118" s="388">
        <f>if('WEEK 27'!M117&lt;20,mround('WEEK 27'!I117*0.9,5),'WEEK 27'!I117)</f>
        <v>85</v>
      </c>
      <c r="J118" s="781" t="s">
        <v>65</v>
      </c>
      <c r="K118" s="390" t="s">
        <v>57</v>
      </c>
      <c r="L118" s="84" t="str">
        <f>IF('WEEK 24'!I102='WEEK 27'!I118,'WEEK 24'!M102,"")</f>
        <v/>
      </c>
      <c r="M118" s="392"/>
      <c r="N118" s="728"/>
      <c r="O118" s="728"/>
      <c r="P118" s="728"/>
      <c r="Q118" s="728"/>
      <c r="R118" s="728"/>
      <c r="S118" s="728"/>
      <c r="T118" s="728"/>
      <c r="U118" s="728"/>
      <c r="V118" s="728"/>
      <c r="W118" s="728"/>
      <c r="X118" s="728"/>
      <c r="Y118" s="728"/>
      <c r="Z118" s="728"/>
    </row>
    <row r="119">
      <c r="A119" s="787">
        <v>5.0</v>
      </c>
      <c r="B119" s="788">
        <f>if('WEEK 27'!F118&lt;20,mround('WEEK 27'!B118*0.85,2.5),'WEEK 27'!B118)</f>
        <v>55</v>
      </c>
      <c r="C119" s="789" t="s">
        <v>65</v>
      </c>
      <c r="D119" s="397" t="s">
        <v>57</v>
      </c>
      <c r="E119" s="84" t="str">
        <f>IF('WEEK 24'!B103='WEEK 27'!B119,'WEEK 24'!F103,"")</f>
        <v/>
      </c>
      <c r="F119" s="392"/>
      <c r="G119" s="724"/>
      <c r="H119" s="787">
        <v>5.0</v>
      </c>
      <c r="I119" s="788">
        <f>if('WEEK 27'!M118&lt;20,mround('WEEK 27'!I118*0.85,2.5),'WEEK 27'!I118)</f>
        <v>72.5</v>
      </c>
      <c r="J119" s="789" t="s">
        <v>65</v>
      </c>
      <c r="K119" s="397" t="s">
        <v>57</v>
      </c>
      <c r="L119" s="84" t="str">
        <f>IF('WEEK 24'!I103='WEEK 27'!I119,'WEEK 24'!M103,"")</f>
        <v/>
      </c>
      <c r="M119" s="392"/>
      <c r="N119" s="724"/>
      <c r="O119" s="724"/>
      <c r="P119" s="724"/>
      <c r="Q119" s="724"/>
      <c r="R119" s="724"/>
      <c r="S119" s="724"/>
      <c r="T119" s="724"/>
      <c r="U119" s="724"/>
      <c r="V119" s="724"/>
      <c r="W119" s="724"/>
      <c r="X119" s="724"/>
      <c r="Y119" s="724"/>
      <c r="Z119" s="724"/>
    </row>
    <row r="120">
      <c r="A120" s="791"/>
      <c r="B120" s="791"/>
      <c r="C120" s="791"/>
      <c r="D120" s="792"/>
      <c r="E120" s="793"/>
      <c r="F120" s="792"/>
      <c r="G120" s="419"/>
      <c r="H120" s="419"/>
      <c r="I120" s="419"/>
      <c r="J120" s="419"/>
      <c r="K120" s="419"/>
      <c r="L120" s="717"/>
      <c r="M120" s="419"/>
      <c r="N120" s="419"/>
      <c r="O120" s="419"/>
      <c r="P120" s="419"/>
      <c r="Q120" s="419"/>
      <c r="R120" s="419"/>
      <c r="S120" s="419"/>
      <c r="T120" s="419"/>
      <c r="U120" s="419"/>
      <c r="V120" s="419"/>
      <c r="W120" s="419"/>
      <c r="X120" s="419"/>
      <c r="Y120" s="419"/>
      <c r="Z120" s="419"/>
    </row>
    <row r="121">
      <c r="A121" s="791"/>
      <c r="B121" s="791"/>
      <c r="C121" s="791"/>
      <c r="D121" s="792"/>
      <c r="E121" s="793"/>
      <c r="F121" s="792"/>
      <c r="G121" s="419"/>
      <c r="H121" s="419"/>
      <c r="I121" s="419"/>
      <c r="J121" s="419"/>
      <c r="K121" s="419"/>
      <c r="L121" s="717"/>
      <c r="M121" s="419"/>
      <c r="N121" s="419"/>
      <c r="O121" s="419"/>
      <c r="P121" s="419"/>
      <c r="Q121" s="419"/>
      <c r="R121" s="419"/>
      <c r="S121" s="419"/>
      <c r="T121" s="419"/>
      <c r="U121" s="419"/>
      <c r="V121" s="419"/>
      <c r="W121" s="419"/>
      <c r="X121" s="419"/>
      <c r="Y121" s="419"/>
      <c r="Z121" s="419"/>
    </row>
    <row r="122">
      <c r="A122" s="687" t="str">
        <f>HYPERLINK("https://www.youtube.com/watch?v=XDLQt1j3qUU","2. Dumbbell REAR DELT FLY ")</f>
        <v>2. Dumbbell REAR DELT FLY </v>
      </c>
      <c r="B122" s="53"/>
      <c r="C122" s="53"/>
      <c r="D122" s="53"/>
      <c r="E122" s="53"/>
      <c r="F122" s="54"/>
      <c r="G122" s="419"/>
      <c r="H122" s="419"/>
      <c r="I122" s="419"/>
      <c r="J122" s="419"/>
      <c r="K122" s="419"/>
      <c r="L122" s="717"/>
      <c r="M122" s="419"/>
      <c r="N122" s="419"/>
      <c r="O122" s="419"/>
      <c r="P122" s="419"/>
      <c r="Q122" s="419"/>
      <c r="R122" s="419"/>
      <c r="S122" s="419"/>
      <c r="T122" s="419"/>
      <c r="U122" s="419"/>
      <c r="V122" s="419"/>
      <c r="W122" s="419"/>
      <c r="X122" s="419"/>
      <c r="Y122" s="419"/>
      <c r="Z122" s="419"/>
    </row>
    <row r="123">
      <c r="A123" s="226" t="s">
        <v>145</v>
      </c>
      <c r="B123" s="691">
        <f>('WEEK 27'!B113)</f>
        <v>80</v>
      </c>
      <c r="C123" s="13"/>
      <c r="D123" s="13"/>
      <c r="E123" s="13"/>
      <c r="F123" s="57"/>
      <c r="G123" s="419"/>
      <c r="H123" s="419"/>
      <c r="I123" s="419"/>
      <c r="J123" s="419"/>
      <c r="K123" s="419"/>
      <c r="L123" s="717"/>
      <c r="M123" s="419"/>
      <c r="N123" s="419"/>
      <c r="O123" s="419"/>
      <c r="P123" s="419"/>
      <c r="Q123" s="419"/>
      <c r="R123" s="419"/>
      <c r="S123" s="419"/>
      <c r="T123" s="419"/>
      <c r="U123" s="419"/>
      <c r="V123" s="419"/>
      <c r="W123" s="419"/>
      <c r="X123" s="419"/>
      <c r="Y123" s="419"/>
      <c r="Z123" s="419"/>
    </row>
    <row r="124">
      <c r="A124" s="96" t="s">
        <v>50</v>
      </c>
      <c r="B124" s="97" t="s">
        <v>51</v>
      </c>
      <c r="C124" s="97" t="s">
        <v>52</v>
      </c>
      <c r="D124" s="97" t="s">
        <v>53</v>
      </c>
      <c r="E124" s="341" t="s">
        <v>54</v>
      </c>
      <c r="F124" s="235" t="s">
        <v>55</v>
      </c>
      <c r="G124" s="724"/>
      <c r="H124" s="724"/>
      <c r="I124" s="724"/>
      <c r="J124" s="724"/>
      <c r="K124" s="724"/>
      <c r="L124" s="748"/>
      <c r="M124" s="724"/>
      <c r="N124" s="724"/>
      <c r="O124" s="724"/>
      <c r="P124" s="724"/>
      <c r="Q124" s="724"/>
      <c r="R124" s="724"/>
      <c r="S124" s="724"/>
      <c r="T124" s="724"/>
      <c r="U124" s="724"/>
      <c r="V124" s="724"/>
      <c r="W124" s="724"/>
      <c r="X124" s="724"/>
      <c r="Y124" s="724"/>
      <c r="Z124" s="724"/>
    </row>
    <row r="125">
      <c r="A125" s="556">
        <v>1.0</v>
      </c>
      <c r="B125" s="237">
        <f>MROUND('WEEK 27'!B123*0.9*0.2,2.5)</f>
        <v>15</v>
      </c>
      <c r="C125" s="65" t="s">
        <v>61</v>
      </c>
      <c r="D125" s="693" t="s">
        <v>127</v>
      </c>
      <c r="E125" s="84">
        <f>IF('WEEK 26'!B131='WEEK 27'!B125,'WEEK 26'!F131,"")</f>
        <v>15</v>
      </c>
      <c r="F125" s="694"/>
      <c r="G125" s="728"/>
      <c r="H125" s="728"/>
      <c r="I125" s="728"/>
      <c r="J125" s="728"/>
      <c r="K125" s="728"/>
      <c r="L125" s="749"/>
      <c r="M125" s="728"/>
      <c r="N125" s="728"/>
      <c r="O125" s="728"/>
      <c r="P125" s="728"/>
      <c r="Q125" s="728"/>
      <c r="R125" s="728"/>
      <c r="S125" s="728"/>
      <c r="T125" s="728"/>
      <c r="U125" s="728"/>
      <c r="V125" s="728"/>
      <c r="W125" s="728"/>
      <c r="X125" s="728"/>
      <c r="Y125" s="728"/>
      <c r="Z125" s="728"/>
    </row>
    <row r="126">
      <c r="A126" s="556">
        <v>2.0</v>
      </c>
      <c r="B126" s="237">
        <f>if('WEEK 27'!F125&lt;6,mround('WEEK 27'!B125*0.8,5),IF('WEEK 27'!F125&lt;=10,MROUND('WEEK 27'!B125*0.95,5),'WEEK 27'!B125))</f>
        <v>10</v>
      </c>
      <c r="C126" s="65" t="s">
        <v>61</v>
      </c>
      <c r="D126" s="693" t="s">
        <v>127</v>
      </c>
      <c r="E126" s="84" t="str">
        <f>IF('WEEK 26'!B132='WEEK 27'!B126,'WEEK 26'!F132,"")</f>
        <v/>
      </c>
      <c r="F126" s="694"/>
      <c r="G126" s="728"/>
      <c r="H126" s="728"/>
      <c r="I126" s="728"/>
      <c r="J126" s="728"/>
      <c r="K126" s="728"/>
      <c r="L126" s="749"/>
      <c r="M126" s="728"/>
      <c r="N126" s="728"/>
      <c r="O126" s="728"/>
      <c r="P126" s="728"/>
      <c r="Q126" s="728"/>
      <c r="R126" s="728"/>
      <c r="S126" s="728"/>
      <c r="T126" s="728"/>
      <c r="U126" s="728"/>
      <c r="V126" s="728"/>
      <c r="W126" s="728"/>
      <c r="X126" s="728"/>
      <c r="Y126" s="728"/>
      <c r="Z126" s="728"/>
    </row>
    <row r="127">
      <c r="A127" s="561">
        <v>3.0</v>
      </c>
      <c r="B127" s="371">
        <f>if('WEEK 27'!F126&lt;8,mround('WEEK 27'!B126*0.8,5),IF('WEEK 27'!F126&lt;=14,MROUND('WEEK 27'!B126*0.95,5),'WEEK 27'!B126))</f>
        <v>10</v>
      </c>
      <c r="C127" s="65" t="s">
        <v>61</v>
      </c>
      <c r="D127" s="794" t="s">
        <v>127</v>
      </c>
      <c r="E127" s="84" t="str">
        <f>IF('WEEK 26'!B133='WEEK 27'!B127,'WEEK 26'!F133,"")</f>
        <v/>
      </c>
      <c r="F127" s="694"/>
      <c r="G127" s="728"/>
      <c r="H127" s="728"/>
      <c r="I127" s="728"/>
      <c r="J127" s="728"/>
      <c r="K127" s="728"/>
      <c r="L127" s="749"/>
      <c r="M127" s="728"/>
      <c r="N127" s="728"/>
      <c r="O127" s="728"/>
      <c r="P127" s="728"/>
      <c r="Q127" s="728"/>
      <c r="R127" s="728"/>
      <c r="S127" s="728"/>
      <c r="T127" s="728"/>
      <c r="U127" s="728"/>
      <c r="V127" s="728"/>
      <c r="W127" s="728"/>
      <c r="X127" s="728"/>
      <c r="Y127" s="728"/>
      <c r="Z127" s="728"/>
    </row>
    <row r="128">
      <c r="A128" s="795"/>
      <c r="B128" s="795"/>
      <c r="C128" s="795"/>
      <c r="D128" s="792"/>
      <c r="E128" s="793"/>
      <c r="F128" s="792"/>
      <c r="G128" s="419"/>
      <c r="H128" s="419"/>
      <c r="I128" s="419"/>
      <c r="J128" s="419"/>
      <c r="K128" s="419"/>
      <c r="L128" s="717"/>
      <c r="M128" s="419"/>
      <c r="N128" s="419"/>
      <c r="O128" s="419"/>
      <c r="P128" s="419"/>
      <c r="Q128" s="419"/>
      <c r="R128" s="419"/>
      <c r="S128" s="419"/>
      <c r="T128" s="419"/>
      <c r="U128" s="419"/>
      <c r="V128" s="419"/>
      <c r="W128" s="419"/>
      <c r="X128" s="419"/>
      <c r="Y128" s="419"/>
      <c r="Z128" s="419"/>
    </row>
    <row r="129">
      <c r="A129" s="795"/>
      <c r="B129" s="795"/>
      <c r="C129" s="795"/>
      <c r="D129" s="792"/>
      <c r="E129" s="793"/>
      <c r="F129" s="792"/>
      <c r="G129" s="419"/>
      <c r="H129" s="419"/>
      <c r="I129" s="419"/>
      <c r="J129" s="419"/>
      <c r="K129" s="419"/>
      <c r="L129" s="717"/>
      <c r="M129" s="419"/>
      <c r="N129" s="419"/>
      <c r="O129" s="419"/>
      <c r="P129" s="419"/>
      <c r="Q129" s="419"/>
      <c r="R129" s="419"/>
      <c r="S129" s="419"/>
      <c r="T129" s="419"/>
      <c r="U129" s="419"/>
      <c r="V129" s="419"/>
      <c r="W129" s="419"/>
      <c r="X129" s="419"/>
      <c r="Y129" s="419"/>
      <c r="Z129" s="419"/>
    </row>
    <row r="130">
      <c r="A130" s="74" t="str">
        <f>HYPERLINK("https://youtu.be/jat-iMMa0ac","3. DUMBBELL SIDE LATERAL RAISE")</f>
        <v>3. DUMBBELL SIDE LATERAL RAISE</v>
      </c>
      <c r="B130" s="53"/>
      <c r="C130" s="53"/>
      <c r="D130" s="53"/>
      <c r="E130" s="53"/>
      <c r="F130" s="54"/>
      <c r="G130" s="419"/>
      <c r="H130" s="419"/>
      <c r="I130" s="419"/>
      <c r="J130" s="419"/>
      <c r="K130" s="419"/>
      <c r="L130" s="717"/>
      <c r="M130" s="419"/>
      <c r="N130" s="419"/>
      <c r="O130" s="419"/>
      <c r="P130" s="419"/>
      <c r="Q130" s="419"/>
      <c r="R130" s="419"/>
      <c r="S130" s="419"/>
      <c r="T130" s="419"/>
      <c r="U130" s="419"/>
      <c r="V130" s="419"/>
      <c r="W130" s="419"/>
      <c r="X130" s="419"/>
      <c r="Y130" s="419"/>
      <c r="Z130" s="419"/>
    </row>
    <row r="131">
      <c r="A131" s="226" t="s">
        <v>145</v>
      </c>
      <c r="B131" s="90">
        <f>'WEEK 27'!B113</f>
        <v>80</v>
      </c>
      <c r="C131" s="13"/>
      <c r="D131" s="13"/>
      <c r="E131" s="13"/>
      <c r="F131" s="57"/>
      <c r="G131" s="419"/>
      <c r="H131" s="419"/>
      <c r="I131" s="419"/>
      <c r="J131" s="419"/>
      <c r="K131" s="419"/>
      <c r="L131" s="717"/>
      <c r="M131" s="419"/>
      <c r="N131" s="419"/>
      <c r="O131" s="419"/>
      <c r="P131" s="419"/>
      <c r="Q131" s="419"/>
      <c r="R131" s="419"/>
      <c r="S131" s="419"/>
      <c r="T131" s="419"/>
      <c r="U131" s="419"/>
      <c r="V131" s="419"/>
      <c r="W131" s="419"/>
      <c r="X131" s="419"/>
      <c r="Y131" s="419"/>
      <c r="Z131" s="419"/>
    </row>
    <row r="132">
      <c r="A132" s="376" t="s">
        <v>50</v>
      </c>
      <c r="B132" s="79" t="s">
        <v>51</v>
      </c>
      <c r="C132" s="79" t="s">
        <v>52</v>
      </c>
      <c r="D132" s="79" t="s">
        <v>53</v>
      </c>
      <c r="E132" s="98" t="s">
        <v>54</v>
      </c>
      <c r="F132" s="377" t="s">
        <v>55</v>
      </c>
      <c r="G132" s="419"/>
      <c r="H132" s="419"/>
      <c r="I132" s="419"/>
      <c r="J132" s="419"/>
      <c r="K132" s="419"/>
      <c r="L132" s="717"/>
      <c r="M132" s="419"/>
      <c r="N132" s="419"/>
      <c r="O132" s="419"/>
      <c r="P132" s="419"/>
      <c r="Q132" s="419"/>
      <c r="R132" s="419"/>
      <c r="S132" s="419"/>
      <c r="T132" s="419"/>
      <c r="U132" s="419"/>
      <c r="V132" s="419"/>
      <c r="W132" s="419"/>
      <c r="X132" s="419"/>
      <c r="Y132" s="419"/>
      <c r="Z132" s="419"/>
    </row>
    <row r="133">
      <c r="A133" s="81">
        <v>1.0</v>
      </c>
      <c r="B133" s="82">
        <f>mround('WEEK 27'!B131*0.9*0.2,5)</f>
        <v>15</v>
      </c>
      <c r="C133" s="65" t="s">
        <v>61</v>
      </c>
      <c r="D133" s="693" t="s">
        <v>122</v>
      </c>
      <c r="E133" s="84">
        <f>IF('WEEK 26'!B139='WEEK 27'!B133,'WEEK 26'!F139,"")</f>
        <v>15</v>
      </c>
      <c r="F133" s="796"/>
      <c r="G133" s="419"/>
      <c r="H133" s="419"/>
      <c r="I133" s="419"/>
      <c r="J133" s="419"/>
      <c r="K133" s="419"/>
      <c r="L133" s="717"/>
      <c r="M133" s="419"/>
      <c r="N133" s="419"/>
      <c r="O133" s="419"/>
      <c r="P133" s="419"/>
      <c r="Q133" s="419"/>
      <c r="R133" s="419"/>
      <c r="S133" s="419"/>
      <c r="T133" s="419"/>
      <c r="U133" s="419"/>
      <c r="V133" s="419"/>
      <c r="W133" s="419"/>
      <c r="X133" s="419"/>
      <c r="Y133" s="419"/>
      <c r="Z133" s="419"/>
    </row>
    <row r="134">
      <c r="A134" s="81">
        <v>2.0</v>
      </c>
      <c r="B134" s="82">
        <f>if('WEEK 27'!F133&lt;12,mround('WEEK 27'!B131*0.15,2.5),'WEEK 27'!B133)</f>
        <v>12.5</v>
      </c>
      <c r="C134" s="65" t="s">
        <v>61</v>
      </c>
      <c r="D134" s="693" t="s">
        <v>122</v>
      </c>
      <c r="E134" s="84" t="str">
        <f>IF('WEEK 26'!B140='WEEK 27'!B134,'WEEK 26'!F140,"")</f>
        <v/>
      </c>
      <c r="F134" s="330"/>
      <c r="G134" s="419"/>
      <c r="H134" s="419"/>
      <c r="I134" s="419"/>
      <c r="J134" s="419"/>
      <c r="K134" s="419"/>
      <c r="L134" s="717"/>
      <c r="M134" s="419"/>
      <c r="N134" s="419"/>
      <c r="O134" s="419"/>
      <c r="P134" s="419"/>
      <c r="Q134" s="419"/>
      <c r="R134" s="419"/>
      <c r="S134" s="419"/>
      <c r="T134" s="419"/>
      <c r="U134" s="419"/>
      <c r="V134" s="419"/>
      <c r="W134" s="419"/>
      <c r="X134" s="419"/>
      <c r="Y134" s="419"/>
      <c r="Z134" s="419"/>
    </row>
    <row r="135">
      <c r="A135" s="86">
        <v>3.0</v>
      </c>
      <c r="B135" s="87">
        <f>if('WEEK 27'!F134&lt;12,mround('WEEK 27'!B131*0.1,2.5),'WEEK 27'!B134)</f>
        <v>7.5</v>
      </c>
      <c r="C135" s="65" t="s">
        <v>61</v>
      </c>
      <c r="D135" s="693" t="s">
        <v>122</v>
      </c>
      <c r="E135" s="84" t="str">
        <f>IF('WEEK 26'!B141='WEEK 27'!B135,'WEEK 26'!F141,"")</f>
        <v/>
      </c>
      <c r="F135" s="85"/>
      <c r="G135" s="419"/>
      <c r="H135" s="419"/>
      <c r="I135" s="419"/>
      <c r="J135" s="419"/>
      <c r="K135" s="419"/>
      <c r="L135" s="717"/>
      <c r="M135" s="419"/>
      <c r="N135" s="419"/>
      <c r="O135" s="419"/>
      <c r="P135" s="419"/>
      <c r="Q135" s="419"/>
      <c r="R135" s="419"/>
      <c r="S135" s="419"/>
      <c r="T135" s="419"/>
      <c r="U135" s="419"/>
      <c r="V135" s="419"/>
      <c r="W135" s="419"/>
      <c r="X135" s="419"/>
      <c r="Y135" s="419"/>
      <c r="Z135" s="419"/>
    </row>
    <row r="136">
      <c r="A136" s="795"/>
      <c r="B136" s="795"/>
      <c r="C136" s="795"/>
      <c r="D136" s="792"/>
      <c r="E136" s="793"/>
      <c r="F136" s="792"/>
      <c r="G136" s="419"/>
      <c r="H136" s="419"/>
      <c r="I136" s="419"/>
      <c r="J136" s="419"/>
      <c r="K136" s="419"/>
      <c r="L136" s="717"/>
      <c r="M136" s="419"/>
      <c r="N136" s="419"/>
      <c r="O136" s="419"/>
      <c r="P136" s="419"/>
      <c r="Q136" s="419"/>
      <c r="R136" s="419"/>
      <c r="S136" s="419"/>
      <c r="T136" s="419"/>
      <c r="U136" s="419"/>
      <c r="V136" s="419"/>
      <c r="W136" s="419"/>
      <c r="X136" s="419"/>
      <c r="Y136" s="419"/>
      <c r="Z136" s="419"/>
    </row>
    <row r="137">
      <c r="A137" s="795"/>
      <c r="B137" s="795"/>
      <c r="C137" s="795"/>
      <c r="D137" s="792"/>
      <c r="E137" s="793"/>
      <c r="F137" s="792"/>
      <c r="G137" s="419"/>
      <c r="H137" s="419"/>
      <c r="I137" s="419"/>
      <c r="J137" s="419"/>
      <c r="K137" s="419"/>
      <c r="L137" s="717"/>
      <c r="M137" s="419"/>
      <c r="N137" s="419"/>
      <c r="O137" s="419"/>
      <c r="P137" s="419"/>
      <c r="Q137" s="419"/>
      <c r="R137" s="419"/>
      <c r="S137" s="419"/>
      <c r="T137" s="419"/>
      <c r="U137" s="419"/>
      <c r="V137" s="419"/>
      <c r="W137" s="419"/>
      <c r="X137" s="419"/>
      <c r="Y137" s="419"/>
      <c r="Z137" s="419"/>
    </row>
    <row r="138">
      <c r="A138" s="361" t="str">
        <f>HYPERLINK("https://www.youtube.com/watch?v=Zt0LwrUdpNs","2.  TRICEP OVERHEAD ROPE EXTENSION")</f>
        <v>2.  TRICEP OVERHEAD ROPE EXTENSION</v>
      </c>
      <c r="B138" s="53"/>
      <c r="C138" s="53"/>
      <c r="D138" s="53"/>
      <c r="E138" s="53"/>
      <c r="F138" s="54"/>
      <c r="G138" s="419"/>
      <c r="N138" s="419"/>
      <c r="O138" s="419"/>
      <c r="P138" s="419"/>
      <c r="Q138" s="419"/>
      <c r="R138" s="419"/>
      <c r="S138" s="419"/>
      <c r="T138" s="419"/>
      <c r="U138" s="419"/>
      <c r="V138" s="419"/>
      <c r="W138" s="419"/>
      <c r="X138" s="419"/>
      <c r="Y138" s="419"/>
      <c r="Z138" s="419"/>
    </row>
    <row r="139">
      <c r="A139" s="226" t="s">
        <v>155</v>
      </c>
      <c r="B139" s="1443">
        <f>IF('WEEK 22'!B135='WEEK 22'!B137,'WEEK 22'!B135+5,IF('WEEK 22'!B135&lt;=15,MROUND('WEEK 22'!F133*0.9,5),'WEEK 22'!B135))</f>
        <v>10</v>
      </c>
      <c r="C139" s="13"/>
      <c r="D139" s="13"/>
      <c r="E139" s="13"/>
      <c r="F139" s="57"/>
      <c r="G139" s="419"/>
      <c r="N139" s="419"/>
      <c r="O139" s="419"/>
      <c r="P139" s="419"/>
      <c r="Q139" s="419"/>
      <c r="R139" s="419"/>
      <c r="S139" s="419"/>
      <c r="T139" s="419"/>
      <c r="U139" s="419"/>
      <c r="V139" s="419"/>
      <c r="W139" s="419"/>
      <c r="X139" s="419"/>
      <c r="Y139" s="419"/>
      <c r="Z139" s="419"/>
    </row>
    <row r="140">
      <c r="A140" s="77" t="s">
        <v>50</v>
      </c>
      <c r="B140" s="78" t="s">
        <v>51</v>
      </c>
      <c r="C140" s="78" t="s">
        <v>52</v>
      </c>
      <c r="D140" s="78" t="s">
        <v>53</v>
      </c>
      <c r="E140" s="80" t="s">
        <v>54</v>
      </c>
      <c r="F140" s="235" t="s">
        <v>55</v>
      </c>
      <c r="G140" s="724"/>
      <c r="N140" s="724"/>
      <c r="O140" s="724"/>
      <c r="P140" s="724"/>
      <c r="Q140" s="724"/>
      <c r="R140" s="724"/>
      <c r="S140" s="724"/>
      <c r="T140" s="724"/>
      <c r="U140" s="724"/>
      <c r="V140" s="724"/>
      <c r="W140" s="724"/>
      <c r="X140" s="724"/>
      <c r="Y140" s="724"/>
      <c r="Z140" s="724"/>
    </row>
    <row r="141">
      <c r="A141" s="81">
        <v>1.0</v>
      </c>
      <c r="B141" s="82">
        <f>MROUND('WEEK 27'!B139*0.9,10)</f>
        <v>10</v>
      </c>
      <c r="C141" s="65" t="s">
        <v>61</v>
      </c>
      <c r="D141" s="83" t="s">
        <v>58</v>
      </c>
      <c r="E141" s="84" t="str">
        <f>IF('WEEK 22'!B135='WEEK 27'!B141,'WEEK 22'!F135,"")</f>
        <v/>
      </c>
      <c r="F141" s="85"/>
      <c r="G141" s="728"/>
      <c r="N141" s="728"/>
      <c r="O141" s="728"/>
      <c r="P141" s="728"/>
      <c r="Q141" s="728"/>
      <c r="R141" s="728"/>
      <c r="S141" s="728"/>
      <c r="T141" s="728"/>
      <c r="U141" s="728"/>
      <c r="V141" s="728"/>
      <c r="W141" s="728"/>
      <c r="X141" s="728"/>
      <c r="Y141" s="728"/>
      <c r="Z141" s="728"/>
    </row>
    <row r="142">
      <c r="A142" s="81">
        <v>2.0</v>
      </c>
      <c r="B142" s="82">
        <f>if('WEEK 27'!F141&lt;10,mround('WEEK 27'!B141*0.8,5),IF('WEEK 27'!F141&lt;=14,MROUND('WEEK 27'!B139*0.95,5),'WEEK 27'!B141))</f>
        <v>10</v>
      </c>
      <c r="C142" s="65" t="s">
        <v>61</v>
      </c>
      <c r="D142" s="83" t="s">
        <v>58</v>
      </c>
      <c r="E142" s="84" t="str">
        <f>IF('WEEK 22'!B136='WEEK 27'!B142,'WEEK 22'!F136,"")</f>
        <v/>
      </c>
      <c r="F142" s="85"/>
      <c r="G142" s="728"/>
      <c r="N142" s="728"/>
      <c r="O142" s="728"/>
      <c r="P142" s="728"/>
      <c r="Q142" s="728"/>
      <c r="R142" s="728"/>
      <c r="S142" s="728"/>
      <c r="T142" s="728"/>
      <c r="U142" s="728"/>
      <c r="V142" s="728"/>
      <c r="W142" s="728"/>
      <c r="X142" s="728"/>
      <c r="Y142" s="728"/>
      <c r="Z142" s="728"/>
    </row>
    <row r="143">
      <c r="A143" s="629">
        <v>3.0</v>
      </c>
      <c r="B143" s="82">
        <f>if('WEEK 27'!F142&lt;10,mround('WEEK 27'!B142*0.8,5),IF('WEEK 27'!F142&lt;=14,MROUND('WEEK 27'!B140*0.95,5),'WEEK 27'!B142))</f>
        <v>10</v>
      </c>
      <c r="C143" s="65" t="s">
        <v>61</v>
      </c>
      <c r="D143" s="328" t="s">
        <v>58</v>
      </c>
      <c r="E143" s="84" t="str">
        <f>IF('WEEK 22'!B137='WEEK 27'!B143,'WEEK 22'!F137,"")</f>
        <v/>
      </c>
      <c r="F143" s="330"/>
      <c r="G143" s="728"/>
      <c r="N143" s="728"/>
      <c r="O143" s="728"/>
      <c r="P143" s="728"/>
      <c r="Q143" s="728"/>
      <c r="R143" s="728"/>
      <c r="S143" s="728"/>
      <c r="T143" s="728"/>
      <c r="U143" s="728"/>
      <c r="V143" s="728"/>
      <c r="W143" s="728"/>
      <c r="X143" s="728"/>
      <c r="Y143" s="728"/>
      <c r="Z143" s="728"/>
    </row>
    <row r="144">
      <c r="A144" s="797"/>
      <c r="B144" s="798"/>
      <c r="C144" s="798"/>
      <c r="D144" s="799"/>
      <c r="E144" s="800"/>
      <c r="F144" s="799"/>
      <c r="G144" s="728"/>
      <c r="N144" s="728"/>
      <c r="O144" s="728"/>
      <c r="P144" s="728"/>
      <c r="Q144" s="728"/>
      <c r="R144" s="728"/>
      <c r="S144" s="728"/>
      <c r="T144" s="728"/>
      <c r="U144" s="728"/>
      <c r="V144" s="728"/>
      <c r="W144" s="728"/>
      <c r="X144" s="728"/>
      <c r="Y144" s="728"/>
      <c r="Z144" s="728"/>
    </row>
    <row r="145">
      <c r="G145" s="419"/>
      <c r="H145" s="419"/>
      <c r="I145" s="419"/>
      <c r="J145" s="419"/>
      <c r="K145" s="419"/>
      <c r="L145" s="717"/>
      <c r="M145" s="419"/>
      <c r="N145" s="419"/>
      <c r="O145" s="419"/>
      <c r="P145" s="419"/>
      <c r="Q145" s="419"/>
      <c r="R145" s="419"/>
      <c r="S145" s="419"/>
      <c r="T145" s="419"/>
      <c r="U145" s="419"/>
      <c r="V145" s="419"/>
      <c r="W145" s="419"/>
      <c r="X145" s="419"/>
      <c r="Y145" s="419"/>
      <c r="Z145" s="419"/>
    </row>
    <row r="146">
      <c r="A146" s="75" t="str">
        <f>HYPERLINK("https://www.youtube.com/watch?v=9IqvmIhFxtY","4. BICEP CABLE CURL")</f>
        <v>4. BICEP CABLE CURL</v>
      </c>
      <c r="B146" s="53"/>
      <c r="C146" s="53"/>
      <c r="D146" s="53"/>
      <c r="E146" s="53"/>
      <c r="F146" s="54"/>
      <c r="G146" s="419"/>
      <c r="H146" s="419"/>
      <c r="I146" s="419"/>
      <c r="J146" s="419"/>
      <c r="K146" s="419"/>
      <c r="L146" s="717"/>
      <c r="M146" s="419"/>
      <c r="N146" s="419"/>
      <c r="O146" s="419"/>
      <c r="P146" s="419"/>
      <c r="Q146" s="419"/>
      <c r="R146" s="419"/>
      <c r="S146" s="419"/>
      <c r="T146" s="419"/>
      <c r="U146" s="419"/>
      <c r="V146" s="419"/>
      <c r="W146" s="419"/>
      <c r="X146" s="419"/>
      <c r="Y146" s="419"/>
      <c r="Z146" s="419"/>
    </row>
    <row r="147">
      <c r="A147" s="226" t="s">
        <v>119</v>
      </c>
      <c r="B147" s="1443">
        <f>IF('WEEK 26'!B155='WEEK 26'!B157,'WEEK 26'!B155+5,IF('WEEK 26'!B155&lt;=15,MROUND('WEEK 26'!F153*0.9,5),'WEEK 26'!B155))</f>
        <v>50</v>
      </c>
      <c r="C147" s="13"/>
      <c r="D147" s="13"/>
      <c r="E147" s="13"/>
      <c r="F147" s="57"/>
      <c r="G147" s="724"/>
      <c r="H147" s="724"/>
      <c r="I147" s="724"/>
      <c r="J147" s="724"/>
      <c r="K147" s="724"/>
      <c r="L147" s="748"/>
      <c r="M147" s="724"/>
      <c r="N147" s="724"/>
      <c r="O147" s="724"/>
      <c r="P147" s="724"/>
      <c r="Q147" s="724"/>
      <c r="R147" s="724"/>
      <c r="S147" s="724"/>
      <c r="T147" s="724"/>
      <c r="U147" s="724"/>
      <c r="V147" s="724"/>
      <c r="W147" s="724"/>
      <c r="X147" s="724"/>
      <c r="Y147" s="724"/>
      <c r="Z147" s="724"/>
    </row>
    <row r="148">
      <c r="A148" s="77" t="s">
        <v>50</v>
      </c>
      <c r="B148" s="78" t="s">
        <v>51</v>
      </c>
      <c r="C148" s="78" t="s">
        <v>52</v>
      </c>
      <c r="D148" s="78" t="s">
        <v>53</v>
      </c>
      <c r="E148" s="80" t="s">
        <v>54</v>
      </c>
      <c r="F148" s="235" t="s">
        <v>55</v>
      </c>
      <c r="G148" s="728"/>
      <c r="H148" s="728"/>
      <c r="I148" s="728"/>
      <c r="J148" s="728"/>
      <c r="K148" s="728"/>
      <c r="L148" s="749"/>
      <c r="M148" s="728"/>
      <c r="N148" s="728"/>
      <c r="O148" s="728"/>
      <c r="P148" s="728"/>
      <c r="Q148" s="728"/>
      <c r="R148" s="728"/>
      <c r="S148" s="728"/>
      <c r="T148" s="728"/>
      <c r="U148" s="728"/>
      <c r="V148" s="728"/>
      <c r="W148" s="728"/>
      <c r="X148" s="728"/>
      <c r="Y148" s="728"/>
      <c r="Z148" s="728"/>
    </row>
    <row r="149">
      <c r="A149" s="81">
        <v>1.0</v>
      </c>
      <c r="B149" s="82">
        <f>MROUND('WEEK 27'!B147*0.9,10)</f>
        <v>50</v>
      </c>
      <c r="C149" s="65" t="s">
        <v>64</v>
      </c>
      <c r="D149" s="83" t="s">
        <v>58</v>
      </c>
      <c r="E149" s="84">
        <f>IF('WEEK 26'!B155='WEEK 27'!B149,'WEEK 26'!F155,"")</f>
        <v>3</v>
      </c>
      <c r="F149" s="85"/>
      <c r="G149" s="728"/>
      <c r="H149" s="728"/>
      <c r="I149" s="728"/>
      <c r="J149" s="728"/>
      <c r="K149" s="728"/>
      <c r="L149" s="749"/>
      <c r="M149" s="728"/>
      <c r="N149" s="728"/>
      <c r="O149" s="728"/>
      <c r="P149" s="728"/>
      <c r="Q149" s="728"/>
      <c r="R149" s="728"/>
      <c r="S149" s="728"/>
      <c r="T149" s="728"/>
      <c r="U149" s="728"/>
      <c r="V149" s="728"/>
      <c r="W149" s="728"/>
      <c r="X149" s="728"/>
      <c r="Y149" s="728"/>
      <c r="Z149" s="728"/>
    </row>
    <row r="150">
      <c r="A150" s="81">
        <v>2.0</v>
      </c>
      <c r="B150" s="82">
        <f>if('WEEK 27'!F149&lt;15,mround('WEEK 27'!B149*0.8,5),IF('WEEK 27'!F149&lt;=18,MROUND('WEEK 27'!B147*0.95,5),'WEEK 27'!B149))</f>
        <v>40</v>
      </c>
      <c r="C150" s="65" t="s">
        <v>64</v>
      </c>
      <c r="D150" s="83" t="s">
        <v>58</v>
      </c>
      <c r="E150" s="84">
        <f>IF('WEEK 26'!B156='WEEK 27'!B150,'WEEK 26'!F156,"")</f>
        <v>5</v>
      </c>
      <c r="F150" s="85"/>
      <c r="G150" s="728"/>
      <c r="H150" s="728"/>
      <c r="I150" s="728"/>
      <c r="J150" s="728"/>
      <c r="K150" s="728"/>
      <c r="L150" s="749"/>
      <c r="M150" s="728"/>
      <c r="N150" s="728"/>
      <c r="O150" s="728"/>
      <c r="P150" s="728"/>
      <c r="Q150" s="728"/>
      <c r="R150" s="728"/>
      <c r="S150" s="728"/>
      <c r="T150" s="728"/>
      <c r="U150" s="728"/>
      <c r="V150" s="728"/>
      <c r="W150" s="728"/>
      <c r="X150" s="728"/>
      <c r="Y150" s="728"/>
      <c r="Z150" s="728"/>
    </row>
    <row r="151">
      <c r="A151" s="629">
        <v>3.0</v>
      </c>
      <c r="B151" s="630">
        <f>if('WEEK 27'!F150&lt;15,mround('WEEK 27'!B150*0.8,5),IF('WEEK 27'!F150&lt;=18,MROUND('WEEK 27'!B148*0.95,5),'WEEK 27'!B150))</f>
        <v>30</v>
      </c>
      <c r="C151" s="631" t="s">
        <v>64</v>
      </c>
      <c r="D151" s="328" t="s">
        <v>58</v>
      </c>
      <c r="E151" s="84" t="str">
        <f>IF('WEEK 26'!B157='WEEK 27'!B151,'WEEK 26'!F157,"")</f>
        <v/>
      </c>
      <c r="F151" s="330"/>
      <c r="G151" s="728"/>
      <c r="H151" s="728"/>
      <c r="I151" s="728"/>
      <c r="J151" s="728"/>
      <c r="K151" s="728"/>
      <c r="L151" s="749"/>
      <c r="M151" s="728"/>
      <c r="N151" s="728"/>
      <c r="O151" s="728"/>
      <c r="P151" s="728"/>
      <c r="Q151" s="728"/>
      <c r="R151" s="728"/>
      <c r="S151" s="728"/>
      <c r="T151" s="728"/>
      <c r="U151" s="728"/>
      <c r="V151" s="728"/>
      <c r="W151" s="728"/>
      <c r="X151" s="728"/>
      <c r="Y151" s="728"/>
      <c r="Z151" s="728"/>
    </row>
    <row r="152">
      <c r="A152" s="801"/>
      <c r="B152" s="802"/>
      <c r="C152" s="803"/>
      <c r="D152" s="804"/>
      <c r="E152" s="805"/>
      <c r="F152" s="802"/>
      <c r="G152" s="419"/>
      <c r="H152" s="419"/>
      <c r="I152" s="419"/>
      <c r="J152" s="419"/>
      <c r="K152" s="419"/>
      <c r="L152" s="717"/>
      <c r="M152" s="419"/>
      <c r="N152" s="419"/>
      <c r="O152" s="419"/>
      <c r="P152" s="419"/>
      <c r="Q152" s="419"/>
      <c r="R152" s="419"/>
      <c r="S152" s="419"/>
      <c r="T152" s="419"/>
      <c r="U152" s="419"/>
      <c r="V152" s="419"/>
      <c r="W152" s="419"/>
      <c r="X152" s="419"/>
      <c r="Y152" s="419"/>
      <c r="Z152" s="419"/>
    </row>
    <row r="153">
      <c r="A153" s="806"/>
      <c r="B153" s="769"/>
      <c r="C153" s="769"/>
      <c r="D153" s="769"/>
      <c r="E153" s="769"/>
      <c r="F153" s="769"/>
      <c r="G153" s="419"/>
      <c r="H153" s="419"/>
      <c r="I153" s="419"/>
      <c r="J153" s="419"/>
      <c r="K153" s="419"/>
      <c r="L153" s="717"/>
      <c r="M153" s="419"/>
      <c r="N153" s="419"/>
      <c r="O153" s="419"/>
      <c r="P153" s="419"/>
      <c r="Q153" s="419"/>
      <c r="R153" s="419"/>
      <c r="S153" s="419"/>
      <c r="T153" s="419"/>
      <c r="U153" s="419"/>
      <c r="V153" s="419"/>
      <c r="W153" s="419"/>
      <c r="X153" s="419"/>
      <c r="Y153" s="419"/>
      <c r="Z153" s="419"/>
    </row>
    <row r="154">
      <c r="A154" s="310" t="str">
        <f>HYPERLINK("https://docs.google.com/a/fitnessresults.com/forms/d/e/1FAIpQLSd7MoczESe8Yjv6BKpmwAZGn9Aiymrs9-UdgfYIUpbr9t5NXg/viewform?usp=pp_url&amp;entry.93370101","CLICK TO COMPLETE WORKOUT")</f>
        <v>CLICK TO COMPLETE WORKOUT</v>
      </c>
      <c r="B154" s="36"/>
      <c r="C154" s="36"/>
      <c r="D154" s="36"/>
      <c r="E154" s="36"/>
      <c r="F154" s="37"/>
      <c r="G154" s="419"/>
      <c r="H154" s="419"/>
      <c r="I154" s="419"/>
      <c r="J154" s="419"/>
      <c r="K154" s="419"/>
      <c r="L154" s="717"/>
      <c r="M154" s="419"/>
      <c r="N154" s="419"/>
      <c r="O154" s="419"/>
      <c r="P154" s="419"/>
      <c r="Q154" s="419"/>
      <c r="R154" s="419"/>
      <c r="S154" s="419"/>
      <c r="T154" s="419"/>
      <c r="U154" s="419"/>
      <c r="V154" s="419"/>
      <c r="W154" s="419"/>
      <c r="X154" s="419"/>
      <c r="Y154" s="419"/>
      <c r="Z154" s="419"/>
    </row>
    <row r="155">
      <c r="A155" s="806"/>
      <c r="B155" s="769"/>
      <c r="C155" s="769"/>
      <c r="D155" s="769"/>
      <c r="E155" s="769"/>
      <c r="F155" s="769"/>
      <c r="G155" s="419"/>
      <c r="H155" s="419"/>
      <c r="I155" s="419"/>
      <c r="J155" s="419"/>
      <c r="K155" s="419"/>
      <c r="L155" s="717"/>
      <c r="M155" s="419"/>
      <c r="N155" s="419"/>
      <c r="O155" s="419"/>
      <c r="P155" s="419"/>
      <c r="Q155" s="419"/>
      <c r="R155" s="419"/>
      <c r="S155" s="419"/>
      <c r="T155" s="419"/>
      <c r="U155" s="419"/>
      <c r="V155" s="419"/>
      <c r="W155" s="419"/>
      <c r="X155" s="419"/>
      <c r="Y155" s="419"/>
      <c r="Z155" s="419"/>
    </row>
    <row r="156">
      <c r="A156" s="106" t="s">
        <v>135</v>
      </c>
      <c r="B156" s="36"/>
      <c r="C156" s="36"/>
      <c r="D156" s="36"/>
      <c r="E156" s="36"/>
      <c r="F156" s="37"/>
      <c r="G156" s="419"/>
      <c r="H156" s="419"/>
      <c r="I156" s="419"/>
      <c r="J156" s="419"/>
      <c r="K156" s="419"/>
      <c r="L156" s="717"/>
      <c r="M156" s="419"/>
      <c r="N156" s="419"/>
      <c r="O156" s="419"/>
      <c r="P156" s="419"/>
      <c r="Q156" s="419"/>
      <c r="R156" s="419"/>
      <c r="S156" s="419"/>
      <c r="T156" s="419"/>
      <c r="U156" s="419"/>
      <c r="V156" s="419"/>
      <c r="W156" s="419"/>
      <c r="X156" s="419"/>
      <c r="Y156" s="419"/>
      <c r="Z156" s="419"/>
    </row>
    <row r="157">
      <c r="A157" s="103"/>
      <c r="B157" s="103"/>
      <c r="C157" s="103"/>
      <c r="D157" s="103"/>
      <c r="E157" s="222"/>
      <c r="F157" s="103"/>
      <c r="G157" s="419"/>
      <c r="H157" s="419"/>
      <c r="I157" s="419"/>
      <c r="J157" s="419"/>
      <c r="K157" s="419"/>
      <c r="L157" s="717"/>
      <c r="M157" s="419"/>
      <c r="N157" s="419"/>
      <c r="O157" s="419"/>
      <c r="P157" s="419"/>
      <c r="Q157" s="419"/>
      <c r="R157" s="419"/>
      <c r="S157" s="419"/>
      <c r="T157" s="419"/>
      <c r="U157" s="419"/>
      <c r="V157" s="419"/>
      <c r="W157" s="419"/>
      <c r="X157" s="419"/>
      <c r="Y157" s="419"/>
      <c r="Z157" s="419"/>
    </row>
    <row r="158">
      <c r="A158" s="641" t="str">
        <f>HYPERLINK("https://www.amazon.com/30-Minute-Body-Investment-Champion/dp/0692791892/ref=sr_1_1?ie=UTF8&amp;qid=1490447969&amp;sr=8-1&amp;keywords=30+minute+body","WANT TO LEARN MORE?")</f>
        <v>WANT TO LEARN MORE?</v>
      </c>
      <c r="B158" s="16"/>
      <c r="C158" s="16"/>
      <c r="D158" s="16"/>
      <c r="E158" s="16"/>
      <c r="F158" s="17"/>
      <c r="G158" s="419"/>
      <c r="H158" s="419"/>
      <c r="I158" s="419"/>
      <c r="J158" s="419"/>
      <c r="K158" s="419"/>
      <c r="L158" s="717"/>
      <c r="M158" s="419"/>
      <c r="N158" s="419"/>
      <c r="O158" s="419"/>
      <c r="P158" s="419"/>
      <c r="Q158" s="419"/>
      <c r="R158" s="419"/>
      <c r="S158" s="419"/>
      <c r="T158" s="419"/>
      <c r="U158" s="419"/>
      <c r="V158" s="419"/>
      <c r="W158" s="419"/>
      <c r="X158" s="419"/>
      <c r="Y158" s="419"/>
      <c r="Z158" s="419"/>
    </row>
    <row r="159">
      <c r="A159" s="18"/>
      <c r="B159" s="13"/>
      <c r="C159" s="13"/>
      <c r="D159" s="13"/>
      <c r="E159" s="13"/>
      <c r="F159" s="14"/>
      <c r="G159" s="419"/>
      <c r="H159" s="419"/>
      <c r="I159" s="419"/>
      <c r="J159" s="419"/>
      <c r="K159" s="419"/>
      <c r="L159" s="717"/>
      <c r="M159" s="419"/>
      <c r="N159" s="419"/>
      <c r="O159" s="419"/>
      <c r="P159" s="419"/>
      <c r="Q159" s="419"/>
      <c r="R159" s="419"/>
      <c r="S159" s="419"/>
      <c r="T159" s="419"/>
      <c r="U159" s="419"/>
      <c r="V159" s="419"/>
      <c r="W159" s="419"/>
      <c r="X159" s="419"/>
      <c r="Y159" s="419"/>
      <c r="Z159" s="419"/>
    </row>
    <row r="160">
      <c r="A160" s="419"/>
      <c r="B160" s="646"/>
      <c r="C160" s="807" t="s">
        <v>67</v>
      </c>
      <c r="D160" s="25"/>
      <c r="E160" s="25"/>
      <c r="F160" s="26"/>
      <c r="G160" s="419"/>
      <c r="H160" s="419"/>
      <c r="I160" s="419"/>
      <c r="J160" s="419"/>
      <c r="K160" s="419"/>
      <c r="L160" s="717"/>
      <c r="M160" s="419"/>
      <c r="N160" s="419"/>
      <c r="O160" s="419"/>
      <c r="P160" s="419"/>
      <c r="Q160" s="419"/>
      <c r="R160" s="419"/>
      <c r="S160" s="419"/>
      <c r="T160" s="419"/>
      <c r="U160" s="419"/>
      <c r="V160" s="419"/>
      <c r="W160" s="419"/>
      <c r="X160" s="419"/>
      <c r="Y160" s="419"/>
      <c r="Z160" s="419"/>
    </row>
    <row r="161">
      <c r="A161" s="419"/>
      <c r="B161" s="646"/>
      <c r="F161" s="28"/>
      <c r="G161" s="419"/>
      <c r="H161" s="419"/>
      <c r="I161" s="419"/>
      <c r="J161" s="419"/>
      <c r="K161" s="419"/>
      <c r="L161" s="717"/>
      <c r="M161" s="419"/>
      <c r="N161" s="419"/>
      <c r="O161" s="419"/>
      <c r="P161" s="419"/>
      <c r="Q161" s="419"/>
      <c r="R161" s="419"/>
      <c r="S161" s="419"/>
      <c r="T161" s="419"/>
      <c r="U161" s="419"/>
      <c r="V161" s="419"/>
      <c r="W161" s="419"/>
      <c r="X161" s="419"/>
      <c r="Y161" s="419"/>
      <c r="Z161" s="419"/>
    </row>
    <row r="162">
      <c r="A162" s="419"/>
      <c r="B162" s="646"/>
      <c r="F162" s="28"/>
      <c r="G162" s="419"/>
      <c r="H162" s="419"/>
      <c r="I162" s="419"/>
      <c r="J162" s="419"/>
      <c r="K162" s="419"/>
      <c r="L162" s="717"/>
      <c r="M162" s="419"/>
      <c r="N162" s="419"/>
      <c r="O162" s="419"/>
      <c r="P162" s="419"/>
      <c r="Q162" s="419"/>
      <c r="R162" s="419"/>
      <c r="S162" s="419"/>
      <c r="T162" s="419"/>
      <c r="U162" s="419"/>
      <c r="V162" s="419"/>
      <c r="W162" s="419"/>
      <c r="X162" s="419"/>
      <c r="Y162" s="419"/>
      <c r="Z162" s="419"/>
    </row>
    <row r="163">
      <c r="A163" s="419"/>
      <c r="B163" s="646"/>
      <c r="F163" s="28"/>
      <c r="G163" s="419"/>
      <c r="H163" s="419"/>
      <c r="I163" s="419"/>
      <c r="J163" s="419"/>
      <c r="K163" s="419"/>
      <c r="L163" s="717"/>
      <c r="M163" s="419"/>
      <c r="N163" s="419"/>
      <c r="O163" s="419"/>
      <c r="P163" s="419"/>
      <c r="Q163" s="419"/>
      <c r="R163" s="419"/>
      <c r="S163" s="419"/>
      <c r="T163" s="419"/>
      <c r="U163" s="419"/>
      <c r="V163" s="419"/>
      <c r="W163" s="419"/>
      <c r="X163" s="419"/>
      <c r="Y163" s="419"/>
      <c r="Z163" s="419"/>
    </row>
    <row r="164">
      <c r="A164" s="419"/>
      <c r="B164" s="646"/>
      <c r="F164" s="28"/>
      <c r="G164" s="419"/>
      <c r="H164" s="419"/>
      <c r="I164" s="419"/>
      <c r="J164" s="419"/>
      <c r="K164" s="419"/>
      <c r="L164" s="717"/>
      <c r="M164" s="419"/>
      <c r="N164" s="419"/>
      <c r="O164" s="419"/>
      <c r="P164" s="419"/>
      <c r="Q164" s="419"/>
      <c r="R164" s="419"/>
      <c r="S164" s="419"/>
      <c r="T164" s="419"/>
      <c r="U164" s="419"/>
      <c r="V164" s="419"/>
      <c r="W164" s="419"/>
      <c r="X164" s="419"/>
      <c r="Y164" s="419"/>
      <c r="Z164" s="419"/>
    </row>
    <row r="165">
      <c r="A165" s="419"/>
      <c r="B165" s="646"/>
      <c r="F165" s="28"/>
      <c r="G165" s="419"/>
      <c r="H165" s="419"/>
      <c r="I165" s="419"/>
      <c r="J165" s="419"/>
      <c r="K165" s="419"/>
      <c r="L165" s="717"/>
      <c r="M165" s="419"/>
      <c r="N165" s="419"/>
      <c r="O165" s="419"/>
      <c r="P165" s="419"/>
      <c r="Q165" s="419"/>
      <c r="R165" s="419"/>
      <c r="S165" s="419"/>
      <c r="T165" s="419"/>
      <c r="U165" s="419"/>
      <c r="V165" s="419"/>
      <c r="W165" s="419"/>
      <c r="X165" s="419"/>
      <c r="Y165" s="419"/>
      <c r="Z165" s="419"/>
    </row>
    <row r="166">
      <c r="A166" s="808"/>
      <c r="B166" s="646"/>
      <c r="F166" s="28"/>
      <c r="G166" s="419"/>
      <c r="H166" s="419"/>
      <c r="I166" s="419"/>
      <c r="J166" s="419"/>
      <c r="K166" s="419"/>
      <c r="L166" s="717"/>
      <c r="M166" s="419"/>
      <c r="N166" s="419"/>
      <c r="O166" s="419"/>
      <c r="P166" s="419"/>
      <c r="Q166" s="419"/>
      <c r="R166" s="419"/>
      <c r="S166" s="419"/>
      <c r="T166" s="419"/>
      <c r="U166" s="419"/>
      <c r="V166" s="419"/>
      <c r="W166" s="419"/>
      <c r="X166" s="419"/>
      <c r="Y166" s="419"/>
      <c r="Z166" s="419"/>
    </row>
    <row r="167">
      <c r="A167" s="419"/>
      <c r="B167" s="646"/>
      <c r="F167" s="28"/>
      <c r="G167" s="419"/>
      <c r="H167" s="419"/>
      <c r="I167" s="419"/>
      <c r="J167" s="419"/>
      <c r="K167" s="419"/>
      <c r="L167" s="717"/>
      <c r="M167" s="419"/>
      <c r="N167" s="419"/>
      <c r="O167" s="419"/>
      <c r="P167" s="419"/>
      <c r="Q167" s="419"/>
      <c r="R167" s="419"/>
      <c r="S167" s="419"/>
      <c r="T167" s="419"/>
      <c r="U167" s="419"/>
      <c r="V167" s="419"/>
      <c r="W167" s="419"/>
      <c r="X167" s="419"/>
      <c r="Y167" s="419"/>
      <c r="Z167" s="419"/>
    </row>
    <row r="168">
      <c r="A168" s="419"/>
      <c r="B168" s="646"/>
      <c r="F168" s="28"/>
      <c r="G168" s="419"/>
      <c r="H168" s="419"/>
      <c r="I168" s="419"/>
      <c r="J168" s="419"/>
      <c r="K168" s="419"/>
      <c r="L168" s="717"/>
      <c r="M168" s="419"/>
      <c r="N168" s="419"/>
      <c r="O168" s="419"/>
      <c r="P168" s="419"/>
      <c r="Q168" s="419"/>
      <c r="R168" s="419"/>
      <c r="S168" s="419"/>
      <c r="T168" s="419"/>
      <c r="U168" s="419"/>
      <c r="V168" s="419"/>
      <c r="W168" s="419"/>
      <c r="X168" s="419"/>
      <c r="Y168" s="419"/>
      <c r="Z168" s="419"/>
    </row>
    <row r="169">
      <c r="A169" s="809"/>
      <c r="B169" s="646"/>
      <c r="F169" s="28"/>
      <c r="G169" s="419"/>
      <c r="H169" s="419"/>
      <c r="I169" s="419"/>
      <c r="J169" s="419"/>
      <c r="K169" s="419"/>
      <c r="L169" s="717"/>
      <c r="M169" s="419"/>
      <c r="N169" s="419"/>
      <c r="O169" s="419"/>
      <c r="P169" s="419"/>
      <c r="Q169" s="419"/>
      <c r="R169" s="419"/>
      <c r="S169" s="419"/>
      <c r="T169" s="419"/>
      <c r="U169" s="419"/>
      <c r="V169" s="419"/>
      <c r="W169" s="419"/>
      <c r="X169" s="419"/>
      <c r="Y169" s="419"/>
      <c r="Z169" s="419"/>
    </row>
    <row r="170">
      <c r="A170" s="419"/>
      <c r="B170" s="646"/>
      <c r="F170" s="28"/>
      <c r="G170" s="419"/>
      <c r="H170" s="419"/>
      <c r="I170" s="419"/>
      <c r="J170" s="419"/>
      <c r="K170" s="419"/>
      <c r="L170" s="717"/>
      <c r="M170" s="419"/>
      <c r="N170" s="419"/>
      <c r="O170" s="419"/>
      <c r="P170" s="419"/>
      <c r="Q170" s="419"/>
      <c r="R170" s="419"/>
      <c r="S170" s="419"/>
      <c r="T170" s="419"/>
      <c r="U170" s="419"/>
      <c r="V170" s="419"/>
      <c r="W170" s="419"/>
      <c r="X170" s="419"/>
      <c r="Y170" s="419"/>
      <c r="Z170" s="419"/>
    </row>
    <row r="171">
      <c r="A171" s="419"/>
      <c r="B171" s="646"/>
      <c r="F171" s="28"/>
      <c r="G171" s="419"/>
      <c r="H171" s="419"/>
      <c r="I171" s="419"/>
      <c r="J171" s="419"/>
      <c r="K171" s="419"/>
      <c r="L171" s="717"/>
      <c r="M171" s="419"/>
      <c r="N171" s="419"/>
      <c r="O171" s="419"/>
      <c r="P171" s="419"/>
      <c r="Q171" s="419"/>
      <c r="R171" s="419"/>
      <c r="S171" s="419"/>
      <c r="T171" s="419"/>
      <c r="U171" s="419"/>
      <c r="V171" s="419"/>
      <c r="W171" s="419"/>
      <c r="X171" s="419"/>
      <c r="Y171" s="419"/>
      <c r="Z171" s="419"/>
    </row>
    <row r="172">
      <c r="A172" s="419"/>
      <c r="B172" s="646"/>
      <c r="F172" s="28"/>
      <c r="G172" s="419"/>
      <c r="H172" s="419"/>
      <c r="I172" s="419"/>
      <c r="J172" s="419"/>
      <c r="K172" s="419"/>
      <c r="L172" s="717"/>
      <c r="M172" s="419"/>
      <c r="N172" s="419"/>
      <c r="O172" s="419"/>
      <c r="P172" s="419"/>
      <c r="Q172" s="419"/>
      <c r="R172" s="419"/>
      <c r="S172" s="419"/>
      <c r="T172" s="419"/>
      <c r="U172" s="419"/>
      <c r="V172" s="419"/>
      <c r="W172" s="419"/>
      <c r="X172" s="419"/>
      <c r="Y172" s="419"/>
      <c r="Z172" s="419"/>
    </row>
    <row r="173">
      <c r="A173" s="419"/>
      <c r="B173" s="646"/>
      <c r="F173" s="28"/>
      <c r="G173" s="419"/>
      <c r="H173" s="419"/>
      <c r="I173" s="419"/>
      <c r="J173" s="419"/>
      <c r="K173" s="419"/>
      <c r="L173" s="717"/>
      <c r="M173" s="419"/>
      <c r="N173" s="419"/>
      <c r="O173" s="419"/>
      <c r="P173" s="419"/>
      <c r="Q173" s="419"/>
      <c r="R173" s="419"/>
      <c r="S173" s="419"/>
      <c r="T173" s="419"/>
      <c r="U173" s="419"/>
      <c r="V173" s="419"/>
      <c r="W173" s="419"/>
      <c r="X173" s="419"/>
      <c r="Y173" s="419"/>
      <c r="Z173" s="419"/>
    </row>
    <row r="174">
      <c r="A174" s="419"/>
      <c r="B174" s="646"/>
      <c r="C174" s="11"/>
      <c r="D174" s="11"/>
      <c r="E174" s="11"/>
      <c r="F174" s="46"/>
      <c r="G174" s="419"/>
      <c r="H174" s="419"/>
      <c r="I174" s="419"/>
      <c r="J174" s="419"/>
      <c r="K174" s="419"/>
      <c r="L174" s="717"/>
      <c r="M174" s="419"/>
      <c r="N174" s="419"/>
      <c r="O174" s="419"/>
      <c r="P174" s="419"/>
      <c r="Q174" s="419"/>
      <c r="R174" s="419"/>
      <c r="S174" s="419"/>
      <c r="T174" s="419"/>
      <c r="U174" s="419"/>
      <c r="V174" s="419"/>
      <c r="W174" s="419"/>
      <c r="X174" s="419"/>
      <c r="Y174" s="419"/>
      <c r="Z174" s="419"/>
    </row>
    <row r="175">
      <c r="A175" s="419"/>
      <c r="B175" s="419"/>
      <c r="C175" s="419"/>
      <c r="D175" s="419"/>
      <c r="E175" s="717"/>
      <c r="F175" s="419"/>
      <c r="G175" s="419"/>
      <c r="H175" s="419"/>
      <c r="I175" s="419"/>
      <c r="J175" s="419"/>
      <c r="K175" s="419"/>
      <c r="L175" s="717"/>
      <c r="M175" s="419"/>
      <c r="N175" s="419"/>
      <c r="O175" s="419"/>
      <c r="P175" s="419"/>
      <c r="Q175" s="419"/>
      <c r="R175" s="419"/>
      <c r="S175" s="419"/>
      <c r="T175" s="419"/>
      <c r="U175" s="419"/>
      <c r="V175" s="419"/>
      <c r="W175" s="419"/>
      <c r="X175" s="419"/>
      <c r="Y175" s="419"/>
      <c r="Z175" s="419"/>
    </row>
    <row r="176">
      <c r="A176" s="419"/>
      <c r="B176" s="419"/>
      <c r="C176" s="419"/>
      <c r="D176" s="419"/>
      <c r="E176" s="717"/>
      <c r="F176" s="419"/>
      <c r="G176" s="419"/>
      <c r="H176" s="419"/>
      <c r="I176" s="419"/>
      <c r="J176" s="419"/>
      <c r="K176" s="419"/>
      <c r="L176" s="717"/>
      <c r="M176" s="419"/>
      <c r="N176" s="419"/>
      <c r="O176" s="419"/>
      <c r="P176" s="419"/>
      <c r="Q176" s="419"/>
      <c r="R176" s="419"/>
      <c r="S176" s="419"/>
      <c r="T176" s="419"/>
      <c r="U176" s="419"/>
      <c r="V176" s="419"/>
      <c r="W176" s="419"/>
      <c r="X176" s="419"/>
      <c r="Y176" s="419"/>
      <c r="Z176" s="419"/>
    </row>
  </sheetData>
  <mergeCells count="72">
    <mergeCell ref="B55:F55"/>
    <mergeCell ref="A62:F62"/>
    <mergeCell ref="B63:F63"/>
    <mergeCell ref="A69:F69"/>
    <mergeCell ref="A71:F71"/>
    <mergeCell ref="A76:F76"/>
    <mergeCell ref="A77:F77"/>
    <mergeCell ref="B78:F78"/>
    <mergeCell ref="B87:F87"/>
    <mergeCell ref="A89:F89"/>
    <mergeCell ref="B90:F90"/>
    <mergeCell ref="B95:F95"/>
    <mergeCell ref="A98:F98"/>
    <mergeCell ref="B99:F99"/>
    <mergeCell ref="H111:M111"/>
    <mergeCell ref="H112:M112"/>
    <mergeCell ref="G101:G102"/>
    <mergeCell ref="B104:F104"/>
    <mergeCell ref="I104:M104"/>
    <mergeCell ref="A106:F106"/>
    <mergeCell ref="A108:F108"/>
    <mergeCell ref="A111:F111"/>
    <mergeCell ref="A112:F112"/>
    <mergeCell ref="B147:F147"/>
    <mergeCell ref="A154:F154"/>
    <mergeCell ref="A156:F156"/>
    <mergeCell ref="A158:F159"/>
    <mergeCell ref="C160:F174"/>
    <mergeCell ref="A122:F122"/>
    <mergeCell ref="B123:F123"/>
    <mergeCell ref="A130:F130"/>
    <mergeCell ref="B131:F131"/>
    <mergeCell ref="A138:F138"/>
    <mergeCell ref="B139:F139"/>
    <mergeCell ref="A146:F146"/>
    <mergeCell ref="A9:F9"/>
    <mergeCell ref="A10:F11"/>
    <mergeCell ref="A12:F12"/>
    <mergeCell ref="A13:F13"/>
    <mergeCell ref="A15:F15"/>
    <mergeCell ref="H15:M15"/>
    <mergeCell ref="O15:T15"/>
    <mergeCell ref="O19:T19"/>
    <mergeCell ref="P20:T20"/>
    <mergeCell ref="A18:F18"/>
    <mergeCell ref="H18:M18"/>
    <mergeCell ref="O18:T18"/>
    <mergeCell ref="A19:F19"/>
    <mergeCell ref="H19:M19"/>
    <mergeCell ref="B20:F20"/>
    <mergeCell ref="I20:M20"/>
    <mergeCell ref="A25:F25"/>
    <mergeCell ref="G25:G26"/>
    <mergeCell ref="H25:M25"/>
    <mergeCell ref="O25:T25"/>
    <mergeCell ref="A32:F32"/>
    <mergeCell ref="H32:M32"/>
    <mergeCell ref="I33:M33"/>
    <mergeCell ref="B33:F33"/>
    <mergeCell ref="A39:F39"/>
    <mergeCell ref="B40:F40"/>
    <mergeCell ref="A46:F46"/>
    <mergeCell ref="A49:F49"/>
    <mergeCell ref="B52:F52"/>
    <mergeCell ref="A54:F54"/>
    <mergeCell ref="H76:M76"/>
    <mergeCell ref="H77:M77"/>
    <mergeCell ref="I78:M78"/>
    <mergeCell ref="H98:M98"/>
    <mergeCell ref="I99:M99"/>
    <mergeCell ref="B113:F113"/>
    <mergeCell ref="I113:M113"/>
  </mergeCells>
  <dataValidations>
    <dataValidation type="decimal" operator="greaterThanOrEqual" allowBlank="1" showDropDown="1" showErrorMessage="1" sqref="F91:F94 F96:F97 F100:F103 F132:F135">
      <formula1>0.0</formula1>
    </dataValidation>
    <dataValidation type="decimal" operator="greaterThanOrEqual" allowBlank="1" showDropDown="1" sqref="F157">
      <formula1>0.0</formula1>
    </dataValidation>
  </dataValidations>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63"/>
    <col customWidth="1" min="5" max="5" width="13.25"/>
    <col customWidth="1" min="8" max="8" width="13.13"/>
    <col customWidth="1" min="11" max="11" width="13.5"/>
    <col customWidth="1" min="12" max="12" width="13.88"/>
  </cols>
  <sheetData>
    <row r="1">
      <c r="A1" s="715"/>
      <c r="N1" s="419"/>
      <c r="U1" s="419"/>
    </row>
    <row r="8">
      <c r="A8" s="11"/>
      <c r="B8" s="11"/>
      <c r="C8" s="11"/>
      <c r="D8" s="11"/>
      <c r="E8" s="11"/>
      <c r="F8" s="11"/>
      <c r="G8" s="11"/>
      <c r="H8" s="11"/>
      <c r="I8" s="11"/>
      <c r="J8" s="11"/>
      <c r="K8" s="11"/>
      <c r="L8" s="11"/>
      <c r="M8" s="11"/>
    </row>
    <row r="9">
      <c r="A9" s="1526" t="s">
        <v>309</v>
      </c>
      <c r="B9" s="13"/>
      <c r="C9" s="13"/>
      <c r="D9" s="13"/>
      <c r="E9" s="13"/>
      <c r="F9" s="14"/>
      <c r="G9" s="434"/>
      <c r="H9" s="24" t="s">
        <v>35</v>
      </c>
      <c r="I9" s="25"/>
      <c r="J9" s="25"/>
      <c r="K9" s="25"/>
      <c r="L9" s="25"/>
      <c r="M9" s="26"/>
    </row>
    <row r="10">
      <c r="A10" s="15" t="str">
        <f>'MSW27'!A10</f>
        <v>PRESS TO RECORD BODY WEIGHT</v>
      </c>
      <c r="B10" s="16"/>
      <c r="C10" s="16"/>
      <c r="D10" s="16"/>
      <c r="E10" s="16"/>
      <c r="F10" s="17"/>
      <c r="H10" s="27" t="s">
        <v>310</v>
      </c>
      <c r="M10" s="28"/>
    </row>
    <row r="11">
      <c r="A11" s="18"/>
      <c r="B11" s="13"/>
      <c r="C11" s="13"/>
      <c r="D11" s="13"/>
      <c r="E11" s="13"/>
      <c r="F11" s="14"/>
      <c r="H11" s="29" t="s">
        <v>311</v>
      </c>
      <c r="I11" s="30"/>
      <c r="J11" s="30"/>
      <c r="K11" s="30"/>
      <c r="L11" s="30"/>
      <c r="M11" s="31"/>
    </row>
    <row r="12">
      <c r="A12" s="811" t="str">
        <f>'MSW27'!A12</f>
        <v>This Weeks Goals</v>
      </c>
      <c r="B12" s="20"/>
      <c r="C12" s="20"/>
      <c r="D12" s="20"/>
      <c r="E12" s="20"/>
      <c r="F12" s="21"/>
      <c r="H12" s="419"/>
    </row>
    <row r="13">
      <c r="A13" s="812" t="str">
        <f>'MSW27'!A13</f>
        <v>This is what we call percentage week. For the most part we are going to work your body just under it's maximum potential and go for more repititions. There are however a few areas that are excluded from this principle but the general theme of the week is working under your max. </v>
      </c>
      <c r="B13" s="20"/>
      <c r="C13" s="20"/>
      <c r="D13" s="20"/>
      <c r="E13" s="20"/>
      <c r="F13" s="21"/>
    </row>
    <row r="14">
      <c r="A14" s="428" t="s">
        <v>138</v>
      </c>
    </row>
    <row r="15">
      <c r="A15" s="50" t="str">
        <f>'MSW27'!A15</f>
        <v>DAY 1 </v>
      </c>
      <c r="B15" s="36"/>
      <c r="C15" s="36"/>
      <c r="D15" s="36"/>
      <c r="E15" s="36"/>
      <c r="F15" s="37"/>
      <c r="H15" s="429" t="str">
        <f>'MSW27'!H15</f>
        <v>ALTERNATE WORKOUTS</v>
      </c>
      <c r="I15" s="36"/>
      <c r="J15" s="36"/>
      <c r="K15" s="36"/>
      <c r="L15" s="36"/>
      <c r="M15" s="37"/>
    </row>
    <row r="16">
      <c r="A16" s="657"/>
      <c r="H16" s="657"/>
    </row>
    <row r="18">
      <c r="A18" s="51" t="s">
        <v>158</v>
      </c>
      <c r="B18" s="36"/>
      <c r="C18" s="36"/>
      <c r="D18" s="36"/>
      <c r="E18" s="36"/>
      <c r="F18" s="37"/>
      <c r="H18" s="51" t="str">
        <f>'MSW27'!H18</f>
        <v>CHEST &amp; BACK </v>
      </c>
      <c r="I18" s="36"/>
      <c r="J18" s="36"/>
      <c r="K18" s="36"/>
      <c r="L18" s="36"/>
      <c r="M18" s="37"/>
    </row>
    <row r="19">
      <c r="A19" s="93" t="str">
        <f>HYPERLINK("https://www.youtube.com/watch?v=iLgUDezDMbU","1. BENCH PRESS")</f>
        <v>1. BENCH PRESS</v>
      </c>
      <c r="B19" s="53"/>
      <c r="C19" s="53"/>
      <c r="D19" s="53"/>
      <c r="E19" s="53"/>
      <c r="F19" s="54"/>
      <c r="G19" s="434" t="s">
        <v>123</v>
      </c>
      <c r="H19" s="93" t="str">
        <f>'MSW27'!H19</f>
        <v>1. MACHINE PRESS</v>
      </c>
      <c r="I19" s="53"/>
      <c r="J19" s="53"/>
      <c r="K19" s="53"/>
      <c r="L19" s="53"/>
      <c r="M19" s="54"/>
      <c r="N19" s="419"/>
      <c r="O19" s="75" t="str">
        <f>'MSW27'!O19</f>
        <v>1. DUMBBELL INCLINE PRESS</v>
      </c>
      <c r="P19" s="53"/>
      <c r="Q19" s="53"/>
      <c r="R19" s="53"/>
      <c r="S19" s="53"/>
      <c r="T19" s="54"/>
    </row>
    <row r="20">
      <c r="A20" s="226" t="str">
        <f>'MSW27'!A20</f>
        <v>CURRENT MAX</v>
      </c>
      <c r="B20" s="691">
        <f>'MSW27'!B20</f>
        <v>270</v>
      </c>
      <c r="C20" s="13"/>
      <c r="D20" s="13"/>
      <c r="E20" s="13"/>
      <c r="F20" s="57"/>
      <c r="G20" s="434"/>
      <c r="H20" s="226" t="str">
        <f>'MSW27'!H20</f>
        <v>CURRENT MAX</v>
      </c>
      <c r="I20" s="691" t="str">
        <f>'MSW27'!I20</f>
        <v/>
      </c>
      <c r="J20" s="13"/>
      <c r="K20" s="13"/>
      <c r="L20" s="13"/>
      <c r="M20" s="57"/>
      <c r="O20" s="226" t="str">
        <f>'MSW27'!O20</f>
        <v>CURRENT MAX</v>
      </c>
      <c r="P20" s="691" t="str">
        <f>'MSW27'!P20</f>
        <v/>
      </c>
      <c r="Q20" s="13"/>
      <c r="R20" s="13"/>
      <c r="S20" s="13"/>
      <c r="T20" s="57"/>
    </row>
    <row r="21">
      <c r="A21" s="96" t="str">
        <f>'MSW27'!A21</f>
        <v>SET</v>
      </c>
      <c r="B21" s="97" t="str">
        <f>'MSW27'!B21</f>
        <v>WEIGHT</v>
      </c>
      <c r="C21" s="97" t="str">
        <f>'MSW27'!C21</f>
        <v>REPS</v>
      </c>
      <c r="D21" s="97" t="str">
        <f>'MSW27'!D21</f>
        <v>REST</v>
      </c>
      <c r="E21" s="341" t="str">
        <f>'MSW27'!E21</f>
        <v>PREVIOUS</v>
      </c>
      <c r="F21" s="235" t="str">
        <f>'MSW27'!F21</f>
        <v>REP LOG</v>
      </c>
      <c r="H21" s="96" t="str">
        <f>'MSW27'!H21</f>
        <v>SET</v>
      </c>
      <c r="I21" s="97" t="str">
        <f>'MSW27'!I21</f>
        <v>WEIGHT</v>
      </c>
      <c r="J21" s="97" t="str">
        <f>'MSW27'!J21</f>
        <v>REPS</v>
      </c>
      <c r="K21" s="97" t="str">
        <f>'MSW27'!K21</f>
        <v>REST</v>
      </c>
      <c r="L21" s="341" t="str">
        <f>'MSW27'!L21</f>
        <v>PREVIOUS</v>
      </c>
      <c r="M21" s="235" t="str">
        <f>'MSW27'!M21</f>
        <v>REP LOG</v>
      </c>
      <c r="O21" s="96" t="str">
        <f>'MSW27'!O21</f>
        <v>SET</v>
      </c>
      <c r="P21" s="97" t="str">
        <f>'MSW27'!P21</f>
        <v>WEIGHT</v>
      </c>
      <c r="Q21" s="97" t="str">
        <f>'MSW27'!Q21</f>
        <v>REPS</v>
      </c>
      <c r="R21" s="97" t="str">
        <f>'MSW27'!R21</f>
        <v>REST</v>
      </c>
      <c r="S21" s="341" t="str">
        <f>'MSW27'!S21</f>
        <v>PREVIOUS</v>
      </c>
      <c r="T21" s="235" t="str">
        <f>'MSW27'!T21</f>
        <v>REP LOG</v>
      </c>
    </row>
    <row r="22">
      <c r="A22" s="725">
        <f>'MSW27'!A22</f>
        <v>1</v>
      </c>
      <c r="B22" s="344">
        <f>'MSW27'!B22</f>
        <v>85</v>
      </c>
      <c r="C22" s="344">
        <f>'MSW27'!C22</f>
        <v>6</v>
      </c>
      <c r="D22" s="343" t="str">
        <f>'MSW27'!D22</f>
        <v>30 sec</v>
      </c>
      <c r="E22" s="727" t="str">
        <f>'MSW27'!E22</f>
        <v/>
      </c>
      <c r="F22" s="85">
        <v>6.0</v>
      </c>
      <c r="H22" s="725">
        <f>'MSW27'!H22</f>
        <v>1</v>
      </c>
      <c r="I22" s="344">
        <f>'MSW27'!I22</f>
        <v>0</v>
      </c>
      <c r="J22" s="344">
        <f>'MSW27'!J22</f>
        <v>6</v>
      </c>
      <c r="K22" s="343" t="str">
        <f>'MSW27'!K22</f>
        <v>30 sec</v>
      </c>
      <c r="L22" s="727" t="str">
        <f>'MSW27'!L22</f>
        <v/>
      </c>
      <c r="M22" s="85"/>
      <c r="O22" s="725">
        <f>'MSW27'!O22</f>
        <v>1</v>
      </c>
      <c r="P22" s="344">
        <f>'MSW27'!P22</f>
        <v>0</v>
      </c>
      <c r="Q22" s="344">
        <f>'MSW27'!Q22</f>
        <v>6</v>
      </c>
      <c r="R22" s="343" t="str">
        <f>'MSW27'!R22</f>
        <v>30 sec</v>
      </c>
      <c r="S22" s="727" t="str">
        <f>'MSW27'!S22</f>
        <v/>
      </c>
      <c r="T22" s="85"/>
    </row>
    <row r="23">
      <c r="A23" s="725">
        <f>'MSW27'!A23</f>
        <v>2</v>
      </c>
      <c r="B23" s="344">
        <f>'MSW27'!B23</f>
        <v>175</v>
      </c>
      <c r="C23" s="344">
        <f>'MSW27'!C23</f>
        <v>1</v>
      </c>
      <c r="D23" s="343" t="str">
        <f>'MSW27'!D23</f>
        <v>45 sec</v>
      </c>
      <c r="E23" s="727" t="str">
        <f>'MSW27'!E23</f>
        <v/>
      </c>
      <c r="F23" s="85">
        <v>1.0</v>
      </c>
      <c r="H23" s="725">
        <f>'MSW27'!H23</f>
        <v>2</v>
      </c>
      <c r="I23" s="344">
        <f>'MSW27'!I23</f>
        <v>0</v>
      </c>
      <c r="J23" s="344">
        <f>'MSW27'!J23</f>
        <v>1</v>
      </c>
      <c r="K23" s="343" t="str">
        <f>'MSW27'!K23</f>
        <v>45 sec</v>
      </c>
      <c r="L23" s="727" t="str">
        <f>'MSW27'!L23</f>
        <v/>
      </c>
      <c r="M23" s="85"/>
      <c r="O23" s="725">
        <f>'MSW27'!O23</f>
        <v>2</v>
      </c>
      <c r="P23" s="344">
        <f>'MSW27'!P23</f>
        <v>0</v>
      </c>
      <c r="Q23" s="344">
        <f>'MSW27'!Q23</f>
        <v>1</v>
      </c>
      <c r="R23" s="343" t="str">
        <f>'MSW27'!R23</f>
        <v>45 sec</v>
      </c>
      <c r="S23" s="727" t="str">
        <f>'MSW27'!S23</f>
        <v/>
      </c>
      <c r="T23" s="85"/>
    </row>
    <row r="24">
      <c r="A24" s="725">
        <f>'MSW27'!A24</f>
        <v>3</v>
      </c>
      <c r="B24" s="344">
        <f>'MSW27'!B24</f>
        <v>220</v>
      </c>
      <c r="C24" s="344">
        <f>'MSW27'!C24</f>
        <v>1</v>
      </c>
      <c r="D24" s="343" t="str">
        <f>'MSW27'!D24</f>
        <v>1 MIN</v>
      </c>
      <c r="E24" s="727" t="str">
        <f>'MSW27'!E24</f>
        <v/>
      </c>
      <c r="F24" s="85">
        <v>1.0</v>
      </c>
      <c r="H24" s="725">
        <f>'MSW27'!H24</f>
        <v>3</v>
      </c>
      <c r="I24" s="344">
        <f>'MSW27'!I24</f>
        <v>0</v>
      </c>
      <c r="J24" s="344">
        <f>'MSW27'!J24</f>
        <v>1</v>
      </c>
      <c r="K24" s="343" t="str">
        <f>'MSW27'!K24</f>
        <v>1 MIN</v>
      </c>
      <c r="L24" s="727" t="str">
        <f>'MSW27'!L24</f>
        <v/>
      </c>
      <c r="M24" s="85"/>
      <c r="O24" s="725">
        <f>'MSW27'!O24</f>
        <v>3</v>
      </c>
      <c r="P24" s="344">
        <f>'MSW27'!P24</f>
        <v>0</v>
      </c>
      <c r="Q24" s="344">
        <f>'MSW27'!Q24</f>
        <v>1</v>
      </c>
      <c r="R24" s="343" t="str">
        <f>'MSW27'!R24</f>
        <v>1 MIN</v>
      </c>
      <c r="S24" s="727" t="str">
        <f>'MSW27'!S24</f>
        <v/>
      </c>
      <c r="T24" s="85"/>
    </row>
    <row r="25">
      <c r="A25" s="730" t="str">
        <f>'MSW27'!A25</f>
        <v>Working Set</v>
      </c>
      <c r="B25" s="13"/>
      <c r="C25" s="13"/>
      <c r="D25" s="13"/>
      <c r="E25" s="13"/>
      <c r="F25" s="57"/>
      <c r="H25" s="730" t="str">
        <f>'MSW27'!H25</f>
        <v>Working Set</v>
      </c>
      <c r="I25" s="13"/>
      <c r="J25" s="13"/>
      <c r="K25" s="13"/>
      <c r="L25" s="13"/>
      <c r="M25" s="57"/>
      <c r="O25" s="730" t="str">
        <f>'MSW27'!O25</f>
        <v>Working Set</v>
      </c>
      <c r="P25" s="13"/>
      <c r="Q25" s="13"/>
      <c r="R25" s="13"/>
      <c r="S25" s="13"/>
      <c r="T25" s="57"/>
    </row>
    <row r="26">
      <c r="A26" s="96" t="str">
        <f>'MSW27'!A26</f>
        <v>SET</v>
      </c>
      <c r="B26" s="97" t="str">
        <f>'MSW27'!B26</f>
        <v>WEIGHT</v>
      </c>
      <c r="C26" s="97" t="str">
        <f>'MSW27'!C26</f>
        <v>REPS</v>
      </c>
      <c r="D26" s="97" t="str">
        <f>'MSW27'!D26</f>
        <v>REST</v>
      </c>
      <c r="E26" s="341" t="str">
        <f>'MSW27'!E26</f>
        <v>PREVIOUS</v>
      </c>
      <c r="F26" s="235" t="str">
        <f>'MSW27'!F26</f>
        <v>REP LOG</v>
      </c>
      <c r="H26" s="96" t="str">
        <f>'MSW27'!H26</f>
        <v>SET</v>
      </c>
      <c r="I26" s="97" t="str">
        <f>'MSW27'!I26</f>
        <v>WEIGHT</v>
      </c>
      <c r="J26" s="97" t="str">
        <f>'MSW27'!J26</f>
        <v>REPS</v>
      </c>
      <c r="K26" s="97" t="str">
        <f>'MSW27'!K26</f>
        <v>REST</v>
      </c>
      <c r="L26" s="341" t="str">
        <f>'MSW27'!L26</f>
        <v>PREVIOUS</v>
      </c>
      <c r="M26" s="235" t="str">
        <f>'MSW27'!M26</f>
        <v>REP LOG</v>
      </c>
      <c r="O26" s="96" t="str">
        <f>'MSW27'!O26</f>
        <v>SET</v>
      </c>
      <c r="P26" s="97" t="str">
        <f>'MSW27'!P26</f>
        <v>WEIGHT</v>
      </c>
      <c r="Q26" s="97" t="str">
        <f>'MSW27'!Q26</f>
        <v>REPS</v>
      </c>
      <c r="R26" s="97" t="str">
        <f>'MSW27'!R26</f>
        <v>REST</v>
      </c>
      <c r="S26" s="341" t="str">
        <f>'MSW27'!S26</f>
        <v>PREVIOUS</v>
      </c>
      <c r="T26" s="235" t="str">
        <f>'MSW27'!T26</f>
        <v>REP LOG</v>
      </c>
    </row>
    <row r="27">
      <c r="A27" s="725">
        <f>'MSW27'!A27</f>
        <v>1</v>
      </c>
      <c r="B27" s="348">
        <f>'MSW27'!B27</f>
        <v>245</v>
      </c>
      <c r="C27" s="437" t="str">
        <f>'MSW27'!C27</f>
        <v>REP OUT</v>
      </c>
      <c r="D27" s="343" t="str">
        <f>'MSW27'!D27</f>
        <v>1-5 MIN</v>
      </c>
      <c r="E27" s="727" t="str">
        <f>'MSW27'!E27</f>
        <v/>
      </c>
      <c r="F27" s="85">
        <v>2.0</v>
      </c>
      <c r="H27" s="725">
        <f>'MSW27'!H27</f>
        <v>1</v>
      </c>
      <c r="I27" s="348">
        <f>'MSW27'!I27</f>
        <v>0</v>
      </c>
      <c r="J27" s="437" t="str">
        <f>'MSW27'!J27</f>
        <v>REP OUT</v>
      </c>
      <c r="K27" s="343" t="str">
        <f>'MSW27'!K27</f>
        <v>1-5 MIN</v>
      </c>
      <c r="L27" s="727" t="str">
        <f>'MSW27'!L27</f>
        <v/>
      </c>
      <c r="M27" s="85"/>
      <c r="O27" s="725">
        <f>'MSW27'!O27</f>
        <v>1</v>
      </c>
      <c r="P27" s="348">
        <f>'MSW27'!P27</f>
        <v>0</v>
      </c>
      <c r="Q27" s="437" t="str">
        <f>'MSW27'!Q27</f>
        <v>REP OUT</v>
      </c>
      <c r="R27" s="343" t="str">
        <f>'MSW27'!R27</f>
        <v>1-5 MIN</v>
      </c>
      <c r="S27" s="727" t="str">
        <f>'MSW27'!S27</f>
        <v/>
      </c>
      <c r="T27" s="85"/>
    </row>
    <row r="28">
      <c r="A28" s="725">
        <f>'MSW27'!A28</f>
        <v>2</v>
      </c>
      <c r="B28" s="348">
        <f>'MSW27'!B28</f>
        <v>185</v>
      </c>
      <c r="C28" s="437" t="str">
        <f>'MSW27'!C28</f>
        <v>REP OUT</v>
      </c>
      <c r="D28" s="343" t="str">
        <f>'MSW27'!D28</f>
        <v>1-5 MIN</v>
      </c>
      <c r="E28" s="727" t="str">
        <f>'MSW27'!E28</f>
        <v/>
      </c>
      <c r="F28" s="85">
        <v>10.0</v>
      </c>
      <c r="H28" s="725">
        <f>'MSW27'!H28</f>
        <v>2</v>
      </c>
      <c r="I28" s="348">
        <f>'MSW27'!I28</f>
        <v>0</v>
      </c>
      <c r="J28" s="437" t="str">
        <f>'MSW27'!J28</f>
        <v>REP OUT</v>
      </c>
      <c r="K28" s="343" t="str">
        <f>'MSW27'!K28</f>
        <v>1-5 MIN</v>
      </c>
      <c r="L28" s="727" t="str">
        <f>'MSW27'!L28</f>
        <v/>
      </c>
      <c r="M28" s="85"/>
      <c r="O28" s="725">
        <f>'MSW27'!O28</f>
        <v>2</v>
      </c>
      <c r="P28" s="348">
        <f>'MSW27'!P28</f>
        <v>0</v>
      </c>
      <c r="Q28" s="437" t="str">
        <f>'MSW27'!Q28</f>
        <v>REP OUT</v>
      </c>
      <c r="R28" s="343" t="str">
        <f>'MSW27'!R28</f>
        <v>1-5 MIN</v>
      </c>
      <c r="S28" s="727" t="str">
        <f>'MSW27'!S28</f>
        <v/>
      </c>
      <c r="T28" s="85"/>
    </row>
    <row r="29">
      <c r="A29" s="753">
        <f>'MSW27'!A29</f>
        <v>3</v>
      </c>
      <c r="B29" s="732">
        <f>'MSW27'!B29</f>
        <v>165</v>
      </c>
      <c r="C29" s="733" t="str">
        <f>'MSW27'!C29</f>
        <v>REP OUT</v>
      </c>
      <c r="D29" s="486" t="str">
        <f>'MSW27'!D29</f>
        <v>1-5 MIN</v>
      </c>
      <c r="E29" s="734" t="str">
        <f>'MSW27'!E29</f>
        <v/>
      </c>
      <c r="F29" s="85">
        <v>6.0</v>
      </c>
      <c r="H29" s="735">
        <f>'MSW27'!H29</f>
        <v>3</v>
      </c>
      <c r="I29" s="736">
        <f>'MSW27'!I29</f>
        <v>0</v>
      </c>
      <c r="J29" s="737" t="str">
        <f>'MSW27'!J29</f>
        <v>REP OUT</v>
      </c>
      <c r="K29" s="738" t="str">
        <f>'MSW27'!K29</f>
        <v>1-5 MIN</v>
      </c>
      <c r="L29" s="739" t="str">
        <f>'MSW27'!L29</f>
        <v/>
      </c>
      <c r="M29" s="85"/>
      <c r="O29" s="753">
        <f>'MSW27'!O29</f>
        <v>3</v>
      </c>
      <c r="P29" s="732">
        <f>'MSW27'!P29</f>
        <v>0</v>
      </c>
      <c r="Q29" s="733" t="str">
        <f>'MSW27'!Q29</f>
        <v>REP OUT</v>
      </c>
      <c r="R29" s="486" t="str">
        <f>'MSW27'!R29</f>
        <v>1-5 MIN</v>
      </c>
      <c r="S29" s="734" t="str">
        <f>'MSW27'!S29</f>
        <v/>
      </c>
      <c r="T29" s="85"/>
    </row>
    <row r="30">
      <c r="A30" s="740"/>
      <c r="H30" s="742"/>
      <c r="I30" s="25"/>
      <c r="J30" s="25"/>
      <c r="K30" s="25"/>
      <c r="L30" s="25"/>
      <c r="M30" s="25"/>
      <c r="N30" s="25"/>
      <c r="O30" s="25"/>
      <c r="P30" s="25"/>
      <c r="Q30" s="25"/>
      <c r="R30" s="25"/>
      <c r="S30" s="25"/>
      <c r="T30" s="25"/>
    </row>
    <row r="32">
      <c r="A32" s="440" t="str">
        <f>'MSW27'!A32</f>
        <v>2. DB CHEST FLY</v>
      </c>
      <c r="B32" s="53"/>
      <c r="C32" s="53"/>
      <c r="D32" s="53"/>
      <c r="E32" s="53"/>
      <c r="F32" s="54"/>
      <c r="G32" s="434" t="s">
        <v>123</v>
      </c>
      <c r="H32" s="440" t="str">
        <f>'MSW27'!H32</f>
        <v>2. MACHINE CHEST FLY</v>
      </c>
      <c r="I32" s="53"/>
      <c r="J32" s="53"/>
      <c r="K32" s="53"/>
      <c r="L32" s="53"/>
      <c r="M32" s="54"/>
      <c r="N32" s="657"/>
    </row>
    <row r="33">
      <c r="A33" s="226" t="str">
        <f>'MSW27'!A33</f>
        <v>DB INCL MAX</v>
      </c>
      <c r="B33" s="691">
        <v>100.0</v>
      </c>
      <c r="C33" s="13"/>
      <c r="D33" s="13"/>
      <c r="E33" s="13"/>
      <c r="F33" s="57"/>
      <c r="G33" s="434"/>
      <c r="H33" s="226" t="str">
        <f>'MSW27'!H33</f>
        <v>CURRENT MAX</v>
      </c>
      <c r="I33" s="691">
        <f>'MSW27'!I33</f>
        <v>100</v>
      </c>
      <c r="J33" s="13"/>
      <c r="K33" s="13"/>
      <c r="L33" s="13"/>
      <c r="M33" s="57"/>
    </row>
    <row r="34">
      <c r="A34" s="743" t="str">
        <f>'MSW27'!A34</f>
        <v>SET</v>
      </c>
      <c r="B34" s="744" t="str">
        <f>'MSW27'!B34</f>
        <v>WEIGHT</v>
      </c>
      <c r="C34" s="744" t="str">
        <f>'MSW27'!C34</f>
        <v>REPS</v>
      </c>
      <c r="D34" s="744" t="str">
        <f>'MSW27'!D34</f>
        <v>REST</v>
      </c>
      <c r="E34" s="745" t="str">
        <f>'MSW27'!E34</f>
        <v>PREVIOUS</v>
      </c>
      <c r="F34" s="235" t="str">
        <f>'MSW27'!F34</f>
        <v>REP LOG</v>
      </c>
      <c r="H34" s="743" t="str">
        <f>'MSW27'!H34</f>
        <v>SET</v>
      </c>
      <c r="I34" s="744" t="str">
        <f>'MSW27'!I34</f>
        <v>WEIGHT</v>
      </c>
      <c r="J34" s="744" t="str">
        <f>'MSW27'!J34</f>
        <v>REPS</v>
      </c>
      <c r="K34" s="744" t="str">
        <f>'MSW27'!K34</f>
        <v>REST</v>
      </c>
      <c r="L34" s="745" t="str">
        <f>'MSW27'!L34</f>
        <v>PREVIOUS</v>
      </c>
      <c r="M34" s="235" t="str">
        <f>'MSW27'!M34</f>
        <v>REP LOG</v>
      </c>
    </row>
    <row r="35">
      <c r="A35" s="725">
        <f>'MSW27'!A35</f>
        <v>1</v>
      </c>
      <c r="B35" s="254">
        <f>'MSW27'!B35</f>
        <v>30</v>
      </c>
      <c r="C35" s="344" t="str">
        <f>'MSW27'!C35</f>
        <v>10 - 15</v>
      </c>
      <c r="D35" s="343" t="str">
        <f>'MSW27'!D35</f>
        <v>1 MIN</v>
      </c>
      <c r="E35" s="727" t="str">
        <f>'MSW27'!E35</f>
        <v/>
      </c>
      <c r="F35" s="85"/>
      <c r="H35" s="725">
        <f>'MSW27'!H35</f>
        <v>1</v>
      </c>
      <c r="I35" s="254">
        <f>'MSW27'!I35</f>
        <v>150</v>
      </c>
      <c r="J35" s="344" t="str">
        <f>'MSW27'!J35</f>
        <v>10 - 15</v>
      </c>
      <c r="K35" s="343" t="str">
        <f>'MSW27'!K35</f>
        <v>1 MIN</v>
      </c>
      <c r="L35" s="727" t="str">
        <f>'MSW27'!L35</f>
        <v/>
      </c>
      <c r="M35" s="85"/>
    </row>
    <row r="36">
      <c r="A36" s="747">
        <f>'MSW27'!A36</f>
        <v>2</v>
      </c>
      <c r="B36" s="662">
        <f>'MSW27'!B36</f>
        <v>30</v>
      </c>
      <c r="C36" s="813" t="str">
        <f>'MSW27'!C36</f>
        <v>10 - 15</v>
      </c>
      <c r="D36" s="486" t="str">
        <f>'MSW27'!D36</f>
        <v>1 MIN</v>
      </c>
      <c r="E36" s="734" t="str">
        <f>'MSW27'!E36</f>
        <v/>
      </c>
      <c r="F36" s="85"/>
      <c r="H36" s="747">
        <f>'MSW27'!H36</f>
        <v>2</v>
      </c>
      <c r="I36" s="662">
        <f>'MSW27'!I36</f>
        <v>150</v>
      </c>
      <c r="J36" s="813" t="str">
        <f>'MSW27'!J36</f>
        <v>10 - 15</v>
      </c>
      <c r="K36" s="486" t="str">
        <f>'MSW27'!K36</f>
        <v>1 MIN</v>
      </c>
      <c r="L36" s="734" t="str">
        <f>'MSW27'!L36</f>
        <v/>
      </c>
      <c r="M36" s="85"/>
    </row>
    <row r="37">
      <c r="A37" s="419"/>
      <c r="H37" s="657"/>
    </row>
    <row r="39">
      <c r="A39" s="73" t="str">
        <f>'MSW27'!A39</f>
        <v>3. MACHINE HIGH ROW</v>
      </c>
      <c r="B39" s="53"/>
      <c r="C39" s="53"/>
      <c r="D39" s="53"/>
      <c r="E39" s="53"/>
      <c r="F39" s="54"/>
    </row>
    <row r="40">
      <c r="A40" s="226" t="str">
        <f>'MSW27'!A40</f>
        <v>CURRENT MAX</v>
      </c>
      <c r="B40" s="227">
        <f>'MSW27'!B40</f>
        <v>145</v>
      </c>
      <c r="C40" s="20"/>
      <c r="D40" s="20"/>
      <c r="E40" s="20"/>
      <c r="F40" s="95"/>
    </row>
    <row r="41">
      <c r="A41" s="231" t="str">
        <f>'MSW27'!A41</f>
        <v>SET</v>
      </c>
      <c r="B41" s="232" t="str">
        <f>'MSW27'!B41</f>
        <v>WEIGHT</v>
      </c>
      <c r="C41" s="232" t="str">
        <f>'MSW27'!C41</f>
        <v>REPS</v>
      </c>
      <c r="D41" s="232" t="str">
        <f>'MSW27'!D41</f>
        <v>REST</v>
      </c>
      <c r="E41" s="233" t="str">
        <f>'MSW27'!E41</f>
        <v>PREVIOUS</v>
      </c>
      <c r="F41" s="235" t="str">
        <f>'MSW27'!F41</f>
        <v>REP LOG</v>
      </c>
    </row>
    <row r="42">
      <c r="A42" s="236">
        <f>'MSW27'!A42</f>
        <v>1</v>
      </c>
      <c r="B42" s="237">
        <f>'MSW27'!B42</f>
        <v>50</v>
      </c>
      <c r="C42" s="237">
        <f>'MSW27'!C42</f>
        <v>6</v>
      </c>
      <c r="D42" s="238" t="str">
        <f>'MSW27'!D42</f>
        <v>30s</v>
      </c>
      <c r="E42" s="66" t="str">
        <f>'MSW27'!E42</f>
        <v/>
      </c>
      <c r="F42" s="67">
        <v>6.0</v>
      </c>
    </row>
    <row r="43">
      <c r="A43" s="236">
        <f>'MSW27'!A43</f>
        <v>2</v>
      </c>
      <c r="B43" s="237">
        <f>'MSW27'!B43</f>
        <v>95</v>
      </c>
      <c r="C43" s="238">
        <f>'MSW27'!C43</f>
        <v>3</v>
      </c>
      <c r="D43" s="238" t="str">
        <f>'MSW27'!D43</f>
        <v>1-2 MIN</v>
      </c>
      <c r="E43" s="66" t="str">
        <f>'MSW27'!E43</f>
        <v/>
      </c>
      <c r="F43" s="67">
        <v>3.0</v>
      </c>
    </row>
    <row r="44">
      <c r="A44" s="242">
        <f>'MSW27'!A44</f>
        <v>3</v>
      </c>
      <c r="B44" s="237">
        <f>'MSW27'!B44</f>
        <v>130</v>
      </c>
      <c r="C44" s="63">
        <f>'MSW27'!C44</f>
        <v>2</v>
      </c>
      <c r="D44" s="238" t="str">
        <f>'MSW27'!D44</f>
        <v>1-2 MIN</v>
      </c>
      <c r="E44" s="66" t="str">
        <f>'MSW27'!E44</f>
        <v/>
      </c>
      <c r="F44" s="67">
        <v>2.0</v>
      </c>
    </row>
    <row r="45">
      <c r="A45" s="243">
        <f>'MSW27'!A45</f>
        <v>4</v>
      </c>
      <c r="B45" s="237">
        <f>'MSW27'!B45</f>
        <v>145</v>
      </c>
      <c r="C45" s="257">
        <f>'MSW27'!C45</f>
        <v>3</v>
      </c>
      <c r="D45" s="238" t="str">
        <f>'MSW27'!D45</f>
        <v>1-5 MIN</v>
      </c>
      <c r="E45" s="66" t="str">
        <f>'MSW27'!E45</f>
        <v/>
      </c>
      <c r="F45" s="67">
        <v>3.0</v>
      </c>
    </row>
    <row r="46">
      <c r="A46" s="246" t="str">
        <f>'MSW27'!A46</f>
        <v>NEW 4 REP MAX ATTEMPT</v>
      </c>
      <c r="B46" s="20"/>
      <c r="C46" s="20"/>
      <c r="D46" s="20"/>
      <c r="E46" s="20"/>
      <c r="F46" s="95"/>
    </row>
    <row r="47">
      <c r="A47" s="249">
        <f>'MSW27'!A47</f>
        <v>5</v>
      </c>
      <c r="B47" s="175">
        <f>'MSW27'!B47</f>
        <v>150</v>
      </c>
      <c r="C47" s="238">
        <f>'MSW27'!C47</f>
        <v>4</v>
      </c>
      <c r="D47" s="238" t="str">
        <f>'MSW27'!D47</f>
        <v>1-5 MIN</v>
      </c>
      <c r="E47" s="250" t="str">
        <f>'MSW27'!E47</f>
        <v/>
      </c>
      <c r="F47" s="67">
        <v>4.0</v>
      </c>
    </row>
    <row r="48">
      <c r="A48" s="259" t="str">
        <f>'MSW27'!A48</f>
        <v>6</v>
      </c>
      <c r="B48" s="238">
        <v>170.0</v>
      </c>
      <c r="C48" s="257" t="str">
        <f>'MSW27'!C48</f>
        <v>4</v>
      </c>
      <c r="D48" s="257" t="str">
        <f>'MSW27'!D48</f>
        <v>1-5 MIN</v>
      </c>
      <c r="E48" s="258" t="str">
        <f>'MSW27'!E48</f>
        <v/>
      </c>
      <c r="F48" s="67">
        <v>4.0</v>
      </c>
    </row>
    <row r="49">
      <c r="A49" s="246" t="str">
        <f>'MSW27'!A49</f>
        <v>DOWN SETS</v>
      </c>
      <c r="B49" s="20"/>
      <c r="C49" s="20"/>
      <c r="D49" s="20"/>
      <c r="E49" s="20"/>
      <c r="F49" s="95"/>
    </row>
    <row r="50">
      <c r="A50" s="249">
        <f>'MSW27'!A50</f>
        <v>7</v>
      </c>
      <c r="B50" s="175">
        <f>'MSW27'!B50</f>
        <v>135</v>
      </c>
      <c r="C50" s="437" t="str">
        <f>'MSW27'!C50</f>
        <v>REP OUT</v>
      </c>
      <c r="D50" s="238" t="str">
        <f>'MSW27'!D50</f>
        <v>1-3 MIN</v>
      </c>
      <c r="E50" s="268"/>
      <c r="F50" s="85">
        <v>16.0</v>
      </c>
    </row>
    <row r="51">
      <c r="A51" s="259">
        <f>'MSW27'!A51</f>
        <v>8</v>
      </c>
      <c r="B51" s="237">
        <f>'MSW27'!B51</f>
        <v>120</v>
      </c>
      <c r="C51" s="814" t="str">
        <f>'MSW27'!C51</f>
        <v>REP OUT</v>
      </c>
      <c r="D51" s="257" t="str">
        <f>'MSW27'!D51</f>
        <v>1-3 MIN</v>
      </c>
      <c r="E51" s="258"/>
      <c r="F51" s="85">
        <v>15.0</v>
      </c>
    </row>
    <row r="52">
      <c r="A52" s="226" t="str">
        <f>'MSW27'!A52</f>
        <v>FINAL MAX</v>
      </c>
      <c r="B52" s="691">
        <f>'MSW27'!B52</f>
        <v>170</v>
      </c>
      <c r="C52" s="13"/>
      <c r="D52" s="13"/>
      <c r="E52" s="13"/>
      <c r="F52" s="57"/>
    </row>
    <row r="53">
      <c r="A53" s="815"/>
      <c r="B53" s="816"/>
      <c r="C53" s="816"/>
      <c r="D53" s="816"/>
      <c r="E53" s="816"/>
      <c r="F53" s="816"/>
    </row>
    <row r="54">
      <c r="A54" s="751" t="str">
        <f>'MSW27'!A54</f>
        <v>4. LAT PULL DOWN</v>
      </c>
      <c r="B54" s="13"/>
      <c r="C54" s="13"/>
      <c r="D54" s="13"/>
      <c r="E54" s="13"/>
      <c r="F54" s="57"/>
    </row>
    <row r="55">
      <c r="A55" s="226" t="str">
        <f>'MSW27'!A55</f>
        <v>CURRENT MAX</v>
      </c>
      <c r="B55" s="691">
        <f>'MSW27'!B55</f>
        <v>215</v>
      </c>
      <c r="C55" s="13"/>
      <c r="D55" s="13"/>
      <c r="E55" s="13"/>
      <c r="F55" s="57"/>
    </row>
    <row r="56">
      <c r="A56" s="96" t="str">
        <f>'MSW27'!A56</f>
        <v>SET</v>
      </c>
      <c r="B56" s="97" t="str">
        <f>'MSW27'!B56</f>
        <v>WEIGHT</v>
      </c>
      <c r="C56" s="97" t="str">
        <f>'MSW27'!C56</f>
        <v>REPS</v>
      </c>
      <c r="D56" s="97" t="str">
        <f>'MSW27'!D56</f>
        <v>REST</v>
      </c>
      <c r="E56" s="341" t="str">
        <f>'MSW27'!E56</f>
        <v>PREVIOUS</v>
      </c>
      <c r="F56" s="235" t="str">
        <f>'MSW27'!F56</f>
        <v>REP LOG</v>
      </c>
    </row>
    <row r="57">
      <c r="A57" s="725">
        <f>'MSW27'!A57</f>
        <v>1</v>
      </c>
      <c r="B57" s="344">
        <f>'MSW27'!B57</f>
        <v>195</v>
      </c>
      <c r="C57" s="437" t="str">
        <f>'MSW27'!C57</f>
        <v>REP OUT</v>
      </c>
      <c r="D57" s="343" t="str">
        <f>'MSW27'!D57</f>
        <v>1 MIN</v>
      </c>
      <c r="E57" s="752" t="str">
        <f>'MSW27'!E57</f>
        <v/>
      </c>
      <c r="F57" s="85">
        <v>4.0</v>
      </c>
    </row>
    <row r="58">
      <c r="A58" s="725">
        <f>'MSW27'!A58</f>
        <v>2</v>
      </c>
      <c r="B58" s="344">
        <f>'MSW27'!B58</f>
        <v>160</v>
      </c>
      <c r="C58" s="437" t="str">
        <f>'MSW27'!C58</f>
        <v>REP OUT</v>
      </c>
      <c r="D58" s="343" t="str">
        <f>'MSW27'!D58</f>
        <v>1 MIN</v>
      </c>
      <c r="E58" s="752" t="str">
        <f>'MSW27'!E58</f>
        <v/>
      </c>
      <c r="F58" s="85">
        <v>9.0</v>
      </c>
    </row>
    <row r="59">
      <c r="A59" s="753">
        <f>'MSW27'!A59</f>
        <v>3</v>
      </c>
      <c r="B59" s="754">
        <f>'MSW27'!B59</f>
        <v>185</v>
      </c>
      <c r="C59" s="733" t="str">
        <f>'MSW27'!C59</f>
        <v>REP OUT</v>
      </c>
      <c r="D59" s="486" t="str">
        <f>'MSW27'!D59</f>
        <v>1 MIN</v>
      </c>
      <c r="E59" s="755" t="str">
        <f>'MSW27'!E59</f>
        <v/>
      </c>
      <c r="F59" s="85">
        <v>10.0</v>
      </c>
    </row>
    <row r="60">
      <c r="A60" s="756"/>
    </row>
    <row r="62">
      <c r="A62" s="73" t="str">
        <f>'MSW27'!A62</f>
        <v>5. LOW ROW </v>
      </c>
      <c r="B62" s="53"/>
      <c r="C62" s="53"/>
      <c r="D62" s="53"/>
      <c r="E62" s="53"/>
      <c r="F62" s="54"/>
    </row>
    <row r="63">
      <c r="A63" s="226" t="str">
        <f>'MSW27'!A63</f>
        <v>CURRENT MAX</v>
      </c>
      <c r="B63" s="691">
        <f>'MSW27'!B63</f>
        <v>195</v>
      </c>
      <c r="C63" s="13"/>
      <c r="D63" s="13"/>
      <c r="E63" s="13"/>
      <c r="F63" s="57"/>
    </row>
    <row r="64">
      <c r="A64" s="96" t="str">
        <f>'MSW27'!A56</f>
        <v>SET</v>
      </c>
      <c r="B64" s="97" t="str">
        <f>'MSW27'!B56</f>
        <v>WEIGHT</v>
      </c>
      <c r="C64" s="97" t="str">
        <f>'MSW27'!C56</f>
        <v>REPS</v>
      </c>
      <c r="D64" s="97" t="str">
        <f>'MSW27'!D56</f>
        <v>REST</v>
      </c>
      <c r="E64" s="341" t="str">
        <f>'MSW27'!E56</f>
        <v>PREVIOUS</v>
      </c>
      <c r="F64" s="235" t="str">
        <f>'MSW27'!F64</f>
        <v>REP LOG</v>
      </c>
    </row>
    <row r="65">
      <c r="A65" s="725">
        <f>'MSW27'!A65</f>
        <v>1</v>
      </c>
      <c r="B65" s="344">
        <f>'MSW27'!B65</f>
        <v>165</v>
      </c>
      <c r="C65" s="437" t="str">
        <f>'MSW27'!C65</f>
        <v>REP OUT</v>
      </c>
      <c r="D65" s="343" t="str">
        <f>'MSW27'!D65</f>
        <v>1-3 MIN</v>
      </c>
      <c r="E65" s="727" t="str">
        <f>'MSW27'!E65</f>
        <v/>
      </c>
      <c r="F65" s="85">
        <v>7.0</v>
      </c>
    </row>
    <row r="66">
      <c r="A66" s="725">
        <f>'MSW27'!A66</f>
        <v>2</v>
      </c>
      <c r="B66" s="344">
        <f>'MSW27'!B66</f>
        <v>145</v>
      </c>
      <c r="C66" s="437" t="str">
        <f>'MSW27'!C66</f>
        <v>REP OUT</v>
      </c>
      <c r="D66" s="343" t="str">
        <f>'MSW27'!D66</f>
        <v>1-3 MIN</v>
      </c>
      <c r="E66" s="727" t="str">
        <f>'MSW27'!E66</f>
        <v/>
      </c>
      <c r="F66" s="85">
        <v>10.0</v>
      </c>
    </row>
    <row r="67">
      <c r="A67" s="753">
        <f>'MSW27'!A67</f>
        <v>3</v>
      </c>
      <c r="B67" s="754">
        <f>'MSW27'!B67</f>
        <v>145</v>
      </c>
      <c r="C67" s="733" t="str">
        <f>'MSW27'!C67</f>
        <v>REP OUT</v>
      </c>
      <c r="D67" s="486" t="str">
        <f>'MSW27'!D67</f>
        <v>1-3 MIN</v>
      </c>
      <c r="E67" s="734" t="str">
        <f>'MSW27'!E67</f>
        <v/>
      </c>
      <c r="F67" s="85">
        <v>10.0</v>
      </c>
    </row>
    <row r="68">
      <c r="A68" s="419"/>
    </row>
    <row r="69">
      <c r="A69" s="818" t="str">
        <f>'MSW27'!A69</f>
        <v>CLICK TO COMPLETE WORKOUT</v>
      </c>
      <c r="B69" s="36"/>
      <c r="C69" s="36"/>
      <c r="D69" s="36"/>
      <c r="E69" s="36"/>
      <c r="F69" s="37"/>
    </row>
    <row r="70">
      <c r="A70" s="819"/>
    </row>
    <row r="71">
      <c r="A71" s="50" t="str">
        <f>'MSW27'!A71</f>
        <v>DAY 2 </v>
      </c>
      <c r="B71" s="36"/>
      <c r="C71" s="36"/>
      <c r="D71" s="36"/>
      <c r="E71" s="36"/>
      <c r="F71" s="37"/>
    </row>
    <row r="72">
      <c r="A72" s="1527" t="str">
        <f>'MSW27'!A74</f>
        <v/>
      </c>
      <c r="B72" s="25"/>
      <c r="C72" s="25"/>
      <c r="D72" s="25"/>
      <c r="E72" s="25"/>
      <c r="F72" s="25"/>
    </row>
    <row r="73">
      <c r="A73" s="529"/>
    </row>
    <row r="74">
      <c r="A74" s="529"/>
    </row>
    <row r="75">
      <c r="A75" s="529"/>
    </row>
    <row r="76">
      <c r="A76" s="51" t="str">
        <f>'MSW27'!A76</f>
        <v>LEGS </v>
      </c>
      <c r="B76" s="36"/>
      <c r="C76" s="36"/>
      <c r="D76" s="36"/>
      <c r="E76" s="36"/>
      <c r="F76" s="37"/>
      <c r="H76" s="51" t="str">
        <f>'MSW27'!H76</f>
        <v>LEGS </v>
      </c>
      <c r="I76" s="36"/>
      <c r="J76" s="36"/>
      <c r="K76" s="36"/>
      <c r="L76" s="36"/>
      <c r="M76" s="37"/>
      <c r="N76" s="419"/>
    </row>
    <row r="77">
      <c r="A77" s="1198" t="str">
        <f>'MSW27'!A77</f>
        <v>1. MACHINE SQUAT</v>
      </c>
      <c r="B77" s="53"/>
      <c r="C77" s="53"/>
      <c r="D77" s="53"/>
      <c r="E77" s="53"/>
      <c r="F77" s="54"/>
      <c r="G77" s="434" t="s">
        <v>123</v>
      </c>
      <c r="H77" s="323" t="str">
        <f>'MSW27'!H77</f>
        <v>1. LEG PRESS</v>
      </c>
      <c r="I77" s="53"/>
      <c r="J77" s="53"/>
      <c r="K77" s="53"/>
      <c r="L77" s="53"/>
      <c r="M77" s="54"/>
    </row>
    <row r="78">
      <c r="A78" s="1513" t="str">
        <f>'MSW27'!A78</f>
        <v>10 REP MAX</v>
      </c>
      <c r="B78" s="1514">
        <f>'MSW27'!B78</f>
        <v>100</v>
      </c>
      <c r="C78" s="13"/>
      <c r="D78" s="13"/>
      <c r="E78" s="13"/>
      <c r="F78" s="57"/>
      <c r="G78" s="434"/>
      <c r="H78" s="226" t="str">
        <f>'MSW27'!H78</f>
        <v>CURRENT MAX</v>
      </c>
      <c r="I78" s="691">
        <f>'MSW27'!I78</f>
        <v>250</v>
      </c>
      <c r="J78" s="13"/>
      <c r="K78" s="13"/>
      <c r="L78" s="13"/>
      <c r="M78" s="57"/>
    </row>
    <row r="79">
      <c r="A79" s="897" t="str">
        <f>'MSW27'!A79</f>
        <v>SET</v>
      </c>
      <c r="B79" s="898" t="str">
        <f>'MSW27'!B79</f>
        <v>WEIGHT</v>
      </c>
      <c r="C79" s="898" t="str">
        <f>'MSW27'!C79</f>
        <v>REPS</v>
      </c>
      <c r="D79" s="898" t="str">
        <f>'MSW27'!D79</f>
        <v>REST</v>
      </c>
      <c r="E79" s="1515" t="str">
        <f>'MSW27'!E79</f>
        <v>PREVIOUS</v>
      </c>
      <c r="F79" s="1516"/>
      <c r="H79" s="96" t="str">
        <f>'MSW27'!H79</f>
        <v>SET</v>
      </c>
      <c r="I79" s="97" t="str">
        <f>'MSW27'!I79</f>
        <v>WEIGHT</v>
      </c>
      <c r="J79" s="97" t="str">
        <f>'MSW27'!J79</f>
        <v>REPS</v>
      </c>
      <c r="K79" s="97" t="str">
        <f>'MSW27'!K79</f>
        <v>REST</v>
      </c>
      <c r="L79" s="341" t="str">
        <f>'MSW27'!L79</f>
        <v>PREVIOUS</v>
      </c>
      <c r="M79" s="235" t="str">
        <f>'MSW27'!M79</f>
        <v>REP LOG</v>
      </c>
    </row>
    <row r="80">
      <c r="A80" s="1517">
        <f>'MSW27'!A80</f>
        <v>1</v>
      </c>
      <c r="B80" s="1518">
        <f>'MSW27'!B80</f>
        <v>35</v>
      </c>
      <c r="C80" s="1518">
        <f>'MSW27'!C80</f>
        <v>10</v>
      </c>
      <c r="D80" s="1518" t="str">
        <f>'MSW27'!D80</f>
        <v>30s</v>
      </c>
      <c r="E80" s="1528" t="str">
        <f>'MSW27'!E80</f>
        <v/>
      </c>
      <c r="F80" s="1529"/>
      <c r="H80" s="342">
        <f>'MSW27'!H80</f>
        <v>1</v>
      </c>
      <c r="I80" s="348">
        <f>'MSW27'!I80</f>
        <v>75</v>
      </c>
      <c r="J80" s="343">
        <f>'MSW27'!J80</f>
        <v>25</v>
      </c>
      <c r="K80" s="345" t="str">
        <f>'MSW27'!K80</f>
        <v>1-5 MIN</v>
      </c>
      <c r="L80" s="346" t="str">
        <f>'MSW27'!L80</f>
        <v/>
      </c>
      <c r="M80" s="85"/>
    </row>
    <row r="81">
      <c r="A81" s="1517">
        <f>'MSW27'!A81</f>
        <v>2</v>
      </c>
      <c r="B81" s="1518">
        <f>'MSW27'!B81</f>
        <v>65</v>
      </c>
      <c r="C81" s="1518">
        <f>'MSW27'!C81</f>
        <v>10</v>
      </c>
      <c r="D81" s="1518" t="str">
        <f>'MSW27'!D81</f>
        <v>1-2 MIN</v>
      </c>
      <c r="E81" s="1528" t="str">
        <f>'MSW27'!E81</f>
        <v/>
      </c>
      <c r="F81" s="1159"/>
      <c r="H81" s="342">
        <f>'MSW27'!H81</f>
        <v>2</v>
      </c>
      <c r="I81" s="348">
        <f>'MSW27'!I81</f>
        <v>125</v>
      </c>
      <c r="J81" s="191">
        <f>'MSW27'!J81</f>
        <v>25</v>
      </c>
      <c r="K81" s="345" t="str">
        <f>'MSW27'!K81</f>
        <v>1-5 MIN</v>
      </c>
      <c r="L81" s="346" t="str">
        <f>'MSW27'!L81</f>
        <v/>
      </c>
      <c r="M81" s="85"/>
    </row>
    <row r="82">
      <c r="A82" s="1521">
        <f>'MSW27'!A82</f>
        <v>3</v>
      </c>
      <c r="B82" s="1518">
        <f>'MSW27'!B82</f>
        <v>90</v>
      </c>
      <c r="C82" s="1518">
        <f>'MSW27'!C82</f>
        <v>10</v>
      </c>
      <c r="D82" s="1518" t="str">
        <f>'MSW27'!D82</f>
        <v>1-2 MIN</v>
      </c>
      <c r="E82" s="1528" t="str">
        <f>'MSW27'!E82</f>
        <v/>
      </c>
      <c r="F82" s="1159"/>
      <c r="H82" s="342">
        <f>'MSW27'!H82</f>
        <v>3</v>
      </c>
      <c r="I82" s="348">
        <f>'MSW27'!I82</f>
        <v>165</v>
      </c>
      <c r="J82" s="191">
        <f>'MSW27'!J82</f>
        <v>25</v>
      </c>
      <c r="K82" s="345" t="str">
        <f>'MSW27'!K82</f>
        <v>1-5 MIN</v>
      </c>
      <c r="L82" s="346" t="str">
        <f>'MSW27'!L82</f>
        <v/>
      </c>
      <c r="M82" s="85"/>
    </row>
    <row r="83">
      <c r="A83" s="1522">
        <f>'MSW27'!A83</f>
        <v>4</v>
      </c>
      <c r="B83" s="1523">
        <f>'MSW27'!B83</f>
        <v>70</v>
      </c>
      <c r="C83" s="1518">
        <f>'MSW27'!C83</f>
        <v>10</v>
      </c>
      <c r="D83" s="1518" t="str">
        <f>'MSW27'!D83</f>
        <v>1-5 MIN</v>
      </c>
      <c r="E83" s="1528" t="str">
        <f>'MSW27'!E83</f>
        <v/>
      </c>
      <c r="F83" s="1159"/>
      <c r="H83" s="342">
        <f>'MSW27'!H83</f>
        <v>4</v>
      </c>
      <c r="I83" s="348">
        <f>'MSW27'!I83</f>
        <v>190</v>
      </c>
      <c r="J83" s="191">
        <f>'MSW27'!J83</f>
        <v>25</v>
      </c>
      <c r="K83" s="345" t="str">
        <f>'MSW27'!K83</f>
        <v>1-5 MIN</v>
      </c>
      <c r="L83" s="346" t="str">
        <f>'MSW27'!L83</f>
        <v/>
      </c>
      <c r="M83" s="85"/>
    </row>
    <row r="84">
      <c r="A84" s="1522">
        <f>'MSW27'!A84</f>
        <v>5</v>
      </c>
      <c r="B84" s="1523">
        <f>'MSW27'!B84</f>
        <v>55</v>
      </c>
      <c r="C84" s="1518">
        <f>'MSW27'!C84</f>
        <v>10</v>
      </c>
      <c r="D84" s="1518" t="str">
        <f>'MSW27'!D84</f>
        <v>1-5 MIN</v>
      </c>
      <c r="E84" s="1530" t="str">
        <f>'MSW27'!E84</f>
        <v/>
      </c>
      <c r="F84" s="1159"/>
      <c r="H84" s="485">
        <f>'MSW27'!H84</f>
        <v>5</v>
      </c>
      <c r="I84" s="754">
        <f>'MSW27'!I84</f>
        <v>215</v>
      </c>
      <c r="J84" s="767">
        <f>'MSW27'!J84</f>
        <v>25</v>
      </c>
      <c r="K84" s="488" t="str">
        <f>'MSW27'!K84</f>
        <v>1-5 MIN</v>
      </c>
      <c r="L84" s="695" t="str">
        <f>'MSW27'!L84</f>
        <v/>
      </c>
      <c r="M84" s="85"/>
    </row>
    <row r="85">
      <c r="A85" s="1522">
        <f>'MSW27'!A85</f>
        <v>6</v>
      </c>
      <c r="B85" s="1523">
        <f>'MSW27'!B85</f>
        <v>45</v>
      </c>
      <c r="C85" s="1518">
        <f>'MSW27'!C85</f>
        <v>10</v>
      </c>
      <c r="D85" s="1518" t="str">
        <f>'MSW27'!D85</f>
        <v>1-5 MIN</v>
      </c>
      <c r="E85" s="1530" t="str">
        <f>'MSW27'!E85</f>
        <v/>
      </c>
      <c r="F85" s="1159"/>
      <c r="H85" s="419"/>
    </row>
    <row r="86">
      <c r="A86" s="1524">
        <f>'MSW27'!A86</f>
        <v>7</v>
      </c>
      <c r="B86" s="1523">
        <f>'MSW27'!B86</f>
        <v>35</v>
      </c>
      <c r="C86" s="1518">
        <f>'MSW27'!C86</f>
        <v>10</v>
      </c>
      <c r="D86" s="1518" t="str">
        <f>'MSW27'!D86</f>
        <v>1-5 MIN</v>
      </c>
      <c r="E86" s="1530" t="str">
        <f>'MSW27'!E86</f>
        <v/>
      </c>
      <c r="F86" s="1159"/>
    </row>
    <row r="87">
      <c r="A87" s="1525" t="str">
        <f>'MSW27'!A87</f>
        <v>10 REP MAX</v>
      </c>
      <c r="B87" s="1109">
        <f>'MSW27'!B87</f>
        <v>100</v>
      </c>
      <c r="C87" s="11"/>
      <c r="D87" s="11"/>
      <c r="E87" s="11"/>
      <c r="F87" s="46"/>
    </row>
    <row r="88">
      <c r="A88" s="768"/>
      <c r="B88" s="768"/>
      <c r="C88" s="768"/>
      <c r="D88" s="768"/>
      <c r="E88" s="768"/>
      <c r="F88" s="768"/>
    </row>
    <row r="89">
      <c r="A89" s="323" t="str">
        <f>'MSW27'!A89</f>
        <v>2. LEG EXTENSION</v>
      </c>
      <c r="B89" s="53"/>
      <c r="C89" s="53"/>
      <c r="D89" s="53"/>
      <c r="E89" s="53"/>
      <c r="F89" s="54"/>
    </row>
    <row r="90">
      <c r="A90" s="226" t="str">
        <f>'MSW27'!A90</f>
        <v>CURRENT MAX</v>
      </c>
      <c r="B90" s="90">
        <f>'MSW27'!B90</f>
        <v>50</v>
      </c>
      <c r="C90" s="13"/>
      <c r="D90" s="13"/>
      <c r="E90" s="13"/>
      <c r="F90" s="57"/>
    </row>
    <row r="91">
      <c r="A91" s="96" t="str">
        <f>'MSW27'!A91</f>
        <v>SET</v>
      </c>
      <c r="B91" s="97" t="str">
        <f>'MSW27'!B91</f>
        <v>WEIGHT</v>
      </c>
      <c r="C91" s="97" t="str">
        <f>'MSW27'!C91</f>
        <v>REPS</v>
      </c>
      <c r="D91" s="97" t="str">
        <f>'MSW27'!D91</f>
        <v>REST</v>
      </c>
      <c r="E91" s="98" t="str">
        <f>'MSW27'!E91</f>
        <v>PREVIOUS</v>
      </c>
      <c r="F91" s="235" t="str">
        <f>'MSW27'!F91</f>
        <v>REP LOG</v>
      </c>
    </row>
    <row r="92">
      <c r="A92" s="352">
        <f>'MSW27'!A92</f>
        <v>1</v>
      </c>
      <c r="B92" s="237">
        <f>'MSW27'!B92</f>
        <v>50</v>
      </c>
      <c r="C92" s="678" t="str">
        <f>'MSW27'!C92</f>
        <v>10 - 15</v>
      </c>
      <c r="D92" s="350" t="str">
        <f>'MSW27'!D92</f>
        <v>1 MIN</v>
      </c>
      <c r="E92" s="449" t="str">
        <f>'MSW27'!E92</f>
        <v/>
      </c>
      <c r="F92" s="85"/>
    </row>
    <row r="93">
      <c r="A93" s="352">
        <f>'MSW27'!A93</f>
        <v>2</v>
      </c>
      <c r="B93" s="237">
        <f>'MSW27'!B93</f>
        <v>40</v>
      </c>
      <c r="C93" s="678" t="str">
        <f>'MSW27'!C93</f>
        <v>10 - 15</v>
      </c>
      <c r="D93" s="350" t="str">
        <f>'MSW27'!D93</f>
        <v>1 MIN</v>
      </c>
      <c r="E93" s="679" t="str">
        <f>'MSW27'!E93</f>
        <v/>
      </c>
      <c r="F93" s="85"/>
    </row>
    <row r="94">
      <c r="A94" s="352">
        <f>'MSW27'!A94</f>
        <v>3</v>
      </c>
      <c r="B94" s="237">
        <f>'MSW27'!B94</f>
        <v>30</v>
      </c>
      <c r="C94" s="678" t="str">
        <f>'MSW27'!C94</f>
        <v>10 - 15</v>
      </c>
      <c r="D94" s="350" t="str">
        <f>'MSW27'!D94</f>
        <v>1 MIN</v>
      </c>
      <c r="E94" s="449" t="str">
        <f>'MSW27'!E94</f>
        <v/>
      </c>
      <c r="F94" s="85"/>
    </row>
    <row r="95">
      <c r="A95" s="228" t="str">
        <f>'MSW27'!A95</f>
        <v>FINAL MAX</v>
      </c>
      <c r="B95" s="229">
        <f>'MSW27'!B95</f>
        <v>50</v>
      </c>
      <c r="C95" s="16"/>
      <c r="D95" s="16"/>
      <c r="E95" s="16"/>
      <c r="F95" s="230"/>
    </row>
    <row r="96">
      <c r="A96" s="771"/>
      <c r="B96" s="25"/>
      <c r="C96" s="25"/>
      <c r="D96" s="25"/>
      <c r="E96" s="25"/>
      <c r="F96" s="25"/>
    </row>
    <row r="98" ht="17.25" customHeight="1">
      <c r="A98" s="323" t="str">
        <f>'MSW27'!A98</f>
        <v>3. LEG CURL</v>
      </c>
      <c r="B98" s="53"/>
      <c r="C98" s="53"/>
      <c r="D98" s="53"/>
      <c r="E98" s="53"/>
      <c r="F98" s="54"/>
      <c r="G98" s="434" t="s">
        <v>123</v>
      </c>
      <c r="H98" s="323" t="str">
        <f>'MSW27'!H98</f>
        <v>3. PRONE LEG CURL</v>
      </c>
      <c r="I98" s="53"/>
      <c r="J98" s="53"/>
      <c r="K98" s="53"/>
      <c r="L98" s="53"/>
      <c r="M98" s="54"/>
      <c r="N98" s="419"/>
    </row>
    <row r="99" ht="17.25" customHeight="1">
      <c r="A99" s="226" t="str">
        <f>'MSW27'!A99</f>
        <v>CURRENT MAX</v>
      </c>
      <c r="B99" s="90">
        <f>'MSW27'!B99</f>
        <v>15</v>
      </c>
      <c r="C99" s="13"/>
      <c r="D99" s="13"/>
      <c r="E99" s="13"/>
      <c r="F99" s="57"/>
      <c r="G99" s="434"/>
      <c r="H99" s="226" t="str">
        <f>'MSW27'!H99</f>
        <v>CURRENT MAX</v>
      </c>
      <c r="I99" s="316">
        <f>'MSW27'!I99</f>
        <v>15</v>
      </c>
      <c r="J99" s="20"/>
      <c r="K99" s="20"/>
      <c r="L99" s="20"/>
      <c r="M99" s="95"/>
    </row>
    <row r="100" ht="17.25" customHeight="1">
      <c r="A100" s="96" t="str">
        <f>'MSW27'!A100</f>
        <v>SET</v>
      </c>
      <c r="B100" s="97" t="str">
        <f>'MSW27'!B100</f>
        <v>WEIGHT</v>
      </c>
      <c r="C100" s="97" t="str">
        <f>'MSW27'!C100</f>
        <v>REPS</v>
      </c>
      <c r="D100" s="97" t="str">
        <f>'MSW27'!D100</f>
        <v>REST</v>
      </c>
      <c r="E100" s="98" t="str">
        <f>'MSW27'!E100</f>
        <v>PREVIOUS</v>
      </c>
      <c r="F100" s="235" t="str">
        <f>'MSW27'!F100</f>
        <v>REP LOG</v>
      </c>
      <c r="H100" s="96" t="str">
        <f>'MSW27'!H100</f>
        <v>SET</v>
      </c>
      <c r="I100" s="97" t="str">
        <f>'MSW27'!I100</f>
        <v>WEIGHT</v>
      </c>
      <c r="J100" s="97" t="str">
        <f>'MSW27'!J100</f>
        <v>REPS</v>
      </c>
      <c r="K100" s="97" t="str">
        <f>'MSW27'!K100</f>
        <v>REST</v>
      </c>
      <c r="L100" s="341" t="str">
        <f>'MSW27'!L100</f>
        <v>PREVIOUS</v>
      </c>
      <c r="M100" s="235" t="str">
        <f>'MSW27'!M100</f>
        <v>REP LOG</v>
      </c>
    </row>
    <row r="101" ht="17.25" customHeight="1">
      <c r="A101" s="352">
        <f>'MSW27'!A101</f>
        <v>1</v>
      </c>
      <c r="B101" s="237">
        <f>'MSW27'!B101</f>
        <v>15</v>
      </c>
      <c r="C101" s="678" t="str">
        <f>'MSW27'!C101</f>
        <v>10 - 15</v>
      </c>
      <c r="D101" s="350" t="str">
        <f>'MSW27'!D101</f>
        <v>1 MIN</v>
      </c>
      <c r="E101" s="821" t="str">
        <f>'MSW27'!E101</f>
        <v/>
      </c>
      <c r="F101" s="85"/>
      <c r="H101" s="352">
        <f>'MSW27'!H101</f>
        <v>1</v>
      </c>
      <c r="I101" s="237">
        <f>'MSW27'!I101</f>
        <v>15</v>
      </c>
      <c r="J101" s="678" t="str">
        <f>'MSW27'!J101</f>
        <v>10 - 15</v>
      </c>
      <c r="K101" s="350" t="str">
        <f>'MSW27'!K101</f>
        <v>1 MIN</v>
      </c>
      <c r="L101" s="822" t="str">
        <f>'MSW27'!L101</f>
        <v/>
      </c>
      <c r="M101" s="85"/>
    </row>
    <row r="102" ht="17.25" customHeight="1">
      <c r="A102" s="352">
        <f>'MSW27'!A102</f>
        <v>2</v>
      </c>
      <c r="B102" s="237">
        <f>'MSW27'!B102</f>
        <v>10</v>
      </c>
      <c r="C102" s="678" t="str">
        <f>'MSW27'!C102</f>
        <v>10 - 15</v>
      </c>
      <c r="D102" s="350" t="str">
        <f>'MSW27'!D102</f>
        <v>1 MIN</v>
      </c>
      <c r="E102" s="821" t="str">
        <f>'MSW27'!E102</f>
        <v/>
      </c>
      <c r="F102" s="85"/>
      <c r="H102" s="352">
        <f>'MSW27'!H102</f>
        <v>2</v>
      </c>
      <c r="I102" s="237">
        <f>'MSW27'!I102</f>
        <v>10</v>
      </c>
      <c r="J102" s="681" t="str">
        <f>'MSW27'!J102</f>
        <v>10 - 15</v>
      </c>
      <c r="K102" s="350" t="str">
        <f>'MSW27'!K102</f>
        <v>1 MIN</v>
      </c>
      <c r="L102" s="822" t="str">
        <f>'MSW27'!L102</f>
        <v/>
      </c>
      <c r="M102" s="85"/>
    </row>
    <row r="103" ht="17.25" customHeight="1">
      <c r="A103" s="352">
        <f>'MSW27'!A103</f>
        <v>3</v>
      </c>
      <c r="B103" s="237">
        <f>'MSW27'!B103</f>
        <v>10</v>
      </c>
      <c r="C103" s="678" t="str">
        <f>'MSW27'!C103</f>
        <v>10 - 15</v>
      </c>
      <c r="D103" s="350" t="str">
        <f>'MSW27'!D103</f>
        <v>1 MIN</v>
      </c>
      <c r="E103" s="823" t="str">
        <f>'MSW27'!E103</f>
        <v/>
      </c>
      <c r="F103" s="85"/>
      <c r="H103" s="352">
        <f>'MSW27'!H103</f>
        <v>3</v>
      </c>
      <c r="I103" s="237">
        <f>'MSW27'!I103</f>
        <v>10</v>
      </c>
      <c r="J103" s="681" t="str">
        <f>'MSW27'!J103</f>
        <v>10 - 15</v>
      </c>
      <c r="K103" s="350" t="str">
        <f>'MSW27'!K103</f>
        <v>1 MIN</v>
      </c>
      <c r="L103" s="822" t="str">
        <f>'MSW27'!L103</f>
        <v/>
      </c>
      <c r="M103" s="85"/>
    </row>
    <row r="104" ht="17.25" customHeight="1">
      <c r="A104" s="272" t="str">
        <f>'MSW27'!A104</f>
        <v>FINAL MAX</v>
      </c>
      <c r="B104" s="332">
        <f>'MSW27'!B104</f>
        <v>15</v>
      </c>
      <c r="C104" s="33"/>
      <c r="D104" s="33"/>
      <c r="E104" s="33"/>
      <c r="F104" s="34"/>
      <c r="H104" s="272" t="str">
        <f>'MSW27'!H104</f>
        <v>FINAL MAX</v>
      </c>
      <c r="I104" s="332">
        <f>'MSW27'!I104</f>
        <v>15</v>
      </c>
      <c r="J104" s="33"/>
      <c r="K104" s="33"/>
      <c r="L104" s="33"/>
      <c r="M104" s="34"/>
    </row>
    <row r="105" ht="17.25" customHeight="1">
      <c r="A105" s="419"/>
      <c r="H105" s="419"/>
    </row>
    <row r="106" ht="17.25" customHeight="1">
      <c r="A106" s="310" t="str">
        <f>'MSW27'!A106</f>
        <v>CLICK TO COMPLETE WORKOUT</v>
      </c>
      <c r="B106" s="36"/>
      <c r="C106" s="36"/>
      <c r="D106" s="36"/>
      <c r="E106" s="36"/>
      <c r="F106" s="37"/>
    </row>
    <row r="107" ht="17.25" customHeight="1">
      <c r="A107" s="419"/>
    </row>
    <row r="108">
      <c r="A108" s="50" t="str">
        <f>'MSW27'!A108</f>
        <v>DAY 3</v>
      </c>
      <c r="B108" s="36"/>
      <c r="C108" s="36"/>
      <c r="D108" s="36"/>
      <c r="E108" s="36"/>
      <c r="F108" s="37"/>
    </row>
    <row r="109">
      <c r="A109" s="657"/>
    </row>
    <row r="111">
      <c r="A111" s="51" t="str">
        <f>'MSW27'!A111</f>
        <v>SHOULDERS &amp; ARMS</v>
      </c>
      <c r="B111" s="36"/>
      <c r="C111" s="36"/>
      <c r="D111" s="36"/>
      <c r="E111" s="36"/>
      <c r="F111" s="37"/>
      <c r="H111" s="51" t="str">
        <f>'MSW27'!H111</f>
        <v>SHOULDERS &amp; ARMS</v>
      </c>
      <c r="I111" s="36"/>
      <c r="J111" s="36"/>
      <c r="K111" s="36"/>
      <c r="L111" s="36"/>
      <c r="M111" s="37"/>
      <c r="N111" s="419"/>
    </row>
    <row r="112">
      <c r="A112" s="504" t="str">
        <f>'MSW27'!A112</f>
        <v>1. SHOULDER PRESS</v>
      </c>
      <c r="B112" s="53"/>
      <c r="C112" s="53"/>
      <c r="D112" s="53"/>
      <c r="E112" s="53"/>
      <c r="F112" s="54"/>
      <c r="H112" s="778" t="str">
        <f>'MSW27'!H112</f>
        <v>1. MACHINE SHOULDER PRESS</v>
      </c>
      <c r="I112" s="53"/>
      <c r="J112" s="53"/>
      <c r="K112" s="53"/>
      <c r="L112" s="53"/>
      <c r="M112" s="54"/>
    </row>
    <row r="113">
      <c r="A113" s="589" t="str">
        <f>'MSW27'!A113</f>
        <v>CURRENT MAX</v>
      </c>
      <c r="B113" s="227">
        <v>80.0</v>
      </c>
      <c r="C113" s="20"/>
      <c r="D113" s="20"/>
      <c r="E113" s="20"/>
      <c r="F113" s="95"/>
      <c r="H113" s="589" t="str">
        <f>'MSW27'!H113</f>
        <v>CURRENT MAX</v>
      </c>
      <c r="I113" s="227">
        <f>'MSW27'!I113</f>
        <v>105</v>
      </c>
      <c r="J113" s="20"/>
      <c r="K113" s="20"/>
      <c r="L113" s="20"/>
      <c r="M113" s="95"/>
    </row>
    <row r="114">
      <c r="A114" s="364" t="str">
        <f>'MSW27'!A114</f>
        <v>SET</v>
      </c>
      <c r="B114" s="365" t="str">
        <f>'MSW27'!B114</f>
        <v>WEIGHT</v>
      </c>
      <c r="C114" s="365" t="str">
        <f>'MSW27'!C114</f>
        <v>REPS</v>
      </c>
      <c r="D114" s="365" t="str">
        <f>'MSW27'!D114</f>
        <v>REST</v>
      </c>
      <c r="E114" s="609" t="str">
        <f>'MSW27'!E114</f>
        <v>PREVIOUS</v>
      </c>
      <c r="F114" s="235" t="str">
        <f>'MSW27'!F114</f>
        <v>REP LOG</v>
      </c>
      <c r="H114" s="364" t="str">
        <f>'MSW27'!H114</f>
        <v>SET</v>
      </c>
      <c r="I114" s="365" t="str">
        <f>'MSW27'!I114</f>
        <v>WEIGHT</v>
      </c>
      <c r="J114" s="365" t="str">
        <f>'MSW27'!J114</f>
        <v>REPS</v>
      </c>
      <c r="K114" s="365" t="str">
        <f>'MSW27'!K114</f>
        <v>REST</v>
      </c>
      <c r="L114" s="609" t="str">
        <f>'MSW27'!L114</f>
        <v>PREVIOUS</v>
      </c>
      <c r="M114" s="235" t="str">
        <f>'MSW27'!M114</f>
        <v>REP LOG</v>
      </c>
    </row>
    <row r="115">
      <c r="A115" s="236">
        <f>'MSW27'!A115</f>
        <v>1</v>
      </c>
      <c r="B115" s="237">
        <f>'MSW27'!B115</f>
        <v>30</v>
      </c>
      <c r="C115" s="237">
        <f>'MSW27'!C115</f>
        <v>6</v>
      </c>
      <c r="D115" s="238" t="str">
        <f>'MSW27'!D115</f>
        <v>30s</v>
      </c>
      <c r="E115" s="66" t="str">
        <f>'MSW27'!E115</f>
        <v/>
      </c>
      <c r="F115" s="67">
        <v>6.0</v>
      </c>
      <c r="H115" s="236">
        <f>'MSW27'!H115</f>
        <v>1</v>
      </c>
      <c r="I115" s="237">
        <f>'MSW27'!I115</f>
        <v>50</v>
      </c>
      <c r="J115" s="237">
        <f>'MSW27'!J115</f>
        <v>6</v>
      </c>
      <c r="K115" s="238" t="str">
        <f>'MSW27'!K115</f>
        <v>30s</v>
      </c>
      <c r="L115" s="66" t="str">
        <f>'MSW27'!L115</f>
        <v/>
      </c>
      <c r="M115" s="67"/>
    </row>
    <row r="116">
      <c r="A116" s="236">
        <f>'MSW27'!A116</f>
        <v>2</v>
      </c>
      <c r="B116" s="237">
        <f>'MSW27'!B116</f>
        <v>50</v>
      </c>
      <c r="C116" s="237">
        <f>'MSW27'!C116</f>
        <v>1</v>
      </c>
      <c r="D116" s="238" t="str">
        <f>'MSW27'!D116</f>
        <v>1 MIN</v>
      </c>
      <c r="E116" s="66" t="str">
        <f>'MSW27'!E116</f>
        <v/>
      </c>
      <c r="F116" s="67">
        <v>1.0</v>
      </c>
      <c r="H116" s="236">
        <f>'MSW27'!H116</f>
        <v>2</v>
      </c>
      <c r="I116" s="237">
        <f>'MSW27'!I116</f>
        <v>70</v>
      </c>
      <c r="J116" s="237">
        <f>'MSW27'!J116</f>
        <v>1</v>
      </c>
      <c r="K116" s="238" t="str">
        <f>'MSW27'!K116</f>
        <v>1 MIN</v>
      </c>
      <c r="L116" s="66" t="str">
        <f>'MSW27'!L116</f>
        <v/>
      </c>
      <c r="M116" s="67"/>
    </row>
    <row r="117">
      <c r="A117" s="242">
        <f>'MSW27'!A117</f>
        <v>3</v>
      </c>
      <c r="B117" s="237">
        <f>'MSW27'!B117</f>
        <v>70</v>
      </c>
      <c r="C117" s="824" t="str">
        <f>'MSW27'!C117</f>
        <v>REP OUT</v>
      </c>
      <c r="D117" s="65" t="str">
        <f>'MSW27'!D117</f>
        <v>1 MIN</v>
      </c>
      <c r="E117" s="66" t="str">
        <f>'MSW27'!E117</f>
        <v/>
      </c>
      <c r="F117" s="67">
        <v>6.0</v>
      </c>
      <c r="H117" s="242">
        <f>'MSW27'!H117</f>
        <v>3</v>
      </c>
      <c r="I117" s="237">
        <f>'MSW27'!I117</f>
        <v>95</v>
      </c>
      <c r="J117" s="824" t="str">
        <f>'MSW27'!J117</f>
        <v>REP OUT</v>
      </c>
      <c r="K117" s="65" t="str">
        <f>'MSW27'!K117</f>
        <v>1 MIN</v>
      </c>
      <c r="L117" s="66" t="str">
        <f>'MSW27'!L117</f>
        <v/>
      </c>
      <c r="M117" s="67"/>
    </row>
    <row r="118">
      <c r="A118" s="242">
        <f>'MSW27'!A118</f>
        <v>4</v>
      </c>
      <c r="B118" s="237">
        <f>'MSW27'!B118</f>
        <v>65</v>
      </c>
      <c r="C118" s="824" t="str">
        <f>'MSW27'!C118</f>
        <v>REP OUT</v>
      </c>
      <c r="D118" s="65" t="str">
        <f>'MSW27'!D118</f>
        <v>1 MIN</v>
      </c>
      <c r="E118" s="66" t="str">
        <f>'MSW27'!E118</f>
        <v/>
      </c>
      <c r="F118" s="665">
        <v>8.0</v>
      </c>
      <c r="H118" s="242">
        <f>'MSW27'!H118</f>
        <v>4</v>
      </c>
      <c r="I118" s="237">
        <f>'MSW27'!I118</f>
        <v>85</v>
      </c>
      <c r="J118" s="824" t="str">
        <f>'MSW27'!J118</f>
        <v>REP OUT</v>
      </c>
      <c r="K118" s="65" t="str">
        <f>'MSW27'!K118</f>
        <v>1 MIN</v>
      </c>
      <c r="L118" s="66" t="str">
        <f>'MSW27'!L118</f>
        <v/>
      </c>
      <c r="M118" s="665"/>
    </row>
    <row r="119">
      <c r="A119" s="825">
        <f>'MSW27'!A119</f>
        <v>5</v>
      </c>
      <c r="B119" s="371">
        <f>'MSW27'!B119</f>
        <v>55</v>
      </c>
      <c r="C119" s="826" t="str">
        <f>'MSW27'!C119</f>
        <v>REP OUT</v>
      </c>
      <c r="D119" s="71" t="str">
        <f>'MSW27'!D119</f>
        <v>1 MIN</v>
      </c>
      <c r="E119" s="72" t="str">
        <f>'MSW27'!E119</f>
        <v/>
      </c>
      <c r="F119" s="67">
        <v>10.0</v>
      </c>
      <c r="H119" s="825">
        <f>'MSW27'!H119</f>
        <v>5</v>
      </c>
      <c r="I119" s="371">
        <f>'MSW27'!I119</f>
        <v>72.5</v>
      </c>
      <c r="J119" s="826" t="str">
        <f>'MSW27'!J119</f>
        <v>REP OUT</v>
      </c>
      <c r="K119" s="71" t="str">
        <f>'MSW27'!K119</f>
        <v>1 MIN</v>
      </c>
      <c r="L119" s="72" t="str">
        <f>'MSW27'!L119</f>
        <v/>
      </c>
      <c r="M119" s="67"/>
    </row>
    <row r="120">
      <c r="A120" s="791"/>
      <c r="H120" s="419"/>
    </row>
    <row r="122">
      <c r="A122" s="687" t="str">
        <f>'MSW27'!A122</f>
        <v>2. Dumbbell REAR DELT FLY </v>
      </c>
      <c r="B122" s="53"/>
      <c r="C122" s="53"/>
      <c r="D122" s="53"/>
      <c r="E122" s="53"/>
      <c r="F122" s="54"/>
    </row>
    <row r="123">
      <c r="A123" s="226" t="str">
        <f>'MSW27'!A123</f>
        <v>SHLDR PRESS MAX</v>
      </c>
      <c r="B123" s="691">
        <f>'MSW27'!B123</f>
        <v>80</v>
      </c>
      <c r="C123" s="13"/>
      <c r="D123" s="13"/>
      <c r="E123" s="13"/>
      <c r="F123" s="57"/>
    </row>
    <row r="124">
      <c r="A124" s="96" t="str">
        <f>'MSW27'!A124</f>
        <v>SET</v>
      </c>
      <c r="B124" s="97" t="str">
        <f>'MSW27'!B124</f>
        <v>WEIGHT</v>
      </c>
      <c r="C124" s="97" t="str">
        <f>'MSW27'!C124</f>
        <v>REPS</v>
      </c>
      <c r="D124" s="97" t="str">
        <f>'MSW27'!D124</f>
        <v>REST</v>
      </c>
      <c r="E124" s="341" t="str">
        <f>'MSW27'!E124</f>
        <v>PREVIOUS</v>
      </c>
      <c r="F124" s="235" t="str">
        <f>'MSW27'!F124</f>
        <v>REP LOG</v>
      </c>
    </row>
    <row r="125">
      <c r="A125" s="556">
        <f>'MSW27'!A125</f>
        <v>1</v>
      </c>
      <c r="B125" s="237">
        <f>'MSW27'!B125</f>
        <v>15</v>
      </c>
      <c r="C125" s="827" t="str">
        <f>'MSW27'!C125</f>
        <v>10 - 15</v>
      </c>
      <c r="D125" s="693" t="str">
        <f>'MSW27'!D125</f>
        <v>1-3 MIN</v>
      </c>
      <c r="E125" s="346">
        <f>'MSW27'!E125</f>
        <v>15</v>
      </c>
      <c r="F125" s="85"/>
    </row>
    <row r="126">
      <c r="A126" s="556">
        <f>'MSW27'!A126</f>
        <v>2</v>
      </c>
      <c r="B126" s="237">
        <f>'MSW27'!B126</f>
        <v>10</v>
      </c>
      <c r="C126" s="827" t="str">
        <f>'MSW27'!C126</f>
        <v>10 - 15</v>
      </c>
      <c r="D126" s="693" t="str">
        <f>'MSW27'!D126</f>
        <v>1-3 MIN</v>
      </c>
      <c r="E126" s="346" t="str">
        <f>'MSW27'!E126</f>
        <v/>
      </c>
      <c r="F126" s="85"/>
    </row>
    <row r="127">
      <c r="A127" s="561">
        <f>'MSW27'!A127</f>
        <v>3</v>
      </c>
      <c r="B127" s="371">
        <f>'MSW27'!B127</f>
        <v>10</v>
      </c>
      <c r="C127" s="828" t="str">
        <f>'MSW27'!C127</f>
        <v>10 - 15</v>
      </c>
      <c r="D127" s="794" t="str">
        <f>'MSW27'!D127</f>
        <v>1-3 MIN</v>
      </c>
      <c r="E127" s="695" t="str">
        <f>'MSW27'!E127</f>
        <v/>
      </c>
      <c r="F127" s="85"/>
    </row>
    <row r="128">
      <c r="A128" s="795"/>
    </row>
    <row r="130">
      <c r="A130" s="513" t="str">
        <f>'MSW27'!A130</f>
        <v>3. DUMBBELL SIDE LATERAL RAISE</v>
      </c>
      <c r="B130" s="53"/>
      <c r="C130" s="53"/>
      <c r="D130" s="53"/>
      <c r="E130" s="53"/>
      <c r="F130" s="54"/>
    </row>
    <row r="131">
      <c r="A131" s="226" t="str">
        <f>'MSW27'!A131</f>
        <v>SHLDR PRESS MAX</v>
      </c>
      <c r="B131" s="90">
        <f>'MSW27'!B131</f>
        <v>80</v>
      </c>
      <c r="C131" s="13"/>
      <c r="D131" s="13"/>
      <c r="E131" s="13"/>
      <c r="F131" s="57"/>
    </row>
    <row r="132">
      <c r="A132" s="376" t="str">
        <f>'MSW27'!A132</f>
        <v>SET</v>
      </c>
      <c r="B132" s="79" t="str">
        <f>'MSW27'!B132</f>
        <v>WEIGHT</v>
      </c>
      <c r="C132" s="79" t="str">
        <f>'MSW27'!C132</f>
        <v>REPS</v>
      </c>
      <c r="D132" s="79" t="str">
        <f>'MSW27'!D132</f>
        <v>REST</v>
      </c>
      <c r="E132" s="98" t="str">
        <f>'MSW27'!E132</f>
        <v>PREVIOUS</v>
      </c>
      <c r="F132" s="235" t="str">
        <f>'MSW27'!F132</f>
        <v>REP LOG</v>
      </c>
    </row>
    <row r="133">
      <c r="A133" s="81">
        <f>'MSW27'!A133</f>
        <v>1</v>
      </c>
      <c r="B133" s="82">
        <f>'MSW27'!B133</f>
        <v>15</v>
      </c>
      <c r="C133" s="65" t="str">
        <f>'MSW27'!C133</f>
        <v>10 - 15</v>
      </c>
      <c r="D133" s="83" t="str">
        <f>'MSW27'!D133</f>
        <v>1-5 MIN</v>
      </c>
      <c r="E133" s="378">
        <f>'MSW27'!E133</f>
        <v>15</v>
      </c>
      <c r="F133" s="85"/>
    </row>
    <row r="134">
      <c r="A134" s="81">
        <f>'MSW27'!A134</f>
        <v>2</v>
      </c>
      <c r="B134" s="82">
        <f>'MSW27'!B134</f>
        <v>12.5</v>
      </c>
      <c r="C134" s="65" t="str">
        <f>'MSW27'!C134</f>
        <v>10 - 15</v>
      </c>
      <c r="D134" s="83" t="str">
        <f>'MSW27'!D134</f>
        <v>1-5 MIN</v>
      </c>
      <c r="E134" s="378" t="str">
        <f>'MSW27'!E134</f>
        <v/>
      </c>
      <c r="F134" s="85"/>
    </row>
    <row r="135">
      <c r="A135" s="86">
        <f>'MSW27'!A135</f>
        <v>3</v>
      </c>
      <c r="B135" s="87">
        <f>'MSW27'!B135</f>
        <v>7.5</v>
      </c>
      <c r="C135" s="71" t="str">
        <f>'MSW27'!C135</f>
        <v>10 - 15</v>
      </c>
      <c r="D135" s="88" t="str">
        <f>'MSW27'!D135</f>
        <v>1-5 MIN</v>
      </c>
      <c r="E135" s="379" t="str">
        <f>'MSW27'!E135</f>
        <v/>
      </c>
      <c r="F135" s="85"/>
    </row>
    <row r="136">
      <c r="A136" s="795"/>
    </row>
    <row r="138">
      <c r="A138" s="361" t="str">
        <f>'MSW27'!A138</f>
        <v>2.  TRICEP OVERHEAD ROPE EXTENSION</v>
      </c>
      <c r="B138" s="53"/>
      <c r="C138" s="53"/>
      <c r="D138" s="53"/>
      <c r="E138" s="53"/>
      <c r="F138" s="54"/>
    </row>
    <row r="139">
      <c r="A139" s="226" t="str">
        <f>'MSW27'!A139</f>
        <v>TRI PSH DWN MAX</v>
      </c>
      <c r="B139" s="90">
        <f>'MSW27'!B139</f>
        <v>10</v>
      </c>
      <c r="C139" s="13"/>
      <c r="D139" s="13"/>
      <c r="E139" s="13"/>
      <c r="F139" s="57"/>
    </row>
    <row r="140">
      <c r="A140" s="77" t="str">
        <f>'MSW27'!A140</f>
        <v>SET</v>
      </c>
      <c r="B140" s="78" t="str">
        <f>'MSW27'!B140</f>
        <v>WEIGHT</v>
      </c>
      <c r="C140" s="78" t="str">
        <f>'MSW27'!C140</f>
        <v>REPS</v>
      </c>
      <c r="D140" s="78" t="str">
        <f>'MSW27'!D140</f>
        <v>REST</v>
      </c>
      <c r="E140" s="80" t="str">
        <f>'MSW27'!E140</f>
        <v>PREVIOUS</v>
      </c>
      <c r="F140" s="235" t="str">
        <f>'MSW27'!F140</f>
        <v>REP LOG</v>
      </c>
    </row>
    <row r="141">
      <c r="A141" s="81">
        <f>'MSW27'!A141</f>
        <v>1</v>
      </c>
      <c r="B141" s="82">
        <f>'MSW27'!B141</f>
        <v>10</v>
      </c>
      <c r="C141" s="65" t="str">
        <f>'MSW27'!C141</f>
        <v>10 - 15</v>
      </c>
      <c r="D141" s="83" t="str">
        <f>'MSW27'!D141</f>
        <v>1MIN</v>
      </c>
      <c r="E141" s="84" t="str">
        <f>'MSW27'!E141</f>
        <v/>
      </c>
      <c r="F141" s="85"/>
    </row>
    <row r="142">
      <c r="A142" s="81">
        <f>'MSW27'!A142</f>
        <v>2</v>
      </c>
      <c r="B142" s="82">
        <f>'MSW27'!B142</f>
        <v>10</v>
      </c>
      <c r="C142" s="65" t="str">
        <f>'MSW27'!C142</f>
        <v>10 - 15</v>
      </c>
      <c r="D142" s="83" t="str">
        <f>'MSW27'!D142</f>
        <v>1MIN</v>
      </c>
      <c r="E142" s="84" t="str">
        <f>'MSW27'!E142</f>
        <v/>
      </c>
      <c r="F142" s="85"/>
    </row>
    <row r="143">
      <c r="A143" s="629">
        <f>'MSW27'!A143</f>
        <v>3</v>
      </c>
      <c r="B143" s="630">
        <f>'MSW27'!B143</f>
        <v>10</v>
      </c>
      <c r="C143" s="631" t="str">
        <f>'MSW27'!C143</f>
        <v>10 - 15</v>
      </c>
      <c r="D143" s="328" t="str">
        <f>'MSW27'!D143</f>
        <v>1MIN</v>
      </c>
      <c r="E143" s="632" t="str">
        <f>'MSW27'!E143</f>
        <v/>
      </c>
      <c r="F143" s="330"/>
    </row>
    <row r="144">
      <c r="A144" s="797"/>
      <c r="B144" s="798"/>
      <c r="C144" s="798"/>
      <c r="D144" s="799"/>
      <c r="E144" s="800"/>
      <c r="F144" s="799"/>
    </row>
    <row r="146">
      <c r="A146" s="687" t="str">
        <f>'MSW27'!A146</f>
        <v>4. BICEP CABLE CURL</v>
      </c>
      <c r="B146" s="53"/>
      <c r="C146" s="53"/>
      <c r="D146" s="53"/>
      <c r="E146" s="53"/>
      <c r="F146" s="54"/>
    </row>
    <row r="147">
      <c r="A147" s="226" t="str">
        <f>'MSW27'!A147</f>
        <v>CURRENT MAX</v>
      </c>
      <c r="B147" s="691">
        <f>'MSW27'!B147</f>
        <v>50</v>
      </c>
      <c r="C147" s="13"/>
      <c r="D147" s="13"/>
      <c r="E147" s="13"/>
      <c r="F147" s="57"/>
    </row>
    <row r="148">
      <c r="A148" s="96" t="str">
        <f>'MSW27'!A148</f>
        <v>SET</v>
      </c>
      <c r="B148" s="97" t="str">
        <f>'MSW27'!B148</f>
        <v>WEIGHT</v>
      </c>
      <c r="C148" s="97" t="str">
        <f>'MSW27'!C148</f>
        <v>REPS</v>
      </c>
      <c r="D148" s="97" t="str">
        <f>'MSW27'!D148</f>
        <v>REST</v>
      </c>
      <c r="E148" s="341" t="str">
        <f>'MSW27'!E148</f>
        <v>PREVIOUS</v>
      </c>
      <c r="F148" s="235" t="str">
        <f>'MSW27'!F148</f>
        <v>REP LOG</v>
      </c>
    </row>
    <row r="149">
      <c r="A149" s="725">
        <f>'MSW27'!A149</f>
        <v>1</v>
      </c>
      <c r="B149" s="344">
        <f>'MSW27'!B149</f>
        <v>50</v>
      </c>
      <c r="C149" s="344" t="str">
        <f>'MSW27'!C149</f>
        <v>15 - 20</v>
      </c>
      <c r="D149" s="693" t="str">
        <f>'MSW27'!D149</f>
        <v>1MIN</v>
      </c>
      <c r="E149" s="346">
        <f>'MSW27'!E149</f>
        <v>3</v>
      </c>
      <c r="F149" s="85"/>
    </row>
    <row r="150">
      <c r="A150" s="725">
        <f>'MSW27'!A150</f>
        <v>2</v>
      </c>
      <c r="B150" s="344">
        <f>'MSW27'!B150</f>
        <v>40</v>
      </c>
      <c r="C150" s="829" t="str">
        <f>'MSW27'!C150</f>
        <v>15 - 20</v>
      </c>
      <c r="D150" s="693" t="str">
        <f>'MSW27'!D150</f>
        <v>1MIN</v>
      </c>
      <c r="E150" s="346">
        <f>'MSW27'!E150</f>
        <v>5</v>
      </c>
      <c r="F150" s="85"/>
    </row>
    <row r="151">
      <c r="A151" s="753">
        <f>'MSW27'!A151</f>
        <v>3</v>
      </c>
      <c r="B151" s="754">
        <f>'MSW27'!B151</f>
        <v>30</v>
      </c>
      <c r="C151" s="830" t="str">
        <f>'MSW27'!C151</f>
        <v>15 - 20</v>
      </c>
      <c r="D151" s="794" t="str">
        <f>'MSW27'!D151</f>
        <v>1MIN</v>
      </c>
      <c r="E151" s="695" t="str">
        <f>'MSW27'!E151</f>
        <v/>
      </c>
      <c r="F151" s="85"/>
    </row>
    <row r="152">
      <c r="A152" s="806"/>
    </row>
    <row r="154">
      <c r="A154" s="310" t="str">
        <f>'MSW27'!A154</f>
        <v>CLICK TO COMPLETE WORKOUT</v>
      </c>
      <c r="B154" s="36"/>
      <c r="C154" s="36"/>
      <c r="D154" s="36"/>
      <c r="E154" s="36"/>
      <c r="F154" s="37"/>
    </row>
    <row r="155">
      <c r="A155" s="831"/>
      <c r="B155" s="25"/>
      <c r="C155" s="25"/>
      <c r="D155" s="25"/>
      <c r="E155" s="25"/>
      <c r="F155" s="25"/>
    </row>
    <row r="156">
      <c r="A156" s="106" t="str">
        <f>'MSW27'!A156</f>
        <v>WORKOUT COMPLETE!</v>
      </c>
      <c r="B156" s="36"/>
      <c r="C156" s="36"/>
      <c r="D156" s="36"/>
      <c r="E156" s="36"/>
      <c r="F156" s="37"/>
    </row>
    <row r="157">
      <c r="A157" s="103"/>
    </row>
    <row r="158">
      <c r="A158" s="641" t="str">
        <f>'MSW27'!A158</f>
        <v>WANT TO LEARN MORE?</v>
      </c>
      <c r="B158" s="16"/>
      <c r="C158" s="16"/>
      <c r="D158" s="16"/>
      <c r="E158" s="16"/>
      <c r="F158" s="17"/>
    </row>
    <row r="159">
      <c r="A159" s="18"/>
      <c r="B159" s="13"/>
      <c r="C159" s="13"/>
      <c r="D159" s="13"/>
      <c r="E159" s="13"/>
      <c r="F159" s="14"/>
    </row>
    <row r="160">
      <c r="A160" s="419"/>
      <c r="B160" s="832"/>
      <c r="C160" s="833" t="str">
        <f>'MSW27'!C160</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60" s="25"/>
      <c r="E160" s="25"/>
      <c r="F160" s="26"/>
    </row>
    <row r="161">
      <c r="A161" s="419"/>
      <c r="B161" s="832"/>
      <c r="F161" s="28"/>
    </row>
    <row r="162">
      <c r="A162" s="419"/>
      <c r="B162" s="832"/>
      <c r="F162" s="28"/>
    </row>
    <row r="163">
      <c r="A163" s="419"/>
      <c r="B163" s="832"/>
      <c r="F163" s="28"/>
    </row>
    <row r="164">
      <c r="A164" s="419"/>
      <c r="B164" s="832"/>
      <c r="F164" s="28"/>
    </row>
    <row r="165">
      <c r="A165" s="419"/>
      <c r="B165" s="832"/>
      <c r="F165" s="28"/>
    </row>
    <row r="166">
      <c r="A166" s="808"/>
      <c r="B166" s="832"/>
      <c r="F166" s="28"/>
    </row>
    <row r="167">
      <c r="A167" s="419"/>
      <c r="B167" s="832"/>
      <c r="F167" s="28"/>
    </row>
    <row r="168">
      <c r="A168" s="419"/>
      <c r="B168" s="832"/>
      <c r="F168" s="28"/>
    </row>
    <row r="169">
      <c r="A169" s="809"/>
      <c r="B169" s="832"/>
      <c r="F169" s="28"/>
    </row>
    <row r="170">
      <c r="A170" s="419"/>
      <c r="B170" s="832"/>
      <c r="F170" s="28"/>
    </row>
    <row r="171">
      <c r="A171" s="419"/>
      <c r="B171" s="832"/>
      <c r="F171" s="28"/>
    </row>
    <row r="172">
      <c r="A172" s="419"/>
      <c r="B172" s="832"/>
      <c r="F172" s="28"/>
    </row>
    <row r="173">
      <c r="A173" s="419"/>
      <c r="B173" s="832"/>
      <c r="F173" s="28"/>
    </row>
    <row r="174">
      <c r="A174" s="419"/>
      <c r="B174" s="832"/>
      <c r="C174" s="11"/>
      <c r="D174" s="11"/>
      <c r="E174" s="11"/>
      <c r="F174" s="46"/>
    </row>
    <row r="175">
      <c r="A175" s="419"/>
    </row>
  </sheetData>
  <mergeCells count="110">
    <mergeCell ref="A10:F11"/>
    <mergeCell ref="A12:F12"/>
    <mergeCell ref="H12:M14"/>
    <mergeCell ref="A13:F13"/>
    <mergeCell ref="A14:F14"/>
    <mergeCell ref="A15:F15"/>
    <mergeCell ref="H15:M15"/>
    <mergeCell ref="A16:F17"/>
    <mergeCell ref="H16:M17"/>
    <mergeCell ref="A18:F18"/>
    <mergeCell ref="H18:M18"/>
    <mergeCell ref="A19:F19"/>
    <mergeCell ref="H19:M19"/>
    <mergeCell ref="G9:G18"/>
    <mergeCell ref="G20:G31"/>
    <mergeCell ref="N1:T18"/>
    <mergeCell ref="O19:T19"/>
    <mergeCell ref="I20:M20"/>
    <mergeCell ref="P20:T20"/>
    <mergeCell ref="A25:F25"/>
    <mergeCell ref="H25:M25"/>
    <mergeCell ref="B20:F20"/>
    <mergeCell ref="A30:F31"/>
    <mergeCell ref="H30:T31"/>
    <mergeCell ref="A32:F32"/>
    <mergeCell ref="H32:M32"/>
    <mergeCell ref="N32:T36"/>
    <mergeCell ref="B33:F33"/>
    <mergeCell ref="I33:M33"/>
    <mergeCell ref="A9:F9"/>
    <mergeCell ref="A37:F38"/>
    <mergeCell ref="B55:F55"/>
    <mergeCell ref="A60:F61"/>
    <mergeCell ref="A62:F62"/>
    <mergeCell ref="B63:F63"/>
    <mergeCell ref="A68:F68"/>
    <mergeCell ref="A69:F69"/>
    <mergeCell ref="A70:F70"/>
    <mergeCell ref="A71:F71"/>
    <mergeCell ref="A72:F75"/>
    <mergeCell ref="A76:F76"/>
    <mergeCell ref="H76:M76"/>
    <mergeCell ref="N76:T84"/>
    <mergeCell ref="H77:M77"/>
    <mergeCell ref="A77:F77"/>
    <mergeCell ref="B78:F78"/>
    <mergeCell ref="G33:G76"/>
    <mergeCell ref="A39:F39"/>
    <mergeCell ref="B40:F40"/>
    <mergeCell ref="A46:F46"/>
    <mergeCell ref="A49:F49"/>
    <mergeCell ref="B52:F52"/>
    <mergeCell ref="A54:F54"/>
    <mergeCell ref="H85:T97"/>
    <mergeCell ref="B87:F87"/>
    <mergeCell ref="B90:F90"/>
    <mergeCell ref="B95:F95"/>
    <mergeCell ref="A89:F89"/>
    <mergeCell ref="A96:F97"/>
    <mergeCell ref="A98:F98"/>
    <mergeCell ref="H98:M98"/>
    <mergeCell ref="N98:T104"/>
    <mergeCell ref="B99:F99"/>
    <mergeCell ref="I99:M99"/>
    <mergeCell ref="B104:F104"/>
    <mergeCell ref="I104:M104"/>
    <mergeCell ref="G78:G97"/>
    <mergeCell ref="A105:F105"/>
    <mergeCell ref="H105:T110"/>
    <mergeCell ref="A106:F106"/>
    <mergeCell ref="H37:T75"/>
    <mergeCell ref="I78:M78"/>
    <mergeCell ref="A107:F107"/>
    <mergeCell ref="A108:F108"/>
    <mergeCell ref="A109:F110"/>
    <mergeCell ref="A111:F111"/>
    <mergeCell ref="H111:M111"/>
    <mergeCell ref="N111:T119"/>
    <mergeCell ref="H112:M112"/>
    <mergeCell ref="I113:M113"/>
    <mergeCell ref="A112:F112"/>
    <mergeCell ref="B113:F113"/>
    <mergeCell ref="A122:F122"/>
    <mergeCell ref="B123:F123"/>
    <mergeCell ref="A128:F129"/>
    <mergeCell ref="A130:F130"/>
    <mergeCell ref="G99:G175"/>
    <mergeCell ref="H120:T175"/>
    <mergeCell ref="A1:M8"/>
    <mergeCell ref="U1:U175"/>
    <mergeCell ref="H9:M9"/>
    <mergeCell ref="H10:M10"/>
    <mergeCell ref="N19:N29"/>
    <mergeCell ref="O25:T25"/>
    <mergeCell ref="A120:F121"/>
    <mergeCell ref="A175:F175"/>
    <mergeCell ref="B131:F131"/>
    <mergeCell ref="A136:F137"/>
    <mergeCell ref="A138:F138"/>
    <mergeCell ref="B139:F139"/>
    <mergeCell ref="A145:F145"/>
    <mergeCell ref="A146:F146"/>
    <mergeCell ref="B147:F147"/>
    <mergeCell ref="A152:F153"/>
    <mergeCell ref="A154:F154"/>
    <mergeCell ref="A155:F155"/>
    <mergeCell ref="A156:F156"/>
    <mergeCell ref="A157:F157"/>
    <mergeCell ref="A158:F159"/>
    <mergeCell ref="C160:F174"/>
  </mergeCells>
  <dataValidations>
    <dataValidation type="decimal" allowBlank="1" showDropDown="1" showErrorMessage="1" sqref="F22:F24 M22:M24 T22:T24 F27:F29 M27:M29 T27:T29 F35:F36 M35:M36 F42:F45 F47:F48 F50:F51 F53 F57:F59 F65:F67 M80:M84 F79:F85 F92:F94 F101:F103 M101:M103 F115:F119 M115:M119 F125:F127 F133:F135 F142:F144 F149:F151">
      <formula1>0.0</formula1>
      <formula2>500.0</formula2>
    </dataValidation>
    <dataValidation type="decimal" operator="greaterThan" allowBlank="1" showDropDown="1" showErrorMessage="1" sqref="M11">
      <formula1>0.0</formula1>
    </dataValidation>
  </dataValidations>
  <drawing r:id="rId2"/>
  <legacyDrawing r:id="rId3"/>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3"/>
    </row>
    <row r="8">
      <c r="A8" s="11"/>
      <c r="B8" s="11"/>
      <c r="C8" s="11"/>
      <c r="D8" s="11"/>
      <c r="E8" s="11"/>
      <c r="F8" s="11"/>
      <c r="G8" s="11"/>
      <c r="H8" s="11"/>
      <c r="I8" s="11"/>
      <c r="J8" s="11"/>
      <c r="K8" s="11"/>
      <c r="L8" s="11"/>
      <c r="M8" s="11"/>
      <c r="N8" s="11"/>
      <c r="O8" s="11"/>
      <c r="P8" s="11"/>
      <c r="Q8" s="11"/>
      <c r="R8" s="11"/>
      <c r="S8" s="11"/>
      <c r="T8" s="11"/>
      <c r="U8" s="11"/>
    </row>
    <row r="9">
      <c r="A9" s="1531" t="s">
        <v>161</v>
      </c>
      <c r="B9" s="11"/>
      <c r="C9" s="11"/>
      <c r="D9" s="11"/>
      <c r="E9" s="11"/>
      <c r="F9" s="46"/>
      <c r="G9" s="598"/>
    </row>
    <row r="10">
      <c r="A10" s="719" t="str">
        <f>HYPERLINK("https://goo.gl/forms/3ibooB993Hi7SS2d2","PRESS TO RECORD BODY WEIGHT")</f>
        <v>PRESS TO RECORD BODY WEIGHT</v>
      </c>
      <c r="B10" s="25"/>
      <c r="C10" s="25"/>
      <c r="D10" s="25"/>
      <c r="E10" s="25"/>
      <c r="F10" s="26"/>
    </row>
    <row r="11">
      <c r="A11" s="336"/>
      <c r="B11" s="11"/>
      <c r="C11" s="11"/>
      <c r="D11" s="11"/>
      <c r="E11" s="11"/>
      <c r="F11" s="46"/>
    </row>
    <row r="12">
      <c r="A12" s="655" t="s">
        <v>69</v>
      </c>
      <c r="B12" s="36"/>
      <c r="C12" s="36"/>
      <c r="D12" s="36"/>
      <c r="E12" s="36"/>
      <c r="F12" s="37"/>
    </row>
    <row r="13">
      <c r="A13" s="836" t="s">
        <v>162</v>
      </c>
      <c r="B13" s="36"/>
      <c r="C13" s="36"/>
      <c r="D13" s="36"/>
      <c r="E13" s="36"/>
      <c r="F13" s="37"/>
    </row>
    <row r="14">
      <c r="A14" s="837"/>
      <c r="B14" s="837"/>
    </row>
    <row r="15">
      <c r="A15" s="538" t="s">
        <v>79</v>
      </c>
      <c r="B15" s="36"/>
      <c r="C15" s="36"/>
      <c r="D15" s="36"/>
      <c r="E15" s="36"/>
      <c r="F15" s="37"/>
      <c r="G15" s="598"/>
      <c r="H15" s="224" t="s">
        <v>118</v>
      </c>
      <c r="I15" s="36"/>
      <c r="J15" s="36"/>
      <c r="K15" s="36"/>
      <c r="L15" s="36"/>
      <c r="M15" s="37"/>
      <c r="N15" s="598"/>
      <c r="O15" s="224" t="s">
        <v>118</v>
      </c>
      <c r="P15" s="36"/>
      <c r="Q15" s="36"/>
      <c r="R15" s="36"/>
      <c r="S15" s="36"/>
      <c r="T15" s="37"/>
      <c r="U15" s="598"/>
    </row>
    <row r="16">
      <c r="A16" s="838"/>
      <c r="B16" s="838"/>
      <c r="H16" s="598"/>
      <c r="O16" s="598"/>
    </row>
    <row r="17">
      <c r="A17" s="838"/>
    </row>
    <row r="18">
      <c r="A18" s="542" t="s">
        <v>48</v>
      </c>
      <c r="B18" s="36"/>
      <c r="C18" s="36"/>
      <c r="D18" s="36"/>
      <c r="E18" s="36"/>
      <c r="F18" s="37"/>
      <c r="H18" s="542" t="s">
        <v>48</v>
      </c>
      <c r="I18" s="36"/>
      <c r="J18" s="36"/>
      <c r="K18" s="36"/>
      <c r="L18" s="36"/>
      <c r="M18" s="37"/>
      <c r="O18" s="542" t="s">
        <v>48</v>
      </c>
      <c r="P18" s="36"/>
      <c r="Q18" s="36"/>
      <c r="R18" s="36"/>
      <c r="S18" s="36"/>
      <c r="T18" s="37"/>
    </row>
    <row r="19">
      <c r="A19" s="73" t="str">
        <f>HYPERLINK("https://www.youtube.com/watch?v=iLgUDezDMbU","1. BENCH PRESS")</f>
        <v>1. BENCH PRESS</v>
      </c>
      <c r="B19" s="53"/>
      <c r="C19" s="53"/>
      <c r="D19" s="53"/>
      <c r="E19" s="53"/>
      <c r="F19" s="54"/>
      <c r="H19" s="73" t="str">
        <f>HYPERLINK("https://www.youtube.com/watch?v=iLgUDezDMbU","1. MACHINE PRESS")</f>
        <v>1. MACHINE PRESS</v>
      </c>
      <c r="I19" s="53"/>
      <c r="J19" s="53"/>
      <c r="K19" s="53"/>
      <c r="L19" s="53"/>
      <c r="M19" s="54"/>
      <c r="O19" s="113" t="str">
        <f>HYPERLINK("https://www.youtube.com/watch?v=iLgUDezDMbU","1. DUMBBELL INCLINE PRESS")</f>
        <v>1. DUMBBELL INCLINE PRESS</v>
      </c>
      <c r="P19" s="53"/>
      <c r="Q19" s="53"/>
      <c r="R19" s="53"/>
      <c r="S19" s="53"/>
      <c r="T19" s="54"/>
    </row>
    <row r="20">
      <c r="A20" s="589" t="s">
        <v>119</v>
      </c>
      <c r="B20" s="227">
        <f>'WEEK 27'!B20</f>
        <v>270</v>
      </c>
      <c r="C20" s="20"/>
      <c r="D20" s="20"/>
      <c r="E20" s="20"/>
      <c r="F20" s="95"/>
      <c r="G20" s="598"/>
      <c r="H20" s="226" t="s">
        <v>119</v>
      </c>
      <c r="I20" s="839" t="str">
        <f>'WEEK 27'!I20</f>
        <v/>
      </c>
      <c r="O20" s="226" t="s">
        <v>119</v>
      </c>
      <c r="P20" s="839">
        <f>'WEEK 2'!B34</f>
        <v>75</v>
      </c>
    </row>
    <row r="21">
      <c r="A21" s="364" t="s">
        <v>50</v>
      </c>
      <c r="B21" s="365" t="s">
        <v>51</v>
      </c>
      <c r="C21" s="365" t="s">
        <v>52</v>
      </c>
      <c r="D21" s="365" t="s">
        <v>53</v>
      </c>
      <c r="E21" s="609" t="s">
        <v>54</v>
      </c>
      <c r="F21" s="61" t="s">
        <v>55</v>
      </c>
      <c r="H21" s="96" t="s">
        <v>50</v>
      </c>
      <c r="I21" s="840" t="s">
        <v>51</v>
      </c>
      <c r="J21" s="840" t="s">
        <v>52</v>
      </c>
      <c r="K21" s="840" t="s">
        <v>53</v>
      </c>
      <c r="L21" s="341" t="s">
        <v>54</v>
      </c>
      <c r="M21" s="235" t="s">
        <v>55</v>
      </c>
      <c r="O21" s="96" t="s">
        <v>50</v>
      </c>
      <c r="P21" s="840" t="s">
        <v>51</v>
      </c>
      <c r="Q21" s="840" t="s">
        <v>52</v>
      </c>
      <c r="R21" s="840" t="s">
        <v>53</v>
      </c>
      <c r="S21" s="341" t="s">
        <v>54</v>
      </c>
      <c r="T21" s="235" t="s">
        <v>55</v>
      </c>
    </row>
    <row r="22">
      <c r="A22" s="236">
        <v>1.0</v>
      </c>
      <c r="B22" s="237">
        <f>IF( 'WEEK 28'!B20&lt;125,45,mround('WEEK 28'!B20*0.35,5))</f>
        <v>95</v>
      </c>
      <c r="C22" s="237">
        <v>6.0</v>
      </c>
      <c r="D22" s="238" t="s">
        <v>120</v>
      </c>
      <c r="E22" s="66"/>
      <c r="F22" s="67"/>
      <c r="H22" s="240">
        <v>1.0</v>
      </c>
      <c r="I22" s="241">
        <f>mround('WEEK 28'!I20*0.35,5)</f>
        <v>0</v>
      </c>
      <c r="J22" s="63">
        <v>6.0</v>
      </c>
      <c r="K22" s="83" t="s">
        <v>57</v>
      </c>
      <c r="L22" s="841"/>
      <c r="M22" s="85"/>
      <c r="O22" s="244">
        <v>1.0</v>
      </c>
      <c r="P22" s="241">
        <f>mround('WEEK 28'!P20*0.35,5)</f>
        <v>25</v>
      </c>
      <c r="Q22" s="241">
        <v>6.0</v>
      </c>
      <c r="R22" s="83" t="s">
        <v>57</v>
      </c>
      <c r="S22" s="841"/>
      <c r="T22" s="85">
        <v>6.0</v>
      </c>
    </row>
    <row r="23">
      <c r="A23" s="236">
        <v>2.0</v>
      </c>
      <c r="B23" s="237">
        <f>mround('WEEK 28'!B20*0.8,5)</f>
        <v>215</v>
      </c>
      <c r="C23" s="237">
        <v>1.0</v>
      </c>
      <c r="D23" s="238" t="s">
        <v>57</v>
      </c>
      <c r="E23" s="66"/>
      <c r="F23" s="67"/>
      <c r="H23" s="240">
        <v>2.0</v>
      </c>
      <c r="I23" s="241">
        <f>mround('WEEK 28'!I20*0.65,5)</f>
        <v>0</v>
      </c>
      <c r="J23" s="241">
        <v>1.0</v>
      </c>
      <c r="K23" s="83" t="s">
        <v>57</v>
      </c>
      <c r="L23" s="841"/>
      <c r="M23" s="85"/>
      <c r="O23" s="240">
        <v>2.0</v>
      </c>
      <c r="P23" s="241">
        <f>mround('WEEK 28'!P20*0.65,5)</f>
        <v>50</v>
      </c>
      <c r="Q23" s="241">
        <v>1.0</v>
      </c>
      <c r="R23" s="83" t="s">
        <v>57</v>
      </c>
      <c r="S23" s="841"/>
      <c r="T23" s="85">
        <v>1.0</v>
      </c>
    </row>
    <row r="24">
      <c r="A24" s="242">
        <v>3.0</v>
      </c>
      <c r="B24" s="237">
        <f>mround('WEEK 28'!B20*0.9,5)</f>
        <v>245</v>
      </c>
      <c r="C24" s="82">
        <v>1.0</v>
      </c>
      <c r="D24" s="65" t="s">
        <v>57</v>
      </c>
      <c r="E24" s="66"/>
      <c r="F24" s="67"/>
      <c r="H24" s="240">
        <v>3.0</v>
      </c>
      <c r="I24" s="241">
        <f>mround('WEEK 28'!I20*0.85,5)</f>
        <v>0</v>
      </c>
      <c r="J24" s="241">
        <v>1.0</v>
      </c>
      <c r="K24" s="83" t="s">
        <v>57</v>
      </c>
      <c r="L24" s="841"/>
      <c r="M24" s="85"/>
      <c r="O24" s="240">
        <v>3.0</v>
      </c>
      <c r="P24" s="241">
        <f>mround('WEEK 28'!P20*0.85,5)</f>
        <v>65</v>
      </c>
      <c r="Q24" s="241">
        <v>1.0</v>
      </c>
      <c r="R24" s="83" t="s">
        <v>57</v>
      </c>
      <c r="S24" s="841"/>
      <c r="T24" s="85">
        <v>1.0</v>
      </c>
    </row>
    <row r="25">
      <c r="A25" s="242">
        <v>4.0</v>
      </c>
      <c r="B25" s="237">
        <f>'WEEK 28'!B20</f>
        <v>270</v>
      </c>
      <c r="C25" s="82">
        <v>1.0</v>
      </c>
      <c r="D25" s="65" t="s">
        <v>57</v>
      </c>
      <c r="E25" s="66"/>
      <c r="F25" s="67"/>
      <c r="H25" s="244">
        <v>4.0</v>
      </c>
      <c r="I25" s="241">
        <f>mround('WEEK 28'!I20*1,5)</f>
        <v>0</v>
      </c>
      <c r="J25" s="245" t="s">
        <v>65</v>
      </c>
      <c r="K25" s="83" t="s">
        <v>57</v>
      </c>
      <c r="L25" s="841"/>
      <c r="M25" s="85"/>
      <c r="O25" s="240">
        <v>4.0</v>
      </c>
      <c r="P25" s="241">
        <f>mround('WEEK 28'!P20*1,5)</f>
        <v>75</v>
      </c>
      <c r="Q25" s="245" t="s">
        <v>65</v>
      </c>
      <c r="R25" s="83" t="s">
        <v>57</v>
      </c>
      <c r="S25" s="841"/>
      <c r="T25" s="85">
        <v>10.0</v>
      </c>
    </row>
    <row r="26">
      <c r="A26" s="246" t="s">
        <v>163</v>
      </c>
      <c r="B26" s="20"/>
      <c r="C26" s="20"/>
      <c r="D26" s="20"/>
      <c r="E26" s="20"/>
      <c r="F26" s="95"/>
      <c r="G26" s="247" t="s">
        <v>123</v>
      </c>
      <c r="H26" s="248" t="str">
        <f>IF(OR(ISBLANK('WEEK 28'!M25),ISBLANK('WEEK 28'!M24),ISBLANK('WEEK 28'!M23)),"PROCEED TO DOWNSETS",if('WEEK 28'!M25&gt;=6,"NEW 4 REP MAX ATTEMPT","PROCEED TO DOWN SETS"))</f>
        <v>PROCEED TO DOWNSETS</v>
      </c>
      <c r="M26" s="28"/>
      <c r="O26" s="248" t="str">
        <f>IF(OR(ISBLANK('WEEK 28'!T25),ISBLANK('WEEK 28'!T24),ISBLANK('WEEK 28'!T23)),"PROCEED TO DOWNSETS",if('WEEK 28'!T25&gt;=6,"NEW 4 REP MAX ATTEMPT","PROCEED TO DOWN SETS"))</f>
        <v>PROCEED TO DOWNSETS</v>
      </c>
      <c r="T26" s="28"/>
    </row>
    <row r="27">
      <c r="A27" s="249" t="str">
        <f>if('WEEK 28'!F25&lt;1,"",5)</f>
        <v/>
      </c>
      <c r="B27" s="82" t="str">
        <f>IF('WEEK 28'!F25&lt;1,"",'WEEK 28'!B25+5)</f>
        <v/>
      </c>
      <c r="C27" s="238" t="str">
        <f>if('WEEK 28'!F25&lt;1,"",1)</f>
        <v/>
      </c>
      <c r="D27" s="238" t="str">
        <f>if('WEEK 28'!F25&lt;1,"","1-5 MIN")</f>
        <v/>
      </c>
      <c r="E27" s="250"/>
      <c r="F27" s="67"/>
      <c r="H27" s="251" t="str">
        <f>IF(OR(ISBLANK('WEEK 28'!M25),ISBLANK('WEEK 28'!M24),ISBLANK('WEEK 28'!M23)),"",IF('WEEK 28'!M25&gt;=6,5,""))</f>
        <v/>
      </c>
      <c r="I27" s="252" t="str">
        <f>IF(OR(ISBLANK('WEEK 28'!M25),ISBLANK('WEEK 28'!M24),ISBLANK('WEEK 28'!M23)),"",IF('WEEK 28'!M25&gt;=6,'WEEK 28'!I20+5,""))</f>
        <v/>
      </c>
      <c r="J27" s="253" t="str">
        <f>IF(OR(ISBLANK('WEEK 28'!M25),ISBLANK('WEEK 28'!M24),ISBLANK('WEEK 28'!M23)),"",IF('WEEK 28'!M25&gt;=6,"REP OUT",""))</f>
        <v/>
      </c>
      <c r="K27" s="254" t="str">
        <f>IF(OR(ISBLANK('WEEK 28'!M25),ISBLANK('WEEK 28'!M24),ISBLANK('WEEK 28'!M23)),"",IF('WEEK 28'!M25&gt;5,"1 MIN",""))</f>
        <v/>
      </c>
      <c r="L27" s="255"/>
      <c r="M27" s="263"/>
      <c r="O27" s="251" t="str">
        <f>IF(OR(ISBLANK('WEEK 28'!T25),ISBLANK('WEEK 28'!T24),ISBLANK('WEEK 28'!T23)),"",IF('WEEK 28'!T25&gt;=6,5,""))</f>
        <v/>
      </c>
      <c r="P27" s="252" t="str">
        <f>IF(OR(ISBLANK('WEEK 28'!T25),ISBLANK('WEEK 28'!T24),ISBLANK('WEEK 28'!T23)),"",IF('WEEK 28'!T25&gt;=6,'WEEK 28'!P20+5,""))</f>
        <v/>
      </c>
      <c r="Q27" s="253" t="str">
        <f>IF(OR(ISBLANK('WEEK 28'!T25),ISBLANK('WEEK 28'!T24),ISBLANK('WEEK 28'!T23)),"",IF('WEEK 28'!T25&gt;=6,"REP OUT",""))</f>
        <v/>
      </c>
      <c r="R27" s="254" t="str">
        <f>IF(OR(ISBLANK('WEEK 28'!T25),ISBLANK('WEEK 28'!T24),ISBLANK('WEEK 28'!T23)),"",IF('WEEK 28'!T25&gt;5,"1 MIN",""))</f>
        <v/>
      </c>
      <c r="S27" s="255"/>
      <c r="T27" s="263"/>
    </row>
    <row r="28">
      <c r="A28" s="259" t="str">
        <f>IF('WEEK 28'!F27&lt;1,"","6")</f>
        <v/>
      </c>
      <c r="B28" s="237" t="str">
        <f>IF('WEEK 28'!F27&lt;1,"",'WEEK 28'!B27+5)</f>
        <v/>
      </c>
      <c r="C28" s="245" t="str">
        <f>IF('WEEK 28'!F27&lt;1,"","1")</f>
        <v/>
      </c>
      <c r="D28" s="63" t="str">
        <f>IF('WEEK 28'!F27&lt;1,"","1-5 MIN")</f>
        <v/>
      </c>
      <c r="E28" s="258"/>
      <c r="F28" s="665"/>
      <c r="G28" s="842"/>
      <c r="H28" s="246" t="str">
        <f>IF(OR(ISBLANK('WEEK 28'!M25),ISBLANK('WEEK 28'!M24),ISBLANK('WEEK 28'!M23)),"FILL OUT REP LOG FIRST","DOWN SETS")</f>
        <v>FILL OUT REP LOG FIRST</v>
      </c>
      <c r="I28" s="20"/>
      <c r="J28" s="20"/>
      <c r="K28" s="20"/>
      <c r="L28" s="20"/>
      <c r="M28" s="95"/>
      <c r="O28" s="260" t="str">
        <f>IF(OR(ISBLANK('WEEK 28'!T25),ISBLANK('WEEK 28'!T24),ISBLANK('WEEK 28'!T23)),"FILL OUT REP LOG FIRST","DOWN SETS")</f>
        <v>FILL OUT REP LOG FIRST</v>
      </c>
      <c r="P28" s="16"/>
      <c r="Q28" s="16"/>
      <c r="R28" s="16"/>
      <c r="S28" s="16"/>
      <c r="T28" s="230"/>
    </row>
    <row r="29">
      <c r="A29" s="246" t="s">
        <v>133</v>
      </c>
      <c r="B29" s="20"/>
      <c r="C29" s="20"/>
      <c r="D29" s="20"/>
      <c r="E29" s="20"/>
      <c r="F29" s="95"/>
      <c r="H29" s="91" t="str">
        <f>IF('WEEK 28'!M27&gt;=4,"",IF(OR(ISBLANK('WEEK 28'!M25),ISBLANK('WEEK 28'!M24),ISBLANK('WEEK 28'!M23)),"",IF('WEEK 28'!M25&gt;5,6,5)))</f>
        <v/>
      </c>
      <c r="I29" s="261" t="str">
        <f>IF('WEEK 28'!M27&gt;=4,"",IF(OR(ISBLANK('WEEK 28'!M25),ISBLANK('WEEK 28'!M24),ISBLANK('WEEK 28'!M23)),"",IF('WEEK 28'!M25&lt;6,mround('WEEK 28'!I20*0.8,5),IF('WEEK 28'!M25&lt;10,mround('WEEK 28'!I20*0.93,5),mround('WEEK 28'!I20*0.7,5)))))</f>
        <v/>
      </c>
      <c r="J29" s="262" t="str">
        <f>IF('WEEK 28'!M27&gt;=4,"",IF(OR(ISBLANK('WEEK 28'!M25),ISBLANK('WEEK 28'!M24),ISBLANK('WEEK 28'!M23)),"","REP OUT"))</f>
        <v/>
      </c>
      <c r="K29" s="65" t="str">
        <f>IF('WEEK 28'!M27&gt;=4,"",IF(OR(ISBLANK('WEEK 28'!M25),ISBLANK('WEEK 28'!M24),ISBLANK('WEEK 28'!M23)),"","1 MIN"))</f>
        <v/>
      </c>
      <c r="L29" s="255"/>
      <c r="M29" s="270"/>
      <c r="O29" s="91" t="str">
        <f>IF('WEEK 28'!T27&gt;=4,"",IF(OR(ISBLANK('WEEK 28'!T25),ISBLANK('WEEK 28'!T24),ISBLANK('WEEK 28'!T23)),"",IF('WEEK 28'!T25&gt;5,6,5)))</f>
        <v/>
      </c>
      <c r="P29" s="261" t="str">
        <f>IF('WEEK 28'!T27&gt;=4,"",IF(OR(ISBLANK('WEEK 28'!T25),ISBLANK('WEEK 28'!T24),ISBLANK('WEEK 28'!T23)),"",IF('WEEK 28'!T25&lt;6,mround('WEEK 28'!P20*0.8,5),IF('WEEK 28'!T25&lt;10,mround('WEEK 28'!P20*0.93,5),mround('WEEK 28'!P20*0.7,5)))))</f>
        <v/>
      </c>
      <c r="Q29" s="262" t="str">
        <f>IF('WEEK 28'!T27&gt;=4,"",IF(OR(ISBLANK('WEEK 28'!T25),ISBLANK('WEEK 28'!T24),ISBLANK('WEEK 28'!T23)),"","REP OUT"))</f>
        <v/>
      </c>
      <c r="R29" s="65" t="str">
        <f>IF('WEEK 28'!T27&gt;=4,"",IF(OR(ISBLANK('WEEK 28'!T25),ISBLANK('WEEK 28'!T24),ISBLANK('WEEK 28'!T23)),"","1 MIN"))</f>
        <v/>
      </c>
      <c r="S29" s="255"/>
      <c r="T29" s="270"/>
    </row>
    <row r="30">
      <c r="A30" s="264">
        <f>IF('WEEK 28'!F27&gt;=1,7,IF('WEEK 28'!F25&lt;1,5,6))</f>
        <v>5</v>
      </c>
      <c r="B30" s="265">
        <f>MROUND('WEEK 28'!B32*0.9,5)</f>
        <v>240</v>
      </c>
      <c r="C30" s="266" t="s">
        <v>65</v>
      </c>
      <c r="D30" s="267" t="s">
        <v>127</v>
      </c>
      <c r="E30" s="268"/>
      <c r="F30" s="843"/>
      <c r="H30" s="269" t="str">
        <f>IF('WEEK 28'!M27&gt;=4,"",IF(OR(ISBLANK('WEEK 28'!M25),ISBLANK('WEEK 28'!M24),ISBLANK('WEEK 28'!M23)),"",IF('WEEK 28'!M25&gt;5,7,6)))</f>
        <v/>
      </c>
      <c r="I30" s="254" t="str">
        <f>IF('WEEK 28'!M27&gt;=4,"",IF(OR(ISBLANK('WEEK 28'!M25),ISBLANK('WEEK 28'!M24),ISBLANK('WEEK 28'!M23)),"",IF('WEEK 28'!M25&lt;6,mround('WEEK 28'!I20*0.65,5),IF('WEEK 28'!M25&lt;10,mround('WEEK 28'!I20*0.7,5),mround('WEEK 28'!I20*0.65,5)))))</f>
        <v/>
      </c>
      <c r="J30" s="262" t="str">
        <f>IF('WEEK 28'!M27&gt;=4,"",IF(OR(ISBLANK('WEEK 28'!M25),ISBLANK('WEEK 28'!M24),ISBLANK('WEEK 28'!M23)),"","REP OUT"))</f>
        <v/>
      </c>
      <c r="K30" s="65" t="str">
        <f>IF('WEEK 28'!M27&gt;=4,"",IF(OR(ISBLANK('WEEK 28'!M25),ISBLANK('WEEK 28'!M24),ISBLANK('WEEK 28'!M23)),"","1 MIN"))</f>
        <v/>
      </c>
      <c r="L30" s="255"/>
      <c r="M30" s="270"/>
      <c r="O30" s="269" t="str">
        <f>IF('WEEK 28'!T27&gt;=4,"",IF(OR(ISBLANK('WEEK 28'!T25),ISBLANK('WEEK 28'!T24),ISBLANK('WEEK 28'!T23)),"",IF('WEEK 28'!T25&gt;5,7,6)))</f>
        <v/>
      </c>
      <c r="P30" s="254" t="str">
        <f>IF('WEEK 28'!T27&gt;=4,"",IF(OR(ISBLANK('WEEK 28'!T25),ISBLANK('WEEK 28'!T24),ISBLANK('WEEK 28'!T23)),"",IF('WEEK 28'!T25&lt;6,mround('WEEK 28'!P20*0.65,5),IF('WEEK 28'!T25&lt;10,mround('WEEK 28'!P20*0.7,5),mround('WEEK 28'!P20*0.65,5)))))</f>
        <v/>
      </c>
      <c r="Q30" s="262" t="str">
        <f>IF('WEEK 28'!T27&gt;=4,"",IF(OR(ISBLANK('WEEK 28'!T25),ISBLANK('WEEK 28'!T24),ISBLANK('WEEK 28'!T23)),"","REP OUT"))</f>
        <v/>
      </c>
      <c r="R30" s="65" t="str">
        <f>IF('WEEK 28'!T27&gt;=4,"",IF(OR(ISBLANK('WEEK 28'!T25),ISBLANK('WEEK 28'!T24),ISBLANK('WEEK 28'!T23)),"","1 MIN"))</f>
        <v/>
      </c>
      <c r="S30" s="255"/>
      <c r="T30" s="270"/>
    </row>
    <row r="31">
      <c r="A31" s="243">
        <f>IF('WEEK 28'!F27&gt;=1,8,IF('WEEK 28'!F25&lt;1,6,7))</f>
        <v>6</v>
      </c>
      <c r="B31" s="237">
        <f>mround('WEEK 28'!B32*0.78,5)</f>
        <v>205</v>
      </c>
      <c r="C31" s="245" t="s">
        <v>65</v>
      </c>
      <c r="D31" s="65" t="s">
        <v>127</v>
      </c>
      <c r="E31" s="258"/>
      <c r="F31" s="67"/>
      <c r="H31" s="844" t="str">
        <f>IF('WEEK 28'!M27&lt;4,"",IF(OR(ISBLANK('WEEK 28'!M25),ISBLANK('WEEK 28'!M24),ISBLANK('WEEK 28'!M23)),"",IF('WEEK 28'!M27&gt;3,6,5)))</f>
        <v/>
      </c>
      <c r="I31" s="845" t="str">
        <f>IF('WEEK 28'!M27&lt;4,"",IF(OR(ISBLANK('WEEK 28'!M25),ISBLANK('WEEK 28'!M24),ISBLANK('WEEK 28'!M23)),"",IF('WEEK 28'!M27&lt;6,mround('WEEK 28'!I33*0.8,5),IF('WEEK 28'!M27&lt;10,mround('WEEK 28'!I33*0.93,5),mround('WEEK 28'!I33*0.7,5)))))</f>
        <v/>
      </c>
      <c r="J31" s="846" t="str">
        <f>IF('WEEK 28'!M27&lt;4,"",IF(OR(ISBLANK('WEEK 28'!M25),ISBLANK('WEEK 28'!M24),ISBLANK('WEEK 28'!M23)),"","REP OUT"))</f>
        <v/>
      </c>
      <c r="K31" s="267" t="str">
        <f>IF('WEEK 28'!M27&lt;4,"",IF(OR(ISBLANK('WEEK 28'!M25),ISBLANK('WEEK 28'!M24),ISBLANK('WEEK 28'!M23)),"","1 MIN"))</f>
        <v/>
      </c>
      <c r="L31" s="847"/>
      <c r="M31" s="848"/>
      <c r="O31" s="269" t="str">
        <f>IF('WEEK 28'!T27&lt;4,"",IF(OR(ISBLANK('WEEK 28'!T25),ISBLANK('WEEK 28'!T24),ISBLANK('WEEK 28'!T23)),"",IF('WEEK 28'!T27&gt;4,6,6)))</f>
        <v/>
      </c>
      <c r="P31" s="254" t="str">
        <f>IF('WEEK 28'!T27&lt;4,"",IF(OR(ISBLANK('WEEK 28'!T25),ISBLANK('WEEK 28'!T24),ISBLANK('WEEK 28'!T23)),"",IF('WEEK 28'!T27&lt;6,mround('WEEK 28'!P33*0.8,5),IF('WEEK 28'!T27&lt;10,mround('WEEK 28'!P33*0.93,5),mround('WEEK 28'!P33*0.7,5)))))</f>
        <v/>
      </c>
      <c r="Q31" s="262" t="str">
        <f>IF('WEEK 28'!T27&lt;4,"",IF(OR(ISBLANK('WEEK 28'!T25),ISBLANK('WEEK 28'!T24),ISBLANK('WEEK 28'!T23)),"","REP OUT"))</f>
        <v/>
      </c>
      <c r="R31" s="65" t="str">
        <f>IF('WEEK 28'!T27&lt;4,"",IF(OR(ISBLANK('WEEK 28'!T25),ISBLANK('WEEK 28'!T24),ISBLANK('WEEK 28'!T23)),"","1 MIN"))</f>
        <v/>
      </c>
      <c r="S31" s="255"/>
      <c r="T31" s="270"/>
    </row>
    <row r="32">
      <c r="A32" s="272" t="s">
        <v>124</v>
      </c>
      <c r="B32" s="273">
        <f>IF(OR(ISBLANK('WEEK 28'!F25),ISBLANK('WEEK 28'!F24),ISBLANK('WEEK 28'!F23)),"",IF('WEEK 28'!F28&gt;=1,'WEEK 28'!B28,IF('WEEK 28'!F27&gt;=1,'WEEK 28'!B27,IF('WEEK 28'!F25&lt;1,'WEEK 28'!B25-5,'WEEK 28'!B25))))</f>
        <v>265</v>
      </c>
      <c r="C32" s="11"/>
      <c r="D32" s="11"/>
      <c r="E32" s="11"/>
      <c r="F32" s="46"/>
      <c r="G32" s="103"/>
      <c r="H32" s="844" t="str">
        <f>IF('WEEK 28'!M27&lt;4,"",IF(OR(ISBLANK('WEEK 28'!M25),ISBLANK('WEEK 28'!M24),ISBLANK('WEEK 28'!M27)),"",IF('WEEK 28'!M27&gt;3,7,"")))</f>
        <v/>
      </c>
      <c r="I32" s="845" t="str">
        <f>IF('WEEK 28'!M27&lt;4,"",IF(OR(ISBLANK('WEEK 28'!M25),ISBLANK('WEEK 28'!M24),ISBLANK('WEEK 28'!M23)),"",IF('WEEK 28'!M27&lt;6,mround('WEEK 28'!I33*0.65,5),IF('WEEK 28'!M27&lt;10,mround('WEEK 28'!I33*0.7,5),mround('WEEK 28'!I33*0.65,5)))))</f>
        <v/>
      </c>
      <c r="J32" s="846" t="str">
        <f>IF('WEEK 28'!M27&lt;4,"",IF(OR(ISBLANK('WEEK 28'!M25),ISBLANK('WEEK 28'!M24),ISBLANK('WEEK 28'!M23)),"","REP OUT"))</f>
        <v/>
      </c>
      <c r="K32" s="267" t="str">
        <f>IF('WEEK 28'!M27&lt;4,"",IF(OR(ISBLANK('WEEK 28'!M25),ISBLANK('WEEK 28'!M24),ISBLANK('WEEK 28'!M23)),"","1 MIN"))</f>
        <v/>
      </c>
      <c r="L32" s="847"/>
      <c r="M32" s="848"/>
      <c r="N32" s="103"/>
      <c r="O32" s="269" t="str">
        <f>IF('WEEK 28'!T27&lt;4,"",IF(OR(ISBLANK('WEEK 28'!T25),ISBLANK('WEEK 28'!T24),ISBLANK('WEEK 28'!T27)),"",IF('WEEK 28'!T27&gt;3,7,"")))</f>
        <v/>
      </c>
      <c r="P32" s="254" t="str">
        <f>IF('WEEK 28'!T27&lt;4,"",IF(OR(ISBLANK('WEEK 28'!T25),ISBLANK('WEEK 28'!T24),ISBLANK('WEEK 28'!T23)),"",IF('WEEK 28'!T27&lt;6,mround('WEEK 28'!P33*0.65,5),IF('WEEK 28'!T27&lt;10,mround('WEEK 28'!P33*0.7,5),mround('WEEK 28'!P33*0.65,5)))))</f>
        <v/>
      </c>
      <c r="Q32" s="262" t="str">
        <f>IF('WEEK 28'!T27&lt;4,"",IF(OR(ISBLANK('WEEK 28'!T25),ISBLANK('WEEK 28'!T24),ISBLANK('WEEK 28'!T23)),"","REP OUT"))</f>
        <v/>
      </c>
      <c r="R32" s="65" t="str">
        <f>IF('WEEK 28'!T27&lt;4,"",IF(OR(ISBLANK('WEEK 28'!T25),ISBLANK('WEEK 28'!T24),ISBLANK('WEEK 28'!T23)),"","1 MIN"))</f>
        <v/>
      </c>
      <c r="S32" s="255"/>
      <c r="T32" s="270"/>
      <c r="U32" s="103"/>
    </row>
    <row r="33">
      <c r="A33" s="103"/>
      <c r="B33" s="103"/>
      <c r="C33" s="103"/>
      <c r="D33" s="103"/>
      <c r="E33" s="103"/>
      <c r="F33" s="103"/>
      <c r="G33" s="103"/>
      <c r="H33" s="228" t="s">
        <v>124</v>
      </c>
      <c r="I33" s="229" t="str">
        <f>IF(OR(ISBLANK('WEEK 28'!M23),ISBLANK('WEEK 28'!M24),ISBLANK('WEEK 28'!M25)),"",IF('WEEK 28'!M27&gt;=4,I27,IF('WEEK 28'!M25&lt;=3,'WEEK 28'!I25-5,'WEEK 28'!I25)))</f>
        <v/>
      </c>
      <c r="J33" s="16"/>
      <c r="K33" s="16"/>
      <c r="L33" s="16"/>
      <c r="M33" s="230"/>
      <c r="N33" s="103"/>
      <c r="O33" s="280" t="s">
        <v>124</v>
      </c>
      <c r="P33" s="273" t="str">
        <f>IF(OR(ISBLANK('WEEK 28'!T23),ISBLANK('WEEK 28'!T24),ISBLANK('WEEK 28'!T25)),"",IF('WEEK 28'!T27&gt;=4,'WEEK 28'!P27,IF('WEEK 28'!T25&lt;=3,'WEEK 28'!P25-5,'WEEK 28'!P25)))</f>
        <v/>
      </c>
      <c r="Q33" s="11"/>
      <c r="R33" s="11"/>
      <c r="S33" s="11"/>
      <c r="T33" s="46"/>
      <c r="U33" s="103"/>
    </row>
    <row r="34">
      <c r="A34" s="277"/>
      <c r="B34" s="277"/>
      <c r="C34" s="277"/>
      <c r="D34" s="277"/>
      <c r="E34" s="277"/>
      <c r="F34" s="277"/>
      <c r="G34" s="277"/>
      <c r="H34" s="815"/>
      <c r="I34" s="816"/>
      <c r="J34" s="816"/>
      <c r="K34" s="816"/>
      <c r="L34" s="816"/>
      <c r="M34" s="816"/>
      <c r="N34" s="277"/>
      <c r="O34" s="849"/>
      <c r="P34" s="850"/>
      <c r="Q34" s="850"/>
      <c r="R34" s="850"/>
      <c r="S34" s="850"/>
      <c r="T34" s="850"/>
      <c r="U34" s="277"/>
    </row>
    <row r="35">
      <c r="A35" s="73" t="str">
        <f>HYPERLINK("https://www.youtube.com/watch?v=mGv8D2DGyNQ","2. DB CHEST FLY")</f>
        <v>2. DB CHEST FLY</v>
      </c>
      <c r="B35" s="53"/>
      <c r="C35" s="53"/>
      <c r="D35" s="53"/>
      <c r="E35" s="53"/>
      <c r="F35" s="54"/>
      <c r="G35" s="598"/>
      <c r="H35" s="225" t="str">
        <f>HYPERLINK("https://www.youtube.com/watch?v=THb0dhfIu1k","2. MACHINE CHEST FLY")</f>
        <v>2. MACHINE CHEST FLY</v>
      </c>
      <c r="I35" s="13"/>
      <c r="J35" s="13"/>
      <c r="K35" s="13"/>
      <c r="L35" s="13"/>
      <c r="M35" s="57"/>
      <c r="N35" s="598"/>
      <c r="O35" s="598"/>
      <c r="P35" s="598"/>
      <c r="Q35" s="598"/>
      <c r="R35" s="598"/>
      <c r="S35" s="598"/>
      <c r="T35" s="598"/>
      <c r="U35" s="598"/>
    </row>
    <row r="36">
      <c r="A36" s="596" t="s">
        <v>153</v>
      </c>
      <c r="B36" s="284" t="str">
        <f>IF('WEEK 28'!P33="",'MSW26'!B34,'WEEK 28'!P33)</f>
        <v/>
      </c>
      <c r="C36" s="20"/>
      <c r="D36" s="20"/>
      <c r="E36" s="20"/>
      <c r="F36" s="95"/>
      <c r="G36" s="598"/>
      <c r="H36" s="596" t="s">
        <v>153</v>
      </c>
      <c r="I36" s="284" t="str">
        <f>'WEEK 28'!B36</f>
        <v/>
      </c>
      <c r="J36" s="20"/>
      <c r="K36" s="20"/>
      <c r="L36" s="20"/>
      <c r="M36" s="95"/>
      <c r="N36" s="598"/>
      <c r="O36" s="598"/>
      <c r="P36" s="598"/>
      <c r="Q36" s="598"/>
      <c r="R36" s="598"/>
      <c r="S36" s="598"/>
      <c r="T36" s="598"/>
      <c r="U36" s="598"/>
    </row>
    <row r="37">
      <c r="A37" s="231" t="s">
        <v>50</v>
      </c>
      <c r="B37" s="232" t="s">
        <v>51</v>
      </c>
      <c r="C37" s="232" t="s">
        <v>52</v>
      </c>
      <c r="D37" s="232" t="s">
        <v>53</v>
      </c>
      <c r="E37" s="285" t="s">
        <v>54</v>
      </c>
      <c r="F37" s="61" t="s">
        <v>55</v>
      </c>
      <c r="G37" s="598"/>
      <c r="H37" s="231" t="s">
        <v>50</v>
      </c>
      <c r="I37" s="232" t="s">
        <v>51</v>
      </c>
      <c r="J37" s="232" t="s">
        <v>52</v>
      </c>
      <c r="K37" s="232" t="s">
        <v>53</v>
      </c>
      <c r="L37" s="285" t="s">
        <v>54</v>
      </c>
      <c r="M37" s="61" t="s">
        <v>55</v>
      </c>
      <c r="N37" s="598"/>
      <c r="O37" s="598"/>
      <c r="P37" s="598"/>
      <c r="Q37" s="598"/>
      <c r="R37" s="598"/>
      <c r="S37" s="598"/>
      <c r="T37" s="598"/>
      <c r="U37" s="598"/>
    </row>
    <row r="38">
      <c r="A38" s="242">
        <v>1.0</v>
      </c>
      <c r="B38" s="237">
        <f>IF('WEEK 28'!B36&lt;5,0,mround('WEEK 28'!B36*0.29,2.5))</f>
        <v>0</v>
      </c>
      <c r="C38" s="63" t="s">
        <v>61</v>
      </c>
      <c r="D38" s="288" t="s">
        <v>164</v>
      </c>
      <c r="E38" s="66"/>
      <c r="F38" s="67"/>
      <c r="G38" s="598"/>
      <c r="H38" s="242">
        <v>1.0</v>
      </c>
      <c r="I38" s="237">
        <f>mround(('WEEK 28'!I36*2)*0.75,10)</f>
        <v>140</v>
      </c>
      <c r="J38" s="63" t="s">
        <v>61</v>
      </c>
      <c r="K38" s="288" t="s">
        <v>164</v>
      </c>
      <c r="L38" s="66"/>
      <c r="M38" s="67"/>
      <c r="N38" s="598"/>
      <c r="O38" s="598"/>
      <c r="P38" s="598"/>
      <c r="Q38" s="598"/>
      <c r="R38" s="598"/>
      <c r="S38" s="598"/>
      <c r="T38" s="598"/>
      <c r="U38" s="598"/>
    </row>
    <row r="39">
      <c r="A39" s="289">
        <v>2.0</v>
      </c>
      <c r="B39" s="371">
        <f>IF('WEEK 28'!B36&lt;5,0,mround('WEEK 28'!B36*0.29,2.5))</f>
        <v>0</v>
      </c>
      <c r="C39" s="63" t="s">
        <v>61</v>
      </c>
      <c r="D39" s="288" t="s">
        <v>164</v>
      </c>
      <c r="E39" s="72"/>
      <c r="F39" s="67"/>
      <c r="G39" s="598"/>
      <c r="H39" s="289">
        <v>2.0</v>
      </c>
      <c r="I39" s="291">
        <f>mround('WEEK 28'!I36*2*0.75,10)</f>
        <v>140</v>
      </c>
      <c r="J39" s="63" t="s">
        <v>61</v>
      </c>
      <c r="K39" s="288" t="s">
        <v>164</v>
      </c>
      <c r="L39" s="72"/>
      <c r="M39" s="67"/>
      <c r="N39" s="598"/>
      <c r="O39" s="598"/>
      <c r="P39" s="598"/>
      <c r="Q39" s="598"/>
      <c r="R39" s="598"/>
      <c r="S39" s="598"/>
      <c r="T39" s="598"/>
      <c r="U39" s="598"/>
    </row>
    <row r="40">
      <c r="A40" s="103"/>
    </row>
    <row r="42">
      <c r="A42" s="73" t="str">
        <f>HYPERLINK("https://www.youtube.com/watch?v=PnaDzYh2axA","3. LAT PULL DOWN")</f>
        <v>3. LAT PULL DOWN</v>
      </c>
      <c r="B42" s="53"/>
      <c r="C42" s="53"/>
      <c r="D42" s="53"/>
      <c r="E42" s="53"/>
      <c r="F42" s="54"/>
      <c r="G42" s="851" t="s">
        <v>41</v>
      </c>
    </row>
    <row r="43">
      <c r="A43" s="282" t="s">
        <v>119</v>
      </c>
      <c r="B43" s="852">
        <f>'WEEK 27'!B55</f>
        <v>215</v>
      </c>
      <c r="C43" s="16"/>
      <c r="D43" s="16"/>
      <c r="E43" s="16"/>
      <c r="F43" s="230"/>
    </row>
    <row r="44">
      <c r="A44" s="58" t="s">
        <v>50</v>
      </c>
      <c r="B44" s="365" t="s">
        <v>51</v>
      </c>
      <c r="C44" s="365" t="s">
        <v>52</v>
      </c>
      <c r="D44" s="365" t="s">
        <v>53</v>
      </c>
      <c r="E44" s="853" t="s">
        <v>54</v>
      </c>
      <c r="F44" s="854" t="s">
        <v>55</v>
      </c>
    </row>
    <row r="45">
      <c r="A45" s="242">
        <v>1.0</v>
      </c>
      <c r="B45" s="237">
        <f>mround('WEEK 28'!B43*0.5,5)</f>
        <v>110</v>
      </c>
      <c r="C45" s="104" t="s">
        <v>165</v>
      </c>
      <c r="D45" s="65" t="s">
        <v>166</v>
      </c>
      <c r="E45" s="66"/>
      <c r="F45" s="67"/>
    </row>
    <row r="46">
      <c r="A46" s="242">
        <v>2.0</v>
      </c>
      <c r="B46" s="237">
        <f>mround('WEEK 28'!B43*0.5,5)</f>
        <v>110</v>
      </c>
      <c r="C46" s="104" t="s">
        <v>165</v>
      </c>
      <c r="D46" s="65" t="s">
        <v>166</v>
      </c>
      <c r="E46" s="66"/>
      <c r="F46" s="67"/>
    </row>
    <row r="47">
      <c r="A47" s="289">
        <v>3.0</v>
      </c>
      <c r="B47" s="87">
        <f>mround('WEEK 28'!B43*0.5,5)</f>
        <v>110</v>
      </c>
      <c r="C47" s="105" t="s">
        <v>165</v>
      </c>
      <c r="D47" s="71" t="s">
        <v>166</v>
      </c>
      <c r="E47" s="72"/>
      <c r="F47" s="67"/>
    </row>
    <row r="48">
      <c r="A48" s="302"/>
      <c r="B48" s="302"/>
      <c r="C48" s="302"/>
      <c r="D48" s="302"/>
      <c r="E48" s="303"/>
      <c r="F48" s="103"/>
    </row>
    <row r="49">
      <c r="A49" s="302"/>
      <c r="B49" s="302"/>
      <c r="C49" s="302"/>
      <c r="D49" s="302"/>
      <c r="E49" s="303"/>
      <c r="F49" s="103"/>
    </row>
    <row r="50">
      <c r="A50" s="73" t="str">
        <f>HYPERLINK("https://www.youtube.com/watch?v=9YH1YvZbiY0","4. MACHINE LOW ROW")</f>
        <v>4. MACHINE LOW ROW</v>
      </c>
      <c r="B50" s="53"/>
      <c r="C50" s="53"/>
      <c r="D50" s="53"/>
      <c r="E50" s="53"/>
      <c r="F50" s="54"/>
    </row>
    <row r="51">
      <c r="A51" s="458" t="s">
        <v>119</v>
      </c>
      <c r="B51" s="56">
        <f>'WEEK 27'!B63</f>
        <v>195</v>
      </c>
      <c r="C51" s="13"/>
      <c r="D51" s="13"/>
      <c r="E51" s="13"/>
      <c r="F51" s="57"/>
    </row>
    <row r="52">
      <c r="A52" s="58" t="s">
        <v>50</v>
      </c>
      <c r="B52" s="59" t="s">
        <v>51</v>
      </c>
      <c r="C52" s="59" t="s">
        <v>52</v>
      </c>
      <c r="D52" s="59" t="s">
        <v>53</v>
      </c>
      <c r="E52" s="584" t="s">
        <v>54</v>
      </c>
      <c r="F52" s="61" t="s">
        <v>55</v>
      </c>
    </row>
    <row r="53">
      <c r="A53" s="62">
        <v>1.0</v>
      </c>
      <c r="B53" s="855">
        <f>mround('WEEK 28'!B51*0.5,5)</f>
        <v>100</v>
      </c>
      <c r="C53" s="104" t="s">
        <v>165</v>
      </c>
      <c r="D53" s="65" t="s">
        <v>166</v>
      </c>
      <c r="E53" s="66"/>
      <c r="F53" s="67"/>
    </row>
    <row r="54">
      <c r="A54" s="68">
        <v>2.0</v>
      </c>
      <c r="B54" s="856">
        <f>mround('WEEK 28'!B51*0.5,5)</f>
        <v>100</v>
      </c>
      <c r="C54" s="105" t="s">
        <v>165</v>
      </c>
      <c r="D54" s="71" t="s">
        <v>166</v>
      </c>
      <c r="E54" s="72"/>
      <c r="F54" s="67"/>
    </row>
    <row r="55">
      <c r="A55" s="103"/>
      <c r="B55" s="103"/>
      <c r="C55" s="103"/>
      <c r="D55" s="103"/>
      <c r="E55" s="222"/>
      <c r="F55" s="103"/>
    </row>
    <row r="56">
      <c r="A56" s="103"/>
      <c r="B56" s="103"/>
      <c r="C56" s="103"/>
      <c r="D56" s="103"/>
      <c r="E56" s="222"/>
      <c r="F56" s="103"/>
    </row>
    <row r="57">
      <c r="A57" s="73" t="str">
        <f>HYPERLINK("https://www.youtube.com/watch?v=hMUUvL3FlkE","5. MACHINE HIGH ROW")</f>
        <v>5. MACHINE HIGH ROW</v>
      </c>
      <c r="B57" s="53"/>
      <c r="C57" s="53"/>
      <c r="D57" s="53"/>
      <c r="E57" s="53"/>
      <c r="F57" s="54"/>
    </row>
    <row r="58">
      <c r="A58" s="458" t="s">
        <v>119</v>
      </c>
      <c r="B58" s="56">
        <f>'MSW27'!B52</f>
        <v>170</v>
      </c>
      <c r="C58" s="13"/>
      <c r="D58" s="13"/>
      <c r="E58" s="13"/>
      <c r="F58" s="57"/>
    </row>
    <row r="59">
      <c r="A59" s="58" t="s">
        <v>50</v>
      </c>
      <c r="B59" s="59" t="s">
        <v>51</v>
      </c>
      <c r="C59" s="59" t="s">
        <v>52</v>
      </c>
      <c r="D59" s="59" t="s">
        <v>53</v>
      </c>
      <c r="E59" s="584" t="s">
        <v>54</v>
      </c>
      <c r="F59" s="61" t="s">
        <v>55</v>
      </c>
    </row>
    <row r="60">
      <c r="A60" s="62">
        <v>1.0</v>
      </c>
      <c r="B60" s="855">
        <f>mround('WEEK 28'!B58*0.5,5)</f>
        <v>85</v>
      </c>
      <c r="C60" s="104" t="s">
        <v>165</v>
      </c>
      <c r="D60" s="65" t="s">
        <v>166</v>
      </c>
      <c r="E60" s="66"/>
      <c r="F60" s="67"/>
    </row>
    <row r="61">
      <c r="A61" s="68">
        <v>2.0</v>
      </c>
      <c r="B61" s="856">
        <f>mround('WEEK 28'!B58*0.5,5)</f>
        <v>85</v>
      </c>
      <c r="C61" s="105" t="s">
        <v>165</v>
      </c>
      <c r="D61" s="71" t="s">
        <v>166</v>
      </c>
      <c r="E61" s="72"/>
      <c r="F61" s="67"/>
    </row>
    <row r="62">
      <c r="A62" s="598"/>
      <c r="B62" s="598"/>
      <c r="C62" s="598"/>
      <c r="D62" s="598"/>
      <c r="E62" s="857"/>
      <c r="F62" s="598"/>
    </row>
    <row r="63">
      <c r="A63" s="310" t="str">
        <f>HYPERLINK("https://docs.google.com/a/fitnessresults.com/forms/d/e/1FAIpQLSd7MoczESe8Yjv6BKpmwAZGn9Aiymrs9-UdgfYIUpbr9t5NXg/viewform?usp=pp_url&amp;entry.93370101","CLICK TO COMPLETE WORKOUT")</f>
        <v>CLICK TO COMPLETE WORKOUT</v>
      </c>
      <c r="B63" s="36"/>
      <c r="C63" s="36"/>
      <c r="D63" s="36"/>
      <c r="E63" s="36"/>
      <c r="F63" s="37"/>
    </row>
    <row r="64">
      <c r="A64" s="858"/>
      <c r="B64" s="858"/>
      <c r="C64" s="858"/>
      <c r="D64" s="858"/>
      <c r="E64" s="859"/>
      <c r="F64" s="598"/>
    </row>
    <row r="65">
      <c r="A65" s="602" t="s">
        <v>128</v>
      </c>
      <c r="B65" s="36"/>
      <c r="C65" s="36"/>
      <c r="D65" s="36"/>
      <c r="E65" s="36"/>
      <c r="F65" s="37"/>
    </row>
    <row r="66">
      <c r="A66" s="838"/>
      <c r="B66" s="838"/>
      <c r="C66" s="838"/>
      <c r="D66" s="838"/>
      <c r="E66" s="860"/>
      <c r="F66" s="838"/>
    </row>
    <row r="67">
      <c r="A67" s="838"/>
      <c r="B67" s="838"/>
      <c r="C67" s="838"/>
      <c r="D67" s="838"/>
      <c r="E67" s="860"/>
      <c r="F67" s="838"/>
    </row>
    <row r="68">
      <c r="A68" s="542" t="s">
        <v>129</v>
      </c>
      <c r="B68" s="36"/>
      <c r="C68" s="36"/>
      <c r="D68" s="36"/>
      <c r="E68" s="36"/>
      <c r="F68" s="37"/>
    </row>
    <row r="69">
      <c r="A69" s="73" t="str">
        <f>HYPERLINK("https://www.youtube.com/watch?v=ZjpkMnGZjTQ"," 1. SISSY SQUATS")</f>
        <v> 1. SISSY SQUATS</v>
      </c>
      <c r="B69" s="53"/>
      <c r="C69" s="53"/>
      <c r="D69" s="53"/>
      <c r="E69" s="53"/>
      <c r="F69" s="54"/>
    </row>
    <row r="70">
      <c r="A70" s="58" t="s">
        <v>50</v>
      </c>
      <c r="B70" s="59" t="s">
        <v>51</v>
      </c>
      <c r="C70" s="59" t="s">
        <v>52</v>
      </c>
      <c r="D70" s="59" t="s">
        <v>53</v>
      </c>
      <c r="E70" s="584" t="s">
        <v>54</v>
      </c>
      <c r="F70" s="61" t="s">
        <v>55</v>
      </c>
    </row>
    <row r="71">
      <c r="A71" s="308">
        <v>1.0</v>
      </c>
      <c r="B71" s="585" t="s">
        <v>130</v>
      </c>
      <c r="C71" s="585">
        <v>10.0</v>
      </c>
      <c r="D71" s="585" t="s">
        <v>121</v>
      </c>
      <c r="E71" s="586"/>
      <c r="F71" s="67"/>
    </row>
    <row r="72">
      <c r="A72" s="313">
        <v>2.0</v>
      </c>
      <c r="B72" s="587" t="s">
        <v>130</v>
      </c>
      <c r="C72" s="587">
        <v>10.0</v>
      </c>
      <c r="D72" s="587" t="s">
        <v>121</v>
      </c>
      <c r="E72" s="588"/>
      <c r="F72" s="67"/>
    </row>
    <row r="73">
      <c r="A73" s="838"/>
      <c r="B73" s="838"/>
      <c r="C73" s="838"/>
      <c r="D73" s="838"/>
      <c r="E73" s="860"/>
      <c r="F73" s="838"/>
    </row>
    <row r="74">
      <c r="A74" s="838"/>
      <c r="B74" s="838"/>
      <c r="C74" s="838"/>
      <c r="D74" s="838"/>
      <c r="E74" s="860"/>
      <c r="F74" s="838"/>
    </row>
    <row r="75">
      <c r="A75" s="861" t="s">
        <v>167</v>
      </c>
      <c r="B75" s="53"/>
      <c r="C75" s="53"/>
      <c r="D75" s="53"/>
      <c r="E75" s="53"/>
      <c r="F75" s="54"/>
    </row>
    <row r="76">
      <c r="A76" s="458" t="s">
        <v>119</v>
      </c>
      <c r="B76" s="1366">
        <f>'WEEK 27'!B86</f>
        <v>35</v>
      </c>
      <c r="C76" s="20"/>
      <c r="D76" s="20"/>
      <c r="E76" s="20"/>
      <c r="F76" s="95"/>
    </row>
    <row r="77">
      <c r="A77" s="58" t="s">
        <v>50</v>
      </c>
      <c r="B77" s="59" t="s">
        <v>51</v>
      </c>
      <c r="C77" s="59" t="s">
        <v>52</v>
      </c>
      <c r="D77" s="59" t="s">
        <v>53</v>
      </c>
      <c r="E77" s="584" t="s">
        <v>54</v>
      </c>
      <c r="F77" s="61" t="s">
        <v>55</v>
      </c>
    </row>
    <row r="78">
      <c r="A78" s="308">
        <v>1.0</v>
      </c>
      <c r="B78" s="862">
        <f>mround('WEEK 28'!B76*0.35,5)</f>
        <v>10</v>
      </c>
      <c r="C78" s="64">
        <v>10.0</v>
      </c>
      <c r="D78" s="405" t="s">
        <v>121</v>
      </c>
      <c r="E78" s="66"/>
      <c r="F78" s="67"/>
    </row>
    <row r="79">
      <c r="A79" s="308">
        <v>2.0</v>
      </c>
      <c r="B79" s="862">
        <f>mround('WEEK 28'!B76*0.5,5)</f>
        <v>20</v>
      </c>
      <c r="C79" s="64">
        <v>10.0</v>
      </c>
      <c r="D79" s="405" t="s">
        <v>121</v>
      </c>
      <c r="E79" s="66"/>
      <c r="F79" s="67"/>
    </row>
    <row r="80">
      <c r="A80" s="308">
        <v>3.0</v>
      </c>
      <c r="B80" s="862">
        <f>mround('WEEK 28'!B76*0.75,5)</f>
        <v>25</v>
      </c>
      <c r="C80" s="64">
        <v>10.0</v>
      </c>
      <c r="D80" s="405" t="s">
        <v>121</v>
      </c>
      <c r="E80" s="66"/>
      <c r="F80" s="67"/>
    </row>
    <row r="81">
      <c r="A81" s="313">
        <v>4.0</v>
      </c>
      <c r="B81" s="863">
        <f>mround('WEEK 28'!B76*1,5)</f>
        <v>35</v>
      </c>
      <c r="C81" s="70">
        <v>10.0</v>
      </c>
      <c r="D81" s="864" t="s">
        <v>121</v>
      </c>
      <c r="E81" s="72"/>
      <c r="F81" s="67"/>
    </row>
    <row r="82">
      <c r="A82" s="320"/>
    </row>
    <row r="84">
      <c r="A84" s="73" t="str">
        <f>HYPERLINK("https://www.youtube.com/watch?v=NZ9KiFtbiMs","3. LEG EXTENSION")</f>
        <v>3. LEG EXTENSION</v>
      </c>
      <c r="B84" s="53"/>
      <c r="C84" s="53"/>
      <c r="D84" s="53"/>
      <c r="E84" s="53"/>
      <c r="F84" s="54"/>
    </row>
    <row r="85">
      <c r="A85" s="226" t="s">
        <v>119</v>
      </c>
      <c r="B85" s="90">
        <f>IF('WEEK 27'!B92='WEEK 27'!B94,'WEEK 27'!B92+5,IF('WEEK 27'!F92&lt;=9,MROUND('WEEK 27'!B90*0.95,5),'WEEK 27'!B92))</f>
        <v>50</v>
      </c>
      <c r="C85" s="13"/>
      <c r="D85" s="13"/>
      <c r="E85" s="13"/>
      <c r="F85" s="57"/>
    </row>
    <row r="86">
      <c r="A86" s="96" t="s">
        <v>50</v>
      </c>
      <c r="B86" s="97" t="s">
        <v>51</v>
      </c>
      <c r="C86" s="97" t="s">
        <v>52</v>
      </c>
      <c r="D86" s="97" t="s">
        <v>53</v>
      </c>
      <c r="E86" s="98" t="s">
        <v>54</v>
      </c>
      <c r="F86" s="235" t="s">
        <v>55</v>
      </c>
    </row>
    <row r="87">
      <c r="A87" s="352">
        <v>1.0</v>
      </c>
      <c r="B87" s="237">
        <f>if('WEEK 27'!B93='WEEK 27'!B94,'WEEK 28'!B85,'WEEK 28'!B85)</f>
        <v>50</v>
      </c>
      <c r="C87" s="678">
        <v>20.0</v>
      </c>
      <c r="D87" s="350" t="s">
        <v>57</v>
      </c>
      <c r="E87" s="449"/>
      <c r="F87" s="85"/>
    </row>
    <row r="88">
      <c r="A88" s="352">
        <v>2.0</v>
      </c>
      <c r="B88" s="237">
        <f>if('WEEK 28'!F87&lt;8,mround('WEEK 28'!B87*0.8,5),IF('WEEK 28'!F87&lt;=14,MROUND('WEEK 28'!B87*0.95,5),'WEEK 28'!B87))</f>
        <v>40</v>
      </c>
      <c r="C88" s="678">
        <v>20.0</v>
      </c>
      <c r="D88" s="350" t="s">
        <v>57</v>
      </c>
      <c r="E88" s="679"/>
      <c r="F88" s="85"/>
    </row>
    <row r="89">
      <c r="A89" s="865">
        <v>3.0</v>
      </c>
      <c r="B89" s="866">
        <f>if('WEEK 28'!F88&lt;8,mround('WEEK 28'!B88*0.8,5),IF('WEEK 28'!F88&lt;=14,MROUND('WEEK 28'!B88*0.95,5),'WEEK 28'!B88))</f>
        <v>30</v>
      </c>
      <c r="C89" s="867">
        <v>20.0</v>
      </c>
      <c r="D89" s="760" t="s">
        <v>57</v>
      </c>
      <c r="E89" s="868"/>
      <c r="F89" s="330"/>
    </row>
    <row r="90">
      <c r="A90" s="869"/>
      <c r="B90" s="869"/>
      <c r="C90" s="869"/>
      <c r="D90" s="869"/>
      <c r="E90" s="869"/>
      <c r="F90" s="869"/>
    </row>
    <row r="91">
      <c r="A91" s="598"/>
    </row>
    <row r="92">
      <c r="A92" s="595" t="str">
        <f>HYPERLINK("https://www.youtube.com/watch?v=NZ9KiFtbiMs","4. LEG CURL")</f>
        <v>4. LEG CURL</v>
      </c>
      <c r="B92" s="53"/>
      <c r="C92" s="53"/>
      <c r="D92" s="53"/>
      <c r="E92" s="53"/>
      <c r="F92" s="54"/>
      <c r="G92" s="598"/>
      <c r="H92" s="595" t="str">
        <f>HYPERLINK("https://youtu.be/kmN9cJ79PDE","4. PRONE LEG CURL")</f>
        <v>4. PRONE LEG CURL</v>
      </c>
      <c r="I92" s="53"/>
      <c r="J92" s="53"/>
      <c r="K92" s="53"/>
      <c r="L92" s="53"/>
      <c r="M92" s="54"/>
      <c r="N92" s="870"/>
    </row>
    <row r="93">
      <c r="A93" s="226" t="s">
        <v>119</v>
      </c>
      <c r="B93" s="94">
        <f>IF('WEEK 27'!B101='WEEK 27'!B103,'WEEK 27'!B101+5,IF('WEEK 27'!F101&lt;=9,MROUND('WEEK 27'!B99*0.95,5),'WEEK 27'!B101))</f>
        <v>15</v>
      </c>
      <c r="C93" s="20"/>
      <c r="D93" s="20"/>
      <c r="E93" s="20"/>
      <c r="F93" s="95"/>
      <c r="H93" s="871" t="s">
        <v>119</v>
      </c>
      <c r="I93" s="94">
        <f>IF('WEEK 27'!I101='WEEK 27'!I103,'WEEK 27'!I101+5,IF('WEEK 27'!M101&lt;=9,MROUND('WEEK 27'!I99*0.95,5),'WEEK 27'!I101))</f>
        <v>15</v>
      </c>
      <c r="J93" s="20"/>
      <c r="K93" s="20"/>
      <c r="L93" s="20"/>
      <c r="M93" s="20"/>
    </row>
    <row r="94">
      <c r="A94" s="96" t="s">
        <v>50</v>
      </c>
      <c r="B94" s="97" t="s">
        <v>51</v>
      </c>
      <c r="C94" s="97" t="s">
        <v>52</v>
      </c>
      <c r="D94" s="872" t="s">
        <v>53</v>
      </c>
      <c r="E94" s="98" t="s">
        <v>54</v>
      </c>
      <c r="F94" s="235" t="s">
        <v>55</v>
      </c>
      <c r="H94" s="97" t="s">
        <v>50</v>
      </c>
      <c r="I94" s="97" t="s">
        <v>51</v>
      </c>
      <c r="J94" s="97" t="s">
        <v>52</v>
      </c>
      <c r="K94" s="872" t="s">
        <v>53</v>
      </c>
      <c r="L94" s="98" t="s">
        <v>54</v>
      </c>
      <c r="M94" s="235" t="s">
        <v>55</v>
      </c>
    </row>
    <row r="95">
      <c r="A95" s="244">
        <v>1.0</v>
      </c>
      <c r="B95" s="99">
        <f>if('WEEK 27'!B102='WEEK 27'!B103,B93,B93)</f>
        <v>15</v>
      </c>
      <c r="C95" s="99">
        <v>20.0</v>
      </c>
      <c r="D95" s="873" t="s">
        <v>57</v>
      </c>
      <c r="E95" s="100"/>
      <c r="F95" s="85"/>
      <c r="G95" s="247" t="s">
        <v>123</v>
      </c>
      <c r="H95" s="874">
        <v>1.0</v>
      </c>
      <c r="I95" s="99">
        <f>if('WEEK 27'!I102='WEEK 27'!I103,I93,I93)</f>
        <v>15</v>
      </c>
      <c r="J95" s="99">
        <v>20.0</v>
      </c>
      <c r="K95" s="873" t="s">
        <v>57</v>
      </c>
      <c r="L95" s="100"/>
      <c r="M95" s="85"/>
    </row>
    <row r="96">
      <c r="A96" s="242">
        <v>2.0</v>
      </c>
      <c r="B96" s="99">
        <f>if('WEEK 28'!F95&lt;8,mround('WEEK 28'!B95*0.8,5),IF('WEEK 28'!F95&lt;=14,MROUND('WEEK 28'!B95*0.95,5),'WEEK 28'!B95))</f>
        <v>10</v>
      </c>
      <c r="C96" s="99">
        <v>20.0</v>
      </c>
      <c r="D96" s="873" t="s">
        <v>57</v>
      </c>
      <c r="E96" s="100"/>
      <c r="F96" s="85"/>
      <c r="H96" s="499">
        <v>2.0</v>
      </c>
      <c r="I96" s="99">
        <f>if('WEEK 28'!M95&lt;8,mround('WEEK 28'!I95*0.8,5),IF('WEEK 28'!M95&lt;=14,MROUND('WEEK 28'!I95*0.95,5),'WEEK 28'!I95))</f>
        <v>10</v>
      </c>
      <c r="J96" s="99">
        <v>20.0</v>
      </c>
      <c r="K96" s="873" t="s">
        <v>57</v>
      </c>
      <c r="L96" s="100"/>
      <c r="M96" s="85"/>
    </row>
    <row r="97">
      <c r="A97" s="289">
        <v>3.0</v>
      </c>
      <c r="B97" s="101">
        <f>if('WEEK 28'!F96&lt;8,mround('WEEK 28'!B96*0.8,5),IF('WEEK 28'!F96&lt;=14,MROUND('WEEK 28'!B96*0.95,5),'WEEK 28'!B96))</f>
        <v>10</v>
      </c>
      <c r="C97" s="101">
        <v>20.0</v>
      </c>
      <c r="D97" s="875" t="s">
        <v>57</v>
      </c>
      <c r="E97" s="102"/>
      <c r="F97" s="85"/>
      <c r="G97" s="842"/>
      <c r="H97" s="499">
        <v>3.0</v>
      </c>
      <c r="I97" s="99">
        <f>if('WEEK 28'!M96&lt;8,mround('WEEK 28'!I96*0.8,5),IF('WEEK 28'!M96&lt;=14,MROUND('WEEK 28'!I96*0.95,5),'WEEK 28'!I96))</f>
        <v>10</v>
      </c>
      <c r="J97" s="99">
        <v>20.0</v>
      </c>
      <c r="K97" s="873" t="s">
        <v>57</v>
      </c>
      <c r="L97" s="100"/>
      <c r="M97" s="85"/>
    </row>
    <row r="98">
      <c r="A98" s="598"/>
      <c r="B98" s="598"/>
      <c r="C98" s="598"/>
      <c r="D98" s="598"/>
      <c r="E98" s="598"/>
      <c r="F98" s="598"/>
      <c r="G98" s="598"/>
      <c r="H98" s="598"/>
      <c r="I98" s="598"/>
      <c r="J98" s="598"/>
      <c r="K98" s="598"/>
      <c r="L98" s="598"/>
      <c r="M98" s="598"/>
      <c r="N98" s="598"/>
      <c r="O98" s="598"/>
      <c r="P98" s="598"/>
      <c r="Q98" s="598"/>
      <c r="R98" s="598"/>
      <c r="S98" s="598"/>
      <c r="T98" s="598"/>
      <c r="U98" s="598"/>
    </row>
    <row r="99">
      <c r="A99" s="310" t="str">
        <f>HYPERLINK("https://docs.google.com/a/fitnessresults.com/forms/d/e/1FAIpQLSd7MoczESe8Yjv6BKpmwAZGn9Aiymrs9-UdgfYIUpbr9t5NXg/viewform?usp=pp_url&amp;entry.93370101","CLICK TO COMPLETE WORKOUT")</f>
        <v>CLICK TO COMPLETE WORKOUT</v>
      </c>
      <c r="B99" s="36"/>
      <c r="C99" s="36"/>
      <c r="D99" s="36"/>
      <c r="E99" s="36"/>
      <c r="F99" s="37"/>
      <c r="G99" s="598"/>
      <c r="H99" s="598"/>
      <c r="I99" s="598"/>
      <c r="J99" s="598"/>
      <c r="K99" s="598"/>
      <c r="L99" s="598"/>
      <c r="M99" s="598"/>
      <c r="N99" s="598"/>
      <c r="O99" s="598"/>
      <c r="P99" s="598"/>
      <c r="Q99" s="598"/>
      <c r="R99" s="598"/>
      <c r="S99" s="598"/>
      <c r="T99" s="598"/>
      <c r="U99" s="598"/>
    </row>
    <row r="100">
      <c r="A100" s="598"/>
      <c r="B100" s="598"/>
      <c r="C100" s="598"/>
      <c r="D100" s="598"/>
      <c r="E100" s="598"/>
      <c r="F100" s="598"/>
      <c r="G100" s="598"/>
      <c r="H100" s="598"/>
      <c r="I100" s="598"/>
      <c r="J100" s="598"/>
      <c r="K100" s="598"/>
      <c r="L100" s="598"/>
      <c r="M100" s="598"/>
      <c r="N100" s="598"/>
      <c r="O100" s="598"/>
      <c r="P100" s="598"/>
      <c r="Q100" s="598"/>
      <c r="R100" s="598"/>
      <c r="S100" s="598"/>
      <c r="T100" s="598"/>
      <c r="U100" s="598"/>
    </row>
    <row r="101">
      <c r="A101" s="602" t="s">
        <v>62</v>
      </c>
      <c r="B101" s="36"/>
      <c r="C101" s="36"/>
      <c r="D101" s="36"/>
      <c r="E101" s="36"/>
      <c r="F101" s="37"/>
      <c r="G101" s="598"/>
    </row>
    <row r="102">
      <c r="A102" s="876"/>
    </row>
    <row r="104">
      <c r="A104" s="44" t="s">
        <v>131</v>
      </c>
      <c r="B104" s="36"/>
      <c r="C104" s="36"/>
      <c r="D104" s="36"/>
      <c r="E104" s="36"/>
      <c r="F104" s="37"/>
      <c r="G104" s="877"/>
      <c r="H104" s="337" t="s">
        <v>131</v>
      </c>
      <c r="I104" s="36"/>
      <c r="J104" s="36"/>
      <c r="K104" s="36"/>
      <c r="L104" s="36"/>
      <c r="M104" s="37"/>
      <c r="N104" s="877"/>
      <c r="O104" s="877"/>
      <c r="P104" s="877"/>
      <c r="Q104" s="877"/>
      <c r="R104" s="877"/>
      <c r="S104" s="877"/>
      <c r="T104" s="877"/>
      <c r="U104" s="877"/>
    </row>
    <row r="105">
      <c r="A105" s="1139" t="str">
        <f>HYPERLINK("https://www.youtube.com/watch?v=-cSBPE-y38M","1. MACHINE SHOULDER PRESS")</f>
        <v>1. MACHINE SHOULDER PRESS</v>
      </c>
      <c r="B105" s="13"/>
      <c r="C105" s="13"/>
      <c r="D105" s="13"/>
      <c r="E105" s="13"/>
      <c r="F105" s="57"/>
      <c r="G105" s="877"/>
      <c r="H105" s="878" t="str">
        <f>HYPERLINK("https://youtu.be/rmxOkkd2hUk","1. SHOULDER PRESS")</f>
        <v>1. SHOULDER PRESS</v>
      </c>
      <c r="I105" s="53"/>
      <c r="J105" s="53"/>
      <c r="K105" s="53"/>
      <c r="L105" s="53"/>
      <c r="M105" s="54"/>
      <c r="N105" s="877"/>
      <c r="O105" s="877"/>
      <c r="P105" s="877"/>
      <c r="Q105" s="877"/>
      <c r="R105" s="877"/>
      <c r="S105" s="877"/>
      <c r="T105" s="877"/>
      <c r="U105" s="877"/>
    </row>
    <row r="106">
      <c r="A106" s="226" t="s">
        <v>119</v>
      </c>
      <c r="B106" s="227">
        <f>if('WEEK 25'!I113="",mround('WEEK 27'!B113*2.5,5),if('WEEK 25'!I125="",'WEEK 25'!I113,))</f>
        <v>105</v>
      </c>
      <c r="C106" s="20"/>
      <c r="D106" s="20"/>
      <c r="E106" s="20"/>
      <c r="F106" s="95"/>
      <c r="G106" s="247" t="s">
        <v>123</v>
      </c>
      <c r="H106" s="589" t="s">
        <v>119</v>
      </c>
      <c r="I106" s="227">
        <f>'WEEK 27'!B113</f>
        <v>80</v>
      </c>
      <c r="J106" s="20"/>
      <c r="K106" s="20"/>
      <c r="L106" s="20"/>
      <c r="M106" s="95"/>
      <c r="N106" s="877"/>
      <c r="O106" s="877"/>
      <c r="P106" s="877"/>
      <c r="Q106" s="877"/>
      <c r="R106" s="877"/>
      <c r="S106" s="877"/>
      <c r="T106" s="877"/>
      <c r="U106" s="877"/>
    </row>
    <row r="107">
      <c r="A107" s="231" t="s">
        <v>50</v>
      </c>
      <c r="B107" s="232" t="s">
        <v>51</v>
      </c>
      <c r="C107" s="232" t="s">
        <v>52</v>
      </c>
      <c r="D107" s="232" t="s">
        <v>53</v>
      </c>
      <c r="E107" s="233" t="s">
        <v>54</v>
      </c>
      <c r="F107" s="61" t="s">
        <v>55</v>
      </c>
      <c r="H107" s="364" t="s">
        <v>50</v>
      </c>
      <c r="I107" s="365" t="s">
        <v>51</v>
      </c>
      <c r="J107" s="365" t="s">
        <v>52</v>
      </c>
      <c r="K107" s="365" t="s">
        <v>53</v>
      </c>
      <c r="L107" s="609" t="s">
        <v>54</v>
      </c>
      <c r="M107" s="61" t="s">
        <v>55</v>
      </c>
      <c r="N107" s="877"/>
      <c r="O107" s="877"/>
      <c r="P107" s="877"/>
      <c r="Q107" s="877"/>
      <c r="R107" s="877"/>
      <c r="S107" s="877"/>
      <c r="T107" s="877"/>
      <c r="U107" s="877"/>
    </row>
    <row r="108">
      <c r="A108" s="1140">
        <v>1.0</v>
      </c>
      <c r="B108" s="237">
        <f>mround('WEEK 28'!B106*0.35,5)</f>
        <v>35</v>
      </c>
      <c r="C108" s="237">
        <v>6.0</v>
      </c>
      <c r="D108" s="238" t="s">
        <v>120</v>
      </c>
      <c r="E108" s="66">
        <f>if('WEEK 25'!I115='WEEK 28'!B108,'WEEK 25'!I115,if('WEEK 19'!B92='WEEK 28'!B108,'WEEK 19'!F92,""))</f>
        <v>35</v>
      </c>
      <c r="F108" s="67"/>
      <c r="G108" s="877"/>
      <c r="H108" s="236">
        <v>1.0</v>
      </c>
      <c r="I108" s="237">
        <f>mround(I106*0.35,5)</f>
        <v>30</v>
      </c>
      <c r="J108" s="237">
        <v>6.0</v>
      </c>
      <c r="K108" s="238" t="s">
        <v>120</v>
      </c>
      <c r="L108" s="66"/>
      <c r="M108" s="67"/>
      <c r="N108" s="877"/>
      <c r="O108" s="877"/>
      <c r="P108" s="877"/>
      <c r="Q108" s="877"/>
      <c r="R108" s="877"/>
      <c r="S108" s="877"/>
      <c r="T108" s="877"/>
      <c r="U108" s="877"/>
    </row>
    <row r="109">
      <c r="A109" s="236">
        <v>2.0</v>
      </c>
      <c r="B109" s="237">
        <f>mround('WEEK 28'!B106*0.65,5)</f>
        <v>70</v>
      </c>
      <c r="C109" s="237">
        <v>1.0</v>
      </c>
      <c r="D109" s="238" t="s">
        <v>121</v>
      </c>
      <c r="E109" s="66">
        <f>if('WEEK 25'!I116='WEEK 28'!B109,'WEEK 25'!I116,if('WEEK 19'!B93='WEEK 28'!B109,'WEEK 19'!F93,""))</f>
        <v>70</v>
      </c>
      <c r="F109" s="67"/>
      <c r="G109" s="877"/>
      <c r="H109" s="236">
        <v>2.0</v>
      </c>
      <c r="I109" s="237">
        <f>mround('WEEK 28'!I106*0.65,5)</f>
        <v>50</v>
      </c>
      <c r="J109" s="237">
        <v>1.0</v>
      </c>
      <c r="K109" s="238" t="s">
        <v>57</v>
      </c>
      <c r="L109" s="66"/>
      <c r="M109" s="67"/>
      <c r="N109" s="877"/>
      <c r="O109" s="877"/>
      <c r="P109" s="877"/>
      <c r="Q109" s="877"/>
      <c r="R109" s="877"/>
      <c r="S109" s="877"/>
      <c r="T109" s="877"/>
      <c r="U109" s="877"/>
    </row>
    <row r="110">
      <c r="A110" s="242">
        <v>3.0</v>
      </c>
      <c r="B110" s="237">
        <f>mround('WEEK 28'!B106*0.9,5)</f>
        <v>95</v>
      </c>
      <c r="C110" s="82">
        <v>1.0</v>
      </c>
      <c r="D110" s="238" t="s">
        <v>121</v>
      </c>
      <c r="E110" s="66">
        <f>if('WEEK 25'!I117='WEEK 28'!B110,'WEEK 25'!I117,if('WEEK 19'!B94='WEEK 28'!B110,'WEEK 19'!F94,""))</f>
        <v>95</v>
      </c>
      <c r="F110" s="67"/>
      <c r="G110" s="877"/>
      <c r="H110" s="242">
        <v>3.0</v>
      </c>
      <c r="I110" s="237">
        <f>mround('WEEK 28'!I106*0.9,5)</f>
        <v>70</v>
      </c>
      <c r="J110" s="82">
        <v>1.0</v>
      </c>
      <c r="K110" s="65" t="s">
        <v>57</v>
      </c>
      <c r="L110" s="66"/>
      <c r="M110" s="67"/>
      <c r="N110" s="877"/>
      <c r="O110" s="877"/>
      <c r="P110" s="877"/>
      <c r="Q110" s="877"/>
      <c r="R110" s="877"/>
      <c r="S110" s="877"/>
      <c r="T110" s="877"/>
      <c r="U110" s="877"/>
    </row>
    <row r="111">
      <c r="A111" s="243">
        <v>4.0</v>
      </c>
      <c r="B111" s="237">
        <f>'WEEK 28'!B106</f>
        <v>105</v>
      </c>
      <c r="C111" s="257">
        <v>1.0</v>
      </c>
      <c r="D111" s="238" t="s">
        <v>122</v>
      </c>
      <c r="E111" s="66">
        <f>if('WEEK 25'!I118='WEEK 28'!B111,'WEEK 25'!I118,if('WEEK 19'!B95='WEEK 28'!B111,'WEEK 19'!F95,""))</f>
        <v>105</v>
      </c>
      <c r="F111" s="67"/>
      <c r="G111" s="877"/>
      <c r="H111" s="242">
        <v>4.0</v>
      </c>
      <c r="I111" s="237">
        <f>'WEEK 28'!I106</f>
        <v>80</v>
      </c>
      <c r="J111" s="82">
        <v>1.0</v>
      </c>
      <c r="K111" s="65" t="s">
        <v>57</v>
      </c>
      <c r="L111" s="66"/>
      <c r="M111" s="67"/>
      <c r="N111" s="877"/>
      <c r="O111" s="877"/>
      <c r="P111" s="877"/>
      <c r="Q111" s="877"/>
      <c r="R111" s="877"/>
      <c r="S111" s="877"/>
      <c r="T111" s="877"/>
      <c r="U111" s="877"/>
    </row>
    <row r="112">
      <c r="A112" s="246" t="str">
        <f>IF('WEEK 28'!F111&lt;1,"PROCEED TO DOWN SETS","NEW 4 REP MAX ATTEMPT")</f>
        <v>PROCEED TO DOWN SETS</v>
      </c>
      <c r="B112" s="20"/>
      <c r="C112" s="20"/>
      <c r="D112" s="20"/>
      <c r="E112" s="20"/>
      <c r="F112" s="95"/>
      <c r="G112" s="877"/>
      <c r="H112" s="246" t="s">
        <v>163</v>
      </c>
      <c r="I112" s="20"/>
      <c r="J112" s="20"/>
      <c r="K112" s="20"/>
      <c r="L112" s="20"/>
      <c r="M112" s="95"/>
      <c r="N112" s="877"/>
      <c r="O112" s="877"/>
      <c r="P112" s="877"/>
      <c r="Q112" s="877"/>
      <c r="R112" s="877"/>
      <c r="S112" s="877"/>
      <c r="T112" s="877"/>
      <c r="U112" s="877"/>
    </row>
    <row r="113">
      <c r="A113" s="249" t="str">
        <f>IF(OR(ISBLANK('WEEK 28'!F111),ISBLANK('WEEK 28'!F110),ISBLANK('WEEK 28'!F109)), "",if('WEEK 28'!F111&lt;1,"",5))</f>
        <v/>
      </c>
      <c r="B113" s="175" t="str">
        <f>IF('WEEK 28'!F111&lt;1,"",'WEEK 28'!B111+5)</f>
        <v/>
      </c>
      <c r="C113" s="238" t="str">
        <f>if('WEEK 28'!F111&lt;1,"",4)</f>
        <v/>
      </c>
      <c r="D113" s="238" t="str">
        <f>if('WEEK 28'!F111&lt;1,"","1-5 MIN")</f>
        <v/>
      </c>
      <c r="E113" s="66"/>
      <c r="F113" s="67"/>
      <c r="G113" s="877"/>
      <c r="H113" s="244" t="str">
        <f>if('WEEK 28'!M111&lt;1,"",5)</f>
        <v/>
      </c>
      <c r="I113" s="82" t="str">
        <f>IF('WEEK 28'!M111&lt;1,"",'WEEK 28'!I111+5)</f>
        <v/>
      </c>
      <c r="J113" s="238" t="str">
        <f>if('WEEK 28'!M111&lt;1,"",1)</f>
        <v/>
      </c>
      <c r="K113" s="238" t="str">
        <f>if('WEEK 28'!M111&lt;1,"","1-5 MIN")</f>
        <v/>
      </c>
      <c r="L113" s="250"/>
      <c r="M113" s="67"/>
      <c r="N113" s="877"/>
      <c r="O113" s="877"/>
      <c r="P113" s="877"/>
      <c r="Q113" s="877"/>
      <c r="R113" s="877"/>
      <c r="S113" s="877"/>
      <c r="T113" s="877"/>
      <c r="U113" s="877"/>
    </row>
    <row r="114">
      <c r="A114" s="259" t="str">
        <f>IF(OR(ISBLANK('WEEK 28'!F110),ISBLANK('WEEK 28'!F111),ISBLANK('WEEK 28'!F113)), "",IF('WEEK 28'!F113&lt;4,"","6"))</f>
        <v/>
      </c>
      <c r="B114" s="237" t="str">
        <f>IF(OR(ISBLANK('WEEK 28'!F110),ISBLANK('WEEK 28'!F111),ISBLANK('WEEK 28'!F113)), "",IF('WEEK 28'!F113&lt;4,"",'WEEK 28'!B113+5))</f>
        <v/>
      </c>
      <c r="C114" s="257" t="str">
        <f>IF(OR(ISBLANK('WEEK 28'!F110),ISBLANK('WEEK 28'!F111),ISBLANK('WEEK 28'!F113)), "",IF('WEEK 28'!F113&lt;4,"","4"))</f>
        <v/>
      </c>
      <c r="D114" s="257" t="str">
        <f>IF(OR(ISBLANK('WEEK 28'!F110),ISBLANK('WEEK 28'!F111),ISBLANK('WEEK 28'!F113)), "",IF('WEEK 28'!F113&lt;4,"","1-5 MIN"))</f>
        <v/>
      </c>
      <c r="E114" s="66"/>
      <c r="F114" s="67"/>
      <c r="G114" s="877"/>
      <c r="H114" s="242" t="str">
        <f>IF('WEEK 28'!M113&lt;1,"","6")</f>
        <v/>
      </c>
      <c r="I114" s="237" t="str">
        <f>IF('WEEK 28'!M113&lt;1,"",'WEEK 28'!I113+5)</f>
        <v/>
      </c>
      <c r="J114" s="245" t="str">
        <f>IF('WEEK 28'!M113&lt;1,"","1")</f>
        <v/>
      </c>
      <c r="K114" s="63" t="str">
        <f>IF('WEEK 28'!M113&lt;1,"","1-5 MIN")</f>
        <v/>
      </c>
      <c r="L114" s="258"/>
      <c r="M114" s="665"/>
      <c r="N114" s="877"/>
      <c r="O114" s="877"/>
      <c r="P114" s="877"/>
      <c r="Q114" s="877"/>
      <c r="R114" s="877"/>
      <c r="S114" s="877"/>
      <c r="T114" s="877"/>
      <c r="U114" s="877"/>
    </row>
    <row r="115">
      <c r="A115" s="246" t="s">
        <v>133</v>
      </c>
      <c r="B115" s="20"/>
      <c r="C115" s="20"/>
      <c r="D115" s="20"/>
      <c r="E115" s="20"/>
      <c r="F115" s="95"/>
      <c r="G115" s="877"/>
      <c r="H115" s="246" t="s">
        <v>133</v>
      </c>
      <c r="I115" s="20"/>
      <c r="J115" s="20"/>
      <c r="K115" s="20"/>
      <c r="L115" s="20"/>
      <c r="M115" s="95"/>
      <c r="N115" s="877"/>
      <c r="O115" s="877"/>
      <c r="P115" s="877"/>
      <c r="Q115" s="877"/>
      <c r="R115" s="877"/>
      <c r="S115" s="877"/>
      <c r="T115" s="877"/>
      <c r="U115" s="877"/>
    </row>
    <row r="116">
      <c r="A116" s="264" t="str">
        <f>IF(OR(ISBLANK('WEEK 28'!F111),ISBLANK('WEEK 28'!F110),ISBLANK('WEEK 28'!F109)),"",IF((AND(A113="",A114="")),5,IF((AND(A113&gt;1,A114="")),6,7)))</f>
        <v/>
      </c>
      <c r="B116" s="265">
        <f>MROUND('WEEK 28'!B118*0.9,5)</f>
        <v>0</v>
      </c>
      <c r="C116" s="266" t="s">
        <v>65</v>
      </c>
      <c r="D116" s="267" t="s">
        <v>127</v>
      </c>
      <c r="E116" s="66"/>
      <c r="F116" s="67"/>
      <c r="G116" s="877"/>
      <c r="H116" s="879">
        <f>IF(M113&gt;=1,7,IF(M111&lt;1,5,6))</f>
        <v>5</v>
      </c>
      <c r="I116" s="265">
        <f>MROUND('WEEK 28'!I118*0.9,5)</f>
        <v>0</v>
      </c>
      <c r="J116" s="266" t="s">
        <v>65</v>
      </c>
      <c r="K116" s="267" t="s">
        <v>127</v>
      </c>
      <c r="L116" s="268"/>
      <c r="M116" s="843"/>
      <c r="N116" s="877"/>
      <c r="O116" s="877"/>
      <c r="P116" s="877"/>
      <c r="Q116" s="877"/>
      <c r="R116" s="877"/>
      <c r="S116" s="877"/>
      <c r="T116" s="877"/>
      <c r="U116" s="877"/>
    </row>
    <row r="117">
      <c r="A117" s="243" t="str">
        <f>IF(OR(ISBLANK('WEEK 28'!F111),ISBLANK('WEEK 28'!F110),ISBLANK('WEEK 28'!F109)),"",IF((AND(A113="",A114="")),6,IF((AND(A113&gt;1,A114="")),7,8)))</f>
        <v/>
      </c>
      <c r="B117" s="237">
        <f>mround('WEEK 28'!B118*0.78,5)</f>
        <v>0</v>
      </c>
      <c r="C117" s="245" t="s">
        <v>65</v>
      </c>
      <c r="D117" s="65" t="s">
        <v>127</v>
      </c>
      <c r="E117" s="66"/>
      <c r="F117" s="271"/>
      <c r="G117" s="877"/>
      <c r="H117" s="242">
        <f>IF('WEEK 28'!M113&gt;=1,8,IF('WEEK 28'!M111&lt;1,6,7))</f>
        <v>6</v>
      </c>
      <c r="I117" s="237">
        <f>mround('WEEK 28'!I118*0.78,5)</f>
        <v>0</v>
      </c>
      <c r="J117" s="245" t="s">
        <v>65</v>
      </c>
      <c r="K117" s="65" t="s">
        <v>127</v>
      </c>
      <c r="L117" s="258"/>
      <c r="M117" s="67"/>
      <c r="N117" s="877"/>
      <c r="O117" s="877"/>
      <c r="P117" s="877"/>
      <c r="Q117" s="877"/>
      <c r="R117" s="877"/>
      <c r="S117" s="877"/>
      <c r="T117" s="877"/>
      <c r="U117" s="877"/>
    </row>
    <row r="118">
      <c r="A118" s="272" t="s">
        <v>124</v>
      </c>
      <c r="B118" s="273" t="str">
        <f>IF(OR(ISBLANK('WEEK 28'!F111),ISBLANK('WEEK 28'!F110),ISBLANK('WEEK 28'!F109)),"",IF('WEEK 28'!F114&gt;=1,'WEEK 28'!B114,IF('WEEK 28'!F113&gt;=4,'WEEK 28'!B113,IF('WEEK 28'!F111&lt;1,'WEEK 28'!B111-5,'WEEK 28'!B111))))</f>
        <v/>
      </c>
      <c r="C118" s="11"/>
      <c r="D118" s="11"/>
      <c r="E118" s="11"/>
      <c r="F118" s="46"/>
      <c r="G118" s="877"/>
      <c r="H118" s="272" t="s">
        <v>124</v>
      </c>
      <c r="I118" s="332" t="str">
        <f>IF(OR(ISBLANK('WEEK 28'!M111),ISBLANK('WEEK 28'!M110),ISBLANK('WEEK 28'!M109)),"",IF('WEEK 28'!M114&gt;=1,'WEEK 28'!I114,IF('WEEK 28'!M113&gt;=1,'WEEK 28'!I113,IF('WEEK 28'!M111&lt;1,'WEEK 28'!I111-5,'WEEK 28'!I111))))</f>
        <v/>
      </c>
      <c r="J118" s="33"/>
      <c r="K118" s="33"/>
      <c r="L118" s="33"/>
      <c r="M118" s="34"/>
      <c r="N118" s="877"/>
      <c r="O118" s="877"/>
      <c r="P118" s="877"/>
      <c r="Q118" s="877"/>
      <c r="R118" s="877"/>
      <c r="S118" s="877"/>
      <c r="T118" s="877"/>
      <c r="U118" s="877"/>
    </row>
    <row r="119">
      <c r="A119" s="880"/>
      <c r="B119" s="880"/>
      <c r="C119" s="880"/>
      <c r="D119" s="880"/>
      <c r="E119" s="881"/>
      <c r="F119" s="598"/>
      <c r="G119" s="877"/>
      <c r="H119" s="877"/>
      <c r="I119" s="877"/>
      <c r="J119" s="877"/>
      <c r="K119" s="877"/>
      <c r="L119" s="877"/>
      <c r="M119" s="877"/>
      <c r="N119" s="877"/>
      <c r="O119" s="877"/>
      <c r="P119" s="877"/>
      <c r="Q119" s="877"/>
      <c r="R119" s="877"/>
      <c r="S119" s="877"/>
      <c r="T119" s="877"/>
      <c r="U119" s="877"/>
    </row>
    <row r="120">
      <c r="A120" s="687" t="str">
        <f>HYPERLINK("https://www.youtube.com/watch?v=XDLQt1j3qUU","2. DUMBBELL REAR DELT FLY ")</f>
        <v>2. DUMBBELL REAR DELT FLY </v>
      </c>
      <c r="B120" s="53"/>
      <c r="C120" s="53"/>
      <c r="D120" s="53"/>
      <c r="E120" s="53"/>
      <c r="F120" s="54"/>
      <c r="G120" s="877"/>
      <c r="H120" s="877"/>
      <c r="I120" s="877"/>
      <c r="J120" s="877"/>
      <c r="K120" s="877"/>
      <c r="L120" s="877"/>
      <c r="M120" s="877"/>
      <c r="N120" s="877"/>
      <c r="O120" s="877"/>
      <c r="P120" s="877"/>
      <c r="Q120" s="877"/>
      <c r="R120" s="877"/>
      <c r="S120" s="877"/>
      <c r="T120" s="877"/>
      <c r="U120" s="877"/>
    </row>
    <row r="121">
      <c r="A121" s="226" t="s">
        <v>145</v>
      </c>
      <c r="B121" s="691">
        <f>IF('WEEK 28'!I118="",'WEEK 27'!B113,'WEEK 28'!I118)</f>
        <v>80</v>
      </c>
      <c r="C121" s="13"/>
      <c r="D121" s="13"/>
      <c r="E121" s="13"/>
      <c r="F121" s="57"/>
      <c r="G121" s="877"/>
      <c r="H121" s="877"/>
      <c r="I121" s="877"/>
      <c r="J121" s="877"/>
      <c r="K121" s="877"/>
      <c r="L121" s="877"/>
      <c r="M121" s="877"/>
      <c r="N121" s="877"/>
      <c r="O121" s="877"/>
      <c r="P121" s="877"/>
      <c r="Q121" s="877"/>
      <c r="R121" s="877"/>
      <c r="S121" s="877"/>
      <c r="T121" s="877"/>
      <c r="U121" s="877"/>
    </row>
    <row r="122">
      <c r="A122" s="96" t="s">
        <v>50</v>
      </c>
      <c r="B122" s="97" t="s">
        <v>51</v>
      </c>
      <c r="C122" s="97" t="s">
        <v>52</v>
      </c>
      <c r="D122" s="97" t="s">
        <v>53</v>
      </c>
      <c r="E122" s="341" t="s">
        <v>54</v>
      </c>
      <c r="F122" s="235" t="s">
        <v>55</v>
      </c>
      <c r="G122" s="877"/>
      <c r="H122" s="877"/>
      <c r="I122" s="877"/>
      <c r="J122" s="877"/>
      <c r="K122" s="877"/>
      <c r="L122" s="877"/>
      <c r="M122" s="877"/>
      <c r="N122" s="877"/>
      <c r="O122" s="877"/>
      <c r="P122" s="877"/>
      <c r="Q122" s="877"/>
      <c r="R122" s="877"/>
      <c r="S122" s="877"/>
      <c r="T122" s="877"/>
      <c r="U122" s="877"/>
    </row>
    <row r="123">
      <c r="A123" s="556">
        <v>1.0</v>
      </c>
      <c r="B123" s="237">
        <f>MROUND('WEEK 28'!B121*0.2,2.5)</f>
        <v>15</v>
      </c>
      <c r="C123" s="65" t="s">
        <v>168</v>
      </c>
      <c r="D123" s="693" t="s">
        <v>127</v>
      </c>
      <c r="E123" s="346"/>
      <c r="F123" s="694"/>
      <c r="G123" s="877"/>
      <c r="H123" s="877"/>
      <c r="I123" s="877"/>
      <c r="J123" s="877"/>
      <c r="K123" s="877"/>
      <c r="L123" s="877"/>
      <c r="M123" s="877"/>
      <c r="N123" s="877"/>
      <c r="O123" s="877"/>
      <c r="P123" s="877"/>
      <c r="Q123" s="877"/>
      <c r="R123" s="877"/>
      <c r="S123" s="877"/>
      <c r="T123" s="877"/>
      <c r="U123" s="877"/>
    </row>
    <row r="124">
      <c r="A124" s="556">
        <v>2.0</v>
      </c>
      <c r="B124" s="237">
        <f>if('WEEK 28'!F123&lt;6,mround('WEEK 28'!B123*0.8,5),IF('WEEK 28'!F123&lt;=10,MROUND('WEEK 28'!B123*0.95,5),'WEEK 28'!B123))</f>
        <v>10</v>
      </c>
      <c r="C124" s="65" t="s">
        <v>169</v>
      </c>
      <c r="D124" s="693" t="s">
        <v>127</v>
      </c>
      <c r="E124" s="346"/>
      <c r="F124" s="694"/>
      <c r="G124" s="877"/>
      <c r="H124" s="877"/>
      <c r="I124" s="877"/>
      <c r="J124" s="877"/>
      <c r="K124" s="877"/>
      <c r="L124" s="877"/>
      <c r="M124" s="877"/>
      <c r="N124" s="877"/>
      <c r="O124" s="877"/>
      <c r="P124" s="877"/>
      <c r="Q124" s="877"/>
      <c r="R124" s="877"/>
      <c r="S124" s="877"/>
      <c r="T124" s="877"/>
      <c r="U124" s="877"/>
    </row>
    <row r="125">
      <c r="A125" s="561">
        <v>3.0</v>
      </c>
      <c r="B125" s="371">
        <f>if('WEEK 28'!F124&lt;8,mround('WEEK 28'!B124*0.8,5),IF('WEEK 28'!F124&lt;=14,MROUND('WEEK 28'!B124*0.95,5),'WEEK 28'!B124))</f>
        <v>10</v>
      </c>
      <c r="C125" s="65" t="s">
        <v>169</v>
      </c>
      <c r="D125" s="794" t="s">
        <v>127</v>
      </c>
      <c r="E125" s="695"/>
      <c r="F125" s="694"/>
      <c r="G125" s="877"/>
      <c r="H125" s="877"/>
      <c r="I125" s="877"/>
      <c r="J125" s="877"/>
      <c r="K125" s="877"/>
      <c r="L125" s="877"/>
      <c r="M125" s="877"/>
      <c r="N125" s="877"/>
      <c r="O125" s="877"/>
      <c r="P125" s="877"/>
      <c r="Q125" s="877"/>
      <c r="R125" s="877"/>
      <c r="S125" s="877"/>
      <c r="T125" s="877"/>
      <c r="U125" s="877"/>
    </row>
    <row r="126">
      <c r="A126" s="640"/>
      <c r="G126" s="877"/>
      <c r="H126" s="877"/>
      <c r="I126" s="877"/>
      <c r="J126" s="877"/>
      <c r="K126" s="877"/>
      <c r="L126" s="877"/>
      <c r="M126" s="877"/>
      <c r="N126" s="877"/>
      <c r="O126" s="877"/>
      <c r="P126" s="877"/>
      <c r="Q126" s="877"/>
      <c r="R126" s="877"/>
      <c r="S126" s="877"/>
      <c r="T126" s="877"/>
      <c r="U126" s="877"/>
    </row>
    <row r="127">
      <c r="G127" s="877"/>
      <c r="H127" s="877"/>
      <c r="I127" s="877"/>
      <c r="J127" s="877"/>
      <c r="K127" s="877"/>
      <c r="L127" s="877"/>
      <c r="M127" s="877"/>
      <c r="N127" s="877"/>
      <c r="O127" s="877"/>
      <c r="P127" s="877"/>
      <c r="Q127" s="877"/>
      <c r="R127" s="877"/>
      <c r="S127" s="877"/>
      <c r="T127" s="877"/>
      <c r="U127" s="877"/>
    </row>
    <row r="128">
      <c r="A128" s="513" t="str">
        <f>HYPERLINK("https://youtu.be/QUNZvtb6mnY","3. DUMBBELL SIDE LATERAL RAISE")</f>
        <v>3. DUMBBELL SIDE LATERAL RAISE</v>
      </c>
      <c r="B128" s="53"/>
      <c r="C128" s="53"/>
      <c r="D128" s="53"/>
      <c r="E128" s="53"/>
      <c r="F128" s="54"/>
      <c r="G128" s="877"/>
      <c r="H128" s="877"/>
      <c r="I128" s="877"/>
      <c r="J128" s="877"/>
      <c r="K128" s="877"/>
      <c r="L128" s="877"/>
      <c r="M128" s="877"/>
      <c r="N128" s="877"/>
      <c r="O128" s="877"/>
      <c r="P128" s="877"/>
      <c r="Q128" s="877"/>
      <c r="R128" s="877"/>
      <c r="S128" s="877"/>
      <c r="T128" s="877"/>
      <c r="U128" s="877"/>
    </row>
    <row r="129">
      <c r="A129" s="226" t="s">
        <v>145</v>
      </c>
      <c r="B129" s="90">
        <f>IF('WEEK 28'!I118="",'WEEK 27'!B131,'WEEK 28'!I118)</f>
        <v>80</v>
      </c>
      <c r="C129" s="13"/>
      <c r="D129" s="13"/>
      <c r="E129" s="13"/>
      <c r="F129" s="57"/>
      <c r="G129" s="877"/>
      <c r="H129" s="877"/>
      <c r="I129" s="877"/>
      <c r="J129" s="877"/>
      <c r="K129" s="877"/>
      <c r="L129" s="877"/>
      <c r="M129" s="877"/>
      <c r="N129" s="877"/>
      <c r="O129" s="877"/>
      <c r="P129" s="877"/>
      <c r="Q129" s="877"/>
      <c r="R129" s="877"/>
      <c r="S129" s="877"/>
      <c r="T129" s="877"/>
      <c r="U129" s="877"/>
    </row>
    <row r="130">
      <c r="A130" s="376" t="s">
        <v>50</v>
      </c>
      <c r="B130" s="79" t="s">
        <v>51</v>
      </c>
      <c r="C130" s="79" t="s">
        <v>52</v>
      </c>
      <c r="D130" s="79" t="s">
        <v>53</v>
      </c>
      <c r="E130" s="98" t="s">
        <v>54</v>
      </c>
      <c r="F130" s="377" t="s">
        <v>55</v>
      </c>
      <c r="G130" s="877"/>
      <c r="H130" s="877"/>
      <c r="I130" s="877"/>
      <c r="J130" s="877"/>
      <c r="K130" s="877"/>
      <c r="L130" s="877"/>
      <c r="M130" s="877"/>
      <c r="N130" s="877"/>
      <c r="O130" s="877"/>
      <c r="P130" s="877"/>
      <c r="Q130" s="877"/>
      <c r="R130" s="877"/>
      <c r="S130" s="877"/>
      <c r="T130" s="877"/>
      <c r="U130" s="877"/>
    </row>
    <row r="131">
      <c r="A131" s="81">
        <v>1.0</v>
      </c>
      <c r="B131" s="82">
        <f>mround('WEEK 28'!B129*0.2,5)</f>
        <v>15</v>
      </c>
      <c r="C131" s="63" t="s">
        <v>61</v>
      </c>
      <c r="D131" s="83" t="s">
        <v>57</v>
      </c>
      <c r="E131" s="378"/>
      <c r="F131" s="796"/>
      <c r="G131" s="877"/>
      <c r="H131" s="877"/>
      <c r="I131" s="877"/>
      <c r="J131" s="877"/>
      <c r="K131" s="877"/>
      <c r="L131" s="877"/>
      <c r="M131" s="877"/>
      <c r="N131" s="877"/>
      <c r="O131" s="877"/>
      <c r="P131" s="877"/>
      <c r="Q131" s="877"/>
      <c r="R131" s="877"/>
      <c r="S131" s="877"/>
      <c r="T131" s="877"/>
      <c r="U131" s="877"/>
    </row>
    <row r="132">
      <c r="A132" s="81">
        <v>2.0</v>
      </c>
      <c r="B132" s="82">
        <f>if('WEEK 28'!F131&lt;12,mround('WEEK 28'!B129*0.15,2.5),'WEEK 28'!B131)</f>
        <v>12.5</v>
      </c>
      <c r="C132" s="63" t="s">
        <v>61</v>
      </c>
      <c r="D132" s="83" t="s">
        <v>57</v>
      </c>
      <c r="E132" s="378"/>
      <c r="F132" s="330"/>
      <c r="G132" s="877"/>
      <c r="H132" s="877"/>
      <c r="I132" s="877"/>
      <c r="J132" s="877"/>
      <c r="K132" s="877"/>
      <c r="L132" s="877"/>
      <c r="M132" s="877"/>
      <c r="N132" s="877"/>
      <c r="O132" s="877"/>
      <c r="P132" s="877"/>
      <c r="Q132" s="877"/>
      <c r="R132" s="877"/>
      <c r="S132" s="877"/>
      <c r="T132" s="877"/>
      <c r="U132" s="877"/>
    </row>
    <row r="133">
      <c r="A133" s="86">
        <v>3.0</v>
      </c>
      <c r="B133" s="87">
        <f>if('WEEK 28'!F132&lt;12,mround('WEEK 28'!B129*0.1,2.5),'WEEK 28'!B132)</f>
        <v>7.5</v>
      </c>
      <c r="C133" s="63" t="s">
        <v>61</v>
      </c>
      <c r="D133" s="88" t="s">
        <v>57</v>
      </c>
      <c r="E133" s="379"/>
      <c r="F133" s="85"/>
      <c r="G133" s="877"/>
      <c r="H133" s="877"/>
      <c r="I133" s="877"/>
      <c r="J133" s="877"/>
      <c r="K133" s="877"/>
      <c r="L133" s="877"/>
      <c r="M133" s="877"/>
      <c r="N133" s="877"/>
      <c r="O133" s="877"/>
      <c r="P133" s="877"/>
      <c r="Q133" s="877"/>
      <c r="R133" s="877"/>
      <c r="S133" s="877"/>
      <c r="T133" s="877"/>
      <c r="U133" s="877"/>
    </row>
    <row r="134">
      <c r="A134" s="640"/>
      <c r="G134" s="877"/>
      <c r="H134" s="877"/>
      <c r="I134" s="877"/>
      <c r="J134" s="877"/>
      <c r="K134" s="877"/>
      <c r="L134" s="877"/>
      <c r="M134" s="877"/>
      <c r="N134" s="877"/>
      <c r="O134" s="877"/>
      <c r="P134" s="877"/>
      <c r="Q134" s="877"/>
      <c r="R134" s="877"/>
      <c r="S134" s="877"/>
      <c r="T134" s="877"/>
      <c r="U134" s="877"/>
    </row>
    <row r="135">
      <c r="G135" s="877"/>
      <c r="H135" s="877"/>
      <c r="I135" s="877"/>
      <c r="J135" s="877"/>
      <c r="K135" s="877"/>
      <c r="L135" s="877"/>
      <c r="M135" s="877"/>
      <c r="N135" s="877"/>
      <c r="O135" s="877"/>
      <c r="P135" s="877"/>
      <c r="Q135" s="877"/>
      <c r="R135" s="877"/>
      <c r="S135" s="877"/>
      <c r="T135" s="877"/>
      <c r="U135" s="877"/>
    </row>
    <row r="136">
      <c r="A136" s="361" t="str">
        <f>HYPERLINK("https://www.youtube.com/watch?v=Zt0LwrUdpNs","2.  TRICEP OVERHEAD ROPE EXTENSION")</f>
        <v>2.  TRICEP OVERHEAD ROPE EXTENSION</v>
      </c>
      <c r="B136" s="53"/>
      <c r="C136" s="53"/>
      <c r="D136" s="53"/>
      <c r="E136" s="53"/>
      <c r="F136" s="54"/>
      <c r="G136" s="877"/>
      <c r="H136" s="877"/>
      <c r="I136" s="877"/>
      <c r="J136" s="877"/>
      <c r="K136" s="877"/>
      <c r="L136" s="877"/>
      <c r="M136" s="877"/>
      <c r="N136" s="877"/>
      <c r="O136" s="877"/>
      <c r="P136" s="877"/>
      <c r="Q136" s="877"/>
      <c r="R136" s="877"/>
      <c r="S136" s="877"/>
      <c r="T136" s="877"/>
      <c r="U136" s="877"/>
    </row>
    <row r="137">
      <c r="A137" s="226" t="s">
        <v>119</v>
      </c>
      <c r="B137" s="76">
        <f>'WEEK 27'!B139</f>
        <v>10</v>
      </c>
      <c r="C137" s="13"/>
      <c r="D137" s="13"/>
      <c r="E137" s="13"/>
      <c r="F137" s="57"/>
      <c r="G137" s="877"/>
      <c r="H137" s="877"/>
      <c r="I137" s="877"/>
      <c r="J137" s="877"/>
      <c r="K137" s="877"/>
      <c r="L137" s="877"/>
      <c r="M137" s="877"/>
      <c r="N137" s="877"/>
      <c r="O137" s="877"/>
      <c r="P137" s="877"/>
      <c r="Q137" s="877"/>
      <c r="R137" s="877"/>
      <c r="S137" s="877"/>
      <c r="T137" s="877"/>
      <c r="U137" s="877"/>
    </row>
    <row r="138">
      <c r="A138" s="77" t="s">
        <v>50</v>
      </c>
      <c r="B138" s="78" t="s">
        <v>51</v>
      </c>
      <c r="C138" s="78" t="s">
        <v>52</v>
      </c>
      <c r="D138" s="78" t="s">
        <v>53</v>
      </c>
      <c r="E138" s="80" t="s">
        <v>54</v>
      </c>
      <c r="F138" s="235" t="s">
        <v>55</v>
      </c>
      <c r="G138" s="877"/>
      <c r="H138" s="877"/>
      <c r="I138" s="877"/>
      <c r="J138" s="877"/>
      <c r="K138" s="877"/>
      <c r="L138" s="877"/>
      <c r="M138" s="877"/>
      <c r="N138" s="877"/>
      <c r="O138" s="877"/>
      <c r="P138" s="877"/>
      <c r="Q138" s="877"/>
      <c r="R138" s="877"/>
      <c r="S138" s="877"/>
      <c r="T138" s="877"/>
      <c r="U138" s="877"/>
    </row>
    <row r="139">
      <c r="A139" s="81">
        <v>1.0</v>
      </c>
      <c r="B139" s="82">
        <f>'WEEK 28'!B137</f>
        <v>10</v>
      </c>
      <c r="C139" s="65" t="s">
        <v>61</v>
      </c>
      <c r="D139" s="83" t="s">
        <v>58</v>
      </c>
      <c r="E139" s="84" t="str">
        <f>IF('WEEK 1 '!B142=B139,'WEEK 1 '!F142,"")</f>
        <v/>
      </c>
      <c r="F139" s="85"/>
      <c r="G139" s="877"/>
      <c r="H139" s="877"/>
      <c r="I139" s="877"/>
      <c r="J139" s="877"/>
      <c r="K139" s="877"/>
      <c r="L139" s="877"/>
      <c r="M139" s="877"/>
      <c r="N139" s="877"/>
      <c r="O139" s="877"/>
      <c r="P139" s="877"/>
      <c r="Q139" s="877"/>
      <c r="R139" s="877"/>
      <c r="S139" s="877"/>
      <c r="T139" s="877"/>
      <c r="U139" s="877"/>
    </row>
    <row r="140">
      <c r="A140" s="81">
        <v>2.0</v>
      </c>
      <c r="B140" s="82">
        <f>if('WEEK 28'!F139&lt;10,mround('WEEK 28'!B139*0.8,5),IF('WEEK 28'!F139&lt;=14,MROUND('WEEK 28'!B137*0.95,5),'WEEK 28'!B139))</f>
        <v>10</v>
      </c>
      <c r="C140" s="65" t="s">
        <v>61</v>
      </c>
      <c r="D140" s="83" t="s">
        <v>58</v>
      </c>
      <c r="E140" s="84" t="str">
        <f>IF('WEEK 1 '!B143=B140,'WEEK 1 '!F143,"")</f>
        <v/>
      </c>
      <c r="F140" s="85"/>
      <c r="G140" s="877"/>
      <c r="H140" s="877"/>
      <c r="I140" s="877"/>
      <c r="J140" s="877"/>
      <c r="K140" s="877"/>
      <c r="L140" s="877"/>
      <c r="M140" s="877"/>
      <c r="N140" s="877"/>
      <c r="O140" s="877"/>
      <c r="P140" s="877"/>
      <c r="Q140" s="877"/>
      <c r="R140" s="877"/>
      <c r="S140" s="877"/>
      <c r="T140" s="877"/>
      <c r="U140" s="877"/>
    </row>
    <row r="141">
      <c r="A141" s="629">
        <v>3.0</v>
      </c>
      <c r="B141" s="82">
        <f>if('WEEK 28'!F140&lt;10,mround('WEEK 28'!B140*0.8,5),IF('WEEK 28'!F140&lt;=14,MROUND('WEEK 28'!B140*0.95,5),'WEEK 28'!B140))</f>
        <v>10</v>
      </c>
      <c r="C141" s="65" t="s">
        <v>61</v>
      </c>
      <c r="D141" s="328" t="s">
        <v>58</v>
      </c>
      <c r="E141" s="632" t="str">
        <f>IF('WEEK 1 '!B144=B141,'WEEK 1 '!F144,"")</f>
        <v/>
      </c>
      <c r="F141" s="330"/>
      <c r="G141" s="877"/>
      <c r="H141" s="877"/>
      <c r="I141" s="877"/>
      <c r="J141" s="877"/>
      <c r="K141" s="877"/>
      <c r="L141" s="877"/>
      <c r="M141" s="877"/>
      <c r="N141" s="877"/>
      <c r="O141" s="877"/>
      <c r="P141" s="877"/>
      <c r="Q141" s="877"/>
      <c r="R141" s="877"/>
      <c r="S141" s="877"/>
      <c r="T141" s="877"/>
      <c r="U141" s="877"/>
    </row>
    <row r="142">
      <c r="A142" s="598"/>
      <c r="G142" s="877"/>
      <c r="H142" s="877"/>
      <c r="I142" s="877"/>
      <c r="J142" s="877"/>
      <c r="K142" s="877"/>
      <c r="L142" s="877"/>
      <c r="M142" s="877"/>
      <c r="N142" s="877"/>
      <c r="O142" s="877"/>
      <c r="P142" s="877"/>
      <c r="Q142" s="877"/>
      <c r="R142" s="877"/>
      <c r="S142" s="877"/>
      <c r="T142" s="877"/>
      <c r="U142" s="877"/>
    </row>
    <row r="143">
      <c r="G143" s="877"/>
      <c r="H143" s="877"/>
      <c r="I143" s="877"/>
      <c r="J143" s="877"/>
      <c r="K143" s="877"/>
      <c r="L143" s="877"/>
      <c r="M143" s="877"/>
      <c r="N143" s="877"/>
      <c r="O143" s="877"/>
      <c r="P143" s="877"/>
      <c r="Q143" s="877"/>
      <c r="R143" s="877"/>
      <c r="S143" s="877"/>
      <c r="T143" s="877"/>
      <c r="U143" s="877"/>
    </row>
    <row r="144">
      <c r="A144" s="113" t="str">
        <f>HYPERLINK("https://www.youtube.com/watch?v=TorWpKwLCSg","5. ALTERNATING BICEP CURLS ")</f>
        <v>5. ALTERNATING BICEP CURLS </v>
      </c>
      <c r="B144" s="53"/>
      <c r="C144" s="53"/>
      <c r="D144" s="53"/>
      <c r="E144" s="53"/>
      <c r="F144" s="54"/>
      <c r="G144" s="877"/>
      <c r="H144" s="877"/>
      <c r="I144" s="877"/>
      <c r="J144" s="877"/>
      <c r="K144" s="877"/>
      <c r="L144" s="877"/>
      <c r="M144" s="877"/>
      <c r="N144" s="877"/>
      <c r="O144" s="877"/>
      <c r="P144" s="877"/>
      <c r="Q144" s="877"/>
      <c r="R144" s="877"/>
      <c r="S144" s="877"/>
      <c r="T144" s="877"/>
      <c r="U144" s="877"/>
    </row>
    <row r="145">
      <c r="A145" s="226" t="s">
        <v>119</v>
      </c>
      <c r="B145" s="839">
        <f>IF('WEEK 24'!B133='WEEK 24'!B135,'WEEK 24'!B133,IF('WEEK 24'!F133&lt;=15,MROUND('WEEK 24'!B131*0.9,5),'WEEK 24'!B133))</f>
        <v>25</v>
      </c>
      <c r="F145" s="28"/>
      <c r="G145" s="877"/>
      <c r="H145" s="877"/>
      <c r="I145" s="877"/>
      <c r="J145" s="877"/>
      <c r="K145" s="877"/>
      <c r="L145" s="877"/>
      <c r="M145" s="877"/>
      <c r="N145" s="877"/>
      <c r="O145" s="877"/>
      <c r="P145" s="877"/>
      <c r="Q145" s="877"/>
      <c r="R145" s="877"/>
      <c r="S145" s="877"/>
      <c r="T145" s="877"/>
      <c r="U145" s="877"/>
    </row>
    <row r="146">
      <c r="A146" s="77" t="s">
        <v>50</v>
      </c>
      <c r="B146" s="78" t="s">
        <v>51</v>
      </c>
      <c r="C146" s="78" t="s">
        <v>52</v>
      </c>
      <c r="D146" s="78" t="s">
        <v>53</v>
      </c>
      <c r="E146" s="80" t="s">
        <v>54</v>
      </c>
      <c r="F146" s="235" t="s">
        <v>55</v>
      </c>
      <c r="G146" s="877"/>
      <c r="H146" s="877"/>
      <c r="I146" s="877"/>
      <c r="J146" s="877"/>
      <c r="K146" s="877"/>
      <c r="L146" s="877"/>
      <c r="M146" s="877"/>
      <c r="N146" s="877"/>
      <c r="O146" s="877"/>
      <c r="P146" s="877"/>
      <c r="Q146" s="877"/>
      <c r="R146" s="877"/>
      <c r="S146" s="877"/>
      <c r="T146" s="877"/>
      <c r="U146" s="877"/>
    </row>
    <row r="147">
      <c r="A147" s="81">
        <v>1.0</v>
      </c>
      <c r="B147" s="82">
        <f>MROUND('WEEK 28'!B145,10)</f>
        <v>30</v>
      </c>
      <c r="C147" s="65" t="s">
        <v>61</v>
      </c>
      <c r="D147" s="83" t="s">
        <v>58</v>
      </c>
      <c r="E147" s="84"/>
      <c r="F147" s="85"/>
      <c r="G147" s="877"/>
      <c r="H147" s="877"/>
      <c r="I147" s="877"/>
      <c r="J147" s="877"/>
      <c r="K147" s="877"/>
      <c r="L147" s="877"/>
      <c r="M147" s="877"/>
      <c r="N147" s="877"/>
      <c r="O147" s="877"/>
      <c r="P147" s="877"/>
      <c r="Q147" s="877"/>
      <c r="R147" s="877"/>
      <c r="S147" s="877"/>
      <c r="T147" s="877"/>
      <c r="U147" s="877"/>
    </row>
    <row r="148">
      <c r="A148" s="81">
        <v>2.0</v>
      </c>
      <c r="B148" s="82">
        <f>if('WEEK 28'!F147&lt;15,mround('WEEK 28'!B147*0.8,5),IF('WEEK 28'!F147&lt;=18,MROUND('WEEK 28'!B145*0.95,5),'WEEK 28'!B147))</f>
        <v>25</v>
      </c>
      <c r="C148" s="65" t="s">
        <v>61</v>
      </c>
      <c r="D148" s="83" t="s">
        <v>58</v>
      </c>
      <c r="E148" s="84"/>
      <c r="F148" s="85"/>
      <c r="G148" s="877"/>
      <c r="H148" s="877"/>
      <c r="I148" s="877"/>
      <c r="J148" s="877"/>
      <c r="K148" s="877"/>
      <c r="L148" s="877"/>
      <c r="M148" s="877"/>
      <c r="N148" s="877"/>
      <c r="O148" s="877"/>
      <c r="P148" s="877"/>
      <c r="Q148" s="877"/>
      <c r="R148" s="877"/>
      <c r="S148" s="877"/>
      <c r="T148" s="877"/>
      <c r="U148" s="877"/>
    </row>
    <row r="149">
      <c r="A149" s="629">
        <v>3.0</v>
      </c>
      <c r="B149" s="630">
        <f>if('WEEK 28'!F148&lt;15,mround('WEEK 28'!B148*0.8,5),IF('WEEK 28'!F148&lt;=18,MROUND('WEEK 28'!B146*0.95,5),'WEEK 28'!B148))</f>
        <v>20</v>
      </c>
      <c r="C149" s="631" t="s">
        <v>61</v>
      </c>
      <c r="D149" s="328" t="s">
        <v>58</v>
      </c>
      <c r="E149" s="632"/>
      <c r="F149" s="330"/>
      <c r="G149" s="877"/>
      <c r="H149" s="877"/>
      <c r="I149" s="877"/>
      <c r="J149" s="877"/>
      <c r="K149" s="877"/>
      <c r="L149" s="877"/>
      <c r="M149" s="877"/>
      <c r="N149" s="877"/>
      <c r="O149" s="877"/>
      <c r="P149" s="877"/>
      <c r="Q149" s="877"/>
      <c r="R149" s="877"/>
      <c r="S149" s="877"/>
      <c r="T149" s="877"/>
      <c r="U149" s="877"/>
    </row>
    <row r="150">
      <c r="A150" s="633"/>
      <c r="B150" s="633"/>
      <c r="C150" s="633"/>
      <c r="D150" s="633"/>
      <c r="E150" s="633"/>
      <c r="F150" s="633"/>
      <c r="G150" s="877"/>
      <c r="H150" s="877"/>
      <c r="I150" s="877"/>
      <c r="J150" s="877"/>
      <c r="K150" s="877"/>
      <c r="L150" s="877"/>
      <c r="M150" s="877"/>
      <c r="N150" s="877"/>
      <c r="O150" s="877"/>
      <c r="P150" s="877"/>
      <c r="Q150" s="877"/>
      <c r="R150" s="877"/>
      <c r="S150" s="877"/>
      <c r="T150" s="877"/>
      <c r="U150" s="877"/>
    </row>
    <row r="151">
      <c r="A151" s="598"/>
      <c r="G151" s="877"/>
      <c r="H151" s="877"/>
      <c r="I151" s="877"/>
      <c r="J151" s="877"/>
      <c r="K151" s="877"/>
      <c r="L151" s="877"/>
      <c r="M151" s="877"/>
      <c r="N151" s="877"/>
      <c r="O151" s="877"/>
      <c r="P151" s="877"/>
      <c r="Q151" s="877"/>
      <c r="R151" s="877"/>
      <c r="S151" s="877"/>
      <c r="T151" s="877"/>
      <c r="U151" s="877"/>
    </row>
    <row r="152">
      <c r="A152" s="882" t="str">
        <f>HYPERLINK("https://docs.google.com/a/fitnessresults.com/forms/d/e/1FAIpQLSd7MoczESe8Yjv6BKpmwAZGn9Aiymrs9-UdgfYIUpbr9t5NXg/viewform?usp=pp_url&amp;entry.93370101","CLICK TO COMPLETE WORKOUT")</f>
        <v>CLICK TO COMPLETE WORKOUT</v>
      </c>
      <c r="B152" s="11"/>
      <c r="C152" s="11"/>
      <c r="D152" s="11"/>
      <c r="E152" s="11"/>
      <c r="F152" s="46"/>
      <c r="G152" s="877"/>
      <c r="H152" s="877"/>
      <c r="I152" s="877"/>
      <c r="J152" s="877"/>
      <c r="K152" s="877"/>
      <c r="L152" s="877"/>
      <c r="M152" s="877"/>
      <c r="N152" s="877"/>
      <c r="O152" s="877"/>
      <c r="P152" s="877"/>
      <c r="Q152" s="877"/>
      <c r="R152" s="877"/>
      <c r="S152" s="877"/>
      <c r="T152" s="877"/>
      <c r="U152" s="877"/>
    </row>
    <row r="153">
      <c r="A153" s="598"/>
      <c r="B153" s="598"/>
      <c r="C153" s="598"/>
      <c r="D153" s="598"/>
      <c r="E153" s="598"/>
      <c r="F153" s="598"/>
      <c r="G153" s="877"/>
      <c r="H153" s="877"/>
      <c r="I153" s="877"/>
      <c r="J153" s="877"/>
      <c r="K153" s="877"/>
      <c r="L153" s="877"/>
      <c r="M153" s="877"/>
      <c r="N153" s="877"/>
      <c r="O153" s="877"/>
      <c r="P153" s="877"/>
      <c r="Q153" s="877"/>
      <c r="R153" s="877"/>
      <c r="S153" s="877"/>
      <c r="T153" s="877"/>
      <c r="U153" s="877"/>
    </row>
    <row r="154">
      <c r="A154" s="639" t="s">
        <v>135</v>
      </c>
      <c r="B154" s="36"/>
      <c r="C154" s="36"/>
      <c r="D154" s="36"/>
      <c r="E154" s="36"/>
      <c r="F154" s="37"/>
      <c r="G154" s="877"/>
      <c r="H154" s="877"/>
      <c r="I154" s="877"/>
      <c r="J154" s="877"/>
      <c r="K154" s="877"/>
      <c r="L154" s="877"/>
      <c r="M154" s="877"/>
      <c r="N154" s="877"/>
      <c r="O154" s="877"/>
      <c r="P154" s="877"/>
      <c r="Q154" s="877"/>
      <c r="R154" s="877"/>
      <c r="S154" s="877"/>
      <c r="T154" s="877"/>
      <c r="U154" s="877"/>
    </row>
    <row r="155">
      <c r="A155" s="883"/>
      <c r="G155" s="877"/>
      <c r="H155" s="877"/>
      <c r="I155" s="877"/>
      <c r="J155" s="877"/>
      <c r="K155" s="877"/>
      <c r="L155" s="877"/>
      <c r="M155" s="877"/>
      <c r="N155" s="877"/>
      <c r="O155" s="877"/>
      <c r="P155" s="877"/>
      <c r="Q155" s="877"/>
      <c r="R155" s="877"/>
      <c r="S155" s="877"/>
      <c r="T155" s="877"/>
      <c r="U155" s="877"/>
    </row>
    <row r="156">
      <c r="A156" s="884" t="str">
        <f>HYPERLINK("https://www.amazon.com/30-Minute-Body-Investment-Champion/dp/0692791892/ref=sr_1_1?ie=UTF8&amp;qid=1490447969&amp;sr=8-1&amp;keywords=30+minute+body","WANT TO LEARN MORE?")</f>
        <v>WANT TO LEARN MORE?</v>
      </c>
      <c r="B156" s="16"/>
      <c r="C156" s="16"/>
      <c r="D156" s="16"/>
      <c r="E156" s="16"/>
      <c r="F156" s="17"/>
      <c r="G156" s="877"/>
      <c r="H156" s="877"/>
      <c r="I156" s="877"/>
      <c r="J156" s="877"/>
      <c r="K156" s="877"/>
      <c r="L156" s="877"/>
      <c r="M156" s="877"/>
      <c r="N156" s="877"/>
      <c r="O156" s="877"/>
      <c r="P156" s="877"/>
      <c r="Q156" s="877"/>
      <c r="R156" s="877"/>
      <c r="S156" s="877"/>
      <c r="T156" s="877"/>
      <c r="U156" s="877"/>
    </row>
    <row r="157">
      <c r="A157" s="18"/>
      <c r="B157" s="13"/>
      <c r="C157" s="13"/>
      <c r="D157" s="13"/>
      <c r="E157" s="13"/>
      <c r="F157" s="14"/>
      <c r="G157" s="877"/>
      <c r="H157" s="877"/>
      <c r="I157" s="877"/>
      <c r="J157" s="877"/>
      <c r="K157" s="877"/>
      <c r="L157" s="877"/>
      <c r="M157" s="877"/>
      <c r="N157" s="877"/>
      <c r="O157" s="877"/>
      <c r="P157" s="877"/>
      <c r="Q157" s="877"/>
      <c r="R157" s="877"/>
      <c r="S157" s="877"/>
      <c r="T157" s="877"/>
      <c r="U157" s="877"/>
    </row>
    <row r="158">
      <c r="A158" s="885"/>
      <c r="B158" s="886"/>
      <c r="C158" s="644" t="s">
        <v>67</v>
      </c>
      <c r="D158" s="25"/>
      <c r="E158" s="25"/>
      <c r="F158" s="26"/>
      <c r="G158" s="877"/>
      <c r="H158" s="877"/>
      <c r="I158" s="877"/>
      <c r="J158" s="877"/>
      <c r="K158" s="877"/>
      <c r="L158" s="877"/>
      <c r="M158" s="877"/>
      <c r="N158" s="877"/>
      <c r="O158" s="877"/>
      <c r="P158" s="877"/>
      <c r="Q158" s="877"/>
      <c r="R158" s="877"/>
      <c r="S158" s="877"/>
      <c r="T158" s="877"/>
      <c r="U158" s="877"/>
    </row>
    <row r="159">
      <c r="A159" s="887"/>
      <c r="B159" s="888"/>
      <c r="C159" s="529"/>
      <c r="F159" s="28"/>
      <c r="G159" s="877"/>
      <c r="H159" s="877"/>
      <c r="I159" s="877"/>
      <c r="J159" s="877"/>
      <c r="K159" s="877"/>
      <c r="L159" s="877"/>
      <c r="M159" s="877"/>
      <c r="N159" s="877"/>
      <c r="O159" s="877"/>
      <c r="P159" s="877"/>
      <c r="Q159" s="877"/>
      <c r="R159" s="877"/>
      <c r="S159" s="877"/>
      <c r="T159" s="877"/>
      <c r="U159" s="877"/>
    </row>
    <row r="160">
      <c r="A160" s="887"/>
      <c r="B160" s="888"/>
      <c r="C160" s="529"/>
      <c r="F160" s="28"/>
      <c r="G160" s="877"/>
      <c r="H160" s="877"/>
      <c r="I160" s="877"/>
      <c r="J160" s="877"/>
      <c r="K160" s="877"/>
      <c r="L160" s="877"/>
      <c r="M160" s="877"/>
      <c r="N160" s="877"/>
      <c r="O160" s="877"/>
      <c r="P160" s="877"/>
      <c r="Q160" s="877"/>
      <c r="R160" s="877"/>
      <c r="S160" s="877"/>
      <c r="T160" s="877"/>
      <c r="U160" s="877"/>
    </row>
    <row r="161">
      <c r="A161" s="887"/>
      <c r="B161" s="888"/>
      <c r="C161" s="529"/>
      <c r="F161" s="28"/>
      <c r="G161" s="877"/>
      <c r="H161" s="877"/>
      <c r="I161" s="877"/>
      <c r="J161" s="877"/>
      <c r="K161" s="877"/>
      <c r="L161" s="877"/>
      <c r="M161" s="877"/>
      <c r="N161" s="877"/>
      <c r="O161" s="877"/>
      <c r="P161" s="877"/>
      <c r="Q161" s="877"/>
      <c r="R161" s="877"/>
      <c r="S161" s="877"/>
      <c r="T161" s="877"/>
      <c r="U161" s="877"/>
    </row>
    <row r="162">
      <c r="A162" s="887"/>
      <c r="B162" s="888"/>
      <c r="C162" s="529"/>
      <c r="F162" s="28"/>
      <c r="G162" s="877"/>
      <c r="H162" s="877"/>
      <c r="I162" s="877"/>
      <c r="J162" s="877"/>
      <c r="K162" s="877"/>
      <c r="L162" s="877"/>
      <c r="M162" s="877"/>
      <c r="N162" s="877"/>
      <c r="O162" s="877"/>
      <c r="P162" s="877"/>
      <c r="Q162" s="877"/>
      <c r="R162" s="877"/>
      <c r="S162" s="877"/>
      <c r="T162" s="877"/>
      <c r="U162" s="877"/>
    </row>
    <row r="163">
      <c r="A163" s="887"/>
      <c r="B163" s="888"/>
      <c r="C163" s="529"/>
      <c r="F163" s="28"/>
      <c r="G163" s="877"/>
      <c r="H163" s="877"/>
      <c r="I163" s="877"/>
      <c r="J163" s="877"/>
      <c r="K163" s="877"/>
      <c r="L163" s="877"/>
      <c r="M163" s="877"/>
      <c r="N163" s="877"/>
      <c r="O163" s="877"/>
      <c r="P163" s="877"/>
      <c r="Q163" s="877"/>
      <c r="R163" s="877"/>
      <c r="S163" s="877"/>
      <c r="T163" s="877"/>
      <c r="U163" s="877"/>
    </row>
    <row r="164">
      <c r="A164" s="889"/>
      <c r="B164" s="888"/>
      <c r="C164" s="529"/>
      <c r="F164" s="28"/>
      <c r="G164" s="877"/>
      <c r="H164" s="877"/>
      <c r="I164" s="877"/>
      <c r="J164" s="877"/>
      <c r="K164" s="877"/>
      <c r="L164" s="877"/>
      <c r="M164" s="877"/>
      <c r="N164" s="877"/>
      <c r="O164" s="877"/>
      <c r="P164" s="877"/>
      <c r="Q164" s="877"/>
      <c r="R164" s="877"/>
      <c r="S164" s="877"/>
      <c r="T164" s="877"/>
      <c r="U164" s="877"/>
    </row>
    <row r="165">
      <c r="A165" s="887"/>
      <c r="B165" s="888"/>
      <c r="C165" s="529"/>
      <c r="F165" s="28"/>
      <c r="G165" s="877"/>
      <c r="H165" s="877"/>
      <c r="I165" s="877"/>
      <c r="J165" s="877"/>
      <c r="K165" s="877"/>
      <c r="L165" s="877"/>
      <c r="M165" s="877"/>
      <c r="N165" s="877"/>
      <c r="O165" s="877"/>
      <c r="P165" s="877"/>
      <c r="Q165" s="877"/>
      <c r="R165" s="877"/>
      <c r="S165" s="877"/>
      <c r="T165" s="877"/>
      <c r="U165" s="877"/>
    </row>
    <row r="166">
      <c r="A166" s="887"/>
      <c r="B166" s="888"/>
      <c r="C166" s="529"/>
      <c r="F166" s="28"/>
      <c r="G166" s="877"/>
      <c r="H166" s="877"/>
      <c r="I166" s="877"/>
      <c r="J166" s="877"/>
      <c r="K166" s="877"/>
      <c r="L166" s="877"/>
      <c r="M166" s="877"/>
      <c r="N166" s="877"/>
      <c r="O166" s="877"/>
      <c r="P166" s="877"/>
      <c r="Q166" s="877"/>
      <c r="R166" s="877"/>
      <c r="S166" s="877"/>
      <c r="T166" s="877"/>
      <c r="U166" s="877"/>
    </row>
    <row r="167">
      <c r="A167" s="890"/>
      <c r="B167" s="888"/>
      <c r="C167" s="529"/>
      <c r="F167" s="28"/>
      <c r="G167" s="877"/>
      <c r="H167" s="877"/>
      <c r="I167" s="877"/>
      <c r="J167" s="877"/>
      <c r="K167" s="877"/>
      <c r="L167" s="877"/>
      <c r="M167" s="877"/>
      <c r="N167" s="877"/>
      <c r="O167" s="877"/>
      <c r="P167" s="877"/>
      <c r="Q167" s="877"/>
      <c r="R167" s="877"/>
      <c r="S167" s="877"/>
      <c r="T167" s="877"/>
      <c r="U167" s="877"/>
    </row>
    <row r="168">
      <c r="A168" s="887"/>
      <c r="B168" s="888"/>
      <c r="C168" s="529"/>
      <c r="F168" s="28"/>
      <c r="G168" s="877"/>
      <c r="H168" s="877"/>
      <c r="I168" s="877"/>
      <c r="J168" s="877"/>
      <c r="K168" s="877"/>
      <c r="L168" s="877"/>
      <c r="M168" s="877"/>
      <c r="N168" s="877"/>
      <c r="O168" s="877"/>
      <c r="P168" s="877"/>
      <c r="Q168" s="877"/>
      <c r="R168" s="877"/>
      <c r="S168" s="877"/>
      <c r="T168" s="877"/>
      <c r="U168" s="877"/>
    </row>
    <row r="169">
      <c r="A169" s="887"/>
      <c r="B169" s="888"/>
      <c r="C169" s="529"/>
      <c r="F169" s="28"/>
      <c r="G169" s="877"/>
      <c r="H169" s="877"/>
      <c r="I169" s="877"/>
      <c r="J169" s="877"/>
      <c r="K169" s="877"/>
      <c r="L169" s="877"/>
      <c r="M169" s="877"/>
      <c r="N169" s="877"/>
      <c r="O169" s="877"/>
      <c r="P169" s="877"/>
      <c r="Q169" s="877"/>
      <c r="R169" s="877"/>
      <c r="S169" s="877"/>
      <c r="T169" s="877"/>
      <c r="U169" s="877"/>
    </row>
    <row r="170">
      <c r="A170" s="887"/>
      <c r="B170" s="888"/>
      <c r="C170" s="529"/>
      <c r="F170" s="28"/>
      <c r="G170" s="877"/>
      <c r="H170" s="877"/>
      <c r="I170" s="877"/>
      <c r="J170" s="877"/>
      <c r="K170" s="877"/>
      <c r="L170" s="877"/>
      <c r="M170" s="877"/>
      <c r="N170" s="877"/>
      <c r="O170" s="877"/>
      <c r="P170" s="877"/>
      <c r="Q170" s="877"/>
      <c r="R170" s="877"/>
      <c r="S170" s="877"/>
      <c r="T170" s="877"/>
      <c r="U170" s="877"/>
    </row>
    <row r="171">
      <c r="A171" s="887"/>
      <c r="B171" s="888"/>
      <c r="C171" s="529"/>
      <c r="F171" s="28"/>
      <c r="G171" s="877"/>
      <c r="H171" s="877"/>
      <c r="I171" s="877"/>
      <c r="J171" s="877"/>
      <c r="K171" s="877"/>
      <c r="L171" s="877"/>
      <c r="M171" s="877"/>
      <c r="N171" s="877"/>
      <c r="O171" s="877"/>
      <c r="P171" s="877"/>
      <c r="Q171" s="877"/>
      <c r="R171" s="877"/>
      <c r="S171" s="877"/>
      <c r="T171" s="877"/>
      <c r="U171" s="877"/>
    </row>
    <row r="172">
      <c r="A172" s="891"/>
      <c r="B172" s="892"/>
      <c r="C172" s="336"/>
      <c r="D172" s="11"/>
      <c r="E172" s="11"/>
      <c r="F172" s="46"/>
      <c r="G172" s="877"/>
      <c r="H172" s="877"/>
      <c r="I172" s="877"/>
      <c r="J172" s="877"/>
      <c r="K172" s="877"/>
      <c r="L172" s="877"/>
      <c r="M172" s="877"/>
      <c r="N172" s="877"/>
      <c r="O172" s="877"/>
      <c r="P172" s="877"/>
      <c r="Q172" s="877"/>
      <c r="R172" s="877"/>
      <c r="S172" s="877"/>
      <c r="T172" s="877"/>
      <c r="U172" s="877"/>
    </row>
    <row r="173">
      <c r="A173" s="598"/>
    </row>
  </sheetData>
  <mergeCells count="101">
    <mergeCell ref="H15:M15"/>
    <mergeCell ref="O15:T15"/>
    <mergeCell ref="A1:U8"/>
    <mergeCell ref="A9:F9"/>
    <mergeCell ref="G9:U14"/>
    <mergeCell ref="A10:F11"/>
    <mergeCell ref="A12:F12"/>
    <mergeCell ref="A13:F13"/>
    <mergeCell ref="B14:F14"/>
    <mergeCell ref="A18:F18"/>
    <mergeCell ref="A19:F19"/>
    <mergeCell ref="O18:T18"/>
    <mergeCell ref="O19:T19"/>
    <mergeCell ref="G15:G19"/>
    <mergeCell ref="G20:G25"/>
    <mergeCell ref="I20:M20"/>
    <mergeCell ref="P20:T20"/>
    <mergeCell ref="A26:F26"/>
    <mergeCell ref="G26:G27"/>
    <mergeCell ref="A65:F65"/>
    <mergeCell ref="A68:F68"/>
    <mergeCell ref="A69:F69"/>
    <mergeCell ref="A75:F75"/>
    <mergeCell ref="B76:F76"/>
    <mergeCell ref="A82:F83"/>
    <mergeCell ref="A84:F84"/>
    <mergeCell ref="B85:F85"/>
    <mergeCell ref="A91:F91"/>
    <mergeCell ref="A92:F92"/>
    <mergeCell ref="G92:G94"/>
    <mergeCell ref="B93:F93"/>
    <mergeCell ref="A99:F99"/>
    <mergeCell ref="A101:F101"/>
    <mergeCell ref="A112:F112"/>
    <mergeCell ref="A115:F115"/>
    <mergeCell ref="B118:F118"/>
    <mergeCell ref="A120:F120"/>
    <mergeCell ref="B121:F121"/>
    <mergeCell ref="A126:F127"/>
    <mergeCell ref="A128:F128"/>
    <mergeCell ref="A151:F151"/>
    <mergeCell ref="A152:F152"/>
    <mergeCell ref="A154:F154"/>
    <mergeCell ref="A155:F155"/>
    <mergeCell ref="A156:F157"/>
    <mergeCell ref="C158:F172"/>
    <mergeCell ref="B129:F129"/>
    <mergeCell ref="A134:F135"/>
    <mergeCell ref="A136:F136"/>
    <mergeCell ref="B137:F137"/>
    <mergeCell ref="A142:F143"/>
    <mergeCell ref="A144:F144"/>
    <mergeCell ref="B145:F145"/>
    <mergeCell ref="B106:F106"/>
    <mergeCell ref="G106:G107"/>
    <mergeCell ref="I106:M106"/>
    <mergeCell ref="H112:M112"/>
    <mergeCell ref="H115:M115"/>
    <mergeCell ref="I118:M118"/>
    <mergeCell ref="A173:U173"/>
    <mergeCell ref="N92:U97"/>
    <mergeCell ref="G101:U101"/>
    <mergeCell ref="A102:U103"/>
    <mergeCell ref="A104:F104"/>
    <mergeCell ref="H104:M104"/>
    <mergeCell ref="A105:F105"/>
    <mergeCell ref="H105:M105"/>
    <mergeCell ref="H16:M17"/>
    <mergeCell ref="H18:M18"/>
    <mergeCell ref="H26:M26"/>
    <mergeCell ref="O26:T26"/>
    <mergeCell ref="O28:T28"/>
    <mergeCell ref="A29:F29"/>
    <mergeCell ref="A15:F15"/>
    <mergeCell ref="N15:N31"/>
    <mergeCell ref="U15:U31"/>
    <mergeCell ref="B16:F17"/>
    <mergeCell ref="O16:T17"/>
    <mergeCell ref="H19:M19"/>
    <mergeCell ref="B20:F20"/>
    <mergeCell ref="B32:F32"/>
    <mergeCell ref="P33:T33"/>
    <mergeCell ref="A35:F35"/>
    <mergeCell ref="H35:M35"/>
    <mergeCell ref="B36:F36"/>
    <mergeCell ref="I36:M36"/>
    <mergeCell ref="A40:U41"/>
    <mergeCell ref="A42:F42"/>
    <mergeCell ref="B43:F43"/>
    <mergeCell ref="A50:F50"/>
    <mergeCell ref="B51:F51"/>
    <mergeCell ref="A57:F57"/>
    <mergeCell ref="B58:F58"/>
    <mergeCell ref="A63:F63"/>
    <mergeCell ref="G28:G31"/>
    <mergeCell ref="H28:M28"/>
    <mergeCell ref="I33:M33"/>
    <mergeCell ref="G42:U91"/>
    <mergeCell ref="H92:M92"/>
    <mergeCell ref="I93:M93"/>
    <mergeCell ref="G95:G96"/>
  </mergeCells>
  <dataValidations>
    <dataValidation type="decimal" operator="greaterThanOrEqual" allowBlank="1" showDropDown="1" showErrorMessage="1" sqref="F130:F133">
      <formula1>0.0</formula1>
    </dataValidation>
    <dataValidation type="decimal" operator="greaterThanOrEqual" allowBlank="1" showDropDown="1" sqref="M37:M39">
      <formula1>0.0</formula1>
    </dataValidation>
  </dataValidations>
  <drawing r:id="rId2"/>
  <legacyDrawing r:id="rId3"/>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3"/>
    </row>
    <row r="8">
      <c r="A8" s="11"/>
      <c r="B8" s="11"/>
      <c r="C8" s="11"/>
      <c r="D8" s="11"/>
      <c r="E8" s="11"/>
      <c r="F8" s="11"/>
      <c r="G8" s="11"/>
      <c r="H8" s="11"/>
      <c r="I8" s="11"/>
      <c r="J8" s="11"/>
      <c r="K8" s="11"/>
      <c r="L8" s="11"/>
      <c r="M8" s="11"/>
      <c r="N8" s="11"/>
      <c r="O8" s="11"/>
      <c r="P8" s="11"/>
      <c r="Q8" s="11"/>
      <c r="R8" s="11"/>
      <c r="S8" s="11"/>
      <c r="T8" s="11"/>
    </row>
    <row r="9">
      <c r="A9" s="835" t="str">
        <f>'MSW28'!A9</f>
        <v>Week 4</v>
      </c>
      <c r="B9" s="36"/>
      <c r="C9" s="36"/>
      <c r="D9" s="36"/>
      <c r="E9" s="36"/>
      <c r="F9" s="37"/>
      <c r="G9" s="893"/>
      <c r="H9" s="24" t="s">
        <v>35</v>
      </c>
      <c r="I9" s="25"/>
      <c r="J9" s="25"/>
      <c r="K9" s="25"/>
      <c r="L9" s="25"/>
      <c r="M9" s="26"/>
      <c r="N9" s="598"/>
    </row>
    <row r="10">
      <c r="A10" s="719" t="str">
        <f>'MSW28'!A10</f>
        <v>PRESS TO RECORD BODY WEIGHT</v>
      </c>
      <c r="B10" s="25"/>
      <c r="C10" s="25"/>
      <c r="D10" s="25"/>
      <c r="E10" s="25"/>
      <c r="F10" s="26"/>
      <c r="G10" s="120"/>
      <c r="H10" s="27" t="s">
        <v>312</v>
      </c>
      <c r="M10" s="28"/>
    </row>
    <row r="11">
      <c r="A11" s="336"/>
      <c r="B11" s="11"/>
      <c r="C11" s="11"/>
      <c r="D11" s="11"/>
      <c r="E11" s="11"/>
      <c r="F11" s="46"/>
      <c r="G11" s="120"/>
      <c r="H11" s="29" t="s">
        <v>313</v>
      </c>
      <c r="I11" s="30"/>
      <c r="J11" s="30"/>
      <c r="K11" s="30"/>
      <c r="L11" s="30"/>
      <c r="M11" s="31"/>
    </row>
    <row r="12">
      <c r="A12" s="655" t="str">
        <f>'MSW28'!A12</f>
        <v>This Weeks Goals</v>
      </c>
      <c r="B12" s="36"/>
      <c r="C12" s="36"/>
      <c r="D12" s="36"/>
      <c r="E12" s="36"/>
      <c r="F12" s="37"/>
      <c r="G12" s="120"/>
      <c r="H12" s="598"/>
    </row>
    <row r="13">
      <c r="A13" s="894" t="str">
        <f>'MSW28'!A13</f>
        <v>Week 4 is going to be a mixture of attempting new maxes as well as high repititions during some of your workouts. Make sure to keep form and don't give up too soon. Push Push Push! </v>
      </c>
      <c r="B13" s="36"/>
      <c r="C13" s="36"/>
      <c r="D13" s="36"/>
      <c r="E13" s="36"/>
      <c r="F13" s="37"/>
      <c r="G13" s="120"/>
    </row>
    <row r="14">
      <c r="A14" s="428" t="s">
        <v>138</v>
      </c>
      <c r="G14" s="120"/>
    </row>
    <row r="15">
      <c r="A15" s="538" t="str">
        <f>'MSW28'!A15</f>
        <v>DAY 1</v>
      </c>
      <c r="B15" s="36"/>
      <c r="C15" s="36"/>
      <c r="D15" s="36"/>
      <c r="E15" s="36"/>
      <c r="F15" s="37"/>
      <c r="G15" s="120"/>
      <c r="H15" s="224" t="str">
        <f>'MSW28'!H15</f>
        <v>ALTERNATE WORKOUTS</v>
      </c>
      <c r="I15" s="36"/>
      <c r="J15" s="36"/>
      <c r="K15" s="36"/>
      <c r="L15" s="36"/>
      <c r="M15" s="37"/>
      <c r="N15" s="598"/>
      <c r="O15" s="224" t="str">
        <f>'MSW28'!O15</f>
        <v>ALTERNATE WORKOUTS</v>
      </c>
      <c r="P15" s="36"/>
      <c r="Q15" s="36"/>
      <c r="R15" s="36"/>
      <c r="S15" s="36"/>
      <c r="T15" s="37"/>
    </row>
    <row r="16">
      <c r="A16" s="838"/>
      <c r="G16" s="120"/>
      <c r="H16" s="598"/>
      <c r="O16" s="598"/>
    </row>
    <row r="17">
      <c r="G17" s="120"/>
    </row>
    <row r="18">
      <c r="A18" s="542" t="str">
        <f>'MSW28'!A18</f>
        <v>CHEST &amp; BACK </v>
      </c>
      <c r="B18" s="36"/>
      <c r="C18" s="36"/>
      <c r="D18" s="36"/>
      <c r="E18" s="36"/>
      <c r="F18" s="37"/>
      <c r="G18" s="120"/>
      <c r="H18" s="542" t="str">
        <f>'MSW28'!H18</f>
        <v>CHEST &amp; BACK </v>
      </c>
      <c r="I18" s="36"/>
      <c r="J18" s="36"/>
      <c r="K18" s="36"/>
      <c r="L18" s="36"/>
      <c r="M18" s="37"/>
      <c r="O18" s="542" t="str">
        <f>'MSW28'!O18</f>
        <v>CHEST &amp; BACK </v>
      </c>
      <c r="P18" s="36"/>
      <c r="Q18" s="36"/>
      <c r="R18" s="36"/>
      <c r="S18" s="36"/>
      <c r="T18" s="37"/>
    </row>
    <row r="19">
      <c r="A19" s="73" t="str">
        <f>'MSW28'!A19</f>
        <v>1. BENCH PRESS</v>
      </c>
      <c r="B19" s="53"/>
      <c r="C19" s="53"/>
      <c r="D19" s="53"/>
      <c r="E19" s="53"/>
      <c r="F19" s="54"/>
      <c r="G19" s="247" t="str">
        <f>'MSW28'!G26</f>
        <v>ALTERNATE</v>
      </c>
      <c r="H19" s="73" t="str">
        <f>'MSW28'!H19</f>
        <v>1. MACHINE PRESS</v>
      </c>
      <c r="I19" s="53"/>
      <c r="J19" s="53"/>
      <c r="K19" s="53"/>
      <c r="L19" s="53"/>
      <c r="M19" s="54"/>
      <c r="N19" s="247" t="s">
        <v>123</v>
      </c>
      <c r="O19" s="113" t="str">
        <f>'MSW28'!O19</f>
        <v>1. DUMBBELL INCLINE PRESS</v>
      </c>
      <c r="P19" s="53"/>
      <c r="Q19" s="53"/>
      <c r="R19" s="53"/>
      <c r="S19" s="53"/>
      <c r="T19" s="54"/>
    </row>
    <row r="20">
      <c r="A20" s="895" t="str">
        <f>'MSW28'!A20</f>
        <v>CURRENT MAX</v>
      </c>
      <c r="B20" s="896">
        <f>'MSW28'!B20</f>
        <v>270</v>
      </c>
      <c r="C20" s="13"/>
      <c r="D20" s="13"/>
      <c r="E20" s="13"/>
      <c r="F20" s="57"/>
      <c r="G20" s="247"/>
      <c r="H20" s="226" t="str">
        <f>'MSW28'!H20</f>
        <v>CURRENT MAX</v>
      </c>
      <c r="I20" s="839" t="str">
        <f>'MSW28'!I20</f>
        <v/>
      </c>
      <c r="M20" s="28"/>
      <c r="N20" s="598"/>
      <c r="O20" s="226" t="str">
        <f>'MSW28'!O20</f>
        <v>CURRENT MAX</v>
      </c>
      <c r="P20" s="839">
        <f>'MSW28'!P20</f>
        <v>75</v>
      </c>
      <c r="T20" s="28"/>
    </row>
    <row r="21">
      <c r="A21" s="897" t="str">
        <f>'MSW28'!A21</f>
        <v>SET</v>
      </c>
      <c r="B21" s="898" t="str">
        <f>'MSW28'!B21</f>
        <v>WEIGHT</v>
      </c>
      <c r="C21" s="898" t="str">
        <f>'MSW28'!C21</f>
        <v>REPS</v>
      </c>
      <c r="D21" s="898" t="str">
        <f>'MSW28'!D21</f>
        <v>REST</v>
      </c>
      <c r="E21" s="899" t="str">
        <f>'MSW28'!E21</f>
        <v>PREVIOUS</v>
      </c>
      <c r="F21" s="235" t="str">
        <f>'MSW28'!F21</f>
        <v>REP LOG</v>
      </c>
      <c r="H21" s="96" t="str">
        <f>'MSW28'!H21</f>
        <v>SET</v>
      </c>
      <c r="I21" s="840" t="str">
        <f>'MSW28'!I21</f>
        <v>WEIGHT</v>
      </c>
      <c r="J21" s="840" t="str">
        <f>'MSW28'!J21</f>
        <v>REPS</v>
      </c>
      <c r="K21" s="840" t="str">
        <f>'MSW28'!K21</f>
        <v>REST</v>
      </c>
      <c r="L21" s="341" t="str">
        <f>'MSW28'!L21</f>
        <v>PREVIOUS</v>
      </c>
      <c r="M21" s="235" t="str">
        <f>'MSW28'!M21</f>
        <v>REP LOG</v>
      </c>
      <c r="O21" s="96" t="str">
        <f>'MSW28'!O21</f>
        <v>SET</v>
      </c>
      <c r="P21" s="840" t="str">
        <f>'MSW28'!P21</f>
        <v>WEIGHT</v>
      </c>
      <c r="Q21" s="840" t="str">
        <f>'MSW28'!Q21</f>
        <v>REPS</v>
      </c>
      <c r="R21" s="840" t="str">
        <f>'MSW28'!R21</f>
        <v>REST</v>
      </c>
      <c r="S21" s="341" t="str">
        <f>'MSW28'!S21</f>
        <v>PREVIOUS</v>
      </c>
      <c r="T21" s="235" t="str">
        <f>'MSW28'!T21</f>
        <v>REP LOG</v>
      </c>
    </row>
    <row r="22">
      <c r="A22" s="900">
        <f>'MSW28'!A22</f>
        <v>1</v>
      </c>
      <c r="B22" s="901">
        <f>'MSW28'!B22</f>
        <v>95</v>
      </c>
      <c r="C22" s="901">
        <f>'MSW28'!C22</f>
        <v>6</v>
      </c>
      <c r="D22" s="902" t="str">
        <f>'MSW28'!D22</f>
        <v>30s</v>
      </c>
      <c r="E22" s="903" t="str">
        <f>'MSW28'!E22</f>
        <v/>
      </c>
      <c r="F22" s="904">
        <v>6.0</v>
      </c>
      <c r="H22" s="240">
        <f>'MSW28'!H22</f>
        <v>1</v>
      </c>
      <c r="I22" s="241">
        <f>'MSW28'!I22</f>
        <v>0</v>
      </c>
      <c r="J22" s="241">
        <f>'MSW28'!J22</f>
        <v>6</v>
      </c>
      <c r="K22" s="83" t="str">
        <f>'MSW28'!K22</f>
        <v>1 MIN</v>
      </c>
      <c r="L22" s="841" t="str">
        <f>'MSW28'!L22</f>
        <v/>
      </c>
      <c r="M22" s="905"/>
      <c r="O22" s="240">
        <f>'MSW28'!O22</f>
        <v>1</v>
      </c>
      <c r="P22" s="241">
        <f>'MSW28'!P22</f>
        <v>25</v>
      </c>
      <c r="Q22" s="241">
        <f>'MSW28'!Q22</f>
        <v>6</v>
      </c>
      <c r="R22" s="83" t="str">
        <f>'MSW28'!R22</f>
        <v>1 MIN</v>
      </c>
      <c r="S22" s="841" t="str">
        <f>'MSW28'!S22</f>
        <v/>
      </c>
      <c r="T22" s="905"/>
    </row>
    <row r="23">
      <c r="A23" s="900">
        <f>'MSW28'!A23</f>
        <v>2</v>
      </c>
      <c r="B23" s="901">
        <f>'MSW28'!B23</f>
        <v>215</v>
      </c>
      <c r="C23" s="901">
        <f>'MSW28'!C23</f>
        <v>1</v>
      </c>
      <c r="D23" s="902" t="str">
        <f>'MSW28'!D23</f>
        <v>1 MIN</v>
      </c>
      <c r="E23" s="903" t="str">
        <f>'MSW28'!E23</f>
        <v/>
      </c>
      <c r="F23" s="904">
        <v>1.0</v>
      </c>
      <c r="H23" s="240">
        <f>'MSW28'!H23</f>
        <v>2</v>
      </c>
      <c r="I23" s="241">
        <f>'MSW28'!I23</f>
        <v>0</v>
      </c>
      <c r="J23" s="241">
        <f>'MSW28'!J23</f>
        <v>1</v>
      </c>
      <c r="K23" s="83" t="str">
        <f>'MSW28'!K23</f>
        <v>1 MIN</v>
      </c>
      <c r="L23" s="841" t="str">
        <f>'MSW28'!L23</f>
        <v/>
      </c>
      <c r="M23" s="905"/>
      <c r="O23" s="240">
        <f>'MSW28'!O23</f>
        <v>2</v>
      </c>
      <c r="P23" s="241">
        <f>'MSW28'!P23</f>
        <v>50</v>
      </c>
      <c r="Q23" s="241">
        <f>'MSW28'!Q23</f>
        <v>1</v>
      </c>
      <c r="R23" s="83" t="str">
        <f>'MSW28'!R23</f>
        <v>1 MIN</v>
      </c>
      <c r="S23" s="841" t="str">
        <f>'MSW28'!S23</f>
        <v/>
      </c>
      <c r="T23" s="905"/>
    </row>
    <row r="24">
      <c r="A24" s="906">
        <f>'MSW28'!A24</f>
        <v>3</v>
      </c>
      <c r="B24" s="901">
        <f>'MSW28'!B24</f>
        <v>245</v>
      </c>
      <c r="C24" s="907">
        <f>'MSW28'!C24</f>
        <v>1</v>
      </c>
      <c r="D24" s="908" t="str">
        <f>'MSW28'!D24</f>
        <v>1 MIN</v>
      </c>
      <c r="E24" s="903" t="str">
        <f>'MSW28'!E24</f>
        <v/>
      </c>
      <c r="F24" s="904">
        <v>1.0</v>
      </c>
      <c r="H24" s="240">
        <f>'MSW28'!H24</f>
        <v>3</v>
      </c>
      <c r="I24" s="241">
        <f>'MSW28'!I24</f>
        <v>0</v>
      </c>
      <c r="J24" s="241">
        <f>'MSW28'!J24</f>
        <v>1</v>
      </c>
      <c r="K24" s="83" t="str">
        <f>'MSW28'!K24</f>
        <v>1 MIN</v>
      </c>
      <c r="L24" s="841" t="str">
        <f>'MSW28'!L24</f>
        <v/>
      </c>
      <c r="M24" s="905"/>
      <c r="O24" s="240">
        <f>'MSW28'!O24</f>
        <v>3</v>
      </c>
      <c r="P24" s="241">
        <f>'MSW28'!P24</f>
        <v>65</v>
      </c>
      <c r="Q24" s="241">
        <f>'MSW28'!Q24</f>
        <v>1</v>
      </c>
      <c r="R24" s="83" t="str">
        <f>'MSW28'!R24</f>
        <v>1 MIN</v>
      </c>
      <c r="S24" s="841" t="str">
        <f>'MSW28'!S24</f>
        <v/>
      </c>
      <c r="T24" s="905"/>
    </row>
    <row r="25">
      <c r="A25" s="906">
        <f>'MSW28'!A25</f>
        <v>4</v>
      </c>
      <c r="B25" s="901">
        <f>'MSW28'!B25</f>
        <v>270</v>
      </c>
      <c r="C25" s="907">
        <f>'MSW28'!C25</f>
        <v>1</v>
      </c>
      <c r="D25" s="908" t="str">
        <f>'MSW28'!D25</f>
        <v>1 MIN</v>
      </c>
      <c r="E25" s="903" t="str">
        <f>'MSW28'!E25</f>
        <v/>
      </c>
      <c r="F25" s="904">
        <v>0.0</v>
      </c>
      <c r="H25" s="240">
        <f>'MSW28'!H25</f>
        <v>4</v>
      </c>
      <c r="I25" s="241">
        <f>'MSW28'!I25</f>
        <v>0</v>
      </c>
      <c r="J25" s="245" t="str">
        <f>'MSW28'!J25</f>
        <v>REP OUT</v>
      </c>
      <c r="K25" s="83" t="str">
        <f>'MSW28'!K25</f>
        <v>1 MIN</v>
      </c>
      <c r="L25" s="841" t="str">
        <f>'MSW28'!L25</f>
        <v/>
      </c>
      <c r="M25" s="905"/>
      <c r="O25" s="240">
        <f>'MSW28'!O25</f>
        <v>4</v>
      </c>
      <c r="P25" s="241">
        <f>'MSW28'!P25</f>
        <v>75</v>
      </c>
      <c r="Q25" s="245" t="str">
        <f>'MSW28'!Q25</f>
        <v>REP OUT</v>
      </c>
      <c r="R25" s="83" t="str">
        <f>'MSW28'!R25</f>
        <v>1 MIN</v>
      </c>
      <c r="S25" s="841" t="str">
        <f>'MSW28'!S25</f>
        <v/>
      </c>
      <c r="T25" s="905"/>
    </row>
    <row r="26">
      <c r="A26" s="246" t="str">
        <f>'MSW28'!A26</f>
        <v>NEW 1 REP MAX ATTEMPT</v>
      </c>
      <c r="B26" s="20"/>
      <c r="C26" s="20"/>
      <c r="D26" s="20"/>
      <c r="E26" s="20"/>
      <c r="F26" s="20"/>
      <c r="H26" s="248" t="str">
        <f>'MSW28'!H26</f>
        <v>PROCEED TO DOWNSETS</v>
      </c>
      <c r="M26" s="28"/>
      <c r="O26" s="248" t="str">
        <f>'MSW28'!O26</f>
        <v>PROCEED TO DOWNSETS</v>
      </c>
      <c r="T26" s="28"/>
    </row>
    <row r="27">
      <c r="A27" s="909" t="str">
        <f>'MSW28'!A27</f>
        <v/>
      </c>
      <c r="B27" s="910" t="str">
        <f>'MSW28'!B27</f>
        <v/>
      </c>
      <c r="C27" s="911" t="str">
        <f>'MSW28'!C27</f>
        <v/>
      </c>
      <c r="D27" s="911" t="str">
        <f>'MSW28'!D27</f>
        <v/>
      </c>
      <c r="E27" s="912" t="str">
        <f>'MSW28'!E27</f>
        <v/>
      </c>
      <c r="F27" s="905"/>
      <c r="H27" s="251" t="str">
        <f>'MSW28'!H27</f>
        <v/>
      </c>
      <c r="I27" s="252" t="str">
        <f>'MSW28'!I27</f>
        <v/>
      </c>
      <c r="J27" s="253" t="str">
        <f>'MSW28'!J27</f>
        <v/>
      </c>
      <c r="K27" s="254" t="str">
        <f>'MSW28'!K27</f>
        <v/>
      </c>
      <c r="L27" s="255" t="str">
        <f>'MSW28'!L27</f>
        <v/>
      </c>
      <c r="M27" s="263"/>
      <c r="O27" s="251" t="str">
        <f>'MSW28'!O27</f>
        <v/>
      </c>
      <c r="P27" s="252" t="str">
        <f>'MSW28'!P27</f>
        <v/>
      </c>
      <c r="Q27" s="253" t="str">
        <f>'MSW28'!Q27</f>
        <v/>
      </c>
      <c r="R27" s="254" t="str">
        <f>'MSW28'!R27</f>
        <v/>
      </c>
      <c r="S27" s="255" t="str">
        <f>'MSW28'!S27</f>
        <v/>
      </c>
      <c r="T27" s="263"/>
    </row>
    <row r="28">
      <c r="A28" s="913" t="str">
        <f>'MSW28'!A28</f>
        <v/>
      </c>
      <c r="B28" s="911" t="str">
        <f>'MSW28'!B28</f>
        <v/>
      </c>
      <c r="C28" s="344" t="str">
        <f>'MSW28'!C28</f>
        <v/>
      </c>
      <c r="D28" s="910" t="str">
        <f>'MSW28'!D28</f>
        <v/>
      </c>
      <c r="E28" s="912" t="str">
        <f>'MSW28'!E28</f>
        <v/>
      </c>
      <c r="F28" s="905"/>
      <c r="H28" s="246" t="str">
        <f>'MSW28'!H28</f>
        <v>FILL OUT REP LOG FIRST</v>
      </c>
      <c r="I28" s="20"/>
      <c r="J28" s="20"/>
      <c r="K28" s="20"/>
      <c r="L28" s="20"/>
      <c r="M28" s="95"/>
      <c r="O28" s="246" t="str">
        <f>'MSW28'!O28</f>
        <v>FILL OUT REP LOG FIRST</v>
      </c>
      <c r="P28" s="20"/>
      <c r="Q28" s="20"/>
      <c r="R28" s="20"/>
      <c r="S28" s="20"/>
      <c r="T28" s="95"/>
    </row>
    <row r="29">
      <c r="A29" s="246" t="str">
        <f>'MSW28'!A29</f>
        <v>DOWN SETS</v>
      </c>
      <c r="B29" s="20"/>
      <c r="C29" s="20"/>
      <c r="D29" s="20"/>
      <c r="E29" s="20"/>
      <c r="F29" s="20"/>
      <c r="H29" s="91" t="str">
        <f>'MSW28'!H29</f>
        <v/>
      </c>
      <c r="I29" s="261" t="str">
        <f>'MSW28'!I29</f>
        <v/>
      </c>
      <c r="J29" s="262" t="str">
        <f>'MSW28'!J29</f>
        <v/>
      </c>
      <c r="K29" s="65" t="str">
        <f>'MSW28'!K29</f>
        <v/>
      </c>
      <c r="L29" s="255" t="str">
        <f>'MSW28'!L29</f>
        <v/>
      </c>
      <c r="M29" s="263"/>
      <c r="O29" s="91" t="str">
        <f>'MSW28'!O29</f>
        <v/>
      </c>
      <c r="P29" s="261" t="str">
        <f>'MSW28'!P29</f>
        <v/>
      </c>
      <c r="Q29" s="262" t="str">
        <f>'MSW28'!Q29</f>
        <v/>
      </c>
      <c r="R29" s="65" t="str">
        <f>'MSW28'!R29</f>
        <v/>
      </c>
      <c r="S29" s="255" t="str">
        <f>'MSW28'!S29</f>
        <v/>
      </c>
      <c r="T29" s="263"/>
    </row>
    <row r="30">
      <c r="A30" s="914">
        <f>'MSW28'!A30</f>
        <v>5</v>
      </c>
      <c r="B30" s="901">
        <f>'MSW28'!B30</f>
        <v>240</v>
      </c>
      <c r="C30" s="915" t="str">
        <f>'MSW28'!C30</f>
        <v>REP OUT</v>
      </c>
      <c r="D30" s="908" t="str">
        <f>'MSW28'!D30</f>
        <v>1-3 MIN</v>
      </c>
      <c r="E30" s="916" t="str">
        <f>'MSW28'!E30</f>
        <v/>
      </c>
      <c r="F30" s="917">
        <v>2.0</v>
      </c>
      <c r="H30" s="269" t="str">
        <f>'MSW28'!H30</f>
        <v/>
      </c>
      <c r="I30" s="254" t="str">
        <f>'MSW28'!I30</f>
        <v/>
      </c>
      <c r="J30" s="262" t="str">
        <f>'MSW28'!J30</f>
        <v/>
      </c>
      <c r="K30" s="65" t="str">
        <f>'MSW28'!K30</f>
        <v/>
      </c>
      <c r="L30" s="255" t="str">
        <f>'MSW28'!L30</f>
        <v/>
      </c>
      <c r="M30" s="263"/>
      <c r="O30" s="269" t="str">
        <f>'MSW28'!O30</f>
        <v/>
      </c>
      <c r="P30" s="254" t="str">
        <f>'MSW28'!P30</f>
        <v/>
      </c>
      <c r="Q30" s="262" t="str">
        <f>'MSW28'!Q30</f>
        <v/>
      </c>
      <c r="R30" s="65" t="str">
        <f>'MSW28'!R30</f>
        <v/>
      </c>
      <c r="S30" s="255" t="str">
        <f>'MSW28'!S30</f>
        <v/>
      </c>
      <c r="T30" s="263"/>
    </row>
    <row r="31">
      <c r="A31" s="918">
        <f>'MSW28'!A31</f>
        <v>6</v>
      </c>
      <c r="B31" s="919">
        <f>'MSW28'!B31</f>
        <v>205</v>
      </c>
      <c r="C31" s="920" t="str">
        <f>'MSW28'!C31</f>
        <v>REP OUT</v>
      </c>
      <c r="D31" s="921" t="str">
        <f>'MSW28'!D31</f>
        <v>1-3 MIN</v>
      </c>
      <c r="E31" s="922" t="str">
        <f>'MSW28'!E31</f>
        <v/>
      </c>
      <c r="F31" s="917"/>
      <c r="H31" s="844" t="str">
        <f>'MSW28'!H31</f>
        <v/>
      </c>
      <c r="I31" s="845" t="str">
        <f>'MSW28'!I31</f>
        <v/>
      </c>
      <c r="J31" s="923" t="str">
        <f>'MSW28'!J31</f>
        <v/>
      </c>
      <c r="K31" s="845" t="str">
        <f>'MSW28'!K31</f>
        <v/>
      </c>
      <c r="L31" s="847"/>
      <c r="M31" s="917"/>
      <c r="O31" s="844" t="str">
        <f>'MSW28'!O31</f>
        <v/>
      </c>
      <c r="P31" s="845" t="str">
        <f>'MSW28'!P31</f>
        <v/>
      </c>
      <c r="Q31" s="923" t="str">
        <f>'MSW28'!Q31</f>
        <v/>
      </c>
      <c r="R31" s="845" t="str">
        <f>'MSW28'!R31</f>
        <v/>
      </c>
      <c r="S31" s="847"/>
      <c r="T31" s="917"/>
    </row>
    <row r="32">
      <c r="A32" s="924" t="str">
        <f>'MSW28'!A32</f>
        <v>FINAL MAX</v>
      </c>
      <c r="B32" s="925">
        <f>'MSW28'!B32</f>
        <v>265</v>
      </c>
      <c r="C32" s="33"/>
      <c r="D32" s="33"/>
      <c r="E32" s="33"/>
      <c r="F32" s="34"/>
      <c r="H32" s="844" t="str">
        <f>'MSW28'!H32</f>
        <v/>
      </c>
      <c r="I32" s="845" t="str">
        <f>'MSW28'!I32</f>
        <v/>
      </c>
      <c r="J32" s="846" t="str">
        <f>'MSW28'!J32</f>
        <v/>
      </c>
      <c r="K32" s="267" t="str">
        <f>'MSW28'!K32</f>
        <v/>
      </c>
      <c r="L32" s="847" t="str">
        <f>'MSW28'!L32</f>
        <v/>
      </c>
      <c r="M32" s="917"/>
      <c r="O32" s="844" t="str">
        <f>'MSW28'!O32</f>
        <v/>
      </c>
      <c r="P32" s="845" t="str">
        <f>'MSW28'!P32</f>
        <v/>
      </c>
      <c r="Q32" s="846" t="str">
        <f>'MSW28'!Q32</f>
        <v/>
      </c>
      <c r="R32" s="267" t="str">
        <f>'MSW28'!R32</f>
        <v/>
      </c>
      <c r="S32" s="847" t="str">
        <f>'MSW28'!S32</f>
        <v/>
      </c>
      <c r="T32" s="917"/>
    </row>
    <row r="33">
      <c r="A33" s="274"/>
      <c r="H33" s="272" t="str">
        <f>'MSW28'!H33</f>
        <v>FINAL MAX</v>
      </c>
      <c r="I33" s="332" t="str">
        <f>'MSW28'!I33</f>
        <v/>
      </c>
      <c r="J33" s="33"/>
      <c r="K33" s="33"/>
      <c r="L33" s="33"/>
      <c r="M33" s="34"/>
      <c r="O33" s="272" t="str">
        <f>'MSW28'!O33</f>
        <v>FINAL MAX</v>
      </c>
      <c r="P33" s="332" t="str">
        <f>'MSW28'!P33</f>
        <v/>
      </c>
      <c r="Q33" s="33"/>
      <c r="R33" s="33"/>
      <c r="S33" s="33"/>
      <c r="T33" s="34"/>
    </row>
    <row r="34">
      <c r="H34" s="849"/>
    </row>
    <row r="35">
      <c r="A35" s="73" t="str">
        <f>'MSW28'!A35</f>
        <v>2. DB CHEST FLY</v>
      </c>
      <c r="B35" s="53"/>
      <c r="C35" s="53"/>
      <c r="D35" s="53"/>
      <c r="E35" s="53"/>
      <c r="F35" s="54"/>
      <c r="G35" s="434" t="s">
        <v>123</v>
      </c>
      <c r="H35" s="73" t="str">
        <f>'MSW28'!H35</f>
        <v>2. MACHINE CHEST FLY</v>
      </c>
      <c r="I35" s="53"/>
      <c r="J35" s="53"/>
      <c r="K35" s="53"/>
      <c r="L35" s="53"/>
      <c r="M35" s="54"/>
      <c r="N35" s="926"/>
    </row>
    <row r="36">
      <c r="A36" s="596" t="str">
        <f>'MSW28'!A36</f>
        <v>DB INCL MAX</v>
      </c>
      <c r="B36" s="284" t="str">
        <f>'MSW28'!B36</f>
        <v/>
      </c>
      <c r="C36" s="20"/>
      <c r="D36" s="20"/>
      <c r="E36" s="20"/>
      <c r="F36" s="95"/>
      <c r="G36" s="598"/>
      <c r="H36" s="596" t="str">
        <f>'MSW28'!H36</f>
        <v>DB INCL MAX</v>
      </c>
      <c r="I36" s="284">
        <v>90.0</v>
      </c>
      <c r="J36" s="20"/>
      <c r="K36" s="20"/>
      <c r="L36" s="20"/>
      <c r="M36" s="95"/>
      <c r="N36" s="529"/>
    </row>
    <row r="37">
      <c r="A37" s="231" t="str">
        <f>'MSW28'!A37</f>
        <v>SET</v>
      </c>
      <c r="B37" s="232" t="str">
        <f>'MSW28'!B37</f>
        <v>WEIGHT</v>
      </c>
      <c r="C37" s="232" t="str">
        <f>'MSW28'!C37</f>
        <v>REPS</v>
      </c>
      <c r="D37" s="232" t="str">
        <f>'MSW28'!D37</f>
        <v>REST</v>
      </c>
      <c r="E37" s="233" t="str">
        <f>'MSW28'!E37</f>
        <v>PREVIOUS</v>
      </c>
      <c r="F37" s="235" t="str">
        <f>'MSW28'!F37</f>
        <v>REP LOG</v>
      </c>
      <c r="H37" s="231" t="str">
        <f>'MSW28'!H37</f>
        <v>SET</v>
      </c>
      <c r="I37" s="232" t="str">
        <f>'MSW28'!I37</f>
        <v>WEIGHT</v>
      </c>
      <c r="J37" s="232" t="str">
        <f>'MSW28'!J37</f>
        <v>REPS</v>
      </c>
      <c r="K37" s="232" t="str">
        <f>'MSW28'!K37</f>
        <v>REST</v>
      </c>
      <c r="L37" s="233" t="str">
        <f>'MSW28'!L37</f>
        <v>PREVIOUS</v>
      </c>
      <c r="M37" s="927" t="str">
        <f>'MSW28'!M37</f>
        <v>REP LOG</v>
      </c>
      <c r="N37" s="529"/>
    </row>
    <row r="38">
      <c r="A38" s="242">
        <f>'MSW28'!A38</f>
        <v>1</v>
      </c>
      <c r="B38" s="237">
        <f>'MSW28'!B38</f>
        <v>0</v>
      </c>
      <c r="C38" s="82" t="str">
        <f>'MSW28'!C38</f>
        <v>10 - 15</v>
      </c>
      <c r="D38" s="928" t="str">
        <f>'MSW28'!D38</f>
        <v>1 - 3 MIN</v>
      </c>
      <c r="E38" s="66" t="str">
        <f>'MSW28'!E38</f>
        <v/>
      </c>
      <c r="F38" s="917"/>
      <c r="H38" s="242">
        <f>'MSW28'!H38</f>
        <v>1</v>
      </c>
      <c r="I38" s="237">
        <f>'MSW28'!I38</f>
        <v>140</v>
      </c>
      <c r="J38" s="82" t="str">
        <f>'MSW28'!J38</f>
        <v>10 - 15</v>
      </c>
      <c r="K38" s="928" t="str">
        <f>'MSW28'!K38</f>
        <v>1 - 3 MIN</v>
      </c>
      <c r="L38" s="66" t="str">
        <f>'MSW28'!L38</f>
        <v/>
      </c>
      <c r="M38" s="917">
        <v>15.0</v>
      </c>
      <c r="N38" s="529"/>
    </row>
    <row r="39">
      <c r="A39" s="289">
        <f>'MSW28'!A39</f>
        <v>2</v>
      </c>
      <c r="B39" s="291">
        <f>'MSW28'!B39</f>
        <v>0</v>
      </c>
      <c r="C39" s="87" t="str">
        <f>'MSW28'!C39</f>
        <v>10 - 15</v>
      </c>
      <c r="D39" s="929" t="str">
        <f>'MSW28'!D39</f>
        <v>1 - 3 MIN</v>
      </c>
      <c r="E39" s="72"/>
      <c r="F39" s="917"/>
      <c r="H39" s="289">
        <f>'MSW28'!H39</f>
        <v>2</v>
      </c>
      <c r="I39" s="291">
        <f>'MSW28'!I39</f>
        <v>140</v>
      </c>
      <c r="J39" s="87" t="str">
        <f>'MSW28'!J39</f>
        <v>10 - 15</v>
      </c>
      <c r="K39" s="929" t="str">
        <f>'MSW28'!K39</f>
        <v>1 - 3 MIN</v>
      </c>
      <c r="L39" s="72"/>
      <c r="M39" s="917">
        <v>15.0</v>
      </c>
      <c r="N39" s="529"/>
    </row>
    <row r="40">
      <c r="A40" s="103"/>
      <c r="H40" s="851" t="s">
        <v>41</v>
      </c>
    </row>
    <row r="42">
      <c r="A42" s="73" t="str">
        <f>'MSW28'!A42</f>
        <v>3. LAT PULL DOWN</v>
      </c>
      <c r="B42" s="53"/>
      <c r="C42" s="53"/>
      <c r="D42" s="53"/>
      <c r="E42" s="53"/>
      <c r="F42" s="54"/>
    </row>
    <row r="43">
      <c r="A43" s="282" t="str">
        <f>'MSW28'!A43</f>
        <v>CURRENT MAX</v>
      </c>
      <c r="B43" s="852">
        <f>'MSW28'!B43</f>
        <v>215</v>
      </c>
      <c r="C43" s="16"/>
      <c r="D43" s="16"/>
      <c r="E43" s="16"/>
      <c r="F43" s="230"/>
    </row>
    <row r="44">
      <c r="A44" s="58" t="str">
        <f>'MSW28'!A44</f>
        <v>SET</v>
      </c>
      <c r="B44" s="365" t="str">
        <f>'MSW28'!B44</f>
        <v>WEIGHT</v>
      </c>
      <c r="C44" s="365" t="str">
        <f>'MSW28'!C44</f>
        <v>REPS</v>
      </c>
      <c r="D44" s="365" t="str">
        <f>'MSW28'!D44</f>
        <v>REST</v>
      </c>
      <c r="E44" s="853" t="str">
        <f>'MSW28'!E44</f>
        <v>PREVIOUS</v>
      </c>
      <c r="F44" s="235" t="str">
        <f>'MSW28'!F44</f>
        <v>REP LOG</v>
      </c>
    </row>
    <row r="45">
      <c r="A45" s="242">
        <f>'MSW28'!A45</f>
        <v>1</v>
      </c>
      <c r="B45" s="237">
        <f>'MSW28'!B45</f>
        <v>110</v>
      </c>
      <c r="C45" s="104" t="str">
        <f>'MSW28'!C45</f>
        <v>Rep Out</v>
      </c>
      <c r="D45" s="65" t="str">
        <f>'MSW28'!D45</f>
        <v>1 Min</v>
      </c>
      <c r="E45" s="66" t="str">
        <f>'MSW28'!E45</f>
        <v/>
      </c>
      <c r="F45" s="917">
        <v>25.0</v>
      </c>
    </row>
    <row r="46">
      <c r="A46" s="242">
        <f>'MSW28'!A46</f>
        <v>2</v>
      </c>
      <c r="B46" s="237">
        <f>'MSW28'!B46</f>
        <v>110</v>
      </c>
      <c r="C46" s="104" t="str">
        <f>'MSW28'!C46</f>
        <v>Rep Out</v>
      </c>
      <c r="D46" s="65" t="str">
        <f>'MSW28'!D46</f>
        <v>1 Min</v>
      </c>
      <c r="E46" s="66"/>
      <c r="F46" s="917">
        <v>15.0</v>
      </c>
    </row>
    <row r="47">
      <c r="A47" s="242">
        <f>'MSW28'!A47</f>
        <v>3</v>
      </c>
      <c r="B47" s="237">
        <f>'MSW28'!B47</f>
        <v>110</v>
      </c>
      <c r="C47" s="104" t="str">
        <f>'MSW28'!C47</f>
        <v>Rep Out</v>
      </c>
      <c r="D47" s="65" t="str">
        <f>'MSW28'!D47</f>
        <v>1 Min</v>
      </c>
      <c r="E47" s="66"/>
      <c r="F47" s="263">
        <v>11.0</v>
      </c>
    </row>
    <row r="48">
      <c r="A48" s="302"/>
    </row>
    <row r="50">
      <c r="A50" s="73" t="str">
        <f>'MSW28'!A50</f>
        <v>4. MACHINE LOW ROW</v>
      </c>
      <c r="B50" s="53"/>
      <c r="C50" s="53"/>
      <c r="D50" s="53"/>
      <c r="E50" s="53"/>
      <c r="F50" s="54"/>
    </row>
    <row r="51">
      <c r="A51" s="458" t="str">
        <f>'MSW28'!A51</f>
        <v>CURRENT MAX</v>
      </c>
      <c r="B51" s="56">
        <f>'MSW28'!B51</f>
        <v>195</v>
      </c>
      <c r="C51" s="13"/>
      <c r="D51" s="13"/>
      <c r="E51" s="13"/>
      <c r="F51" s="57"/>
    </row>
    <row r="52">
      <c r="A52" s="58" t="str">
        <f>'MSW28'!A52</f>
        <v>SET</v>
      </c>
      <c r="B52" s="59" t="str">
        <f>'MSW28'!B52</f>
        <v>WEIGHT</v>
      </c>
      <c r="C52" s="59" t="str">
        <f>'MSW28'!C52</f>
        <v>REPS</v>
      </c>
      <c r="D52" s="59" t="str">
        <f>'MSW28'!D52</f>
        <v>REST</v>
      </c>
      <c r="E52" s="584" t="str">
        <f>'MSW28'!E52</f>
        <v>PREVIOUS</v>
      </c>
      <c r="F52" s="235" t="str">
        <f>'MSW28'!F52</f>
        <v>REP LOG</v>
      </c>
    </row>
    <row r="53">
      <c r="A53" s="62">
        <f>'MSW28'!A53</f>
        <v>1</v>
      </c>
      <c r="B53" s="855">
        <f>'MSW28'!B53</f>
        <v>100</v>
      </c>
      <c r="C53" s="104" t="str">
        <f>'MSW28'!C53</f>
        <v>Rep Out</v>
      </c>
      <c r="D53" s="65" t="str">
        <f>'MSW28'!D53</f>
        <v>1 Min</v>
      </c>
      <c r="E53" s="66" t="str">
        <f>'MSW28'!E53</f>
        <v/>
      </c>
      <c r="F53" s="917">
        <v>11.0</v>
      </c>
    </row>
    <row r="54">
      <c r="A54" s="68">
        <f>'MSW28'!A54</f>
        <v>2</v>
      </c>
      <c r="B54" s="856">
        <f>'MSW28'!B54</f>
        <v>100</v>
      </c>
      <c r="C54" s="105" t="str">
        <f>'MSW28'!C54</f>
        <v>Rep Out</v>
      </c>
      <c r="D54" s="71" t="str">
        <f>'MSW28'!D54</f>
        <v>1 Min</v>
      </c>
      <c r="E54" s="72"/>
      <c r="F54" s="917">
        <v>13.0</v>
      </c>
    </row>
    <row r="55">
      <c r="A55" s="103"/>
    </row>
    <row r="57">
      <c r="A57" s="73" t="str">
        <f>'MSW28'!A57</f>
        <v>5. MACHINE HIGH ROW</v>
      </c>
      <c r="B57" s="53"/>
      <c r="C57" s="53"/>
      <c r="D57" s="53"/>
      <c r="E57" s="53"/>
      <c r="F57" s="54"/>
    </row>
    <row r="58">
      <c r="A58" s="458" t="str">
        <f>'MSW28'!A58</f>
        <v>CURRENT MAX</v>
      </c>
      <c r="B58" s="56">
        <f>'MSW28'!B58</f>
        <v>170</v>
      </c>
      <c r="C58" s="13"/>
      <c r="D58" s="13"/>
      <c r="E58" s="13"/>
      <c r="F58" s="57"/>
    </row>
    <row r="59">
      <c r="A59" s="58" t="str">
        <f>'MSW28'!A59</f>
        <v>SET</v>
      </c>
      <c r="B59" s="59" t="str">
        <f>'MSW28'!B59</f>
        <v>WEIGHT</v>
      </c>
      <c r="C59" s="59" t="str">
        <f>'MSW28'!C59</f>
        <v>REPS</v>
      </c>
      <c r="D59" s="59" t="str">
        <f>'MSW28'!D59</f>
        <v>REST</v>
      </c>
      <c r="E59" s="584" t="str">
        <f>'MSW28'!E59</f>
        <v>PREVIOUS</v>
      </c>
      <c r="F59" s="235" t="str">
        <f>'MSW28'!F59</f>
        <v>REP LOG</v>
      </c>
    </row>
    <row r="60">
      <c r="A60" s="62">
        <f>'MSW28'!A60</f>
        <v>1</v>
      </c>
      <c r="B60" s="855">
        <f>'MSW28'!B60</f>
        <v>85</v>
      </c>
      <c r="C60" s="104" t="str">
        <f>'MSW28'!C60</f>
        <v>Rep Out</v>
      </c>
      <c r="D60" s="65" t="str">
        <f>'MSW28'!D60</f>
        <v>1 Min</v>
      </c>
      <c r="E60" s="66" t="str">
        <f>'MSW28'!E60</f>
        <v/>
      </c>
      <c r="F60" s="917">
        <v>21.0</v>
      </c>
    </row>
    <row r="61">
      <c r="A61" s="68">
        <f>'MSW28'!A61</f>
        <v>2</v>
      </c>
      <c r="B61" s="856">
        <f>'MSW28'!B61</f>
        <v>85</v>
      </c>
      <c r="C61" s="105" t="str">
        <f>'MSW28'!C61</f>
        <v>Rep Out</v>
      </c>
      <c r="D61" s="71" t="str">
        <f>'MSW28'!D61</f>
        <v>1 Min</v>
      </c>
      <c r="E61" s="72"/>
      <c r="F61" s="917">
        <v>25.0</v>
      </c>
    </row>
    <row r="62">
      <c r="A62" s="598"/>
    </row>
    <row r="63">
      <c r="A63" s="310" t="str">
        <f>'MSW28'!A63</f>
        <v>CLICK TO COMPLETE WORKOUT</v>
      </c>
      <c r="B63" s="36"/>
      <c r="C63" s="36"/>
      <c r="D63" s="36"/>
      <c r="E63" s="36"/>
      <c r="F63" s="37"/>
    </row>
    <row r="64">
      <c r="A64" s="858"/>
    </row>
    <row r="65">
      <c r="A65" s="602" t="str">
        <f>'MSW28'!A65</f>
        <v>DAY 2 </v>
      </c>
      <c r="B65" s="36"/>
      <c r="C65" s="36"/>
      <c r="D65" s="36"/>
      <c r="E65" s="36"/>
      <c r="F65" s="37"/>
    </row>
    <row r="66">
      <c r="A66" s="838" t="str">
        <f>'MSW28'!A66</f>
        <v/>
      </c>
    </row>
    <row r="68">
      <c r="A68" s="542" t="str">
        <f>'MSW28'!A68</f>
        <v>LEGS</v>
      </c>
      <c r="B68" s="36"/>
      <c r="C68" s="36"/>
      <c r="D68" s="36"/>
      <c r="E68" s="36"/>
      <c r="F68" s="37"/>
    </row>
    <row r="69">
      <c r="A69" s="73" t="str">
        <f>'MSW28'!A69</f>
        <v> 1. SISSY SQUATS</v>
      </c>
      <c r="B69" s="53"/>
      <c r="C69" s="53"/>
      <c r="D69" s="53"/>
      <c r="E69" s="53"/>
      <c r="F69" s="54"/>
    </row>
    <row r="70">
      <c r="A70" s="58" t="str">
        <f>'MSW28'!A70</f>
        <v>SET</v>
      </c>
      <c r="B70" s="59" t="str">
        <f>'MSW28'!B70</f>
        <v>WEIGHT</v>
      </c>
      <c r="C70" s="59" t="str">
        <f>'MSW28'!C70</f>
        <v>REPS</v>
      </c>
      <c r="D70" s="59" t="str">
        <f>'MSW28'!D70</f>
        <v>REST</v>
      </c>
      <c r="E70" s="584" t="str">
        <f>'MSW28'!E70</f>
        <v>PREVIOUS</v>
      </c>
      <c r="F70" s="235" t="str">
        <f>'MSW28'!F70</f>
        <v>REP LOG</v>
      </c>
    </row>
    <row r="71">
      <c r="A71" s="308">
        <f>'MSW28'!A71</f>
        <v>1</v>
      </c>
      <c r="B71" s="585" t="str">
        <f>'MSW28'!B71</f>
        <v>BODY</v>
      </c>
      <c r="C71" s="585">
        <f>'MSW28'!C71</f>
        <v>10</v>
      </c>
      <c r="D71" s="585" t="str">
        <f>'MSW28'!D71</f>
        <v>1-2 MIN</v>
      </c>
      <c r="E71" s="586" t="str">
        <f>'MSW28'!E71</f>
        <v/>
      </c>
      <c r="F71" s="917"/>
    </row>
    <row r="72">
      <c r="A72" s="313">
        <f>'MSW28'!A72</f>
        <v>2</v>
      </c>
      <c r="B72" s="587" t="str">
        <f>'MSW28'!B72</f>
        <v>BODY</v>
      </c>
      <c r="C72" s="587">
        <f>'MSW28'!C72</f>
        <v>10</v>
      </c>
      <c r="D72" s="587" t="str">
        <f>'MSW28'!D72</f>
        <v>1-2 MIN</v>
      </c>
      <c r="E72" s="588"/>
      <c r="F72" s="917"/>
    </row>
    <row r="73">
      <c r="A73" s="838"/>
    </row>
    <row r="75">
      <c r="A75" s="861" t="str">
        <f>'MSW28'!A75</f>
        <v>2. MACHINE SQUAT</v>
      </c>
      <c r="B75" s="53"/>
      <c r="C75" s="53"/>
      <c r="D75" s="53"/>
      <c r="E75" s="53"/>
      <c r="F75" s="54"/>
    </row>
    <row r="76">
      <c r="A76" s="458" t="str">
        <f>'MSW28'!A76</f>
        <v>CURRENT MAX</v>
      </c>
      <c r="B76" s="1366">
        <f>'MSW28'!B76</f>
        <v>35</v>
      </c>
      <c r="C76" s="20"/>
      <c r="D76" s="20"/>
      <c r="E76" s="20"/>
      <c r="F76" s="95"/>
    </row>
    <row r="77">
      <c r="A77" s="58" t="str">
        <f>'MSW28'!A77</f>
        <v>SET</v>
      </c>
      <c r="B77" s="59" t="str">
        <f>'MSW28'!B77</f>
        <v>WEIGHT</v>
      </c>
      <c r="C77" s="59" t="str">
        <f>'MSW28'!C77</f>
        <v>REPS</v>
      </c>
      <c r="D77" s="59" t="str">
        <f>'MSW28'!D77</f>
        <v>REST</v>
      </c>
      <c r="E77" s="584" t="str">
        <f>'MSW28'!E77</f>
        <v>PREVIOUS</v>
      </c>
      <c r="F77" s="235" t="str">
        <f>'MSW28'!F77</f>
        <v>REP LOG</v>
      </c>
    </row>
    <row r="78">
      <c r="A78" s="308">
        <f>'MSW28'!A78</f>
        <v>1</v>
      </c>
      <c r="B78" s="862">
        <f>'MSW28'!B78</f>
        <v>10</v>
      </c>
      <c r="C78" s="99">
        <f>'MSW28'!C78</f>
        <v>10</v>
      </c>
      <c r="D78" s="405" t="str">
        <f>'MSW28'!D78</f>
        <v>1-2 MIN</v>
      </c>
      <c r="E78" s="66" t="str">
        <f>'MSW28'!E78</f>
        <v/>
      </c>
      <c r="F78" s="917"/>
    </row>
    <row r="79">
      <c r="A79" s="308">
        <f>'MSW28'!A79</f>
        <v>2</v>
      </c>
      <c r="B79" s="862">
        <f>'MSW28'!B79</f>
        <v>20</v>
      </c>
      <c r="C79" s="99">
        <f>'MSW28'!C79</f>
        <v>10</v>
      </c>
      <c r="D79" s="405" t="str">
        <f>'MSW28'!D79</f>
        <v>1-2 MIN</v>
      </c>
      <c r="E79" s="66"/>
      <c r="F79" s="917"/>
    </row>
    <row r="80">
      <c r="A80" s="308">
        <f>'MSW28'!A80</f>
        <v>3</v>
      </c>
      <c r="B80" s="862">
        <f>'MSW28'!B80</f>
        <v>25</v>
      </c>
      <c r="C80" s="99">
        <f>'MSW28'!C80</f>
        <v>10</v>
      </c>
      <c r="D80" s="405" t="str">
        <f>'MSW28'!D80</f>
        <v>1-2 MIN</v>
      </c>
      <c r="E80" s="66"/>
      <c r="F80" s="917"/>
    </row>
    <row r="81">
      <c r="A81" s="313">
        <f>'MSW28'!A81</f>
        <v>4</v>
      </c>
      <c r="B81" s="863">
        <f>'MSW28'!B81</f>
        <v>35</v>
      </c>
      <c r="C81" s="101">
        <f>'MSW28'!C81</f>
        <v>10</v>
      </c>
      <c r="D81" s="864" t="str">
        <f>'MSW28'!D81</f>
        <v>1-2 MIN</v>
      </c>
      <c r="E81" s="72"/>
      <c r="F81" s="917"/>
    </row>
    <row r="82">
      <c r="A82" s="320"/>
    </row>
    <row r="84">
      <c r="A84" s="73" t="str">
        <f>'MSW28'!A84</f>
        <v>3. LEG EXTENSION</v>
      </c>
      <c r="B84" s="53"/>
      <c r="C84" s="53"/>
      <c r="D84" s="53"/>
      <c r="E84" s="53"/>
      <c r="F84" s="54"/>
    </row>
    <row r="85">
      <c r="A85" s="226" t="str">
        <f>'MSW28'!A85</f>
        <v>CURRENT MAX</v>
      </c>
      <c r="B85" s="90">
        <f>'MSW28'!B85</f>
        <v>50</v>
      </c>
      <c r="C85" s="13"/>
      <c r="D85" s="13"/>
      <c r="E85" s="13"/>
      <c r="F85" s="57"/>
    </row>
    <row r="86">
      <c r="A86" s="96" t="str">
        <f>'MSW28'!A86</f>
        <v>SET</v>
      </c>
      <c r="B86" s="97" t="str">
        <f>'MSW28'!B86</f>
        <v>WEIGHT</v>
      </c>
      <c r="C86" s="97" t="str">
        <f>'MSW28'!C86</f>
        <v>REPS</v>
      </c>
      <c r="D86" s="97" t="str">
        <f>'MSW28'!D86</f>
        <v>REST</v>
      </c>
      <c r="E86" s="98" t="str">
        <f>'MSW28'!E86</f>
        <v>PREVIOUS</v>
      </c>
      <c r="F86" s="235" t="str">
        <f>'MSW28'!F86</f>
        <v>REP LOG</v>
      </c>
    </row>
    <row r="87">
      <c r="A87" s="352">
        <f>'MSW28'!A87</f>
        <v>1</v>
      </c>
      <c r="B87" s="237">
        <f>'MSW28'!B87</f>
        <v>50</v>
      </c>
      <c r="C87" s="678">
        <f>'MSW28'!C87</f>
        <v>20</v>
      </c>
      <c r="D87" s="350" t="str">
        <f>'MSW28'!D87</f>
        <v>1 MIN</v>
      </c>
      <c r="E87" s="449" t="str">
        <f>'MSW28'!E87</f>
        <v/>
      </c>
      <c r="F87" s="917"/>
    </row>
    <row r="88">
      <c r="A88" s="352">
        <f>'MSW28'!A88</f>
        <v>2</v>
      </c>
      <c r="B88" s="237">
        <f>'MSW28'!B88</f>
        <v>40</v>
      </c>
      <c r="C88" s="678">
        <f>'MSW28'!C88</f>
        <v>20</v>
      </c>
      <c r="D88" s="350" t="str">
        <f>'MSW28'!D88</f>
        <v>1 MIN</v>
      </c>
      <c r="E88" s="679" t="str">
        <f>'MSW28'!E88</f>
        <v/>
      </c>
      <c r="F88" s="917"/>
    </row>
    <row r="89">
      <c r="A89" s="865">
        <f>'MSW28'!A89</f>
        <v>3</v>
      </c>
      <c r="B89" s="866">
        <f>'MSW28'!B89</f>
        <v>30</v>
      </c>
      <c r="C89" s="867">
        <f>'MSW28'!C89</f>
        <v>20</v>
      </c>
      <c r="D89" s="760" t="str">
        <f>'MSW28'!D89</f>
        <v>1 MIN</v>
      </c>
      <c r="E89" s="868"/>
      <c r="F89" s="330"/>
    </row>
    <row r="90">
      <c r="A90" s="869" t="str">
        <f>'MSW28'!A90</f>
        <v/>
      </c>
      <c r="B90" s="25"/>
      <c r="C90" s="25"/>
      <c r="D90" s="25"/>
      <c r="E90" s="25"/>
      <c r="F90" s="25"/>
    </row>
    <row r="92">
      <c r="A92" s="595" t="str">
        <f>'MSW28'!A92</f>
        <v>4. LEG CURL</v>
      </c>
      <c r="B92" s="53"/>
      <c r="C92" s="53"/>
      <c r="D92" s="53"/>
      <c r="E92" s="53"/>
      <c r="F92" s="54"/>
      <c r="G92" s="247" t="str">
        <f>'MSW28'!G95</f>
        <v>ALTERNATE</v>
      </c>
      <c r="H92" s="931" t="str">
        <f>'MSW28'!H92</f>
        <v>4. PRONE LEG CURL</v>
      </c>
      <c r="I92" s="25"/>
      <c r="J92" s="25"/>
      <c r="K92" s="25"/>
      <c r="L92" s="25"/>
      <c r="M92" s="26"/>
      <c r="N92" s="870"/>
    </row>
    <row r="93">
      <c r="A93" s="226" t="str">
        <f>'MSW28'!A93</f>
        <v>CURRENT MAX</v>
      </c>
      <c r="B93" s="94">
        <f>'MSW28'!B93</f>
        <v>15</v>
      </c>
      <c r="C93" s="20"/>
      <c r="D93" s="20"/>
      <c r="E93" s="20"/>
      <c r="F93" s="95"/>
      <c r="H93" s="932" t="str">
        <f>'MSW28'!H93</f>
        <v>CURRENT MAX</v>
      </c>
      <c r="I93" s="933">
        <f>'MSW28'!I93</f>
        <v>15</v>
      </c>
      <c r="J93" s="53"/>
      <c r="K93" s="53"/>
      <c r="L93" s="53"/>
      <c r="M93" s="54"/>
    </row>
    <row r="94">
      <c r="A94" s="96" t="str">
        <f>'MSW28'!A94</f>
        <v>SET</v>
      </c>
      <c r="B94" s="97" t="str">
        <f>'MSW28'!B94</f>
        <v>WEIGHT</v>
      </c>
      <c r="C94" s="97" t="str">
        <f>'MSW28'!C94</f>
        <v>REPS</v>
      </c>
      <c r="D94" s="872" t="str">
        <f>'MSW28'!D94</f>
        <v>REST</v>
      </c>
      <c r="E94" s="98" t="str">
        <f>'MSW28'!E94</f>
        <v>PREVIOUS</v>
      </c>
      <c r="F94" s="235" t="str">
        <f>'MSW28'!F94</f>
        <v>REP LOG</v>
      </c>
      <c r="G94" s="842" t="str">
        <f>'MSW28'!G97</f>
        <v/>
      </c>
      <c r="H94" s="96" t="str">
        <f>'MSW28'!H94</f>
        <v>SET</v>
      </c>
      <c r="I94" s="97" t="str">
        <f>'MSW28'!I94</f>
        <v>WEIGHT</v>
      </c>
      <c r="J94" s="97" t="str">
        <f>'MSW28'!J94</f>
        <v>REPS</v>
      </c>
      <c r="K94" s="872" t="str">
        <f>'MSW28'!K94</f>
        <v>REST</v>
      </c>
      <c r="L94" s="98" t="str">
        <f>'MSW28'!L94</f>
        <v>PREVIOUS</v>
      </c>
      <c r="M94" s="235" t="str">
        <f>'MSW28'!M94</f>
        <v>REP LOG</v>
      </c>
    </row>
    <row r="95">
      <c r="A95" s="244">
        <f>'MSW28'!A95</f>
        <v>1</v>
      </c>
      <c r="B95" s="99">
        <f>'MSW28'!B95</f>
        <v>15</v>
      </c>
      <c r="C95" s="99">
        <f>'MSW28'!C95</f>
        <v>20</v>
      </c>
      <c r="D95" s="873" t="str">
        <f>'MSW28'!D95</f>
        <v>1 MIN</v>
      </c>
      <c r="E95" s="100" t="str">
        <f>'MSW28'!E95</f>
        <v/>
      </c>
      <c r="F95" s="917"/>
      <c r="G95" s="842"/>
      <c r="H95" s="244">
        <f>'MSW28'!H95</f>
        <v>1</v>
      </c>
      <c r="I95" s="99">
        <f>'MSW28'!I95</f>
        <v>15</v>
      </c>
      <c r="J95" s="99">
        <f>'MSW28'!J95</f>
        <v>20</v>
      </c>
      <c r="K95" s="873" t="str">
        <f>'MSW28'!K95</f>
        <v>1 MIN</v>
      </c>
      <c r="L95" s="100" t="str">
        <f>'MSW28'!L95</f>
        <v/>
      </c>
      <c r="M95" s="917"/>
    </row>
    <row r="96">
      <c r="A96" s="242">
        <f>'MSW28'!A96</f>
        <v>2</v>
      </c>
      <c r="B96" s="99">
        <f>'MSW28'!B96</f>
        <v>10</v>
      </c>
      <c r="C96" s="99">
        <f>'MSW28'!C96</f>
        <v>20</v>
      </c>
      <c r="D96" s="873" t="str">
        <f>'MSW28'!D96</f>
        <v>1 MIN</v>
      </c>
      <c r="E96" s="100" t="str">
        <f>'MSW28'!E96</f>
        <v/>
      </c>
      <c r="F96" s="917"/>
      <c r="G96" s="842"/>
      <c r="H96" s="242">
        <f>'MSW28'!H96</f>
        <v>2</v>
      </c>
      <c r="I96" s="99">
        <f>'MSW28'!I96</f>
        <v>10</v>
      </c>
      <c r="J96" s="99">
        <f>'MSW28'!J96</f>
        <v>20</v>
      </c>
      <c r="K96" s="873" t="str">
        <f>'MSW28'!K96</f>
        <v>1 MIN</v>
      </c>
      <c r="L96" s="100" t="str">
        <f>'MSW28'!L96</f>
        <v/>
      </c>
      <c r="M96" s="917"/>
    </row>
    <row r="97">
      <c r="A97" s="289">
        <f>'MSW28'!A97</f>
        <v>3</v>
      </c>
      <c r="B97" s="101">
        <f>'MSW28'!B97</f>
        <v>10</v>
      </c>
      <c r="C97" s="101">
        <f>'MSW28'!C97</f>
        <v>20</v>
      </c>
      <c r="D97" s="875" t="str">
        <f>'MSW28'!D97</f>
        <v>1 MIN</v>
      </c>
      <c r="E97" s="102" t="str">
        <f>'MSW28'!E97</f>
        <v/>
      </c>
      <c r="F97" s="85"/>
      <c r="G97" s="842"/>
      <c r="H97" s="289">
        <f>'MSW28'!H97</f>
        <v>3</v>
      </c>
      <c r="I97" s="101">
        <f>'MSW28'!I97</f>
        <v>10</v>
      </c>
      <c r="J97" s="101">
        <f>'MSW28'!J97</f>
        <v>20</v>
      </c>
      <c r="K97" s="875" t="str">
        <f>'MSW28'!K97</f>
        <v>1 MIN</v>
      </c>
      <c r="L97" s="102" t="str">
        <f>'MSW28'!L97</f>
        <v/>
      </c>
      <c r="M97" s="85"/>
    </row>
    <row r="98">
      <c r="A98" s="934" t="str">
        <f>'MSW28'!A98</f>
        <v/>
      </c>
      <c r="B98" s="25"/>
      <c r="C98" s="25"/>
      <c r="D98" s="25"/>
      <c r="E98" s="25"/>
      <c r="F98" s="25"/>
      <c r="G98" s="598" t="str">
        <f>'MSW28'!H98</f>
        <v/>
      </c>
    </row>
    <row r="99">
      <c r="A99" s="310" t="str">
        <f>'MSW28'!A99</f>
        <v>CLICK TO COMPLETE WORKOUT</v>
      </c>
      <c r="B99" s="36"/>
      <c r="C99" s="36"/>
      <c r="D99" s="36"/>
      <c r="E99" s="36"/>
      <c r="F99" s="37"/>
    </row>
    <row r="100">
      <c r="A100" s="598"/>
    </row>
    <row r="101">
      <c r="A101" s="602" t="str">
        <f>'MSW28'!A101</f>
        <v>DAY 3</v>
      </c>
      <c r="B101" s="36"/>
      <c r="C101" s="36"/>
      <c r="D101" s="36"/>
      <c r="E101" s="36"/>
      <c r="F101" s="37"/>
    </row>
    <row r="102">
      <c r="A102" s="876" t="str">
        <f>'MSW28'!A102</f>
        <v/>
      </c>
      <c r="B102" s="876"/>
      <c r="C102" s="876"/>
      <c r="D102" s="876"/>
      <c r="E102" s="876"/>
      <c r="F102" s="876"/>
    </row>
    <row r="103">
      <c r="A103" s="876"/>
      <c r="B103" s="876"/>
      <c r="C103" s="876"/>
      <c r="D103" s="876"/>
      <c r="E103" s="876"/>
      <c r="F103" s="876"/>
    </row>
    <row r="104">
      <c r="A104" s="44" t="str">
        <f>'MSW28'!A104</f>
        <v>SHOULDERS &amp; ARMS</v>
      </c>
      <c r="B104" s="36"/>
      <c r="C104" s="36"/>
      <c r="D104" s="36"/>
      <c r="E104" s="36"/>
      <c r="F104" s="37"/>
      <c r="G104" s="842"/>
      <c r="H104" s="337" t="str">
        <f>'MSW28'!H104</f>
        <v>SHOULDERS &amp; ARMS</v>
      </c>
      <c r="I104" s="36"/>
      <c r="J104" s="36"/>
      <c r="K104" s="36"/>
      <c r="L104" s="36"/>
      <c r="M104" s="37"/>
      <c r="N104" s="598"/>
    </row>
    <row r="105">
      <c r="A105" s="1139" t="str">
        <f>'MSW28'!A105</f>
        <v>1. MACHINE SHOULDER PRESS</v>
      </c>
      <c r="B105" s="13"/>
      <c r="C105" s="13"/>
      <c r="D105" s="13"/>
      <c r="E105" s="13"/>
      <c r="F105" s="57"/>
      <c r="H105" s="878" t="str">
        <f>'MSW28'!H105</f>
        <v>1. SHOULDER PRESS</v>
      </c>
      <c r="I105" s="53"/>
      <c r="J105" s="53"/>
      <c r="K105" s="53"/>
      <c r="L105" s="53"/>
      <c r="M105" s="54"/>
    </row>
    <row r="106">
      <c r="A106" s="226" t="str">
        <f>'MSW28'!A106</f>
        <v>CURRENT MAX</v>
      </c>
      <c r="B106" s="227">
        <f>'MSW28'!B106</f>
        <v>105</v>
      </c>
      <c r="C106" s="20"/>
      <c r="D106" s="20"/>
      <c r="E106" s="20"/>
      <c r="F106" s="95"/>
      <c r="G106" s="935" t="str">
        <f>'MSW28'!G106</f>
        <v>ALTERNATE</v>
      </c>
      <c r="H106" s="589" t="str">
        <f>'MSW28'!H106</f>
        <v>CURRENT MAX</v>
      </c>
      <c r="I106" s="227">
        <f>'MSW28'!I106</f>
        <v>80</v>
      </c>
      <c r="J106" s="20"/>
      <c r="K106" s="20"/>
      <c r="L106" s="20"/>
      <c r="M106" s="95"/>
    </row>
    <row r="107">
      <c r="A107" s="231" t="str">
        <f>'MSW28'!A107</f>
        <v>SET</v>
      </c>
      <c r="B107" s="232" t="str">
        <f>'MSW28'!B107</f>
        <v>WEIGHT</v>
      </c>
      <c r="C107" s="232" t="str">
        <f>'MSW28'!C107</f>
        <v>REPS</v>
      </c>
      <c r="D107" s="232" t="str">
        <f>'MSW28'!D107</f>
        <v>REST</v>
      </c>
      <c r="E107" s="233" t="str">
        <f>'MSW28'!E107</f>
        <v>PREVIOUS</v>
      </c>
      <c r="F107" s="166" t="str">
        <f>'MSW28'!F107</f>
        <v>REP LOG</v>
      </c>
      <c r="H107" s="364" t="str">
        <f>'MSW28'!H107</f>
        <v>SET</v>
      </c>
      <c r="I107" s="365" t="str">
        <f>'MSW28'!I107</f>
        <v>WEIGHT</v>
      </c>
      <c r="J107" s="365" t="str">
        <f>'MSW28'!J107</f>
        <v>REPS</v>
      </c>
      <c r="K107" s="365" t="str">
        <f>'MSW28'!K107</f>
        <v>REST</v>
      </c>
      <c r="L107" s="609" t="str">
        <f>'MSW28'!L107</f>
        <v>PREVIOUS</v>
      </c>
      <c r="M107" s="235" t="str">
        <f>'MSW28'!M107</f>
        <v>REP LOG</v>
      </c>
    </row>
    <row r="108">
      <c r="A108" s="1140">
        <f>'MSW28'!A108</f>
        <v>1</v>
      </c>
      <c r="B108" s="237">
        <f>'MSW28'!B108</f>
        <v>35</v>
      </c>
      <c r="C108" s="237">
        <f>'MSW28'!C108</f>
        <v>6</v>
      </c>
      <c r="D108" s="238" t="str">
        <f>'MSW28'!D108</f>
        <v>30s</v>
      </c>
      <c r="E108" s="66">
        <f>'MSW28'!E108</f>
        <v>35</v>
      </c>
      <c r="F108" s="67"/>
      <c r="G108" s="842"/>
      <c r="H108" s="236">
        <f>'MSW28'!H108</f>
        <v>1</v>
      </c>
      <c r="I108" s="237">
        <f>'MSW28'!I108</f>
        <v>30</v>
      </c>
      <c r="J108" s="237">
        <f>'MSW28'!J108</f>
        <v>6</v>
      </c>
      <c r="K108" s="238" t="str">
        <f>'MSW28'!K108</f>
        <v>30s</v>
      </c>
      <c r="L108" s="66" t="str">
        <f>'MSW28'!L108</f>
        <v/>
      </c>
      <c r="M108" s="67"/>
    </row>
    <row r="109">
      <c r="A109" s="236">
        <f>'MSW28'!A109</f>
        <v>2</v>
      </c>
      <c r="B109" s="237">
        <f>'MSW28'!B109</f>
        <v>70</v>
      </c>
      <c r="C109" s="237">
        <f>'MSW28'!C109</f>
        <v>1</v>
      </c>
      <c r="D109" s="238" t="str">
        <f>'MSW28'!D109</f>
        <v>1-2 MIN</v>
      </c>
      <c r="E109" s="66">
        <f>'MSW28'!E109</f>
        <v>70</v>
      </c>
      <c r="F109" s="67"/>
      <c r="H109" s="236">
        <f>'MSW28'!H109</f>
        <v>2</v>
      </c>
      <c r="I109" s="237">
        <f>'MSW28'!I109</f>
        <v>50</v>
      </c>
      <c r="J109" s="237">
        <f>'MSW28'!J109</f>
        <v>1</v>
      </c>
      <c r="K109" s="238" t="str">
        <f>'MSW28'!K109</f>
        <v>1 MIN</v>
      </c>
      <c r="L109" s="66" t="str">
        <f>'MSW28'!L109</f>
        <v/>
      </c>
      <c r="M109" s="67"/>
    </row>
    <row r="110">
      <c r="A110" s="242">
        <f>'MSW28'!A110</f>
        <v>3</v>
      </c>
      <c r="B110" s="237">
        <f>'MSW28'!B110</f>
        <v>95</v>
      </c>
      <c r="C110" s="82">
        <f>'MSW28'!C110</f>
        <v>1</v>
      </c>
      <c r="D110" s="238" t="str">
        <f>'MSW28'!D110</f>
        <v>1-2 MIN</v>
      </c>
      <c r="E110" s="66">
        <f>'MSW28'!E110</f>
        <v>95</v>
      </c>
      <c r="F110" s="67"/>
      <c r="H110" s="242">
        <f>'MSW28'!H110</f>
        <v>3</v>
      </c>
      <c r="I110" s="237">
        <f>'MSW28'!I110</f>
        <v>70</v>
      </c>
      <c r="J110" s="82">
        <f>'MSW28'!J110</f>
        <v>1</v>
      </c>
      <c r="K110" s="65" t="str">
        <f>'MSW28'!K110</f>
        <v>1 MIN</v>
      </c>
      <c r="L110" s="66" t="str">
        <f>'MSW28'!L110</f>
        <v/>
      </c>
      <c r="M110" s="67"/>
    </row>
    <row r="111">
      <c r="A111" s="243">
        <f>'MSW28'!A111</f>
        <v>4</v>
      </c>
      <c r="B111" s="237">
        <f>'MSW28'!B111</f>
        <v>105</v>
      </c>
      <c r="C111" s="257">
        <f>'MSW28'!C111</f>
        <v>1</v>
      </c>
      <c r="D111" s="238" t="str">
        <f>'MSW28'!D111</f>
        <v>1-5 MIN</v>
      </c>
      <c r="E111" s="66">
        <f>'MSW28'!E111</f>
        <v>105</v>
      </c>
      <c r="F111" s="67"/>
      <c r="H111" s="242">
        <f>'MSW28'!H111</f>
        <v>4</v>
      </c>
      <c r="I111" s="237">
        <f>'MSW28'!I111</f>
        <v>80</v>
      </c>
      <c r="J111" s="82">
        <f>'MSW28'!J111</f>
        <v>1</v>
      </c>
      <c r="K111" s="65" t="str">
        <f>'MSW28'!K111</f>
        <v>1 MIN</v>
      </c>
      <c r="L111" s="66"/>
      <c r="M111" s="67"/>
    </row>
    <row r="112">
      <c r="A112" s="246" t="str">
        <f>'MSW28'!A112</f>
        <v>PROCEED TO DOWN SETS</v>
      </c>
      <c r="B112" s="20"/>
      <c r="C112" s="20"/>
      <c r="D112" s="20"/>
      <c r="E112" s="20"/>
      <c r="F112" s="95"/>
      <c r="H112" s="246" t="str">
        <f>'MSW28'!H112</f>
        <v>NEW 1 REP MAX ATTEMPT</v>
      </c>
      <c r="I112" s="20"/>
      <c r="J112" s="20"/>
      <c r="K112" s="20"/>
      <c r="L112" s="20"/>
      <c r="M112" s="95"/>
    </row>
    <row r="113">
      <c r="A113" s="249" t="str">
        <f>'MSW28'!A113</f>
        <v/>
      </c>
      <c r="B113" s="175" t="str">
        <f>'MSW28'!B113</f>
        <v/>
      </c>
      <c r="C113" s="238" t="str">
        <f>'MSW28'!C113</f>
        <v/>
      </c>
      <c r="D113" s="238" t="str">
        <f>'MSW28'!D113</f>
        <v/>
      </c>
      <c r="E113" s="66" t="str">
        <f>'MSW28'!E113</f>
        <v/>
      </c>
      <c r="F113" s="67"/>
      <c r="H113" s="242" t="str">
        <f>'MSW28'!H113</f>
        <v/>
      </c>
      <c r="I113" s="237" t="str">
        <f>'MSW28'!I113</f>
        <v/>
      </c>
      <c r="J113" s="82" t="str">
        <f>'MSW28'!J113</f>
        <v/>
      </c>
      <c r="K113" s="65" t="str">
        <f>'MSW28'!K113</f>
        <v/>
      </c>
      <c r="L113" s="66"/>
      <c r="M113" s="67"/>
    </row>
    <row r="114">
      <c r="A114" s="259" t="str">
        <f>'MSW28'!A114</f>
        <v/>
      </c>
      <c r="B114" s="237" t="str">
        <f>'MSW28'!B114</f>
        <v/>
      </c>
      <c r="C114" s="257" t="str">
        <f>'MSW28'!C114</f>
        <v/>
      </c>
      <c r="D114" s="257" t="str">
        <f>'MSW28'!D114</f>
        <v/>
      </c>
      <c r="E114" s="66" t="str">
        <f>'MSW28'!E114</f>
        <v/>
      </c>
      <c r="F114" s="67" t="str">
        <f>'MSW28'!F114</f>
        <v/>
      </c>
      <c r="H114" s="242" t="str">
        <f>'MSW28'!H114</f>
        <v/>
      </c>
      <c r="I114" s="237" t="str">
        <f>'MSW28'!I114</f>
        <v/>
      </c>
      <c r="J114" s="82" t="str">
        <f>'MSW28'!J114</f>
        <v/>
      </c>
      <c r="K114" s="65" t="str">
        <f>'MSW28'!K114</f>
        <v/>
      </c>
      <c r="L114" s="66" t="str">
        <f>'MSW28'!L114</f>
        <v/>
      </c>
      <c r="M114" s="665"/>
    </row>
    <row r="115">
      <c r="A115" s="246" t="str">
        <f>'MSW28'!A115</f>
        <v>DOWN SETS</v>
      </c>
      <c r="B115" s="20"/>
      <c r="C115" s="20"/>
      <c r="D115" s="20"/>
      <c r="E115" s="20"/>
      <c r="F115" s="95"/>
      <c r="H115" s="246" t="str">
        <f>'MSW28'!H115</f>
        <v>DOWN SETS</v>
      </c>
      <c r="I115" s="20"/>
      <c r="J115" s="20"/>
      <c r="K115" s="20"/>
      <c r="L115" s="20"/>
      <c r="M115" s="95"/>
    </row>
    <row r="116">
      <c r="A116" s="264" t="str">
        <f>'MSW28'!A116</f>
        <v/>
      </c>
      <c r="B116" s="265">
        <f>'MSW28'!B116</f>
        <v>0</v>
      </c>
      <c r="C116" s="1106" t="str">
        <f>'MSW28'!C116</f>
        <v>REP OUT</v>
      </c>
      <c r="D116" s="265" t="str">
        <f>'MSW28'!D116</f>
        <v>1-3 MIN</v>
      </c>
      <c r="E116" s="265" t="str">
        <f>'MSW28'!E116</f>
        <v/>
      </c>
      <c r="F116" s="67"/>
      <c r="H116" s="879">
        <f>'MSW28'!H116</f>
        <v>5</v>
      </c>
      <c r="I116" s="265">
        <f>'MSW28'!I116</f>
        <v>0</v>
      </c>
      <c r="J116" s="266" t="str">
        <f>'MSW28'!J116</f>
        <v>REP OUT</v>
      </c>
      <c r="K116" s="267" t="str">
        <f>'MSW28'!K116</f>
        <v>1-3 MIN</v>
      </c>
      <c r="L116" s="268" t="str">
        <f>'MSW28'!L116</f>
        <v/>
      </c>
      <c r="M116" s="67"/>
    </row>
    <row r="117">
      <c r="A117" s="243" t="str">
        <f>'MSW28'!A117</f>
        <v/>
      </c>
      <c r="B117" s="265">
        <f>'MSW28'!B117</f>
        <v>0</v>
      </c>
      <c r="C117" s="1106" t="str">
        <f>'MSW28'!C117</f>
        <v>REP OUT</v>
      </c>
      <c r="D117" s="265" t="str">
        <f>'MSW28'!D117</f>
        <v>1-3 MIN</v>
      </c>
      <c r="E117" s="265" t="str">
        <f>'MSW28'!E117</f>
        <v/>
      </c>
      <c r="F117" s="271"/>
      <c r="H117" s="242">
        <f>'MSW28'!H117</f>
        <v>6</v>
      </c>
      <c r="I117" s="237">
        <f>'MSW28'!I117</f>
        <v>0</v>
      </c>
      <c r="J117" s="245" t="str">
        <f>'MSW28'!J117</f>
        <v>REP OUT</v>
      </c>
      <c r="K117" s="267" t="str">
        <f>'MSW28'!K117</f>
        <v>1-3 MIN</v>
      </c>
      <c r="L117" s="268" t="str">
        <f>'MSW28'!L117</f>
        <v/>
      </c>
      <c r="M117" s="67"/>
    </row>
    <row r="118">
      <c r="A118" s="272" t="str">
        <f>'MSW28'!A118</f>
        <v>FINAL MAX</v>
      </c>
      <c r="B118" s="273" t="str">
        <f>'MSW28'!B118</f>
        <v/>
      </c>
      <c r="C118" s="11"/>
      <c r="D118" s="11"/>
      <c r="E118" s="11"/>
      <c r="F118" s="46"/>
      <c r="H118" s="272" t="str">
        <f>'MSW28'!H118</f>
        <v>FINAL MAX</v>
      </c>
      <c r="I118" s="332" t="str">
        <f>'MSW28'!I118</f>
        <v/>
      </c>
      <c r="J118" s="33"/>
      <c r="K118" s="33"/>
      <c r="L118" s="33"/>
      <c r="M118" s="34"/>
    </row>
    <row r="119">
      <c r="G119" s="842"/>
    </row>
    <row r="120">
      <c r="A120" s="113" t="str">
        <f>'MSW28'!A120</f>
        <v>2. DUMBBELL REAR DELT FLY </v>
      </c>
      <c r="B120" s="53"/>
      <c r="C120" s="53"/>
      <c r="D120" s="53"/>
      <c r="E120" s="53"/>
      <c r="F120" s="54"/>
    </row>
    <row r="121">
      <c r="A121" s="226" t="str">
        <f>'MSW28'!A121</f>
        <v>SHLDR PRESS MAX</v>
      </c>
      <c r="B121" s="227">
        <f>'MSW28'!B121</f>
        <v>80</v>
      </c>
      <c r="C121" s="20"/>
      <c r="D121" s="20"/>
      <c r="E121" s="20"/>
      <c r="F121" s="95"/>
    </row>
    <row r="122">
      <c r="A122" s="364" t="str">
        <f>'MSW28'!A122</f>
        <v>SET</v>
      </c>
      <c r="B122" s="365" t="str">
        <f>'MSW28'!B122</f>
        <v>WEIGHT</v>
      </c>
      <c r="C122" s="365" t="str">
        <f>'MSW28'!C122</f>
        <v>REPS</v>
      </c>
      <c r="D122" s="365" t="str">
        <f>'MSW28'!D122</f>
        <v>REST</v>
      </c>
      <c r="E122" s="609" t="str">
        <f>'MSW28'!E122</f>
        <v>PREVIOUS</v>
      </c>
      <c r="F122" s="235" t="str">
        <f>'MSW28'!F122</f>
        <v>REP LOG</v>
      </c>
    </row>
    <row r="123">
      <c r="A123" s="599">
        <f>'MSW28'!A123</f>
        <v>1</v>
      </c>
      <c r="B123" s="591">
        <f>'MSW28'!B123</f>
        <v>15</v>
      </c>
      <c r="C123" s="936" t="str">
        <f>'MSW28'!C123</f>
        <v>5 - 15</v>
      </c>
      <c r="D123" s="937" t="str">
        <f>'MSW28'!D123</f>
        <v>1-3 MIN</v>
      </c>
      <c r="E123" s="938" t="str">
        <f>'MSW28'!E123</f>
        <v/>
      </c>
      <c r="F123" s="939"/>
    </row>
    <row r="124">
      <c r="A124" s="599">
        <f>'MSW28'!A124</f>
        <v>2</v>
      </c>
      <c r="B124" s="591">
        <f>'MSW28'!B124</f>
        <v>10</v>
      </c>
      <c r="C124" s="936" t="str">
        <f>'MSW28'!C124</f>
        <v>5 -15</v>
      </c>
      <c r="D124" s="937" t="str">
        <f>'MSW28'!D124</f>
        <v>1-3 MIN</v>
      </c>
      <c r="E124" s="938" t="str">
        <f>'MSW28'!E124</f>
        <v/>
      </c>
      <c r="F124" s="939"/>
    </row>
    <row r="125">
      <c r="A125" s="940">
        <f>'MSW28'!A125</f>
        <v>3</v>
      </c>
      <c r="B125" s="613">
        <f>'MSW28'!B125</f>
        <v>10</v>
      </c>
      <c r="C125" s="941" t="str">
        <f>'MSW28'!C125</f>
        <v>5 -15</v>
      </c>
      <c r="D125" s="942" t="str">
        <f>'MSW28'!D125</f>
        <v>1-3 MIN</v>
      </c>
      <c r="E125" s="943" t="str">
        <f>'MSW28'!E125</f>
        <v/>
      </c>
      <c r="F125" s="939"/>
    </row>
    <row r="126">
      <c r="A126" s="640" t="str">
        <f>'MSW28'!A126</f>
        <v/>
      </c>
    </row>
    <row r="128">
      <c r="A128" s="513" t="str">
        <f>'MSW28'!A128</f>
        <v>3. DUMBBELL SIDE LATERAL RAISE</v>
      </c>
      <c r="B128" s="53"/>
      <c r="C128" s="53"/>
      <c r="D128" s="53"/>
      <c r="E128" s="53"/>
      <c r="F128" s="54"/>
    </row>
    <row r="129">
      <c r="A129" s="226" t="str">
        <f>'MSW28'!A129</f>
        <v>SHLDR PRESS MAX</v>
      </c>
      <c r="B129" s="90">
        <f>'MSW28'!B129</f>
        <v>80</v>
      </c>
      <c r="C129" s="13"/>
      <c r="D129" s="13"/>
      <c r="E129" s="13"/>
      <c r="F129" s="57"/>
    </row>
    <row r="130">
      <c r="A130" s="376" t="str">
        <f>'MSW28'!A130</f>
        <v>SET</v>
      </c>
      <c r="B130" s="79" t="str">
        <f>'MSW28'!B130</f>
        <v>WEIGHT</v>
      </c>
      <c r="C130" s="79" t="str">
        <f>'MSW28'!C130</f>
        <v>REPS</v>
      </c>
      <c r="D130" s="79" t="str">
        <f>'MSW28'!D130</f>
        <v>REST</v>
      </c>
      <c r="E130" s="98" t="str">
        <f>'MSW28'!E130</f>
        <v>PREVIOUS</v>
      </c>
      <c r="F130" s="235" t="str">
        <f>'MSW28'!F130</f>
        <v>REP LOG</v>
      </c>
    </row>
    <row r="131">
      <c r="A131" s="81">
        <f>'MSW28'!A131</f>
        <v>1</v>
      </c>
      <c r="B131" s="82">
        <f>'MSW28'!B131</f>
        <v>15</v>
      </c>
      <c r="C131" s="65" t="str">
        <f>'MSW28'!C131</f>
        <v>10 - 15</v>
      </c>
      <c r="D131" s="83" t="str">
        <f>'MSW28'!D131</f>
        <v>1 MIN</v>
      </c>
      <c r="E131" s="378" t="str">
        <f>'MSW28'!E131</f>
        <v/>
      </c>
      <c r="F131" s="917"/>
    </row>
    <row r="132">
      <c r="A132" s="81">
        <f>'MSW28'!A132</f>
        <v>2</v>
      </c>
      <c r="B132" s="82">
        <f>'MSW28'!B132</f>
        <v>12.5</v>
      </c>
      <c r="C132" s="65" t="str">
        <f>'MSW28'!C132</f>
        <v>10 - 15</v>
      </c>
      <c r="D132" s="83" t="str">
        <f>'MSW28'!D132</f>
        <v>1 MIN</v>
      </c>
      <c r="E132" s="378" t="str">
        <f>'MSW28'!E132</f>
        <v/>
      </c>
      <c r="F132" s="917"/>
    </row>
    <row r="133">
      <c r="A133" s="86">
        <f>'MSW28'!A133</f>
        <v>3</v>
      </c>
      <c r="B133" s="87">
        <f>'MSW28'!B133</f>
        <v>7.5</v>
      </c>
      <c r="C133" s="71" t="str">
        <f>'MSW28'!C133</f>
        <v>10 - 15</v>
      </c>
      <c r="D133" s="88" t="str">
        <f>'MSW28'!D133</f>
        <v>1 MIN</v>
      </c>
      <c r="E133" s="379" t="str">
        <f>'MSW28'!E133</f>
        <v/>
      </c>
      <c r="F133" s="85"/>
    </row>
    <row r="134">
      <c r="A134" s="640" t="str">
        <f>'MSW28'!A134</f>
        <v/>
      </c>
    </row>
    <row r="136">
      <c r="A136" s="361" t="str">
        <f>'MSW28'!A136</f>
        <v>2.  TRICEP OVERHEAD ROPE EXTENSION</v>
      </c>
      <c r="B136" s="53"/>
      <c r="C136" s="53"/>
      <c r="D136" s="53"/>
      <c r="E136" s="53"/>
      <c r="F136" s="54"/>
    </row>
    <row r="137">
      <c r="A137" s="226" t="str">
        <f>'MSW28'!A137</f>
        <v>CURRENT MAX</v>
      </c>
      <c r="B137" s="76">
        <f>'MSW28'!B137</f>
        <v>10</v>
      </c>
      <c r="C137" s="13"/>
      <c r="D137" s="13"/>
      <c r="E137" s="13"/>
      <c r="F137" s="57"/>
    </row>
    <row r="138">
      <c r="A138" s="77" t="str">
        <f>'MSW28'!A138</f>
        <v>SET</v>
      </c>
      <c r="B138" s="78" t="str">
        <f>'MSW28'!B138</f>
        <v>WEIGHT</v>
      </c>
      <c r="C138" s="78" t="str">
        <f>'MSW28'!C138</f>
        <v>REPS</v>
      </c>
      <c r="D138" s="78" t="str">
        <f>'MSW28'!D138</f>
        <v>REST</v>
      </c>
      <c r="E138" s="80" t="str">
        <f>'MSW28'!E138</f>
        <v>PREVIOUS</v>
      </c>
      <c r="F138" s="235" t="str">
        <f>'MSW28'!F138</f>
        <v>REP LOG</v>
      </c>
    </row>
    <row r="139">
      <c r="A139" s="81">
        <f>'MSW28'!A139</f>
        <v>1</v>
      </c>
      <c r="B139" s="82">
        <f>'MSW28'!B139</f>
        <v>10</v>
      </c>
      <c r="C139" s="65" t="str">
        <f>'MSW28'!C139</f>
        <v>10 - 15</v>
      </c>
      <c r="D139" s="83" t="str">
        <f>'MSW28'!D139</f>
        <v>1MIN</v>
      </c>
      <c r="E139" s="84" t="str">
        <f>'MSW28'!E139</f>
        <v/>
      </c>
      <c r="F139" s="85"/>
    </row>
    <row r="140">
      <c r="A140" s="81">
        <f>'MSW28'!A140</f>
        <v>2</v>
      </c>
      <c r="B140" s="82">
        <f>'MSW28'!B140</f>
        <v>10</v>
      </c>
      <c r="C140" s="65" t="str">
        <f>'MSW28'!C140</f>
        <v>10 - 15</v>
      </c>
      <c r="D140" s="83" t="str">
        <f>'MSW28'!D140</f>
        <v>1MIN</v>
      </c>
      <c r="E140" s="84" t="str">
        <f>'MSW28'!E140</f>
        <v/>
      </c>
      <c r="F140" s="85"/>
    </row>
    <row r="141">
      <c r="A141" s="86">
        <f>'MSW28'!A141</f>
        <v>3</v>
      </c>
      <c r="B141" s="87">
        <f>'MSW28'!B141</f>
        <v>10</v>
      </c>
      <c r="C141" s="71" t="str">
        <f>'MSW28'!C141</f>
        <v>10 - 15</v>
      </c>
      <c r="D141" s="88" t="str">
        <f>'MSW28'!D141</f>
        <v>1MIN</v>
      </c>
      <c r="E141" s="89" t="str">
        <f>'MSW28'!E141</f>
        <v/>
      </c>
      <c r="F141" s="85"/>
    </row>
    <row r="142">
      <c r="A142" s="598" t="str">
        <f>'MSW28'!A142</f>
        <v/>
      </c>
    </row>
    <row r="144">
      <c r="A144" s="944" t="str">
        <f>'MSW28'!A144</f>
        <v>5. ALTERNATING BICEP CURLS </v>
      </c>
      <c r="B144" s="53"/>
      <c r="C144" s="53"/>
      <c r="D144" s="53"/>
      <c r="E144" s="53"/>
      <c r="F144" s="54"/>
    </row>
    <row r="145">
      <c r="A145" s="226" t="str">
        <f>'MSW28'!A145</f>
        <v>CURRENT MAX</v>
      </c>
      <c r="B145" s="76">
        <f>'MSW28'!B145</f>
        <v>25</v>
      </c>
      <c r="C145" s="13"/>
      <c r="D145" s="13"/>
      <c r="E145" s="13"/>
      <c r="F145" s="57"/>
    </row>
    <row r="146">
      <c r="A146" s="77" t="str">
        <f>'MSW28'!A146</f>
        <v>SET</v>
      </c>
      <c r="B146" s="78" t="str">
        <f>'MSW28'!B146</f>
        <v>WEIGHT</v>
      </c>
      <c r="C146" s="78" t="str">
        <f>'MSW28'!C146</f>
        <v>REPS</v>
      </c>
      <c r="D146" s="78" t="str">
        <f>'MSW28'!D146</f>
        <v>REST</v>
      </c>
      <c r="E146" s="80" t="str">
        <f>'MSW28'!E146</f>
        <v>PREVIOUS</v>
      </c>
      <c r="F146" s="235" t="str">
        <f>'MSW28'!F146</f>
        <v>REP LOG</v>
      </c>
    </row>
    <row r="147">
      <c r="A147" s="81">
        <f>'MSW28'!A147</f>
        <v>1</v>
      </c>
      <c r="B147" s="82">
        <f>'MSW28'!B147</f>
        <v>30</v>
      </c>
      <c r="C147" s="65" t="str">
        <f>'MSW28'!C147</f>
        <v>10 - 15</v>
      </c>
      <c r="D147" s="83" t="str">
        <f>'MSW28'!D147</f>
        <v>1MIN</v>
      </c>
      <c r="E147" s="84" t="str">
        <f>'MSW28'!E147</f>
        <v/>
      </c>
      <c r="F147" s="85"/>
    </row>
    <row r="148">
      <c r="A148" s="81">
        <f>'MSW28'!A148</f>
        <v>2</v>
      </c>
      <c r="B148" s="82">
        <f>'MSW28'!B148</f>
        <v>25</v>
      </c>
      <c r="C148" s="65" t="str">
        <f>'MSW28'!C148</f>
        <v>10 - 15</v>
      </c>
      <c r="D148" s="83" t="str">
        <f>'MSW28'!D148</f>
        <v>1MIN</v>
      </c>
      <c r="E148" s="84"/>
      <c r="F148" s="85"/>
    </row>
    <row r="149">
      <c r="A149" s="86">
        <f>'MSW28'!A149</f>
        <v>3</v>
      </c>
      <c r="B149" s="87">
        <f>'MSW28'!B149</f>
        <v>20</v>
      </c>
      <c r="C149" s="71" t="str">
        <f>'MSW28'!C149</f>
        <v>10 - 15</v>
      </c>
      <c r="D149" s="88" t="str">
        <f>'MSW28'!D149</f>
        <v>1MIN</v>
      </c>
      <c r="E149" s="89" t="str">
        <f>'MSW28'!E149</f>
        <v/>
      </c>
      <c r="F149" s="85"/>
    </row>
    <row r="150">
      <c r="A150" s="945"/>
      <c r="B150" s="945"/>
      <c r="C150" s="945"/>
      <c r="D150" s="945"/>
      <c r="E150" s="945"/>
      <c r="F150" s="945"/>
    </row>
    <row r="151">
      <c r="A151" s="598" t="str">
        <f>'MSW28'!A151</f>
        <v/>
      </c>
    </row>
    <row r="152">
      <c r="A152" s="310" t="str">
        <f>'MSW28'!A152</f>
        <v>CLICK TO COMPLETE WORKOUT</v>
      </c>
      <c r="B152" s="36"/>
      <c r="C152" s="36"/>
      <c r="D152" s="36"/>
      <c r="E152" s="36"/>
      <c r="F152" s="37"/>
    </row>
    <row r="153">
      <c r="A153" s="598"/>
    </row>
    <row r="154">
      <c r="A154" s="639" t="str">
        <f>'MSW28'!A154</f>
        <v>WORKOUT COMPLETE!</v>
      </c>
      <c r="B154" s="36"/>
      <c r="C154" s="36"/>
      <c r="D154" s="36"/>
      <c r="E154" s="36"/>
      <c r="F154" s="37"/>
    </row>
    <row r="155">
      <c r="A155" s="883" t="str">
        <f>'MSW28'!A155</f>
        <v/>
      </c>
    </row>
    <row r="156">
      <c r="A156" s="884" t="str">
        <f>'MSW28'!A156</f>
        <v>WANT TO LEARN MORE?</v>
      </c>
      <c r="B156" s="16"/>
      <c r="C156" s="16"/>
      <c r="D156" s="16"/>
      <c r="E156" s="16"/>
      <c r="F156" s="17"/>
    </row>
    <row r="157">
      <c r="A157" s="18"/>
      <c r="B157" s="13"/>
      <c r="C157" s="13"/>
      <c r="D157" s="13"/>
      <c r="E157" s="13"/>
      <c r="F157" s="14"/>
    </row>
    <row r="158">
      <c r="A158" s="885" t="str">
        <f>'MSW28'!A158</f>
        <v/>
      </c>
      <c r="B158" s="886" t="str">
        <f>'MSW28'!B158</f>
        <v/>
      </c>
      <c r="C158" s="946" t="str">
        <f>'MSW28'!C158</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58" s="25"/>
      <c r="E158" s="25"/>
      <c r="F158" s="26"/>
    </row>
    <row r="159">
      <c r="A159" s="887" t="str">
        <f>'MSW28'!A159</f>
        <v/>
      </c>
      <c r="B159" s="888" t="str">
        <f>'MSW28'!B159</f>
        <v/>
      </c>
      <c r="C159" s="529"/>
      <c r="F159" s="28"/>
    </row>
    <row r="160">
      <c r="A160" s="887" t="str">
        <f>'MSW28'!A160</f>
        <v/>
      </c>
      <c r="B160" s="888" t="str">
        <f>'MSW28'!B160</f>
        <v/>
      </c>
      <c r="C160" s="529"/>
      <c r="F160" s="28"/>
    </row>
    <row r="161">
      <c r="A161" s="887" t="str">
        <f>'MSW28'!A161</f>
        <v/>
      </c>
      <c r="B161" s="888" t="str">
        <f>'MSW28'!B161</f>
        <v/>
      </c>
      <c r="C161" s="529"/>
      <c r="F161" s="28"/>
    </row>
    <row r="162">
      <c r="A162" s="887" t="str">
        <f>'MSW28'!A162</f>
        <v/>
      </c>
      <c r="B162" s="888" t="str">
        <f>'MSW28'!B162</f>
        <v/>
      </c>
      <c r="C162" s="529"/>
      <c r="F162" s="28"/>
    </row>
    <row r="163">
      <c r="A163" s="887" t="str">
        <f>'MSW28'!A163</f>
        <v/>
      </c>
      <c r="B163" s="888" t="str">
        <f>'MSW28'!B163</f>
        <v/>
      </c>
      <c r="C163" s="529"/>
      <c r="F163" s="28"/>
    </row>
    <row r="164">
      <c r="A164" s="889" t="str">
        <f>'MSW28'!A164</f>
        <v/>
      </c>
      <c r="B164" s="888" t="str">
        <f>'MSW28'!B164</f>
        <v/>
      </c>
      <c r="C164" s="529"/>
      <c r="F164" s="28"/>
    </row>
    <row r="165">
      <c r="A165" s="887" t="str">
        <f>'MSW28'!A165</f>
        <v/>
      </c>
      <c r="B165" s="888" t="str">
        <f>'MSW28'!B165</f>
        <v/>
      </c>
      <c r="C165" s="529"/>
      <c r="F165" s="28"/>
    </row>
    <row r="166">
      <c r="A166" s="887" t="str">
        <f>'MSW28'!A166</f>
        <v/>
      </c>
      <c r="B166" s="888" t="str">
        <f>'MSW28'!B166</f>
        <v/>
      </c>
      <c r="C166" s="529"/>
      <c r="F166" s="28"/>
    </row>
    <row r="167">
      <c r="A167" s="890"/>
      <c r="B167" s="888"/>
      <c r="C167" s="529"/>
      <c r="F167" s="28"/>
    </row>
    <row r="168">
      <c r="A168" s="887"/>
      <c r="B168" s="888"/>
      <c r="C168" s="529"/>
      <c r="F168" s="28"/>
    </row>
    <row r="169">
      <c r="A169" s="887"/>
      <c r="B169" s="888"/>
      <c r="C169" s="529"/>
      <c r="F169" s="28"/>
    </row>
    <row r="170">
      <c r="A170" s="887"/>
      <c r="B170" s="888"/>
      <c r="C170" s="529"/>
      <c r="F170" s="28"/>
    </row>
    <row r="171">
      <c r="A171" s="887"/>
      <c r="B171" s="888"/>
      <c r="C171" s="529"/>
      <c r="F171" s="28"/>
    </row>
    <row r="172">
      <c r="A172" s="891"/>
      <c r="B172" s="892"/>
      <c r="C172" s="336"/>
      <c r="D172" s="11"/>
      <c r="E172" s="11"/>
      <c r="F172" s="46"/>
    </row>
  </sheetData>
  <mergeCells count="116">
    <mergeCell ref="A12:F12"/>
    <mergeCell ref="H12:T14"/>
    <mergeCell ref="A13:F13"/>
    <mergeCell ref="A14:F14"/>
    <mergeCell ref="A15:F15"/>
    <mergeCell ref="H15:M15"/>
    <mergeCell ref="A16:F17"/>
    <mergeCell ref="H16:M17"/>
    <mergeCell ref="A1:T8"/>
    <mergeCell ref="A9:F9"/>
    <mergeCell ref="G9:G18"/>
    <mergeCell ref="H9:M9"/>
    <mergeCell ref="N9:T11"/>
    <mergeCell ref="A10:F11"/>
    <mergeCell ref="H10:M10"/>
    <mergeCell ref="H26:M26"/>
    <mergeCell ref="H28:M28"/>
    <mergeCell ref="A29:F29"/>
    <mergeCell ref="B32:F32"/>
    <mergeCell ref="B36:F36"/>
    <mergeCell ref="O28:T28"/>
    <mergeCell ref="P33:T33"/>
    <mergeCell ref="H34:T34"/>
    <mergeCell ref="N35:T39"/>
    <mergeCell ref="N15:N18"/>
    <mergeCell ref="O15:T15"/>
    <mergeCell ref="O16:T17"/>
    <mergeCell ref="O18:T18"/>
    <mergeCell ref="O19:T19"/>
    <mergeCell ref="P20:T20"/>
    <mergeCell ref="O26:T26"/>
    <mergeCell ref="A33:F34"/>
    <mergeCell ref="I33:M33"/>
    <mergeCell ref="A35:F35"/>
    <mergeCell ref="H35:M35"/>
    <mergeCell ref="I36:M36"/>
    <mergeCell ref="A48:F49"/>
    <mergeCell ref="A50:F50"/>
    <mergeCell ref="B51:F51"/>
    <mergeCell ref="A55:F56"/>
    <mergeCell ref="A57:F57"/>
    <mergeCell ref="B58:F58"/>
    <mergeCell ref="A62:F62"/>
    <mergeCell ref="A63:F63"/>
    <mergeCell ref="A64:F64"/>
    <mergeCell ref="A65:F65"/>
    <mergeCell ref="A66:F67"/>
    <mergeCell ref="A68:F68"/>
    <mergeCell ref="H105:M105"/>
    <mergeCell ref="I106:M106"/>
    <mergeCell ref="G106:G107"/>
    <mergeCell ref="H112:M112"/>
    <mergeCell ref="H115:M115"/>
    <mergeCell ref="I118:M118"/>
    <mergeCell ref="H92:M92"/>
    <mergeCell ref="N92:T97"/>
    <mergeCell ref="I93:M93"/>
    <mergeCell ref="G98:T103"/>
    <mergeCell ref="H104:M104"/>
    <mergeCell ref="N104:T118"/>
    <mergeCell ref="G108:G118"/>
    <mergeCell ref="G119:T172"/>
    <mergeCell ref="A115:F115"/>
    <mergeCell ref="B118:F118"/>
    <mergeCell ref="A120:F120"/>
    <mergeCell ref="B121:F121"/>
    <mergeCell ref="A126:F127"/>
    <mergeCell ref="A128:F128"/>
    <mergeCell ref="B129:F129"/>
    <mergeCell ref="A152:F152"/>
    <mergeCell ref="A153:F153"/>
    <mergeCell ref="A154:F154"/>
    <mergeCell ref="A155:F155"/>
    <mergeCell ref="A156:F157"/>
    <mergeCell ref="C158:F172"/>
    <mergeCell ref="A134:F135"/>
    <mergeCell ref="A136:F136"/>
    <mergeCell ref="B137:F137"/>
    <mergeCell ref="A142:F143"/>
    <mergeCell ref="A144:F144"/>
    <mergeCell ref="B145:F145"/>
    <mergeCell ref="A151:F151"/>
    <mergeCell ref="A18:F18"/>
    <mergeCell ref="H18:M18"/>
    <mergeCell ref="A19:F19"/>
    <mergeCell ref="H19:M19"/>
    <mergeCell ref="G20:G34"/>
    <mergeCell ref="I20:M20"/>
    <mergeCell ref="N20:N33"/>
    <mergeCell ref="A69:F69"/>
    <mergeCell ref="A73:F74"/>
    <mergeCell ref="A75:F75"/>
    <mergeCell ref="B76:F76"/>
    <mergeCell ref="A82:F83"/>
    <mergeCell ref="A84:F84"/>
    <mergeCell ref="B20:F20"/>
    <mergeCell ref="A26:F26"/>
    <mergeCell ref="G36:G91"/>
    <mergeCell ref="A40:F41"/>
    <mergeCell ref="H40:T91"/>
    <mergeCell ref="A42:F42"/>
    <mergeCell ref="B43:F43"/>
    <mergeCell ref="B85:F85"/>
    <mergeCell ref="A90:F91"/>
    <mergeCell ref="A92:F92"/>
    <mergeCell ref="G92:G93"/>
    <mergeCell ref="B93:F93"/>
    <mergeCell ref="A98:F98"/>
    <mergeCell ref="A99:F99"/>
    <mergeCell ref="A100:F100"/>
    <mergeCell ref="A101:F101"/>
    <mergeCell ref="A104:F104"/>
    <mergeCell ref="G104:G105"/>
    <mergeCell ref="A105:F105"/>
    <mergeCell ref="B106:F106"/>
    <mergeCell ref="A112:F112"/>
  </mergeCells>
  <dataValidations>
    <dataValidation type="decimal" allowBlank="1" showDropDown="1" showErrorMessage="1" sqref="F22:F25 M22:M25 T22:T25 M27 T27 F27:F28 F30:F31 M29:M32 T29:T32 F38:F39 M38:M39 F45:F47 F53:F54 F60:F61 F71:F72 F78:F81 F87:F89 F95:F97 M95:M97 M108:M111 M113:M114 M116:M117 F123:F125 F131:F133 F139 F141 F147 F149">
      <formula1>0.0</formula1>
      <formula2>500.0</formula2>
    </dataValidation>
    <dataValidation type="decimal" operator="greaterThan" allowBlank="1" showDropDown="1" showErrorMessage="1" sqref="M11">
      <formula1>0.0</formula1>
    </dataValidation>
  </dataValidations>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314</v>
      </c>
      <c r="B9" s="20"/>
      <c r="C9" s="20"/>
      <c r="D9" s="20"/>
      <c r="E9" s="20"/>
      <c r="F9" s="21"/>
      <c r="G9" s="103"/>
      <c r="H9" s="24" t="s">
        <v>35</v>
      </c>
      <c r="I9" s="25"/>
      <c r="J9" s="25"/>
      <c r="K9" s="25"/>
      <c r="L9" s="25"/>
      <c r="M9" s="26"/>
      <c r="N9" s="103"/>
    </row>
    <row r="10">
      <c r="A10" s="15" t="str">
        <f>HYPERLINK("https://goo.gl/forms/3ibooB993Hi7SS2d2","PRESS TO RECORD BODY WEIGHT")</f>
        <v>PRESS TO RECORD BODY WEIGHT</v>
      </c>
      <c r="B10" s="16"/>
      <c r="C10" s="16"/>
      <c r="D10" s="16"/>
      <c r="E10" s="16"/>
      <c r="F10" s="17"/>
      <c r="G10" s="103"/>
      <c r="H10" s="147" t="s">
        <v>315</v>
      </c>
      <c r="M10" s="28"/>
      <c r="N10" s="103"/>
    </row>
    <row r="11">
      <c r="A11" s="18"/>
      <c r="B11" s="13"/>
      <c r="C11" s="13"/>
      <c r="D11" s="13"/>
      <c r="E11" s="13"/>
      <c r="F11" s="14"/>
      <c r="G11" s="103"/>
      <c r="H11" s="29" t="s">
        <v>316</v>
      </c>
      <c r="I11" s="30"/>
      <c r="J11" s="30"/>
      <c r="K11" s="30"/>
      <c r="L11" s="30"/>
      <c r="M11" s="31"/>
      <c r="N11" s="103"/>
    </row>
    <row r="12">
      <c r="A12" s="19" t="s">
        <v>69</v>
      </c>
      <c r="B12" s="20"/>
      <c r="C12" s="20"/>
      <c r="D12" s="20"/>
      <c r="E12" s="20"/>
      <c r="F12" s="21"/>
      <c r="G12" s="103"/>
      <c r="H12" s="219"/>
      <c r="I12" s="220"/>
      <c r="J12" s="221"/>
      <c r="K12" s="219"/>
      <c r="L12" s="222"/>
      <c r="M12" s="103"/>
      <c r="N12" s="103"/>
    </row>
    <row r="13">
      <c r="A13" s="22" t="s">
        <v>177</v>
      </c>
      <c r="B13" s="20"/>
      <c r="C13" s="20"/>
      <c r="D13" s="20"/>
      <c r="E13" s="20"/>
      <c r="F13" s="21"/>
      <c r="G13" s="103"/>
      <c r="H13" s="103"/>
      <c r="I13" s="103"/>
      <c r="J13" s="103"/>
      <c r="K13" s="103"/>
      <c r="L13" s="222"/>
      <c r="M13" s="103"/>
      <c r="N13" s="103"/>
    </row>
    <row r="14">
      <c r="A14" s="219"/>
      <c r="B14" s="219"/>
      <c r="C14" s="219"/>
      <c r="D14" s="219"/>
      <c r="E14" s="223"/>
      <c r="F14" s="103"/>
      <c r="G14" s="103"/>
      <c r="H14" s="219"/>
      <c r="I14" s="219"/>
      <c r="J14" s="219"/>
      <c r="K14" s="103"/>
      <c r="L14" s="222"/>
      <c r="M14" s="103"/>
      <c r="N14" s="103"/>
    </row>
    <row r="15">
      <c r="A15" s="209"/>
      <c r="G15" s="277"/>
      <c r="H15" s="850"/>
      <c r="N15" s="277"/>
    </row>
    <row r="16">
      <c r="A16" s="50" t="s">
        <v>79</v>
      </c>
      <c r="B16" s="36"/>
      <c r="C16" s="36"/>
      <c r="D16" s="36"/>
      <c r="E16" s="36"/>
      <c r="F16" s="37"/>
      <c r="G16" s="141"/>
      <c r="H16" s="50" t="s">
        <v>118</v>
      </c>
      <c r="I16" s="36"/>
      <c r="J16" s="36"/>
      <c r="K16" s="36"/>
      <c r="L16" s="36"/>
      <c r="M16" s="37"/>
      <c r="N16" s="141"/>
    </row>
    <row r="17">
      <c r="A17" s="657"/>
    </row>
    <row r="19">
      <c r="A19" s="51" t="s">
        <v>48</v>
      </c>
      <c r="B19" s="36"/>
      <c r="C19" s="36"/>
      <c r="D19" s="36"/>
      <c r="E19" s="36"/>
      <c r="F19" s="37"/>
      <c r="G19" s="141"/>
      <c r="H19" s="51" t="s">
        <v>48</v>
      </c>
      <c r="I19" s="36"/>
      <c r="J19" s="36"/>
      <c r="K19" s="36"/>
      <c r="L19" s="36"/>
      <c r="M19" s="37"/>
      <c r="N19" s="141"/>
    </row>
    <row r="20">
      <c r="A20" s="52" t="str">
        <f>HYPERLINK("https://youtu.be/ujVN-A0Z-ic","1. DUMBBELL INCLINE PRESS")</f>
        <v>1. DUMBBELL INCLINE PRESS</v>
      </c>
      <c r="B20" s="53"/>
      <c r="C20" s="53"/>
      <c r="D20" s="53"/>
      <c r="E20" s="53"/>
      <c r="F20" s="54"/>
      <c r="H20" s="52" t="str">
        <f>HYPERLINK("https://youtu.be/75e_H9Vq_Lw","1. MACHINE PRESS")</f>
        <v>1. MACHINE PRESS</v>
      </c>
      <c r="I20" s="53"/>
      <c r="J20" s="53"/>
      <c r="K20" s="53"/>
      <c r="L20" s="53"/>
      <c r="M20" s="54"/>
    </row>
    <row r="21">
      <c r="A21" s="228" t="s">
        <v>119</v>
      </c>
      <c r="B21" s="229" t="str">
        <f>IF('WEEK 26'!B34="",'WEEK 26'!B21,'MSW26'!B34)</f>
        <v/>
      </c>
      <c r="C21" s="16"/>
      <c r="D21" s="16"/>
      <c r="E21" s="16"/>
      <c r="F21" s="230"/>
      <c r="H21" s="228" t="s">
        <v>119</v>
      </c>
      <c r="I21" s="229" t="str">
        <f>IF('WEEK 26'!I34="",'WEEK 26'!I21,'MSW26'!I34)</f>
        <v/>
      </c>
      <c r="J21" s="16"/>
      <c r="K21" s="16"/>
      <c r="L21" s="16"/>
      <c r="M21" s="230"/>
    </row>
    <row r="22">
      <c r="A22" s="96" t="s">
        <v>50</v>
      </c>
      <c r="B22" s="97" t="s">
        <v>51</v>
      </c>
      <c r="C22" s="97" t="s">
        <v>52</v>
      </c>
      <c r="D22" s="97" t="s">
        <v>53</v>
      </c>
      <c r="E22" s="98" t="s">
        <v>54</v>
      </c>
      <c r="F22" s="235" t="s">
        <v>55</v>
      </c>
      <c r="H22" s="96" t="s">
        <v>50</v>
      </c>
      <c r="I22" s="97" t="s">
        <v>51</v>
      </c>
      <c r="J22" s="97" t="s">
        <v>52</v>
      </c>
      <c r="K22" s="97" t="s">
        <v>53</v>
      </c>
      <c r="L22" s="98" t="s">
        <v>54</v>
      </c>
      <c r="M22" s="235" t="s">
        <v>55</v>
      </c>
    </row>
    <row r="23">
      <c r="A23" s="244">
        <v>1.0</v>
      </c>
      <c r="B23" s="241">
        <f>mround('WEEK 29'!B21*0.35,5)</f>
        <v>35</v>
      </c>
      <c r="C23" s="63">
        <v>6.0</v>
      </c>
      <c r="D23" s="83" t="s">
        <v>57</v>
      </c>
      <c r="E23" s="84" t="str">
        <f>IF('WEEK 25'!P22='WEEK 29'!B23,'WEEK 25'!T22,"")</f>
        <v/>
      </c>
      <c r="F23" s="85">
        <v>6.0</v>
      </c>
      <c r="H23" s="244">
        <v>1.0</v>
      </c>
      <c r="I23" s="241">
        <f>mround('WEEK 29'!I21*0.35,5)</f>
        <v>0</v>
      </c>
      <c r="J23" s="63">
        <v>6.0</v>
      </c>
      <c r="K23" s="83" t="s">
        <v>57</v>
      </c>
      <c r="L23" s="84" t="str">
        <f>IF('WEEK 25'!I22='WEEK 29'!I23,'WEEK 25'!M22,"")</f>
        <v/>
      </c>
      <c r="M23" s="85"/>
    </row>
    <row r="24">
      <c r="A24" s="240">
        <v>2.0</v>
      </c>
      <c r="B24" s="241">
        <f>mround('WEEK 29'!B21*0.65,5)</f>
        <v>65</v>
      </c>
      <c r="C24" s="241">
        <v>1.0</v>
      </c>
      <c r="D24" s="83" t="s">
        <v>57</v>
      </c>
      <c r="E24" s="84" t="str">
        <f>IF('WEEK 25'!P23='WEEK 29'!B24,'WEEK 25'!T23,"")</f>
        <v/>
      </c>
      <c r="F24" s="85">
        <v>1.0</v>
      </c>
      <c r="H24" s="240">
        <v>2.0</v>
      </c>
      <c r="I24" s="241">
        <f>mround('WEEK 29'!I21*0.65,5)</f>
        <v>0</v>
      </c>
      <c r="J24" s="241">
        <v>1.0</v>
      </c>
      <c r="K24" s="83" t="s">
        <v>57</v>
      </c>
      <c r="L24" s="84" t="str">
        <f>IF('WEEK 25'!I23='WEEK 26'!I24,'WEEK 25'!M23,"")</f>
        <v/>
      </c>
      <c r="M24" s="85"/>
    </row>
    <row r="25">
      <c r="A25" s="240">
        <v>3.0</v>
      </c>
      <c r="B25" s="241">
        <f>mround('WEEK 29'!B21*0.85,5)</f>
        <v>85</v>
      </c>
      <c r="C25" s="63">
        <v>1.0</v>
      </c>
      <c r="D25" s="83" t="s">
        <v>57</v>
      </c>
      <c r="E25" s="84" t="str">
        <f>IF('WEEK 25'!P24='WEEK 26'!B25,'WEEK 25'!T24,"")</f>
        <v/>
      </c>
      <c r="F25" s="85">
        <v>1.0</v>
      </c>
      <c r="H25" s="240">
        <v>3.0</v>
      </c>
      <c r="I25" s="241">
        <f>mround('WEEK 29'!I21*0.85,5)</f>
        <v>0</v>
      </c>
      <c r="J25" s="241">
        <v>1.0</v>
      </c>
      <c r="K25" s="83" t="s">
        <v>57</v>
      </c>
      <c r="L25" s="84" t="str">
        <f>IF('WEEK 25'!I24='WEEK 26'!I25,'WEEK 25'!M24,"")</f>
        <v/>
      </c>
      <c r="M25" s="85"/>
    </row>
    <row r="26">
      <c r="A26" s="240">
        <v>4.0</v>
      </c>
      <c r="B26" s="241">
        <f>mround('WEEK 29'!B21*1,5)</f>
        <v>100</v>
      </c>
      <c r="C26" s="245" t="s">
        <v>65</v>
      </c>
      <c r="D26" s="83" t="s">
        <v>57</v>
      </c>
      <c r="E26" s="84" t="str">
        <f>IF('WEEK 25'!P25='WEEK 29'!B26,'WEEK 25'!T25,"")</f>
        <v/>
      </c>
      <c r="F26" s="85">
        <v>10.0</v>
      </c>
      <c r="H26" s="240">
        <v>4.0</v>
      </c>
      <c r="I26" s="241">
        <f>mround('WEEK 29'!I21*1,5)</f>
        <v>0</v>
      </c>
      <c r="J26" s="245" t="s">
        <v>65</v>
      </c>
      <c r="K26" s="83" t="s">
        <v>57</v>
      </c>
      <c r="L26" s="84" t="str">
        <f>IF('WEEK 25'!I25='WEEK 26'!I26,'WEEK 25'!M25,"")</f>
        <v/>
      </c>
      <c r="M26" s="85"/>
    </row>
    <row r="27">
      <c r="A27" s="248" t="str">
        <f>IF(OR(ISBLANK('WEEK 29'!F26),ISBLANK('WEEK 29'!F25),ISBLANK('WEEK 29'!F24)),"PROCEED TO DOWNSETS",if('WEEK 29'!F26&gt;=6,"NEW 4 REP MAX ATTEMPT","PROCEED TO DOWN SETS"))</f>
        <v>PROCEED TO DOWN SETS</v>
      </c>
      <c r="F27" s="28"/>
      <c r="G27" s="247" t="s">
        <v>123</v>
      </c>
      <c r="H27" s="248" t="str">
        <f>IF(OR(ISBLANK('WEEK 29'!M26),ISBLANK('WEEK 29'!M25),ISBLANK('WEEK 29'!M24)),"PROCEED TO DOWNSETS",if('WEEK 29'!M26&gt;=6,"NEW 4 REP MAX ATTEMPT","PROCEED TO DOWN SETS"))</f>
        <v>PROCEED TO DOWNSETS</v>
      </c>
      <c r="M27" s="28"/>
    </row>
    <row r="28">
      <c r="A28" s="251" t="str">
        <f>IF(OR(ISBLANK('WEEK 29'!F26),ISBLANK('WEEK 29'!F25),ISBLANK('WEEK 29'!F24)),"",IF('WEEK 29'!F26&gt;=6,5,""))</f>
        <v/>
      </c>
      <c r="B28" s="252" t="str">
        <f>IF(OR(ISBLANK('WEEK 29'!F26),ISBLANK('WEEK 29'!F25),ISBLANK('WEEK 29'!F24)),"",IF('WEEK 29'!F26&gt;=6,'WEEK 29'!B21+5,""))</f>
        <v/>
      </c>
      <c r="C28" s="253" t="str">
        <f>IF(OR(ISBLANK('WEEK 29'!F26),ISBLANK('WEEK 29'!F25),ISBLANK('WEEK 29'!F24)),"",IF('WEEK 29'!F26&gt;=6,"REP OUT",""))</f>
        <v/>
      </c>
      <c r="D28" s="254" t="str">
        <f>IF(OR(ISBLANK('WEEK 29'!F26),ISBLANK('WEEK 29'!F25),ISBLANK('WEEK 29'!F24)),"",IF('WEEK 29'!F26&gt;5,"1 MIN",""))</f>
        <v/>
      </c>
      <c r="E28" s="84" t="str">
        <f>IF('WEEK 25'!P27='WEEK 29'!B28,'WEEK 25'!T27,"")</f>
        <v/>
      </c>
      <c r="F28" s="67">
        <v>10.0</v>
      </c>
      <c r="H28" s="251" t="str">
        <f>IF(OR(ISBLANK('WEEK 29'!M26),ISBLANK('WEEK 29'!M25),ISBLANK('WEEK 29'!M24)),"",IF('WEEK 29'!M26&gt;=6,5,""))</f>
        <v/>
      </c>
      <c r="I28" s="252" t="str">
        <f>IF(OR(ISBLANK('WEEK 29'!M26),ISBLANK('WEEK 29'!M25),ISBLANK('WEEK 29'!M24)),"",IF('WEEK 29'!M26&gt;=6,'WEEK 29'!I21+5,""))</f>
        <v/>
      </c>
      <c r="J28" s="253" t="str">
        <f>IF(OR(ISBLANK('WEEK 29'!M26),ISBLANK('WEEK 29'!M25),ISBLANK('WEEK 29'!M24)),"",IF('WEEK 29'!M26&gt;=6,"REP OUT",""))</f>
        <v/>
      </c>
      <c r="K28" s="254" t="str">
        <f>IF(OR(ISBLANK('WEEK 29'!M26),ISBLANK('WEEK 29'!M25),ISBLANK('WEEK 29'!M24)),"",IF('WEEK 29'!M26&gt;5,"1 MIN",""))</f>
        <v/>
      </c>
      <c r="L28" s="84" t="str">
        <f>IF('WEEK 25'!I27='WEEK 26'!I28,'WEEK 25'!M27,"")</f>
        <v/>
      </c>
      <c r="M28" s="67"/>
    </row>
    <row r="29">
      <c r="A29" s="260" t="str">
        <f>IF(OR(ISBLANK('WEEK 29'!F26),ISBLANK('WEEK 29'!F25),ISBLANK('WEEK 29'!F24)),"FILL OUT REP LOG FIRST","DOWN SETS")</f>
        <v>DOWN SETS</v>
      </c>
      <c r="B29" s="16"/>
      <c r="C29" s="16"/>
      <c r="D29" s="16"/>
      <c r="E29" s="16"/>
      <c r="F29" s="230"/>
      <c r="G29" s="141"/>
      <c r="H29" s="260" t="str">
        <f>IF(OR(ISBLANK('WEEK 29'!M26),ISBLANK('WEEK 29'!M25),ISBLANK('WEEK 29'!M24)),"FILL OUT REP LOG FIRST","DOWN SETS")</f>
        <v>FILL OUT REP LOG FIRST</v>
      </c>
      <c r="I29" s="16"/>
      <c r="J29" s="16"/>
      <c r="K29" s="16"/>
      <c r="L29" s="16"/>
      <c r="M29" s="230"/>
    </row>
    <row r="30">
      <c r="A30" s="545">
        <f>IF('WEEK 29'!F28&gt;=4,"",IF(OR(ISBLANK('WEEK 29'!F26),ISBLANK('WEEK 29'!F25),ISBLANK('WEEK 29'!F24)),"",IF('WEEK 29'!F26&gt;5,6,5)))</f>
        <v>5</v>
      </c>
      <c r="B30" s="261">
        <f>IF('WEEK 29'!F28&gt;=4,"",IF(OR(ISBLANK('WEEK 29'!F26),ISBLANK('WEEK 29'!F25),ISBLANK('WEEK 29'!F24)),"",IF('WEEK 29'!F26&lt;6,mround('WEEK 29'!B21*0.8,5),IF('WEEK 29'!F26&lt;10,mround('WEEK 29'!B21*0.93,5),mround('WEEK 29'!B21*0.7,5)))))</f>
        <v>80</v>
      </c>
      <c r="C30" s="262" t="str">
        <f>IF('WEEK 29'!F28&gt;=4,"",IF(OR(ISBLANK('WEEK 29'!F26),ISBLANK('WEEK 29'!F25),ISBLANK('WEEK 29'!F24)),"","REP OUT"))</f>
        <v>REP OUT</v>
      </c>
      <c r="D30" s="65" t="str">
        <f>IF('WEEK 29'!F28&gt;=4,"",IF(OR(ISBLANK('WEEK 29'!F26),ISBLANK('WEEK 29'!F25),ISBLANK('WEEK 29'!F24)),"","1 MIN"))</f>
        <v>1 MIN</v>
      </c>
      <c r="E30" s="84" t="str">
        <f>IF('WEEK 25'!P29='WEEK 29'!B30,'WEEK 25'!T29,"")</f>
        <v/>
      </c>
      <c r="F30" s="263"/>
      <c r="H30" s="91" t="str">
        <f>IF('WEEK 29'!M28&gt;=4,"",IF(OR(ISBLANK('WEEK 29'!M26),ISBLANK('WEEK 29'!M25),ISBLANK('WEEK 29'!M24)),"",IF('WEEK 29'!M26&gt;5,6,5)))</f>
        <v/>
      </c>
      <c r="I30" s="261" t="str">
        <f>IF('WEEK 29'!M28&gt;=4,"",IF(OR(ISBLANK('WEEK 29'!M26),ISBLANK('WEEK 29'!M25),ISBLANK('WEEK 29'!M24)),"",IF('WEEK 29'!M26&lt;6,mround('WEEK 29'!I21*0.8,5),IF('WEEK 29'!M26&lt;10,mround('WEEK 29'!I21*0.93,5),mround('WEEK 29'!I21*0.7,5)))))</f>
        <v/>
      </c>
      <c r="J30" s="262" t="str">
        <f>IF('WEEK 29'!M28&gt;=4,"",IF(OR(ISBLANK('WEEK 29'!M26),ISBLANK('WEEK 29'!M25),ISBLANK('WEEK 29'!M24)),"","REP OUT"))</f>
        <v/>
      </c>
      <c r="K30" s="65" t="str">
        <f>IF('WEEK 29'!M28&gt;=4,"",IF(OR(ISBLANK('WEEK 29'!M26),ISBLANK('WEEK 29'!M25),ISBLANK('WEEK 29'!M24)),"","1 MIN"))</f>
        <v/>
      </c>
      <c r="L30" s="84" t="str">
        <f>IF('WEEK 25'!I29='WEEK 26'!I30,'WEEK 25'!M29,"")</f>
        <v/>
      </c>
      <c r="M30" s="263"/>
    </row>
    <row r="31">
      <c r="A31" s="546">
        <f>IF('WEEK 29'!F28&gt;=4,"",IF(OR(ISBLANK('WEEK 29'!F26),ISBLANK('WEEK 29'!F25),ISBLANK('WEEK 29'!F24)),"",IF('WEEK 29'!F26&gt;5,7,6)))</f>
        <v>6</v>
      </c>
      <c r="B31" s="254">
        <f>IF('WEEK 29'!F28&gt;=4,"",IF(OR(ISBLANK('WEEK 29'!F26),ISBLANK('WEEK 29'!F25),ISBLANK('WEEK 29'!F24)),"",IF('WEEK 29'!F26&lt;6,mround('WEEK 29'!B21*0.65,5),IF('WEEK 29'!F26&lt;10,mround('WEEK 29'!B21*0.7,5),mround('WEEK 29'!B21*0.65,5)))))</f>
        <v>65</v>
      </c>
      <c r="C31" s="253" t="str">
        <f>IF('WEEK 29'!F28&gt;=4,"",IF(OR(ISBLANK('WEEK 29'!F26),ISBLANK('WEEK 29'!F25),ISBLANK('WEEK 29'!F24)),"","REP OUT"))</f>
        <v>REP OUT</v>
      </c>
      <c r="D31" s="65" t="str">
        <f>IF('WEEK 29'!F28&gt;=4,"",IF(OR(ISBLANK('WEEK 29'!F26),ISBLANK('WEEK 29'!F25),ISBLANK('WEEK 29'!F24)),"","1 MIN"))</f>
        <v>1 MIN</v>
      </c>
      <c r="E31" s="84" t="str">
        <f>IF('WEEK 25'!P30='WEEK 26'!B31,'WEEK 25'!T30,"")</f>
        <v/>
      </c>
      <c r="F31" s="270"/>
      <c r="H31" s="269" t="str">
        <f>IF('WEEK 29'!M28&gt;=4,"",IF(OR(ISBLANK('WEEK 29'!M26),ISBLANK('WEEK 29'!M25),ISBLANK('WEEK 29'!M24)),"",IF('WEEK 29'!M26&gt;5,7,6)))</f>
        <v/>
      </c>
      <c r="I31" s="254" t="str">
        <f>IF('WEEK 29'!M28&gt;=4,"",IF(OR(ISBLANK('WEEK 29'!M26),ISBLANK('WEEK 29'!M25),ISBLANK('WEEK 29'!M24)),"",IF('WEEK 29'!M26&lt;6,mround('WEEK 29'!I21*0.65,5),IF('WEEK 29'!M26&lt;10,mround('WEEK 29'!I21*0.7,5),mround('WEEK 29'!I21*0.65,5)))))</f>
        <v/>
      </c>
      <c r="J31" s="253" t="str">
        <f>IF('WEEK 29'!M28&gt;=4,"",IF(OR(ISBLANK('WEEK 29'!M26),ISBLANK('WEEK 29'!M25),ISBLANK('WEEK 29'!M24)),"","REP OUT"))</f>
        <v/>
      </c>
      <c r="K31" s="65" t="str">
        <f>IF('WEEK 29'!M28&gt;=4,"",IF(OR(ISBLANK('WEEK 29'!M26),ISBLANK('WEEK 29'!M25),ISBLANK('WEEK 29'!M24)),"","1 MIN"))</f>
        <v/>
      </c>
      <c r="L31" s="84" t="str">
        <f>IF('WEEK 25'!I30='WEEK 26'!I31,'WEEK 25'!M30,"")</f>
        <v/>
      </c>
      <c r="M31" s="270"/>
    </row>
    <row r="32">
      <c r="A32" s="546" t="str">
        <f>IF('WEEK 29'!F28&lt;4,"",IF(OR(ISBLANK('WEEK 29'!F26),ISBLANK('WEEK 29'!F25),ISBLANK('WEEK 29'!F24)),"",IF('WEEK 29'!F28&gt;3,6,5)))</f>
        <v/>
      </c>
      <c r="B32" s="254" t="str">
        <f>IF('WEEK 29'!F28&lt;4,"",IF(OR(ISBLANK('WEEK 29'!F26),ISBLANK('WEEK 29'!F25),ISBLANK('WEEK 29'!F24)),"",IF('WEEK 29'!F28&lt;6,mround('WEEK 29'!B34*0.7,5),IF('WEEK 29'!F28&lt;10,mround('WEEK 29'!B34*0.8,5),mround(B34*0.93,5)))))</f>
        <v/>
      </c>
      <c r="C32" s="253" t="str">
        <f>IF('WEEK 29'!F28&lt;4,"",IF(OR(ISBLANK('WEEK 29'!F26),ISBLANK('WEEK 29'!F25),ISBLANK('WEEK 29'!F24)),"","REP OUT"))</f>
        <v/>
      </c>
      <c r="D32" s="65" t="str">
        <f>IF('WEEK 29'!F28&lt;4,"",IF(OR(ISBLANK('WEEK 29'!F26),ISBLANK('WEEK 29'!F25),ISBLANK('WEEK 29'!F24)),"","1 MIN"))</f>
        <v/>
      </c>
      <c r="E32" s="84" t="str">
        <f>IF('WEEK 25'!P31='WEEK 29'!B32,'WEEK 25'!T31,"")</f>
        <v/>
      </c>
      <c r="F32" s="270"/>
      <c r="G32" s="141"/>
      <c r="H32" s="269" t="str">
        <f>IF('WEEK 29'!M28&lt;4,"",IF(OR(ISBLANK('WEEK 29'!M26),ISBLANK('WEEK 29'!M25),ISBLANK('WEEK 29'!M24)),"",IF('WEEK 29'!M28&gt;3,6,5)))</f>
        <v/>
      </c>
      <c r="I32" s="254" t="str">
        <f>IF('WEEK 29'!M28&lt;4,"",IF(OR(ISBLANK('WEEK 29'!M26),ISBLANK('WEEK 29'!M25),ISBLANK('WEEK 29'!M24)),"",IF('WEEK 29'!M28&lt;6,mround('WEEK 29'!I34*0.7,5),IF('WEEK 29'!M28&lt;10,mround('WEEK 29'!I34*0.8,5),mround(I34*0.93,5)))))</f>
        <v/>
      </c>
      <c r="J32" s="253" t="str">
        <f>IF('WEEK 29'!M28&lt;4,"",IF(OR(ISBLANK('WEEK 29'!M26),ISBLANK('WEEK 29'!M25),ISBLANK('WEEK 29'!M24)),"","REP OUT"))</f>
        <v/>
      </c>
      <c r="K32" s="65" t="str">
        <f>IF('WEEK 29'!M28&lt;4,"",IF(OR(ISBLANK('WEEK 29'!M26),ISBLANK('WEEK 29'!M25),ISBLANK('WEEK 29'!M24)),"","1 MIN"))</f>
        <v/>
      </c>
      <c r="L32" s="84" t="str">
        <f>IF('WEEK 25'!I31='WEEK 26'!I32,'WEEK 25'!M31,"")</f>
        <v/>
      </c>
      <c r="M32" s="270"/>
      <c r="N32" s="141"/>
    </row>
    <row r="33">
      <c r="A33" s="546" t="str">
        <f>IF('WEEK 29'!F28&lt;4,"",IF(OR(ISBLANK('WEEK 29'!F26),ISBLANK('WEEK 29'!F25),ISBLANK('WEEK 29'!F24)),"",IF('WEEK 29'!F28&gt;3,7,"")))</f>
        <v/>
      </c>
      <c r="B33" s="254" t="str">
        <f>IF('WEEK 29'!F28&lt;4,"",IF(OR(ISBLANK('WEEK 29'!F26),ISBLANK('WEEK 29'!F25),ISBLANK('WEEK 29'!F24)),"",IF('WEEK 29'!F28&lt;6,mround('WEEK 29'!B34*0.65,5),IF('WEEK 29'!F28&lt;10,mround('WEEK 29'!B34*0.7,5),mround(B34*0.75,5)))))</f>
        <v/>
      </c>
      <c r="C33" s="253" t="str">
        <f>IF('WEEK 29'!F28&lt;4,"",IF(OR(ISBLANK('WEEK 29'!F26),ISBLANK('WEEK 29'!F25),ISBLANK('WEEK 29'!F24)),"","REP OUT"))</f>
        <v/>
      </c>
      <c r="D33" s="65" t="str">
        <f>IF('WEEK 29'!F28&lt;4,"",IF(OR(ISBLANK('WEEK 29'!F26),ISBLANK('WEEK 29'!F25),ISBLANK('WEEK 29'!F24)),"","1 MIN"))</f>
        <v/>
      </c>
      <c r="E33" s="84" t="str">
        <f>IF('WEEK 25'!P32='WEEK 29'!B33,'WEEK 25'!T32,"")</f>
        <v/>
      </c>
      <c r="F33" s="270"/>
      <c r="G33" s="141"/>
      <c r="H33" s="269" t="str">
        <f>IF('WEEK 29'!M28&lt;4,"",IF(OR(ISBLANK('WEEK 29'!M26),ISBLANK('WEEK 29'!M25),ISBLANK('WEEK 29'!M24)),"",IF('WEEK 29'!M28&gt;3,7,"")))</f>
        <v/>
      </c>
      <c r="I33" s="254" t="str">
        <f>IF('WEEK 29'!M28&lt;4,"",IF(OR(ISBLANK('WEEK 29'!M26),ISBLANK('WEEK 29'!M25),ISBLANK('WEEK 29'!M24)),"",IF('WEEK 29'!M28&lt;6,mround('WEEK 29'!I34*0.75,5),IF('WEEK 29'!M28&lt;10,mround('WEEK 29'!I34*0.7,5),mround(I34*0.65,5)))))</f>
        <v/>
      </c>
      <c r="J33" s="253" t="str">
        <f>IF('WEEK 29'!M28&lt;4,"",IF(OR(ISBLANK('WEEK 29'!M26),ISBLANK('WEEK 29'!M25),ISBLANK('WEEK 29'!M24)),"","REP OUT"))</f>
        <v/>
      </c>
      <c r="K33" s="65" t="str">
        <f>IF('WEEK 29'!M28&lt;4,"",IF(OR(ISBLANK('WEEK 29'!M26),ISBLANK('WEEK 29'!M25),ISBLANK('WEEK 29'!M24)),"","1 MIN"))</f>
        <v/>
      </c>
      <c r="L33" s="84" t="str">
        <f>IF('WEEK 25'!I32='WEEK 26'!I33,'WEEK 25'!M32,"")</f>
        <v/>
      </c>
      <c r="M33" s="270"/>
      <c r="N33" s="141"/>
    </row>
    <row r="34">
      <c r="A34" s="280" t="s">
        <v>124</v>
      </c>
      <c r="B34" s="273">
        <f>IF(OR(ISBLANK('WEEK 29'!F24),ISBLANK('WEEK 29'!F25),ISBLANK('WEEK 29'!F26)),"",IF('WEEK 29'!F28&gt;=4,'WEEK 29'!B28,IF('WEEK 29'!F26&lt;=3,'WEEK 29'!B26-5,'WEEK 29'!B26)))</f>
        <v>95</v>
      </c>
      <c r="C34" s="11"/>
      <c r="D34" s="11"/>
      <c r="E34" s="11"/>
      <c r="F34" s="46"/>
      <c r="G34" s="141"/>
      <c r="H34" s="280" t="s">
        <v>124</v>
      </c>
      <c r="I34" s="273" t="str">
        <f>IF(OR(ISBLANK('WEEK 29'!M24),ISBLANK('WEEK 29'!M25),ISBLANK('WEEK 29'!M26)),"",IF('WEEK 29'!M28&gt;=4,'WEEK 29'!I28,IF('WEEK 29'!M26&lt;=3,'WEEK 29'!I26-5,'WEEK 29'!I26)))</f>
        <v/>
      </c>
      <c r="J34" s="11"/>
      <c r="K34" s="11"/>
      <c r="L34" s="11"/>
      <c r="M34" s="46"/>
      <c r="N34" s="141"/>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153</v>
      </c>
      <c r="B38" s="548">
        <f>if('WEEK 29'!B34="",'MSW28'!B36,'WEEK 29'!B34)</f>
        <v>95</v>
      </c>
      <c r="C38" s="13"/>
      <c r="D38" s="13"/>
      <c r="E38" s="13"/>
      <c r="F38" s="57"/>
      <c r="G38" s="247" t="s">
        <v>123</v>
      </c>
      <c r="H38" s="226" t="s">
        <v>153</v>
      </c>
      <c r="I38" s="548">
        <f>'WEEK 29'!B38</f>
        <v>95</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29'!B38*0.29,2.5)</f>
        <v>27.5</v>
      </c>
      <c r="C40" s="241">
        <v>15.0</v>
      </c>
      <c r="D40" s="83" t="s">
        <v>57</v>
      </c>
      <c r="E40" s="84" t="str">
        <f>IF('WEEK 25'!P37='WEEK 26'!B40,'WEEK 25'!F37,"")</f>
        <v/>
      </c>
      <c r="F40" s="85"/>
      <c r="G40" s="659"/>
      <c r="H40" s="240">
        <v>1.0</v>
      </c>
      <c r="I40" s="254">
        <f>mround('WEEK 29'!I38*2*0.75,10)</f>
        <v>140</v>
      </c>
      <c r="J40" s="241">
        <v>15.0</v>
      </c>
      <c r="K40" s="83" t="s">
        <v>57</v>
      </c>
      <c r="L40" s="84" t="str">
        <f>IF('WEEK 25'!W37='WEEK 26'!I40,'WEEK 25'!M37,"")</f>
        <v/>
      </c>
      <c r="M40" s="85"/>
    </row>
    <row r="41">
      <c r="A41" s="661">
        <v>2.0</v>
      </c>
      <c r="B41" s="662">
        <f>mround('WEEK 29'!B38*0.29,2.5)</f>
        <v>27.5</v>
      </c>
      <c r="C41" s="662">
        <v>15.0</v>
      </c>
      <c r="D41" s="88" t="s">
        <v>57</v>
      </c>
      <c r="E41" s="89" t="str">
        <f>IF('WEEK 25'!P38='WEEK 26'!B41,'WEEK 25'!F38,"")</f>
        <v/>
      </c>
      <c r="F41" s="85"/>
      <c r="H41" s="661">
        <v>2.0</v>
      </c>
      <c r="I41" s="662">
        <f>mround('WEEK 29'!I38*2*0.75,10)</f>
        <v>140</v>
      </c>
      <c r="J41" s="662">
        <v>15.0</v>
      </c>
      <c r="K41" s="88" t="s">
        <v>57</v>
      </c>
      <c r="L41" s="89"/>
      <c r="M41" s="85"/>
    </row>
    <row r="44">
      <c r="A44" s="73" t="str">
        <f>HYPERLINK("https://www.youtube.com/watch?v=PnaDzYh2axA","3. LAT PULL DOWN")</f>
        <v>3. LAT PULL DOWN</v>
      </c>
      <c r="B44" s="53"/>
      <c r="C44" s="53"/>
      <c r="D44" s="53"/>
      <c r="E44" s="53"/>
      <c r="F44" s="54"/>
    </row>
    <row r="45">
      <c r="A45" s="226" t="s">
        <v>119</v>
      </c>
      <c r="B45" s="227">
        <f>'WEEK 28'!B43</f>
        <v>215</v>
      </c>
      <c r="C45" s="20"/>
      <c r="D45" s="20"/>
      <c r="E45" s="20"/>
      <c r="F45" s="95"/>
    </row>
    <row r="46">
      <c r="A46" s="231" t="s">
        <v>50</v>
      </c>
      <c r="B46" s="232" t="s">
        <v>51</v>
      </c>
      <c r="C46" s="232" t="s">
        <v>52</v>
      </c>
      <c r="D46" s="232" t="s">
        <v>53</v>
      </c>
      <c r="E46" s="233" t="s">
        <v>54</v>
      </c>
      <c r="F46" s="61" t="s">
        <v>55</v>
      </c>
    </row>
    <row r="47">
      <c r="A47" s="236">
        <v>1.0</v>
      </c>
      <c r="B47" s="237">
        <f>mround('WEEK 29'!B45*0.35,5)</f>
        <v>75</v>
      </c>
      <c r="C47" s="238">
        <v>6.0</v>
      </c>
      <c r="D47" s="238" t="s">
        <v>120</v>
      </c>
      <c r="E47" s="66"/>
      <c r="F47" s="67"/>
    </row>
    <row r="48">
      <c r="A48" s="236">
        <v>2.0</v>
      </c>
      <c r="B48" s="237">
        <f>mround('WEEK 29'!B45*0.65,5)</f>
        <v>140</v>
      </c>
      <c r="C48" s="238">
        <v>3.0</v>
      </c>
      <c r="D48" s="238" t="s">
        <v>121</v>
      </c>
      <c r="E48" s="66"/>
      <c r="F48" s="67"/>
    </row>
    <row r="49">
      <c r="A49" s="242">
        <v>3.0</v>
      </c>
      <c r="B49" s="237">
        <f>mround('WEEK 29'!B45*0.9,5)</f>
        <v>195</v>
      </c>
      <c r="C49" s="63">
        <v>2.0</v>
      </c>
      <c r="D49" s="238" t="s">
        <v>121</v>
      </c>
      <c r="E49" s="66"/>
      <c r="F49" s="67"/>
    </row>
    <row r="50">
      <c r="A50" s="243">
        <v>4.0</v>
      </c>
      <c r="B50" s="237">
        <f>'WEEK 29'!B45</f>
        <v>215</v>
      </c>
      <c r="C50" s="257">
        <v>3.0</v>
      </c>
      <c r="D50" s="238" t="s">
        <v>122</v>
      </c>
      <c r="E50" s="66"/>
      <c r="F50" s="67"/>
    </row>
    <row r="51">
      <c r="A51" s="246" t="str">
        <f>IF('WEEK 29'!F50&lt;3,"PROCEED TO DOWN SETS","NEW 4 REP MAX ATTEMPT")</f>
        <v>NEW 4 REP MAX ATTEMPT</v>
      </c>
      <c r="B51" s="20"/>
      <c r="C51" s="20"/>
      <c r="D51" s="20"/>
      <c r="E51" s="20"/>
      <c r="F51" s="95"/>
    </row>
    <row r="52">
      <c r="A52" s="249">
        <f>if('WEEK 29'!F50&lt;=2,"",5)</f>
        <v>5</v>
      </c>
      <c r="B52" s="175">
        <f>IF('WEEK 29'!F50&lt;=2,"",B50+5)</f>
        <v>220</v>
      </c>
      <c r="C52" s="238">
        <f>if('WEEK 29'!F50&lt;=2,"",4)</f>
        <v>4</v>
      </c>
      <c r="D52" s="238" t="str">
        <f>if('WEEK 29'!F50&lt;=2,"","1-5 MIN")</f>
        <v>1-5 MIN</v>
      </c>
      <c r="E52" s="250"/>
      <c r="F52" s="67"/>
    </row>
    <row r="53">
      <c r="A53" s="256" t="str">
        <f>IF('WEEK 29'!F52&lt;4,"","6")</f>
        <v>6</v>
      </c>
      <c r="B53" s="237">
        <f>IF('WEEK 29'!F52&lt;4,"",B52+5)</f>
        <v>225</v>
      </c>
      <c r="C53" s="257" t="str">
        <f>IF('WEEK 29'!F52&lt;4,"","4")</f>
        <v>4</v>
      </c>
      <c r="D53" s="257" t="str">
        <f>IF('WEEK 29'!F52&lt;4,"","1-5 MIN")</f>
        <v>1-5 MIN</v>
      </c>
      <c r="E53" s="258"/>
      <c r="F53" s="67"/>
    </row>
    <row r="54">
      <c r="A54" s="246" t="str">
        <f>IF(OR(ISBLANK('WEEK 29'!F50),ISBLANK('WEEK 29'!F49),ISBLANK('WEEK 29'!F48)),"FILL OUT REP LOG FOR DOWN SETS","DOWN SETS")</f>
        <v>DOWN SETS</v>
      </c>
      <c r="B54" s="20"/>
      <c r="C54" s="20"/>
      <c r="D54" s="20"/>
      <c r="E54" s="20"/>
      <c r="F54" s="95"/>
    </row>
    <row r="55">
      <c r="A55" s="264">
        <f>IF(OR(ISBLANK('WEEK 29'!F50),ISBLANK('WEEK 29'!F49),ISBLANK('WEEK 29'!F48)),"",IF((AND(A52="",A53="")),5,IF((AND(A52&gt;1,A53="")),6,7)))</f>
        <v>7</v>
      </c>
      <c r="B55" s="265">
        <f>MROUND('WEEK 29'!B57*0.8,5)</f>
        <v>180</v>
      </c>
      <c r="C55" s="266" t="s">
        <v>65</v>
      </c>
      <c r="D55" s="267" t="s">
        <v>127</v>
      </c>
      <c r="E55" s="268"/>
      <c r="F55" s="67"/>
    </row>
    <row r="56">
      <c r="A56" s="243">
        <f>IF(OR(ISBLANK('WEEK 29'!F50),ISBLANK('WEEK 29'!F49),ISBLANK('WEEK 29'!F48)),"",IF((AND(A52="",A53="")),6,IF((AND(A52&gt;1,A53="")),7,8)))</f>
        <v>8</v>
      </c>
      <c r="B56" s="237">
        <f>mround('WEEK 29'!B57*0.7,5)</f>
        <v>160</v>
      </c>
      <c r="C56" s="245" t="s">
        <v>65</v>
      </c>
      <c r="D56" s="65" t="s">
        <v>127</v>
      </c>
      <c r="E56" s="258"/>
      <c r="F56" s="271"/>
    </row>
    <row r="57">
      <c r="A57" s="272" t="s">
        <v>124</v>
      </c>
      <c r="B57" s="273">
        <f>IF(OR(ISBLANK('WEEK 29'!F50),ISBLANK('WEEK 29'!F49),ISBLANK('WEEK 29'!F48)),"",IF('WEEK 29'!F53&gt;=4,'WEEK 29'!B53,IF('WEEK 29'!F52&gt;=1,'WEEK 29'!B52,IF('WEEK 29'!F50&lt;3,'WEEK 29'!B50-5,'WEEK 29'!B50))))</f>
        <v>225</v>
      </c>
      <c r="C57" s="11"/>
      <c r="D57" s="11"/>
      <c r="E57" s="11"/>
      <c r="F57" s="46"/>
    </row>
    <row r="58">
      <c r="A58" s="302"/>
      <c r="B58" s="302"/>
      <c r="C58" s="302"/>
      <c r="D58" s="302"/>
      <c r="E58" s="303"/>
      <c r="F58" s="103"/>
    </row>
    <row r="59">
      <c r="A59" s="302"/>
      <c r="B59" s="302"/>
      <c r="C59" s="302"/>
      <c r="D59" s="302"/>
      <c r="E59" s="303"/>
      <c r="F59" s="103"/>
    </row>
    <row r="60">
      <c r="A60" s="73" t="str">
        <f>HYPERLINK("https://www.youtube.com/watch?v=9YH1YvZbiY0","4. MACHINE LOW ROW")</f>
        <v>4. MACHINE LOW ROW</v>
      </c>
      <c r="B60" s="53"/>
      <c r="C60" s="53"/>
      <c r="D60" s="53"/>
      <c r="E60" s="53"/>
      <c r="F60" s="54"/>
    </row>
    <row r="61">
      <c r="A61" s="282" t="s">
        <v>119</v>
      </c>
      <c r="B61" s="56">
        <f>'WEEK 28'!B51</f>
        <v>195</v>
      </c>
      <c r="C61" s="13"/>
      <c r="D61" s="13"/>
      <c r="E61" s="13"/>
      <c r="F61" s="57"/>
    </row>
    <row r="62">
      <c r="A62" s="58" t="s">
        <v>50</v>
      </c>
      <c r="B62" s="59" t="s">
        <v>51</v>
      </c>
      <c r="C62" s="59" t="s">
        <v>52</v>
      </c>
      <c r="D62" s="59" t="s">
        <v>53</v>
      </c>
      <c r="E62" s="60" t="s">
        <v>54</v>
      </c>
      <c r="F62" s="61" t="s">
        <v>55</v>
      </c>
    </row>
    <row r="63">
      <c r="A63" s="62">
        <v>1.0</v>
      </c>
      <c r="B63" s="63">
        <f> mround('WEEK 29'!B61*0.85,5)</f>
        <v>165</v>
      </c>
      <c r="C63" s="104" t="s">
        <v>65</v>
      </c>
      <c r="D63" s="65" t="s">
        <v>57</v>
      </c>
      <c r="E63" s="66"/>
      <c r="F63" s="67"/>
    </row>
    <row r="64">
      <c r="A64" s="62">
        <v>2.0</v>
      </c>
      <c r="B64" s="63">
        <f>IF('WEEK 29'!F63&lt;6,MROUND('WEEK 29'!B63*0.87,5),IF('WEEK 29'!F63&lt;=11,MROUND('WEEK 29'!B63*0.95,5),'WEEK 29'!B63))</f>
        <v>145</v>
      </c>
      <c r="C64" s="104" t="s">
        <v>65</v>
      </c>
      <c r="D64" s="65" t="s">
        <v>57</v>
      </c>
      <c r="E64" s="66"/>
      <c r="F64" s="67"/>
    </row>
    <row r="65">
      <c r="A65" s="68">
        <v>3.0</v>
      </c>
      <c r="B65" s="69">
        <f>IF('WEEK 29'!F64&lt;6,MROUND('WEEK 29'!B64*0.87,5),IF('WEEK 29'!F64&lt;=11,MROUND('WEEK 29'!B64*0.95,5),'WEEK 29'!B64))</f>
        <v>140</v>
      </c>
      <c r="C65" s="105" t="s">
        <v>65</v>
      </c>
      <c r="D65" s="71" t="s">
        <v>57</v>
      </c>
      <c r="E65" s="72"/>
      <c r="F65" s="67"/>
    </row>
    <row r="66">
      <c r="A66" s="103"/>
      <c r="B66" s="103"/>
      <c r="C66" s="103"/>
      <c r="D66" s="103"/>
      <c r="E66" s="222"/>
      <c r="F66" s="103"/>
    </row>
    <row r="67">
      <c r="A67" s="103"/>
      <c r="B67" s="103"/>
      <c r="C67" s="103"/>
      <c r="D67" s="103"/>
      <c r="E67" s="222"/>
      <c r="F67" s="103"/>
    </row>
    <row r="68">
      <c r="A68" s="73" t="str">
        <f>HYPERLINK("https://youtu.be/5-SUS-OVULY","5. MACHINE HIGH ROW")</f>
        <v>5. MACHINE HIGH ROW</v>
      </c>
      <c r="B68" s="53"/>
      <c r="C68" s="53"/>
      <c r="D68" s="53"/>
      <c r="E68" s="53"/>
      <c r="F68" s="54"/>
    </row>
    <row r="69">
      <c r="A69" s="282" t="s">
        <v>119</v>
      </c>
      <c r="B69" s="56">
        <f>'WEEK 28'!B58</f>
        <v>170</v>
      </c>
      <c r="C69" s="13"/>
      <c r="D69" s="13"/>
      <c r="E69" s="13"/>
      <c r="F69" s="57"/>
    </row>
    <row r="70">
      <c r="A70" s="58" t="s">
        <v>50</v>
      </c>
      <c r="B70" s="59" t="s">
        <v>51</v>
      </c>
      <c r="C70" s="59" t="s">
        <v>52</v>
      </c>
      <c r="D70" s="59" t="s">
        <v>53</v>
      </c>
      <c r="E70" s="60" t="s">
        <v>54</v>
      </c>
      <c r="F70" s="61" t="s">
        <v>55</v>
      </c>
    </row>
    <row r="71">
      <c r="A71" s="62">
        <v>1.0</v>
      </c>
      <c r="B71" s="63">
        <f> mround('WEEK 29'!B69*0.8,5)</f>
        <v>135</v>
      </c>
      <c r="C71" s="104" t="s">
        <v>65</v>
      </c>
      <c r="D71" s="65" t="s">
        <v>57</v>
      </c>
      <c r="E71" s="66"/>
      <c r="F71" s="67"/>
    </row>
    <row r="72">
      <c r="A72" s="62">
        <v>2.0</v>
      </c>
      <c r="B72" s="63">
        <f>IF('WEEK 29'!F71&lt;6,MROUND('WEEK 29'!B69*0.7,5),IF('WEEK 29'!F71&lt;=11,MROUND('WEEK 29'!B69*0.75,5),'WEEK 29'!B71))</f>
        <v>135</v>
      </c>
      <c r="C72" s="104" t="s">
        <v>65</v>
      </c>
      <c r="D72" s="65" t="s">
        <v>57</v>
      </c>
      <c r="E72" s="66"/>
      <c r="F72" s="67"/>
    </row>
    <row r="73">
      <c r="A73" s="68">
        <v>3.0</v>
      </c>
      <c r="B73" s="87">
        <f>IF('WEEK 29'!F72&lt;6,MROUND('WEEK 29'!B72*0.8,5),IF('WEEK 29'!F72&lt;=11,MROUND('WEEK 29'!B69*0.85,5),'WEEK 29'!B72))</f>
        <v>145</v>
      </c>
      <c r="C73" s="105" t="s">
        <v>65</v>
      </c>
      <c r="D73" s="309" t="s">
        <v>57</v>
      </c>
      <c r="E73" s="72"/>
      <c r="F73" s="67"/>
    </row>
    <row r="74">
      <c r="A74" s="103"/>
      <c r="B74" s="103"/>
      <c r="C74" s="103"/>
      <c r="D74" s="103"/>
      <c r="E74" s="222"/>
      <c r="F74" s="103"/>
    </row>
    <row r="75">
      <c r="A75" s="310" t="str">
        <f>HYPERLINK("https://docs.google.com/a/fitnessresults.com/forms/d/e/1FAIpQLSd7MoczESe8Yjv6BKpmwAZGn9Aiymrs9-UdgfYIUpbr9t5NXg/viewform?usp=pp_url&amp;entry.93370101","CLICK TO COMPLETE WORKOUT")</f>
        <v>CLICK TO COMPLETE WORKOUT</v>
      </c>
      <c r="B75" s="36"/>
      <c r="C75" s="36"/>
      <c r="D75" s="36"/>
      <c r="E75" s="36"/>
      <c r="F75" s="37"/>
    </row>
    <row r="77">
      <c r="A77" s="224" t="s">
        <v>128</v>
      </c>
      <c r="B77" s="36"/>
      <c r="C77" s="36"/>
      <c r="D77" s="36"/>
      <c r="E77" s="36"/>
      <c r="F77" s="37"/>
    </row>
    <row r="80">
      <c r="A80" s="93" t="str">
        <f>HYPERLINK("https://www.youtube.com/watch?v=NZ9KiFtbiMs","2. LEG EXTENSION")</f>
        <v>2. LEG EXTENSION</v>
      </c>
      <c r="B80" s="53"/>
      <c r="C80" s="53"/>
      <c r="D80" s="53"/>
      <c r="E80" s="53"/>
      <c r="F80" s="54"/>
      <c r="G80" s="103"/>
      <c r="H80" s="103"/>
      <c r="I80" s="103"/>
      <c r="J80" s="103"/>
      <c r="K80" s="103"/>
      <c r="L80" s="222"/>
      <c r="M80" s="103"/>
    </row>
    <row r="81">
      <c r="A81" s="226" t="s">
        <v>119</v>
      </c>
      <c r="B81" s="94">
        <f>IF('WEEK 28'!B87='WEEK 28'!B89,'WEEK 28'!B87+5,IF('WEEK 28'!F87&lt;=9,MROUND('WEEK 28'!B85*0.95,5),'WEEK 28'!B87))</f>
        <v>50</v>
      </c>
      <c r="C81" s="20"/>
      <c r="D81" s="20"/>
      <c r="E81" s="20"/>
      <c r="F81" s="95"/>
      <c r="G81" s="103"/>
      <c r="H81" s="103"/>
      <c r="I81" s="103"/>
      <c r="J81" s="103"/>
      <c r="K81" s="103"/>
      <c r="L81" s="222"/>
      <c r="M81" s="103"/>
    </row>
    <row r="82">
      <c r="A82" s="96" t="s">
        <v>50</v>
      </c>
      <c r="B82" s="97" t="s">
        <v>51</v>
      </c>
      <c r="C82" s="97" t="s">
        <v>52</v>
      </c>
      <c r="D82" s="97" t="s">
        <v>53</v>
      </c>
      <c r="E82" s="98" t="s">
        <v>54</v>
      </c>
      <c r="F82" s="235" t="s">
        <v>55</v>
      </c>
      <c r="G82" s="234"/>
      <c r="H82" s="234"/>
      <c r="I82" s="234"/>
      <c r="J82" s="234"/>
      <c r="K82" s="234"/>
      <c r="L82" s="299"/>
      <c r="M82" s="234"/>
    </row>
    <row r="83">
      <c r="A83" s="62">
        <v>1.0</v>
      </c>
      <c r="B83" s="99">
        <f>if('WEEK 28'!B87='WEEK 28'!B89,'WEEK 29'!B81,'WEEK 29'!B81)</f>
        <v>50</v>
      </c>
      <c r="C83" s="104">
        <v>20.0</v>
      </c>
      <c r="D83" s="83" t="s">
        <v>57</v>
      </c>
      <c r="E83" s="100"/>
      <c r="F83" s="85"/>
      <c r="G83" s="103"/>
      <c r="H83" s="103"/>
      <c r="I83" s="103"/>
      <c r="J83" s="103"/>
      <c r="K83" s="103"/>
      <c r="L83" s="222"/>
      <c r="M83" s="103"/>
    </row>
    <row r="84">
      <c r="A84" s="62">
        <v>2.0</v>
      </c>
      <c r="B84" s="99">
        <f>if('WEEK 29'!F83&lt;8,mround('WEEK 29'!B83*0.8,5),IF('WEEK 29'!F83&lt;=14,MROUND('WEEK 29'!B83*0.95,5),'WEEK 29'!B83))</f>
        <v>40</v>
      </c>
      <c r="C84" s="104">
        <v>20.0</v>
      </c>
      <c r="D84" s="83" t="s">
        <v>57</v>
      </c>
      <c r="E84" s="100"/>
      <c r="F84" s="85"/>
      <c r="G84" s="239"/>
      <c r="H84" s="239"/>
      <c r="I84" s="239"/>
      <c r="J84" s="239"/>
      <c r="K84" s="239"/>
      <c r="L84" s="322"/>
      <c r="M84" s="239"/>
    </row>
    <row r="85">
      <c r="A85" s="68">
        <v>3.0</v>
      </c>
      <c r="B85" s="101">
        <f>if('WEEK 29'!F84&lt;8,mround('WEEK 29'!B84*0.8,5),IF('WEEK 29'!F84&lt;=14,MROUND('WEEK 29'!B84*0.95,5),'WEEK 29'!B84))</f>
        <v>30</v>
      </c>
      <c r="C85" s="105">
        <v>20.0</v>
      </c>
      <c r="D85" s="88" t="s">
        <v>57</v>
      </c>
      <c r="E85" s="102"/>
      <c r="F85" s="85"/>
      <c r="G85" s="103"/>
      <c r="H85" s="103"/>
      <c r="I85" s="103"/>
      <c r="J85" s="103"/>
      <c r="K85" s="103"/>
      <c r="L85" s="222"/>
      <c r="M85" s="103"/>
    </row>
    <row r="86">
      <c r="A86" s="103"/>
      <c r="B86" s="103"/>
      <c r="C86" s="103"/>
      <c r="D86" s="103"/>
      <c r="E86" s="222"/>
      <c r="F86" s="103"/>
      <c r="G86" s="103"/>
      <c r="H86" s="103"/>
      <c r="I86" s="103"/>
      <c r="J86" s="103"/>
      <c r="K86" s="103"/>
      <c r="L86" s="222"/>
      <c r="M86" s="103"/>
    </row>
    <row r="87">
      <c r="A87" s="103"/>
      <c r="B87" s="103"/>
      <c r="C87" s="103"/>
      <c r="D87" s="103"/>
      <c r="E87" s="222"/>
      <c r="F87" s="103"/>
      <c r="G87" s="103"/>
      <c r="H87" s="103"/>
      <c r="I87" s="103"/>
      <c r="J87" s="103"/>
      <c r="K87" s="103"/>
      <c r="L87" s="222"/>
      <c r="M87" s="103"/>
    </row>
    <row r="88">
      <c r="A88" s="73" t="str">
        <f>HYPERLINK("https://www.youtube.com/watch?v=NZ9KiFtbiMs","4. LEG CURL")</f>
        <v>4. LEG CURL</v>
      </c>
      <c r="B88" s="53"/>
      <c r="C88" s="53"/>
      <c r="D88" s="53"/>
      <c r="E88" s="53"/>
      <c r="F88" s="54"/>
      <c r="G88" s="103"/>
      <c r="H88" s="323" t="str">
        <f>HYPERLINK("https://youtu.be/kmN9cJ79PDE","4. PRONE LEG CURL")</f>
        <v>4. PRONE LEG CURL</v>
      </c>
      <c r="I88" s="53"/>
      <c r="J88" s="53"/>
      <c r="K88" s="53"/>
      <c r="L88" s="53"/>
      <c r="M88" s="54"/>
    </row>
    <row r="89">
      <c r="A89" s="226" t="s">
        <v>119</v>
      </c>
      <c r="B89" s="94">
        <f>IF('WEEK 28'!B95='WEEK 28'!B97,'WEEK 28'!B95+5,IF('WEEK 28'!F95&lt;=9,MROUND('WEEK 28'!B93*0.95,5),'WEEK 28'!B95))</f>
        <v>15</v>
      </c>
      <c r="C89" s="20"/>
      <c r="D89" s="20"/>
      <c r="E89" s="20"/>
      <c r="F89" s="95"/>
      <c r="G89" s="103"/>
      <c r="H89" s="226" t="s">
        <v>119</v>
      </c>
      <c r="I89" s="94">
        <f>IF('WEEK 28'!I95='WEEK 28'!I97,'WEEK 28'!I95+5,IF('WEEK 28'!M95&lt;=9,MROUND('WEEK 28'!I93*0.95,5),'WEEK 28'!I95))</f>
        <v>15</v>
      </c>
      <c r="J89" s="20"/>
      <c r="K89" s="20"/>
      <c r="L89" s="20"/>
      <c r="M89" s="95"/>
    </row>
    <row r="90">
      <c r="A90" s="96" t="s">
        <v>50</v>
      </c>
      <c r="B90" s="97" t="s">
        <v>51</v>
      </c>
      <c r="C90" s="97" t="s">
        <v>52</v>
      </c>
      <c r="D90" s="97" t="s">
        <v>53</v>
      </c>
      <c r="E90" s="98" t="s">
        <v>54</v>
      </c>
      <c r="F90" s="235" t="s">
        <v>55</v>
      </c>
      <c r="G90" s="234"/>
      <c r="H90" s="96" t="s">
        <v>50</v>
      </c>
      <c r="I90" s="97" t="s">
        <v>51</v>
      </c>
      <c r="J90" s="97" t="s">
        <v>52</v>
      </c>
      <c r="K90" s="97" t="s">
        <v>53</v>
      </c>
      <c r="L90" s="98" t="s">
        <v>54</v>
      </c>
      <c r="M90" s="235" t="s">
        <v>55</v>
      </c>
    </row>
    <row r="91">
      <c r="A91" s="62">
        <v>1.0</v>
      </c>
      <c r="B91" s="99">
        <f>if('WEEK 28'!B95='WEEK 28'!B97,B89,B89)</f>
        <v>15</v>
      </c>
      <c r="C91" s="104">
        <v>20.0</v>
      </c>
      <c r="D91" s="83" t="s">
        <v>57</v>
      </c>
      <c r="E91" s="100"/>
      <c r="F91" s="85"/>
      <c r="G91" s="324" t="s">
        <v>123</v>
      </c>
      <c r="H91" s="62">
        <v>1.0</v>
      </c>
      <c r="I91" s="99">
        <f>if('WEEK 28'!I95='WEEK 28'!I97,I89,I89)</f>
        <v>15</v>
      </c>
      <c r="J91" s="104">
        <v>20.0</v>
      </c>
      <c r="K91" s="83" t="s">
        <v>57</v>
      </c>
      <c r="L91" s="100"/>
      <c r="M91" s="85"/>
    </row>
    <row r="92">
      <c r="A92" s="62">
        <v>2.0</v>
      </c>
      <c r="B92" s="99">
        <f>if('WEEK 29'!F91&lt;8,mround('WEEK 29'!B91*0.8,5),IF('WEEK 29'!F91&lt;=14,MROUND('WEEK 29'!B91*0.95,5),'WEEK 29'!B91))</f>
        <v>10</v>
      </c>
      <c r="C92" s="104">
        <v>20.0</v>
      </c>
      <c r="D92" s="83" t="s">
        <v>57</v>
      </c>
      <c r="E92" s="100"/>
      <c r="F92" s="85"/>
      <c r="H92" s="62">
        <v>2.0</v>
      </c>
      <c r="I92" s="99">
        <f>if('WEEK 29'!M91&lt;8,mround('WEEK 29'!I91*0.8,5),IF('WEEK 29'!M91&lt;=14,MROUND('WEEK 29'!I91*0.95,5),'WEEK 29'!I91))</f>
        <v>10</v>
      </c>
      <c r="J92" s="104">
        <v>20.0</v>
      </c>
      <c r="K92" s="83" t="s">
        <v>57</v>
      </c>
      <c r="L92" s="100"/>
      <c r="M92" s="85"/>
    </row>
    <row r="93">
      <c r="A93" s="325">
        <v>3.0</v>
      </c>
      <c r="B93" s="326">
        <f>if('WEEK 29'!F92&lt;8,mround('WEEK 29'!B92*0.8,5),IF('WEEK 29'!F92&lt;=14,MROUND('WEEK 29'!B92*0.95,5),'WEEK 29'!B92))</f>
        <v>10</v>
      </c>
      <c r="C93" s="327">
        <v>20.0</v>
      </c>
      <c r="D93" s="328" t="s">
        <v>57</v>
      </c>
      <c r="E93" s="329"/>
      <c r="F93" s="330"/>
      <c r="G93" s="103"/>
      <c r="H93" s="325">
        <v>3.0</v>
      </c>
      <c r="I93" s="326">
        <f>if('WEEK 29'!M92&lt;8,mround('WEEK 29'!I92*0.8,5),IF('WEEK 29'!M92&lt;=14,MROUND('WEEK 29'!I92*0.95,5),'WEEK 29'!I92))</f>
        <v>10</v>
      </c>
      <c r="J93" s="327">
        <v>20.0</v>
      </c>
      <c r="K93" s="328" t="s">
        <v>57</v>
      </c>
      <c r="L93" s="329"/>
      <c r="M93" s="330"/>
    </row>
    <row r="94">
      <c r="A94" s="331"/>
      <c r="B94" s="331"/>
      <c r="C94" s="331"/>
      <c r="D94" s="331"/>
      <c r="E94" s="331"/>
      <c r="F94" s="331"/>
      <c r="G94" s="239"/>
      <c r="H94" s="272"/>
      <c r="I94" s="332"/>
      <c r="J94" s="33"/>
      <c r="K94" s="33"/>
      <c r="L94" s="33"/>
      <c r="M94" s="34"/>
    </row>
    <row r="96">
      <c r="A96" s="959" t="s">
        <v>167</v>
      </c>
      <c r="B96" s="53"/>
      <c r="C96" s="53"/>
      <c r="D96" s="53"/>
      <c r="E96" s="53"/>
      <c r="F96" s="54"/>
    </row>
    <row r="97">
      <c r="A97" s="670" t="s">
        <v>119</v>
      </c>
      <c r="B97" s="94">
        <f>'MSW28'!B76</f>
        <v>35</v>
      </c>
      <c r="C97" s="20"/>
      <c r="D97" s="20"/>
      <c r="E97" s="20"/>
      <c r="F97" s="21"/>
    </row>
    <row r="98">
      <c r="A98" s="96" t="s">
        <v>50</v>
      </c>
      <c r="B98" s="672" t="s">
        <v>51</v>
      </c>
      <c r="C98" s="672" t="s">
        <v>52</v>
      </c>
      <c r="D98" s="672" t="s">
        <v>53</v>
      </c>
      <c r="E98" s="673" t="s">
        <v>54</v>
      </c>
      <c r="F98" s="235" t="s">
        <v>55</v>
      </c>
    </row>
    <row r="99">
      <c r="A99" s="342">
        <v>1.0</v>
      </c>
      <c r="B99" s="674">
        <f>mround('WEEK 29'!B97*0.5,5)</f>
        <v>20</v>
      </c>
      <c r="C99" s="343">
        <v>10.0</v>
      </c>
      <c r="D99" s="350" t="s">
        <v>122</v>
      </c>
      <c r="E99" s="84" t="str">
        <f>IF('WEEK 25'!E93='WEEK 26'!B96,'WEEK 25'!F93,"")</f>
        <v/>
      </c>
      <c r="F99" s="85"/>
    </row>
    <row r="100">
      <c r="A100" s="342">
        <v>2.0</v>
      </c>
      <c r="B100" s="674">
        <f>mround('WEEK 29'!B97*0.65,5)</f>
        <v>25</v>
      </c>
      <c r="C100" s="343">
        <v>10.0</v>
      </c>
      <c r="D100" s="350" t="s">
        <v>122</v>
      </c>
      <c r="E100" s="84" t="str">
        <f>IF('WEEK 25'!E94='WEEK 26'!B97,'WEEK 25'!F94,"")</f>
        <v/>
      </c>
      <c r="F100" s="85"/>
    </row>
    <row r="101">
      <c r="A101" s="342">
        <v>3.0</v>
      </c>
      <c r="B101" s="674">
        <f>mround('WEEK 29'!B97*0.8,5)</f>
        <v>30</v>
      </c>
      <c r="C101" s="343">
        <v>10.0</v>
      </c>
      <c r="D101" s="350" t="s">
        <v>122</v>
      </c>
      <c r="E101" s="84" t="str">
        <f>IF('WEEK 25'!E95='WEEK 26'!B98,'WEEK 25'!F95,"")</f>
        <v/>
      </c>
      <c r="F101" s="85"/>
    </row>
    <row r="102">
      <c r="A102" s="342">
        <v>4.0</v>
      </c>
      <c r="B102" s="99">
        <f>mround('WEEK 29'!B97*0.95,5)</f>
        <v>35</v>
      </c>
      <c r="C102" s="343">
        <v>10.0</v>
      </c>
      <c r="D102" s="350" t="s">
        <v>122</v>
      </c>
      <c r="E102" s="84" t="str">
        <f>IF('WEEK 25'!E96='WEEK 26'!B99,'WEEK 25'!F96,"")</f>
        <v/>
      </c>
      <c r="F102" s="85"/>
    </row>
    <row r="103">
      <c r="A103" s="342">
        <v>5.0</v>
      </c>
      <c r="B103" s="170">
        <f>mround('WEEK 29'!B97*1.05,5)</f>
        <v>35</v>
      </c>
      <c r="C103" s="343">
        <v>10.0</v>
      </c>
      <c r="D103" s="350" t="s">
        <v>122</v>
      </c>
      <c r="E103" s="84" t="str">
        <f>IF('WEEK 25'!E97='WEEK 26'!B100,'WEEK 25'!F97,"")</f>
        <v/>
      </c>
      <c r="F103" s="85"/>
    </row>
    <row r="104">
      <c r="A104" s="272" t="s">
        <v>124</v>
      </c>
      <c r="B104" s="332">
        <f>IF('WEEK 29'!F103&lt;10,'WEEK 29'!B97,IF('WEEK 29'!F103&gt;=10,'WEEK 29'!B103,'WEEK 29'!B97))</f>
        <v>35</v>
      </c>
      <c r="C104" s="33"/>
      <c r="D104" s="33"/>
      <c r="E104" s="33"/>
      <c r="F104" s="34"/>
    </row>
    <row r="106">
      <c r="A106" s="310" t="str">
        <f>HYPERLINK("https://docs.google.com/a/fitnessresults.com/forms/d/e/1FAIpQLSd7MoczESe8Yjv6BKpmwAZGn9Aiymrs9-UdgfYIUpbr9t5NXg/viewform?usp=pp_url&amp;entry.93370101","CLICK TO COMPLETE WORKOUT")</f>
        <v>CLICK TO COMPLETE WORKOUT</v>
      </c>
      <c r="B106" s="36"/>
      <c r="C106" s="36"/>
      <c r="D106" s="36"/>
      <c r="E106" s="36"/>
      <c r="F106" s="37"/>
    </row>
    <row r="107">
      <c r="A107" s="598"/>
      <c r="B107" s="598"/>
      <c r="C107" s="598"/>
      <c r="D107" s="598"/>
      <c r="E107" s="598"/>
      <c r="F107" s="598"/>
    </row>
    <row r="108">
      <c r="A108" s="602" t="s">
        <v>62</v>
      </c>
      <c r="B108" s="36"/>
      <c r="C108" s="36"/>
      <c r="D108" s="36"/>
      <c r="E108" s="36"/>
      <c r="F108" s="37"/>
    </row>
    <row r="110">
      <c r="A110" s="960" t="str">
        <f>HYPERLINK("https://youtu.be/ZhZ733bUA9Q","1. SHOULDER CLEANS")</f>
        <v>1. SHOULDER CLEANS</v>
      </c>
      <c r="B110" s="53"/>
      <c r="C110" s="53"/>
      <c r="D110" s="53"/>
      <c r="E110" s="53"/>
      <c r="F110" s="54"/>
    </row>
    <row r="111">
      <c r="A111" s="961" t="s">
        <v>119</v>
      </c>
      <c r="B111" s="76">
        <f>IF('WEEK 26'!B123='WEEK 26'!B125,'WEEK 26'!B125+5,IF('WEEK 26'!F123&lt;=15,MROUND('WEEK 26'!B121*0.85,5),'WEEK 26'!B123))</f>
        <v>35</v>
      </c>
      <c r="C111" s="13"/>
      <c r="D111" s="13"/>
      <c r="E111" s="13"/>
      <c r="F111" s="57"/>
    </row>
    <row r="112">
      <c r="A112" s="962" t="s">
        <v>50</v>
      </c>
      <c r="B112" s="963" t="s">
        <v>51</v>
      </c>
      <c r="C112" s="963" t="s">
        <v>52</v>
      </c>
      <c r="D112" s="981" t="s">
        <v>53</v>
      </c>
      <c r="E112" s="965" t="s">
        <v>54</v>
      </c>
      <c r="F112" s="966" t="s">
        <v>55</v>
      </c>
    </row>
    <row r="113">
      <c r="A113" s="967">
        <v>1.0</v>
      </c>
      <c r="B113" s="968">
        <f>'WEEK 29'!B111</f>
        <v>35</v>
      </c>
      <c r="C113" s="968">
        <v>20.0</v>
      </c>
      <c r="D113" s="969" t="s">
        <v>57</v>
      </c>
      <c r="E113" s="970"/>
      <c r="F113" s="982"/>
    </row>
    <row r="114">
      <c r="A114" s="967">
        <v>2.0</v>
      </c>
      <c r="B114" s="968">
        <f>if('WEEK 29'!F113&lt;20,mround('WEEK 29'!B113*0.75,5),'WEEK 29'!B113)</f>
        <v>25</v>
      </c>
      <c r="C114" s="968">
        <v>20.0</v>
      </c>
      <c r="D114" s="969" t="s">
        <v>57</v>
      </c>
      <c r="E114" s="970"/>
      <c r="F114" s="983"/>
    </row>
    <row r="115">
      <c r="A115" s="971">
        <v>3.0</v>
      </c>
      <c r="B115" s="972">
        <f>if('WEEK 29'!F114&lt;20,mround('WEEK 29'!B114*0.6,5),'WEEK 29'!B114)</f>
        <v>25</v>
      </c>
      <c r="C115" s="972">
        <v>20.0</v>
      </c>
      <c r="D115" s="973" t="s">
        <v>57</v>
      </c>
      <c r="E115" s="974"/>
      <c r="F115" s="984"/>
    </row>
    <row r="117">
      <c r="A117" s="361" t="str">
        <f>HYPERLINK("https://www.youtube.com/watch?v=gxWVN6F_uxo","2.  CABLE HIGH PULLEY ROW")</f>
        <v>2.  CABLE HIGH PULLEY ROW</v>
      </c>
      <c r="B117" s="53"/>
      <c r="C117" s="53"/>
      <c r="D117" s="53"/>
      <c r="E117" s="53"/>
      <c r="F117" s="54"/>
    </row>
    <row r="118">
      <c r="A118" s="226" t="s">
        <v>134</v>
      </c>
      <c r="B118" s="90">
        <f>IF('WEEK 28'!I118="",'WEEK 27'!B113,'WEEK 28'!I118)</f>
        <v>80</v>
      </c>
      <c r="C118" s="13"/>
      <c r="D118" s="13"/>
      <c r="E118" s="13"/>
      <c r="F118" s="57"/>
    </row>
    <row r="119">
      <c r="A119" s="77" t="s">
        <v>50</v>
      </c>
      <c r="B119" s="78" t="s">
        <v>51</v>
      </c>
      <c r="C119" s="78" t="s">
        <v>52</v>
      </c>
      <c r="D119" s="78" t="s">
        <v>53</v>
      </c>
      <c r="E119" s="80" t="s">
        <v>54</v>
      </c>
      <c r="F119" s="235" t="s">
        <v>55</v>
      </c>
    </row>
    <row r="120">
      <c r="A120" s="81">
        <v>1.0</v>
      </c>
      <c r="B120" s="82">
        <f> mround('WEEK 29'!B118*2*0.7,5)</f>
        <v>110</v>
      </c>
      <c r="C120" s="65">
        <v>20.0</v>
      </c>
      <c r="D120" s="83" t="s">
        <v>58</v>
      </c>
      <c r="E120" s="84" t="str">
        <f>IF('WEEK 25'!B117=B120,'WEEK 25'!F117,"")</f>
        <v/>
      </c>
      <c r="F120" s="85"/>
    </row>
    <row r="121">
      <c r="A121" s="81">
        <v>2.0</v>
      </c>
      <c r="B121" s="82">
        <f>if('WEEK 29'!F120&lt;10,mround(B120*0.8,5),IF('WEEK 29'!F120&lt;=14,MROUND('WEEK 29'!B120*0.95,5),'WEEK 29'!B120))</f>
        <v>110</v>
      </c>
      <c r="C121" s="65">
        <v>20.0</v>
      </c>
      <c r="D121" s="83" t="s">
        <v>58</v>
      </c>
      <c r="E121" s="84" t="str">
        <f>IF('WEEK 25'!B118=B121,'WEEK 25'!F118,"")</f>
        <v/>
      </c>
      <c r="F121" s="85"/>
    </row>
    <row r="122">
      <c r="A122" s="86">
        <v>3.0</v>
      </c>
      <c r="B122" s="87">
        <f>if('WEEK 29'!F121&lt;8,mround('WEEK 29'!B121*0.8,5),IF('WEEK 29'!F121&lt;=14,MROUND('WEEK 29'!B121*0.95,5),'WEEK 29'!B121))</f>
        <v>110</v>
      </c>
      <c r="C122" s="71">
        <v>20.0</v>
      </c>
      <c r="D122" s="88" t="s">
        <v>58</v>
      </c>
      <c r="E122" s="89" t="str">
        <f>IF('WEEK 25'!B119=B122,'WEEK 25'!F119,"")</f>
        <v/>
      </c>
      <c r="F122" s="85"/>
    </row>
    <row r="124">
      <c r="A124" s="513" t="str">
        <f>HYPERLINK("https://youtu.be/QUNZvtb6mnY","3. DUMBBELL SIDE LATERAL RAISE")</f>
        <v>3. DUMBBELL SIDE LATERAL RAISE</v>
      </c>
      <c r="B124" s="53"/>
      <c r="C124" s="53"/>
      <c r="D124" s="53"/>
      <c r="E124" s="53"/>
      <c r="F124" s="54"/>
    </row>
    <row r="125">
      <c r="A125" s="226" t="s">
        <v>134</v>
      </c>
      <c r="B125" s="90">
        <f>'MSW28'!B129</f>
        <v>80</v>
      </c>
      <c r="C125" s="13"/>
      <c r="D125" s="13"/>
      <c r="E125" s="13"/>
      <c r="F125" s="57"/>
    </row>
    <row r="126">
      <c r="A126" s="376" t="s">
        <v>50</v>
      </c>
      <c r="B126" s="79" t="s">
        <v>51</v>
      </c>
      <c r="C126" s="79" t="s">
        <v>52</v>
      </c>
      <c r="D126" s="79" t="s">
        <v>53</v>
      </c>
      <c r="E126" s="98" t="s">
        <v>54</v>
      </c>
      <c r="F126" s="377" t="s">
        <v>55</v>
      </c>
    </row>
    <row r="127">
      <c r="A127" s="81">
        <v>1.0</v>
      </c>
      <c r="B127" s="82">
        <f>mround('WEEK 29'!B125*0.2,5)</f>
        <v>15</v>
      </c>
      <c r="C127" s="65">
        <v>20.0</v>
      </c>
      <c r="D127" s="83" t="s">
        <v>57</v>
      </c>
      <c r="E127" s="378"/>
      <c r="F127" s="796"/>
    </row>
    <row r="128">
      <c r="A128" s="81">
        <v>2.0</v>
      </c>
      <c r="B128" s="82">
        <f>if('WEEK 29'!F127&lt;12,mround('WEEK 29'!B125*0.15,2.5),'WEEK 29'!B127)</f>
        <v>15</v>
      </c>
      <c r="C128" s="65">
        <v>20.0</v>
      </c>
      <c r="D128" s="83" t="s">
        <v>57</v>
      </c>
      <c r="E128" s="378"/>
      <c r="F128" s="330"/>
    </row>
    <row r="129">
      <c r="A129" s="86">
        <v>3.0</v>
      </c>
      <c r="B129" s="87">
        <f>if('WEEK 29'!F128&lt;12,mround('WEEK 29'!B125*0.1,2.5),'WEEK 29'!B128)</f>
        <v>15</v>
      </c>
      <c r="C129" s="71">
        <v>20.0</v>
      </c>
      <c r="D129" s="88" t="s">
        <v>57</v>
      </c>
      <c r="E129" s="379"/>
      <c r="F129" s="85"/>
    </row>
    <row r="131">
      <c r="A131" s="73" t="str">
        <f>HYPERLINK("https://youtu.be/Yke__29qVfo","4. TRICEP PUSH DOWNS")</f>
        <v>4. TRICEP PUSH DOWNS</v>
      </c>
      <c r="B131" s="53"/>
      <c r="C131" s="53"/>
      <c r="D131" s="53"/>
      <c r="E131" s="53"/>
      <c r="F131" s="54"/>
      <c r="G131" s="697"/>
      <c r="H131" s="697"/>
      <c r="I131" s="697"/>
      <c r="J131" s="697"/>
      <c r="K131" s="697"/>
      <c r="L131" s="697"/>
      <c r="M131" s="697"/>
      <c r="N131" s="697"/>
    </row>
    <row r="132">
      <c r="A132" s="226" t="s">
        <v>119</v>
      </c>
      <c r="B132" s="90">
        <f>IF('WEEK 26'!B147='WEEK 26'!B149,'WEEK 26'!B147+5,IF('WEEK 26'!F147&lt;=9,MROUND('WEEK 26'!B145*0.95,5),'WEEK 26'!B147))</f>
        <v>30</v>
      </c>
      <c r="C132" s="13"/>
      <c r="D132" s="13"/>
      <c r="E132" s="13"/>
      <c r="F132" s="57"/>
      <c r="G132" s="697"/>
      <c r="H132" s="697"/>
      <c r="I132" s="697"/>
      <c r="J132" s="697"/>
      <c r="K132" s="697"/>
      <c r="L132" s="697"/>
      <c r="M132" s="697"/>
      <c r="N132" s="697"/>
    </row>
    <row r="133">
      <c r="A133" s="77" t="s">
        <v>50</v>
      </c>
      <c r="B133" s="78" t="s">
        <v>51</v>
      </c>
      <c r="C133" s="78" t="s">
        <v>52</v>
      </c>
      <c r="D133" s="78" t="s">
        <v>53</v>
      </c>
      <c r="E133" s="80" t="s">
        <v>54</v>
      </c>
      <c r="F133" s="235" t="s">
        <v>55</v>
      </c>
      <c r="G133" s="697"/>
      <c r="H133" s="697"/>
      <c r="I133" s="697"/>
      <c r="J133" s="697"/>
      <c r="K133" s="697"/>
      <c r="L133" s="697"/>
      <c r="M133" s="697"/>
      <c r="N133" s="697"/>
    </row>
    <row r="134">
      <c r="A134" s="81">
        <v>1.0</v>
      </c>
      <c r="B134" s="82">
        <f>'WEEK 29'!B132</f>
        <v>30</v>
      </c>
      <c r="C134" s="65">
        <v>20.0</v>
      </c>
      <c r="D134" s="83" t="s">
        <v>58</v>
      </c>
      <c r="E134" s="84" t="str">
        <f>IF('WEEK 26'!B147='WEEK 29'!B134,'WEEK 26'!F147,"")</f>
        <v/>
      </c>
      <c r="F134" s="85"/>
      <c r="G134" s="697"/>
      <c r="H134" s="697"/>
      <c r="I134" s="697"/>
      <c r="J134" s="697"/>
      <c r="K134" s="697"/>
      <c r="L134" s="697"/>
      <c r="M134" s="697"/>
      <c r="N134" s="697"/>
    </row>
    <row r="135">
      <c r="A135" s="81">
        <v>2.0</v>
      </c>
      <c r="B135" s="82">
        <f>if('WEEK 29'!F134&lt;10,mround('WEEK 29'!B134*0.8,5),IF('WEEK 29'!F134&lt;=14,MROUND('WEEK 29'!B132*0.95,5),'WEEK 29'!B134))</f>
        <v>70</v>
      </c>
      <c r="C135" s="65">
        <v>20.0</v>
      </c>
      <c r="D135" s="83" t="s">
        <v>58</v>
      </c>
      <c r="E135" s="84" t="str">
        <f>IF('WEEK 26'!B148='WEEK 29'!B135,'WEEK 26'!F148,"")</f>
        <v/>
      </c>
      <c r="F135" s="85"/>
      <c r="G135" s="697"/>
      <c r="H135" s="697"/>
      <c r="I135" s="697"/>
      <c r="J135" s="697"/>
      <c r="K135" s="697"/>
      <c r="L135" s="697"/>
      <c r="M135" s="697"/>
      <c r="N135" s="697"/>
    </row>
    <row r="136">
      <c r="A136" s="629">
        <v>3.0</v>
      </c>
      <c r="B136" s="630">
        <f>if('WEEK 29'!F135&lt;10,mround('WEEK 29'!B135*0.8,5),IF('WEEK 29'!F135&lt;=14,MROUND('WEEK 29'!B135*0.95,5),'WEEK 29'!B135))</f>
        <v>65</v>
      </c>
      <c r="C136" s="631">
        <v>20.0</v>
      </c>
      <c r="D136" s="328" t="s">
        <v>58</v>
      </c>
      <c r="E136" s="84" t="str">
        <f>IF('WEEK 26'!B149='WEEK 29'!B136,'WEEK 26'!F149,"")</f>
        <v/>
      </c>
      <c r="F136" s="330"/>
      <c r="G136" s="697"/>
      <c r="H136" s="697"/>
      <c r="I136" s="697"/>
      <c r="J136" s="697"/>
      <c r="K136" s="697"/>
      <c r="L136" s="697"/>
      <c r="M136" s="697"/>
      <c r="N136" s="697"/>
    </row>
    <row r="137">
      <c r="G137" s="697"/>
      <c r="H137" s="697"/>
      <c r="I137" s="697"/>
      <c r="J137" s="697"/>
      <c r="K137" s="697"/>
      <c r="L137" s="697"/>
      <c r="M137" s="697"/>
      <c r="N137" s="697"/>
    </row>
    <row r="138">
      <c r="G138" s="697"/>
      <c r="H138" s="697"/>
      <c r="I138" s="697"/>
      <c r="J138" s="697"/>
      <c r="K138" s="697"/>
      <c r="L138" s="697"/>
      <c r="M138" s="697"/>
      <c r="N138" s="697"/>
    </row>
    <row r="139">
      <c r="A139" s="75" t="str">
        <f>HYPERLINK("https://www.youtube.com/watch?v=9IqvmIhFxtY","5. BICEP CABLE CURL")</f>
        <v>5. BICEP CABLE CURL</v>
      </c>
      <c r="B139" s="53"/>
      <c r="C139" s="53"/>
      <c r="D139" s="53"/>
      <c r="E139" s="53"/>
      <c r="F139" s="54"/>
      <c r="G139" s="698"/>
      <c r="H139" s="75" t="s">
        <v>178</v>
      </c>
      <c r="I139" s="53"/>
      <c r="J139" s="53"/>
      <c r="K139" s="53"/>
      <c r="L139" s="53"/>
      <c r="M139" s="54"/>
      <c r="N139" s="141"/>
    </row>
    <row r="140">
      <c r="A140" s="226" t="s">
        <v>119</v>
      </c>
      <c r="B140" s="76">
        <f>IF('WEEK 27'!B149='WEEK 27'!B151,'WEEK 27'!B147,IF('WEEK 27'!F149&lt;=15,MROUND('WEEK 27'!B147*0.95,5),'WEEK 27'!B147))</f>
        <v>50</v>
      </c>
      <c r="C140" s="13"/>
      <c r="D140" s="13"/>
      <c r="E140" s="13"/>
      <c r="F140" s="57"/>
      <c r="G140" s="985"/>
      <c r="H140" s="226" t="s">
        <v>119</v>
      </c>
      <c r="I140" s="76" t="str">
        <f>IF('WEEK 27'!I149='WEEK 27'!I151,'WEEK 27'!I147,IF('WEEK 27'!M149&lt;=15,MROUND('WEEK 27'!I147*0.95,5),'WEEK 27'!I147))</f>
        <v/>
      </c>
      <c r="J140" s="13"/>
      <c r="K140" s="13"/>
      <c r="L140" s="13"/>
      <c r="M140" s="57"/>
    </row>
    <row r="141">
      <c r="A141" s="77" t="s">
        <v>50</v>
      </c>
      <c r="B141" s="78" t="s">
        <v>51</v>
      </c>
      <c r="C141" s="78" t="s">
        <v>52</v>
      </c>
      <c r="D141" s="78" t="s">
        <v>53</v>
      </c>
      <c r="E141" s="80" t="s">
        <v>54</v>
      </c>
      <c r="F141" s="235" t="s">
        <v>55</v>
      </c>
      <c r="G141" s="985"/>
      <c r="H141" s="77" t="s">
        <v>50</v>
      </c>
      <c r="I141" s="78" t="s">
        <v>51</v>
      </c>
      <c r="J141" s="78" t="s">
        <v>52</v>
      </c>
      <c r="K141" s="78" t="s">
        <v>53</v>
      </c>
      <c r="L141" s="80" t="s">
        <v>54</v>
      </c>
      <c r="M141" s="235" t="s">
        <v>55</v>
      </c>
    </row>
    <row r="142">
      <c r="A142" s="81">
        <v>1.0</v>
      </c>
      <c r="B142" s="82">
        <f>MROUND('WEEK 29'!B140,5)</f>
        <v>50</v>
      </c>
      <c r="C142" s="65">
        <v>20.0</v>
      </c>
      <c r="D142" s="83" t="s">
        <v>58</v>
      </c>
      <c r="E142" s="84" t="str">
        <f>IF('WEEK 27'!B149='WEEK 29'!B142,'WEEK 27'!F149,"")</f>
        <v/>
      </c>
      <c r="F142" s="85"/>
      <c r="G142" s="985"/>
      <c r="H142" s="81">
        <v>1.0</v>
      </c>
      <c r="I142" s="82">
        <f>MROUND('WEEK 29'!I140,5)</f>
        <v>0</v>
      </c>
      <c r="J142" s="65">
        <v>20.0</v>
      </c>
      <c r="K142" s="83" t="s">
        <v>58</v>
      </c>
      <c r="L142" s="84" t="str">
        <f>IF('WEEK 27'!I149='WEEK 29'!I142,'WEEK 27'!M149,"")</f>
        <v/>
      </c>
      <c r="M142" s="85"/>
    </row>
    <row r="143">
      <c r="A143" s="81">
        <v>2.0</v>
      </c>
      <c r="B143" s="82">
        <f>if('WEEK 29'!F142&lt;15,mround('WEEK 29'!B142*0.8,5),IF('WEEK 29'!F142&lt;=18,MROUND('WEEK 29'!B140*0.95,5),'WEEK 29'!B142))</f>
        <v>40</v>
      </c>
      <c r="C143" s="65">
        <v>20.0</v>
      </c>
      <c r="D143" s="83" t="s">
        <v>58</v>
      </c>
      <c r="E143" s="84" t="str">
        <f>IF('WEEK 27'!B150='WEEK 29'!B143,'WEEK 27'!F150,"")</f>
        <v/>
      </c>
      <c r="F143" s="85"/>
      <c r="G143" s="985"/>
      <c r="H143" s="81">
        <v>2.0</v>
      </c>
      <c r="I143" s="82">
        <f>if('WEEK 29'!M142&lt;15,mround('WEEK 29'!I142*0.8,5),IF('WEEK 29'!M142&lt;=18,MROUND('WEEK 29'!I140*0.95,5),'WEEK 29'!I142))</f>
        <v>0</v>
      </c>
      <c r="J143" s="65">
        <v>20.0</v>
      </c>
      <c r="K143" s="83" t="s">
        <v>58</v>
      </c>
      <c r="L143" s="84" t="str">
        <f>IF('WEEK 27'!I150='WEEK 29'!I143,'WEEK 27'!M150,"")</f>
        <v/>
      </c>
      <c r="M143" s="85"/>
    </row>
    <row r="144">
      <c r="A144" s="629">
        <v>3.0</v>
      </c>
      <c r="B144" s="630">
        <f>if('WEEK 29'!F143&lt;15,mround('WEEK 29'!B143*0.8,5),IF('WEEK 29'!F143&lt;=18,MROUND('WEEK 29'!B141*0.95,5),'WEEK 29'!B143))</f>
        <v>30</v>
      </c>
      <c r="C144" s="631">
        <v>20.0</v>
      </c>
      <c r="D144" s="328" t="s">
        <v>58</v>
      </c>
      <c r="E144" s="84" t="str">
        <f>IF('WEEK 27'!B151='WEEK 29'!B144,'WEEK 27'!F151,"")</f>
        <v/>
      </c>
      <c r="F144" s="330"/>
      <c r="G144" s="985"/>
      <c r="H144" s="86">
        <v>3.0</v>
      </c>
      <c r="I144" s="87">
        <f>if('WEEK 29'!M143&lt;15,mround('WEEK 29'!I143*0.8,5),IF('WEEK 29'!M143&lt;=18,MROUND('WEEK 29'!I141*0.95,5),'WEEK 29'!I143))</f>
        <v>0</v>
      </c>
      <c r="J144" s="71">
        <v>20.0</v>
      </c>
      <c r="K144" s="88" t="s">
        <v>58</v>
      </c>
      <c r="L144" s="84" t="str">
        <f>IF('WEEK 27'!I151='WEEK 29'!I144,'WEEK 27'!M151,"")</f>
        <v/>
      </c>
      <c r="M144" s="85"/>
    </row>
    <row r="147">
      <c r="A147" s="310" t="str">
        <f>HYPERLINK("https://docs.google.com/a/fitnessresults.com/forms/d/e/1FAIpQLSd7MoczESe8Yjv6BKpmwAZGn9Aiymrs9-UdgfYIUpbr9t5NXg/viewform?usp=pp_url&amp;entry.93370101","CLICK TO COMPLETE WORKOUT")</f>
        <v>CLICK TO COMPLETE WORKOUT</v>
      </c>
      <c r="B147" s="36"/>
      <c r="C147" s="36"/>
      <c r="D147" s="36"/>
      <c r="E147" s="36"/>
      <c r="F147" s="37"/>
    </row>
    <row r="148">
      <c r="A148" s="598"/>
      <c r="B148" s="598"/>
      <c r="C148" s="598"/>
      <c r="D148" s="598"/>
      <c r="E148" s="598"/>
      <c r="F148" s="598"/>
    </row>
    <row r="149">
      <c r="A149" s="639" t="s">
        <v>135</v>
      </c>
      <c r="B149" s="36"/>
      <c r="C149" s="36"/>
      <c r="D149" s="36"/>
      <c r="E149" s="36"/>
      <c r="F149" s="37"/>
    </row>
    <row r="150">
      <c r="A150" s="883"/>
    </row>
    <row r="151">
      <c r="A151" s="884" t="str">
        <f>HYPERLINK("https://www.amazon.com/30-Minute-Body-Investment-Champion/dp/0692791892/ref=sr_1_1?ie=UTF8&amp;qid=1490447969&amp;sr=8-1&amp;keywords=30+minute+body","WANT TO LEARN MORE?")</f>
        <v>WANT TO LEARN MORE?</v>
      </c>
      <c r="B151" s="16"/>
      <c r="C151" s="16"/>
      <c r="D151" s="16"/>
      <c r="E151" s="16"/>
      <c r="F151" s="17"/>
    </row>
    <row r="152">
      <c r="A152" s="18"/>
      <c r="B152" s="13"/>
      <c r="C152" s="13"/>
      <c r="D152" s="13"/>
      <c r="E152" s="13"/>
      <c r="F152" s="14"/>
    </row>
    <row r="153">
      <c r="A153" s="885"/>
      <c r="B153" s="886"/>
      <c r="C153" s="644" t="s">
        <v>67</v>
      </c>
      <c r="D153" s="25"/>
      <c r="E153" s="25"/>
      <c r="F153" s="26"/>
    </row>
    <row r="154">
      <c r="A154" s="887"/>
      <c r="B154" s="888"/>
      <c r="C154" s="529"/>
      <c r="F154" s="28"/>
    </row>
    <row r="155">
      <c r="A155" s="887"/>
      <c r="B155" s="888"/>
      <c r="C155" s="529"/>
      <c r="F155" s="28"/>
    </row>
    <row r="156">
      <c r="A156" s="887"/>
      <c r="B156" s="888"/>
      <c r="C156" s="529"/>
      <c r="F156" s="28"/>
    </row>
    <row r="157">
      <c r="A157" s="887"/>
      <c r="B157" s="888"/>
      <c r="C157" s="529"/>
      <c r="F157" s="28"/>
    </row>
    <row r="158">
      <c r="A158" s="887"/>
      <c r="B158" s="888"/>
      <c r="C158" s="529"/>
      <c r="F158" s="28"/>
    </row>
    <row r="159">
      <c r="A159" s="889"/>
      <c r="B159" s="888"/>
      <c r="C159" s="529"/>
      <c r="F159" s="28"/>
    </row>
    <row r="160">
      <c r="A160" s="887"/>
      <c r="B160" s="888"/>
      <c r="C160" s="529"/>
      <c r="F160" s="28"/>
    </row>
    <row r="161">
      <c r="A161" s="887"/>
      <c r="B161" s="888"/>
      <c r="C161" s="529"/>
      <c r="F161" s="28"/>
    </row>
    <row r="162">
      <c r="A162" s="890"/>
      <c r="B162" s="888"/>
      <c r="C162" s="529"/>
      <c r="F162" s="28"/>
    </row>
    <row r="163">
      <c r="A163" s="887"/>
      <c r="B163" s="888"/>
      <c r="C163" s="529"/>
      <c r="F163" s="28"/>
    </row>
    <row r="164">
      <c r="A164" s="887"/>
      <c r="B164" s="888"/>
      <c r="C164" s="529"/>
      <c r="F164" s="28"/>
    </row>
    <row r="165">
      <c r="A165" s="887"/>
      <c r="B165" s="888"/>
      <c r="C165" s="529"/>
      <c r="F165" s="28"/>
    </row>
    <row r="166">
      <c r="A166" s="887"/>
      <c r="B166" s="888"/>
      <c r="C166" s="529"/>
      <c r="F166" s="28"/>
    </row>
    <row r="167">
      <c r="A167" s="891"/>
      <c r="B167" s="892"/>
      <c r="C167" s="336"/>
      <c r="D167" s="11"/>
      <c r="E167" s="11"/>
      <c r="F167" s="46"/>
    </row>
  </sheetData>
  <mergeCells count="79">
    <mergeCell ref="I34:M34"/>
    <mergeCell ref="A35:N36"/>
    <mergeCell ref="A37:F37"/>
    <mergeCell ref="H37:M37"/>
    <mergeCell ref="B38:F38"/>
    <mergeCell ref="I38:M38"/>
    <mergeCell ref="N38:N41"/>
    <mergeCell ref="G40:G41"/>
    <mergeCell ref="A44:F44"/>
    <mergeCell ref="B45:F45"/>
    <mergeCell ref="A51:F51"/>
    <mergeCell ref="A54:F54"/>
    <mergeCell ref="B57:F57"/>
    <mergeCell ref="A60:F60"/>
    <mergeCell ref="B61:F61"/>
    <mergeCell ref="A68:F68"/>
    <mergeCell ref="B69:F69"/>
    <mergeCell ref="A75:F75"/>
    <mergeCell ref="A77:F77"/>
    <mergeCell ref="A80:F80"/>
    <mergeCell ref="B81:F81"/>
    <mergeCell ref="A88:F88"/>
    <mergeCell ref="H88:M88"/>
    <mergeCell ref="B89:F89"/>
    <mergeCell ref="I89:M89"/>
    <mergeCell ref="G91:G92"/>
    <mergeCell ref="I94:M94"/>
    <mergeCell ref="A96:F96"/>
    <mergeCell ref="B97:F97"/>
    <mergeCell ref="B104:F104"/>
    <mergeCell ref="A106:F106"/>
    <mergeCell ref="A108:F108"/>
    <mergeCell ref="A110:F110"/>
    <mergeCell ref="B111:F111"/>
    <mergeCell ref="A117:F117"/>
    <mergeCell ref="A139:F139"/>
    <mergeCell ref="H139:M139"/>
    <mergeCell ref="N139:N144"/>
    <mergeCell ref="B140:F140"/>
    <mergeCell ref="I140:M140"/>
    <mergeCell ref="A147:F147"/>
    <mergeCell ref="A149:F149"/>
    <mergeCell ref="A150:F150"/>
    <mergeCell ref="A151:F152"/>
    <mergeCell ref="C153:F167"/>
    <mergeCell ref="B118:F118"/>
    <mergeCell ref="A124:F124"/>
    <mergeCell ref="B125:F125"/>
    <mergeCell ref="A131:F131"/>
    <mergeCell ref="B132:F132"/>
    <mergeCell ref="A137:F138"/>
    <mergeCell ref="G139:G144"/>
    <mergeCell ref="H16:M16"/>
    <mergeCell ref="A17:N18"/>
    <mergeCell ref="A19:F19"/>
    <mergeCell ref="H19:M19"/>
    <mergeCell ref="A9:F9"/>
    <mergeCell ref="H9:M9"/>
    <mergeCell ref="A10:F11"/>
    <mergeCell ref="H10:M10"/>
    <mergeCell ref="A12:F12"/>
    <mergeCell ref="A13:F13"/>
    <mergeCell ref="H15:M15"/>
    <mergeCell ref="B21:F21"/>
    <mergeCell ref="A27:F27"/>
    <mergeCell ref="G27:G28"/>
    <mergeCell ref="H27:M27"/>
    <mergeCell ref="G19:G26"/>
    <mergeCell ref="G29:G31"/>
    <mergeCell ref="G38:G39"/>
    <mergeCell ref="A29:F29"/>
    <mergeCell ref="B34:F34"/>
    <mergeCell ref="A15:F15"/>
    <mergeCell ref="A16:F16"/>
    <mergeCell ref="N19:N31"/>
    <mergeCell ref="A20:F20"/>
    <mergeCell ref="H20:M20"/>
    <mergeCell ref="I21:M21"/>
    <mergeCell ref="H29:M29"/>
  </mergeCells>
  <dataValidations>
    <dataValidation type="decimal" operator="greaterThanOrEqual" allowBlank="1" showDropDown="1" showErrorMessage="1" sqref="M12:M14 F22:F26 F39:F41 F82:F85 M80:M87 F90:F93 M90:M93 F98:F103 F126:F129">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14 F58:F59 F62:F67 F70:F74 F86:F87">
      <formula1>0.0</formula1>
    </dataValidation>
  </dataValidations>
  <drawing r:id="rId2"/>
  <legacyDrawing r:id="rId3"/>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row>
    <row r="8">
      <c r="A8" s="11"/>
      <c r="B8" s="11"/>
      <c r="C8" s="11"/>
      <c r="D8" s="11"/>
      <c r="E8" s="11"/>
      <c r="F8" s="11"/>
      <c r="G8" s="11"/>
      <c r="H8" s="11"/>
      <c r="I8" s="11"/>
      <c r="J8" s="11"/>
      <c r="K8" s="11"/>
      <c r="L8" s="11"/>
      <c r="M8" s="11"/>
      <c r="N8" s="11"/>
    </row>
    <row r="9">
      <c r="A9" s="12" t="str">
        <f>'MSW29'!A9</f>
        <v>Week 29</v>
      </c>
      <c r="B9" s="13"/>
      <c r="C9" s="13"/>
      <c r="D9" s="13"/>
      <c r="E9" s="13"/>
      <c r="F9" s="14"/>
      <c r="G9" s="103" t="str">
        <f>'MSW29'!G9</f>
        <v/>
      </c>
      <c r="H9" s="24" t="s">
        <v>35</v>
      </c>
      <c r="I9" s="25"/>
      <c r="J9" s="25"/>
      <c r="K9" s="25"/>
      <c r="L9" s="25"/>
      <c r="M9" s="26"/>
      <c r="N9" s="103" t="str">
        <f>'MSW29'!N9</f>
        <v/>
      </c>
    </row>
    <row r="10">
      <c r="A10" s="15" t="str">
        <f>'MSW29'!A10</f>
        <v>PRESS TO RECORD BODY WEIGHT</v>
      </c>
      <c r="B10" s="16"/>
      <c r="C10" s="16"/>
      <c r="D10" s="16"/>
      <c r="E10" s="16"/>
      <c r="F10" s="17"/>
      <c r="H10" s="27" t="s">
        <v>317</v>
      </c>
      <c r="M10" s="28"/>
      <c r="N10" s="103" t="str">
        <f>'MSW29'!N10</f>
        <v/>
      </c>
    </row>
    <row r="11">
      <c r="A11" s="18"/>
      <c r="B11" s="13"/>
      <c r="C11" s="13"/>
      <c r="D11" s="13"/>
      <c r="E11" s="13"/>
      <c r="F11" s="14"/>
      <c r="H11" s="29" t="s">
        <v>318</v>
      </c>
      <c r="I11" s="30"/>
      <c r="J11" s="30"/>
      <c r="K11" s="30"/>
      <c r="L11" s="30"/>
      <c r="M11" s="31"/>
      <c r="N11" s="103" t="str">
        <f>'MSW29'!N11</f>
        <v/>
      </c>
    </row>
    <row r="12">
      <c r="A12" s="19" t="str">
        <f>'MSW29'!A12</f>
        <v>This Weeks Goals</v>
      </c>
      <c r="B12" s="20"/>
      <c r="C12" s="20"/>
      <c r="D12" s="20"/>
      <c r="E12" s="20"/>
      <c r="F12" s="21"/>
      <c r="G12" s="103" t="str">
        <f>'MSW29'!G12</f>
        <v/>
      </c>
    </row>
    <row r="13">
      <c r="A13" s="22" t="str">
        <f>'MSW29'!A13</f>
        <v>Working hard this week establishing new maxes in a few areas. Give it everything you've got. Pay close attention to rest times and rep counts. </v>
      </c>
      <c r="B13" s="20"/>
      <c r="C13" s="20"/>
      <c r="D13" s="20"/>
      <c r="E13" s="20"/>
      <c r="F13" s="21"/>
    </row>
    <row r="14">
      <c r="A14" s="219" t="str">
        <f>'MSW29'!A14</f>
        <v/>
      </c>
    </row>
    <row r="16">
      <c r="A16" s="50" t="str">
        <f>'MSW29'!A16</f>
        <v>DAY 1</v>
      </c>
      <c r="B16" s="36"/>
      <c r="C16" s="36"/>
      <c r="D16" s="36"/>
      <c r="E16" s="36"/>
      <c r="F16" s="37"/>
      <c r="G16" s="141" t="str">
        <f>'MSW29'!G16</f>
        <v/>
      </c>
      <c r="H16" s="50" t="str">
        <f>'MSW29'!H16</f>
        <v>ALTERNATE WORKOUTS</v>
      </c>
      <c r="I16" s="36"/>
      <c r="J16" s="36"/>
      <c r="K16" s="36"/>
      <c r="L16" s="36"/>
      <c r="M16" s="37"/>
      <c r="N16" s="141" t="str">
        <f>'MSW29'!N16</f>
        <v/>
      </c>
    </row>
    <row r="17">
      <c r="A17" s="657" t="str">
        <f>'MSW29'!A17</f>
        <v/>
      </c>
    </row>
    <row r="19">
      <c r="A19" s="51" t="str">
        <f>'MSW29'!A19</f>
        <v>CHEST &amp; BACK </v>
      </c>
      <c r="B19" s="36"/>
      <c r="C19" s="36"/>
      <c r="D19" s="36"/>
      <c r="E19" s="36"/>
      <c r="F19" s="37"/>
      <c r="G19" s="141" t="str">
        <f>'MSW29'!G19</f>
        <v/>
      </c>
      <c r="H19" s="51" t="str">
        <f>'MSW29'!H19</f>
        <v>CHEST &amp; BACK </v>
      </c>
      <c r="I19" s="36"/>
      <c r="J19" s="36"/>
      <c r="K19" s="36"/>
      <c r="L19" s="36"/>
      <c r="M19" s="37"/>
      <c r="N19" s="141" t="str">
        <f>'MSW29'!N19</f>
        <v/>
      </c>
    </row>
    <row r="20">
      <c r="A20" s="52" t="str">
        <f>'MSW29'!A20</f>
        <v>1. DUMBBELL INCLINE PRESS</v>
      </c>
      <c r="B20" s="53"/>
      <c r="C20" s="53"/>
      <c r="D20" s="53"/>
      <c r="E20" s="53"/>
      <c r="F20" s="54"/>
      <c r="H20" s="52" t="str">
        <f>'MSW29'!H20</f>
        <v>1. MACHINE PRESS</v>
      </c>
      <c r="I20" s="53"/>
      <c r="J20" s="53"/>
      <c r="K20" s="53"/>
      <c r="L20" s="53"/>
      <c r="M20" s="54"/>
    </row>
    <row r="21">
      <c r="A21" s="228" t="str">
        <f>'MSW29'!A21</f>
        <v>CURRENT MAX</v>
      </c>
      <c r="B21" s="229">
        <v>100.0</v>
      </c>
      <c r="C21" s="16"/>
      <c r="D21" s="16"/>
      <c r="E21" s="16"/>
      <c r="F21" s="230"/>
      <c r="H21" s="228" t="str">
        <f>'MSW29'!H21</f>
        <v>CURRENT MAX</v>
      </c>
      <c r="I21" s="229" t="str">
        <f>'MSW29'!I21</f>
        <v/>
      </c>
      <c r="J21" s="16"/>
      <c r="K21" s="16"/>
      <c r="L21" s="16"/>
      <c r="M21" s="230"/>
    </row>
    <row r="22">
      <c r="A22" s="96" t="str">
        <f>'MSW29'!A22</f>
        <v>SET</v>
      </c>
      <c r="B22" s="97" t="str">
        <f>'MSW29'!B22</f>
        <v>WEIGHT</v>
      </c>
      <c r="C22" s="97" t="str">
        <f>'MSW29'!C22</f>
        <v>REPS</v>
      </c>
      <c r="D22" s="97" t="str">
        <f>'MSW29'!D22</f>
        <v>REST</v>
      </c>
      <c r="E22" s="98" t="str">
        <f>'MSW29'!E22</f>
        <v>PREVIOUS</v>
      </c>
      <c r="F22" s="235" t="str">
        <f>'MSW29'!F22</f>
        <v>REP LOG</v>
      </c>
      <c r="H22" s="96" t="str">
        <f>'MSW29'!H22</f>
        <v>SET</v>
      </c>
      <c r="I22" s="97" t="str">
        <f>'MSW29'!I22</f>
        <v>WEIGHT</v>
      </c>
      <c r="J22" s="97" t="str">
        <f>'MSW29'!J22</f>
        <v>REPS</v>
      </c>
      <c r="K22" s="97" t="str">
        <f>'MSW29'!K22</f>
        <v>REST</v>
      </c>
      <c r="L22" s="98" t="str">
        <f>'MSW29'!L22</f>
        <v>PREVIOUS</v>
      </c>
      <c r="M22" s="235" t="str">
        <f>'MSW29'!M22</f>
        <v>REP LOG</v>
      </c>
    </row>
    <row r="23">
      <c r="A23" s="244">
        <f>'MSW29'!A23</f>
        <v>1</v>
      </c>
      <c r="B23" s="241">
        <f>'MSW29'!B23</f>
        <v>35</v>
      </c>
      <c r="C23" s="63">
        <f>'MSW29'!C23</f>
        <v>6</v>
      </c>
      <c r="D23" s="83" t="str">
        <f>'MSW29'!D23</f>
        <v>1 MIN</v>
      </c>
      <c r="E23" s="84" t="str">
        <f>'MSW29'!E23</f>
        <v/>
      </c>
      <c r="F23" s="85">
        <v>6.0</v>
      </c>
      <c r="H23" s="244">
        <f>'MSW29'!H23</f>
        <v>1</v>
      </c>
      <c r="I23" s="241">
        <f>'MSW29'!I23</f>
        <v>0</v>
      </c>
      <c r="J23" s="63">
        <f>'MSW29'!J23</f>
        <v>6</v>
      </c>
      <c r="K23" s="83" t="str">
        <f>'MSW29'!K23</f>
        <v>1 MIN</v>
      </c>
      <c r="L23" s="84" t="str">
        <f>'MSW29'!L23</f>
        <v/>
      </c>
      <c r="M23" s="85"/>
    </row>
    <row r="24">
      <c r="A24" s="240">
        <f>'MSW29'!A24</f>
        <v>2</v>
      </c>
      <c r="B24" s="241">
        <f>'MSW29'!B24</f>
        <v>65</v>
      </c>
      <c r="C24" s="241">
        <f>'MSW29'!C24</f>
        <v>1</v>
      </c>
      <c r="D24" s="83" t="str">
        <f>'MSW29'!D24</f>
        <v>1 MIN</v>
      </c>
      <c r="E24" s="84" t="str">
        <f>'MSW29'!E24</f>
        <v/>
      </c>
      <c r="F24" s="85">
        <v>1.0</v>
      </c>
      <c r="H24" s="240">
        <f>'MSW29'!H24</f>
        <v>2</v>
      </c>
      <c r="I24" s="241">
        <f>'MSW29'!I24</f>
        <v>0</v>
      </c>
      <c r="J24" s="241">
        <f>'MSW29'!J24</f>
        <v>1</v>
      </c>
      <c r="K24" s="83" t="str">
        <f>'MSW29'!K24</f>
        <v>1 MIN</v>
      </c>
      <c r="L24" s="84" t="str">
        <f>'MSW29'!L24</f>
        <v/>
      </c>
      <c r="M24" s="85"/>
    </row>
    <row r="25">
      <c r="A25" s="240">
        <f>'MSW29'!A25</f>
        <v>3</v>
      </c>
      <c r="B25" s="241">
        <f>'MSW29'!B25</f>
        <v>85</v>
      </c>
      <c r="C25" s="63">
        <f>'MSW29'!C25</f>
        <v>1</v>
      </c>
      <c r="D25" s="83" t="str">
        <f>'MSW29'!D25</f>
        <v>1 MIN</v>
      </c>
      <c r="E25" s="84" t="str">
        <f>'MSW29'!E25</f>
        <v/>
      </c>
      <c r="F25" s="85">
        <v>1.0</v>
      </c>
      <c r="H25" s="240">
        <f>'MSW29'!H25</f>
        <v>3</v>
      </c>
      <c r="I25" s="241">
        <f>'MSW29'!I25</f>
        <v>0</v>
      </c>
      <c r="J25" s="241">
        <f>'MSW29'!J25</f>
        <v>1</v>
      </c>
      <c r="K25" s="83" t="str">
        <f>'MSW29'!K25</f>
        <v>1 MIN</v>
      </c>
      <c r="L25" s="84" t="str">
        <f>'MSW29'!L25</f>
        <v/>
      </c>
      <c r="M25" s="85"/>
    </row>
    <row r="26">
      <c r="A26" s="240">
        <f>'MSW29'!A26</f>
        <v>4</v>
      </c>
      <c r="B26" s="241">
        <f>'MSW29'!B26</f>
        <v>100</v>
      </c>
      <c r="C26" s="947" t="str">
        <f>'MSW29'!C26</f>
        <v>REP OUT</v>
      </c>
      <c r="D26" s="241" t="str">
        <f>'MSW29'!D26</f>
        <v>1 MIN</v>
      </c>
      <c r="E26" s="948" t="str">
        <f>'MSW29'!E26</f>
        <v/>
      </c>
      <c r="F26" s="85">
        <v>2.0</v>
      </c>
      <c r="H26" s="240">
        <f>'MSW29'!H26</f>
        <v>4</v>
      </c>
      <c r="I26" s="241">
        <f>'MSW29'!I26</f>
        <v>0</v>
      </c>
      <c r="J26" s="947" t="str">
        <f>'MSW29'!J26</f>
        <v>REP OUT</v>
      </c>
      <c r="K26" s="241" t="str">
        <f>'MSW29'!K26</f>
        <v>1 MIN</v>
      </c>
      <c r="L26" s="241" t="str">
        <f>'MSW29'!L26</f>
        <v/>
      </c>
      <c r="M26" s="85"/>
    </row>
    <row r="27">
      <c r="A27" s="248" t="str">
        <f>'MSW29'!A27</f>
        <v>PROCEED TO DOWN SETS</v>
      </c>
      <c r="F27" s="28"/>
      <c r="G27" t="str">
        <f>'MSW29'!G28</f>
        <v/>
      </c>
      <c r="H27" s="248" t="str">
        <f>'MSW29'!H27</f>
        <v>PROCEED TO DOWNSETS</v>
      </c>
      <c r="M27" s="28"/>
    </row>
    <row r="28">
      <c r="A28" s="251" t="str">
        <f>'MSW29'!A28</f>
        <v/>
      </c>
      <c r="B28" s="252" t="str">
        <f>'MSW29'!B28</f>
        <v/>
      </c>
      <c r="C28" s="253" t="str">
        <f>'MSW29'!C28</f>
        <v/>
      </c>
      <c r="D28" s="254" t="str">
        <f>'MSW29'!D28</f>
        <v/>
      </c>
      <c r="E28" s="84" t="str">
        <f>'MSW29'!E28</f>
        <v/>
      </c>
      <c r="F28" s="67"/>
      <c r="H28" s="251" t="str">
        <f>'MSW29'!H28</f>
        <v/>
      </c>
      <c r="I28" s="252" t="str">
        <f>'MSW29'!I28</f>
        <v/>
      </c>
      <c r="J28" s="253" t="str">
        <f>'MSW29'!J28</f>
        <v/>
      </c>
      <c r="K28" s="254" t="str">
        <f>'MSW29'!K28</f>
        <v/>
      </c>
      <c r="L28" s="84" t="str">
        <f>'MSW29'!L28</f>
        <v/>
      </c>
      <c r="M28" s="67"/>
    </row>
    <row r="29">
      <c r="A29" s="260" t="str">
        <f>'MSW29'!A29</f>
        <v>DOWN SETS</v>
      </c>
      <c r="B29" s="16"/>
      <c r="C29" s="16"/>
      <c r="D29" s="16"/>
      <c r="E29" s="16"/>
      <c r="F29" s="230"/>
      <c r="G29" s="141" t="str">
        <f>'MSW29'!G29</f>
        <v/>
      </c>
      <c r="H29" s="260" t="str">
        <f>'MSW29'!H29</f>
        <v>FILL OUT REP LOG FIRST</v>
      </c>
      <c r="I29" s="16"/>
      <c r="J29" s="16"/>
      <c r="K29" s="16"/>
      <c r="L29" s="16"/>
      <c r="M29" s="230"/>
    </row>
    <row r="30">
      <c r="A30" s="545">
        <f>'MSW29'!A30</f>
        <v>5</v>
      </c>
      <c r="B30" s="261">
        <f>'MSW29'!B30</f>
        <v>80</v>
      </c>
      <c r="C30" s="262" t="str">
        <f>'MSW29'!C30</f>
        <v>REP OUT</v>
      </c>
      <c r="D30" s="65" t="str">
        <f>'MSW29'!D30</f>
        <v>1 MIN</v>
      </c>
      <c r="E30" s="84" t="str">
        <f>'MSW29'!E30</f>
        <v/>
      </c>
      <c r="F30" s="263">
        <v>7.0</v>
      </c>
      <c r="H30" s="91" t="str">
        <f>'MSW29'!H30</f>
        <v/>
      </c>
      <c r="I30" s="261" t="str">
        <f>'MSW29'!I30</f>
        <v/>
      </c>
      <c r="J30" s="262" t="str">
        <f>'MSW29'!J30</f>
        <v/>
      </c>
      <c r="K30" s="65" t="str">
        <f>'MSW29'!K30</f>
        <v/>
      </c>
      <c r="L30" s="84" t="str">
        <f>'MSW29'!L30</f>
        <v/>
      </c>
      <c r="M30" s="263" t="str">
        <f>'MSW29'!M30</f>
        <v/>
      </c>
    </row>
    <row r="31">
      <c r="A31" s="546">
        <f>'MSW29'!A31</f>
        <v>6</v>
      </c>
      <c r="B31" s="254">
        <f>'MSW29'!B31</f>
        <v>65</v>
      </c>
      <c r="C31" s="253" t="str">
        <f>'MSW29'!C31</f>
        <v>REP OUT</v>
      </c>
      <c r="D31" s="65" t="str">
        <f>'MSW29'!D31</f>
        <v>1 MIN</v>
      </c>
      <c r="E31" s="84" t="str">
        <f>'MSW29'!E31</f>
        <v/>
      </c>
      <c r="F31" s="263">
        <v>10.0</v>
      </c>
      <c r="H31" s="269" t="str">
        <f>'MSW29'!H31</f>
        <v/>
      </c>
      <c r="I31" s="254" t="str">
        <f>'MSW29'!I31</f>
        <v/>
      </c>
      <c r="J31" s="253" t="str">
        <f>'MSW29'!J31</f>
        <v/>
      </c>
      <c r="K31" s="65" t="str">
        <f>'MSW29'!K31</f>
        <v/>
      </c>
      <c r="L31" s="84" t="str">
        <f>'MSW29'!L31</f>
        <v/>
      </c>
      <c r="M31" s="270" t="str">
        <f>'MSW29'!M31</f>
        <v/>
      </c>
    </row>
    <row r="32">
      <c r="A32" s="546" t="str">
        <f>'MSW29'!A32</f>
        <v/>
      </c>
      <c r="B32" s="254" t="str">
        <f>'MSW29'!B32</f>
        <v/>
      </c>
      <c r="C32" s="253" t="str">
        <f>'MSW29'!C32</f>
        <v/>
      </c>
      <c r="D32" s="254" t="str">
        <f>'MSW29'!D32</f>
        <v/>
      </c>
      <c r="E32" s="949" t="str">
        <f>'MSW29'!E32</f>
        <v/>
      </c>
      <c r="F32" s="263"/>
      <c r="G32" s="141" t="str">
        <f>'MSW29'!G32</f>
        <v/>
      </c>
      <c r="H32" s="269" t="str">
        <f>'MSW29'!H32</f>
        <v/>
      </c>
      <c r="I32" s="254" t="str">
        <f>'MSW29'!I32</f>
        <v/>
      </c>
      <c r="J32" s="253" t="str">
        <f>'MSW29'!J32</f>
        <v/>
      </c>
      <c r="K32" s="254" t="str">
        <f>'MSW29'!K32</f>
        <v/>
      </c>
      <c r="L32" s="254" t="str">
        <f>'MSW29'!L32</f>
        <v/>
      </c>
      <c r="M32" s="270"/>
      <c r="N32" s="141" t="str">
        <f>'MSW29'!N32</f>
        <v/>
      </c>
    </row>
    <row r="33">
      <c r="A33" s="546" t="str">
        <f>'MSW29'!A33</f>
        <v/>
      </c>
      <c r="B33" s="254" t="str">
        <f>'MSW29'!B33</f>
        <v/>
      </c>
      <c r="C33" s="253" t="str">
        <f>'MSW29'!C33</f>
        <v/>
      </c>
      <c r="D33" s="65" t="str">
        <f>'MSW29'!D33</f>
        <v/>
      </c>
      <c r="E33" s="84" t="str">
        <f>'MSW29'!E33</f>
        <v/>
      </c>
      <c r="F33" s="263"/>
      <c r="G33" s="141" t="str">
        <f>'MSW29'!G33</f>
        <v/>
      </c>
      <c r="H33" s="269" t="str">
        <f>'MSW29'!H33</f>
        <v/>
      </c>
      <c r="I33" s="254" t="str">
        <f>'MSW29'!I33</f>
        <v/>
      </c>
      <c r="J33" s="253" t="str">
        <f>'MSW29'!J33</f>
        <v/>
      </c>
      <c r="K33" s="65" t="str">
        <f>'MSW29'!K33</f>
        <v/>
      </c>
      <c r="L33" s="84" t="str">
        <f>'MSW29'!L33</f>
        <v/>
      </c>
      <c r="M33" s="270" t="str">
        <f>'MSW29'!M33</f>
        <v/>
      </c>
      <c r="N33" s="141" t="str">
        <f>'MSW29'!N33</f>
        <v/>
      </c>
    </row>
    <row r="34">
      <c r="A34" s="280" t="str">
        <f>'MSW29'!A34</f>
        <v>FINAL MAX</v>
      </c>
      <c r="B34" s="273">
        <f>'MSW29'!B34</f>
        <v>95</v>
      </c>
      <c r="C34" s="11"/>
      <c r="D34" s="11"/>
      <c r="E34" s="11"/>
      <c r="F34" s="46"/>
      <c r="G34" s="141" t="str">
        <f>'MSW29'!G34</f>
        <v/>
      </c>
      <c r="H34" s="280" t="str">
        <f>'MSW29'!H34</f>
        <v>FINAL MAX</v>
      </c>
      <c r="I34" s="273" t="str">
        <f>'MSW29'!I34</f>
        <v/>
      </c>
      <c r="J34" s="11"/>
      <c r="K34" s="11"/>
      <c r="L34" s="11"/>
      <c r="M34" s="46"/>
      <c r="N34" s="141" t="str">
        <f>'MSW29'!N34</f>
        <v/>
      </c>
    </row>
    <row r="35">
      <c r="A35" s="658" t="str">
        <f>'MSW29'!A35</f>
        <v/>
      </c>
    </row>
    <row r="37">
      <c r="A37" s="440" t="str">
        <f>'MSW29'!A37</f>
        <v>2. DUMBBELL CHEST FLY</v>
      </c>
      <c r="B37" s="53"/>
      <c r="C37" s="53"/>
      <c r="D37" s="53"/>
      <c r="E37" s="53"/>
      <c r="F37" s="54"/>
      <c r="G37" s="659" t="str">
        <f>'MSW29'!G37</f>
        <v/>
      </c>
      <c r="H37" s="504" t="str">
        <f>'MSW29'!H37</f>
        <v>2. MACHINE CHEST FLY</v>
      </c>
      <c r="I37" s="53"/>
      <c r="J37" s="53"/>
      <c r="K37" s="53"/>
      <c r="L37" s="53"/>
      <c r="M37" s="54"/>
      <c r="N37" s="660" t="str">
        <f>'MSW29'!N37</f>
        <v/>
      </c>
    </row>
    <row r="38">
      <c r="A38" s="226" t="str">
        <f>'MSW29'!A38</f>
        <v>DB INCL MAX</v>
      </c>
      <c r="B38" s="548">
        <f>'MSW29'!B38</f>
        <v>95</v>
      </c>
      <c r="C38" s="13"/>
      <c r="D38" s="13"/>
      <c r="E38" s="13"/>
      <c r="F38" s="57"/>
      <c r="H38" s="226" t="str">
        <f>'MSW29'!H38</f>
        <v>DB INCL MAX</v>
      </c>
      <c r="I38" s="548">
        <f>'MSW29'!I38</f>
        <v>95</v>
      </c>
      <c r="J38" s="13"/>
      <c r="K38" s="13"/>
      <c r="L38" s="13"/>
      <c r="M38" s="57"/>
      <c r="N38" s="141" t="str">
        <f>'MSW29'!N38</f>
        <v/>
      </c>
    </row>
    <row r="39">
      <c r="A39" s="96" t="str">
        <f>'MSW29'!A39</f>
        <v>SET</v>
      </c>
      <c r="B39" s="97" t="str">
        <f>'MSW29'!B39</f>
        <v>WEIGHT</v>
      </c>
      <c r="C39" s="97" t="str">
        <f>'MSW29'!C39</f>
        <v>REPS</v>
      </c>
      <c r="D39" s="97" t="str">
        <f>'MSW29'!D39</f>
        <v>REST</v>
      </c>
      <c r="E39" s="98" t="str">
        <f>'MSW29'!E39</f>
        <v>PREVIOUS</v>
      </c>
      <c r="F39" s="235" t="str">
        <f>'MSW29'!F39</f>
        <v>REP LOG</v>
      </c>
      <c r="H39" s="96" t="str">
        <f>'MSW29'!H39</f>
        <v>SET</v>
      </c>
      <c r="I39" s="97" t="str">
        <f>'MSW29'!I39</f>
        <v>WEIGHT</v>
      </c>
      <c r="J39" s="97" t="str">
        <f>'MSW29'!J39</f>
        <v>REPS</v>
      </c>
      <c r="K39" s="97" t="str">
        <f>'MSW29'!K39</f>
        <v>REST</v>
      </c>
      <c r="L39" s="341" t="str">
        <f>'MSW29'!L39</f>
        <v>PREVIOUS</v>
      </c>
      <c r="M39" s="235" t="str">
        <f>'MSW29'!M39</f>
        <v>REP LOG</v>
      </c>
    </row>
    <row r="40">
      <c r="A40" s="240">
        <f>'MSW29'!A40</f>
        <v>1</v>
      </c>
      <c r="B40" s="254">
        <f>'MSW29'!B40</f>
        <v>27.5</v>
      </c>
      <c r="C40" s="241">
        <f>'MSW29'!C40</f>
        <v>15</v>
      </c>
      <c r="D40" s="83" t="str">
        <f>'MSW29'!D40</f>
        <v>1 MIN</v>
      </c>
      <c r="E40" s="84" t="str">
        <f>'MSW29'!E40</f>
        <v/>
      </c>
      <c r="F40" s="85">
        <v>20.0</v>
      </c>
      <c r="H40" s="240">
        <f>'MSW29'!H40</f>
        <v>1</v>
      </c>
      <c r="I40" s="254">
        <f>'MSW29'!I40</f>
        <v>140</v>
      </c>
      <c r="J40" s="241">
        <f>'MSW29'!J40</f>
        <v>15</v>
      </c>
      <c r="K40" s="83" t="str">
        <f>'MSW29'!K40</f>
        <v>1 MIN</v>
      </c>
      <c r="L40" s="84" t="str">
        <f>'MSW29'!L40</f>
        <v/>
      </c>
      <c r="M40" s="85"/>
    </row>
    <row r="41">
      <c r="A41" s="661">
        <f>'MSW29'!A41</f>
        <v>2</v>
      </c>
      <c r="B41" s="950">
        <f>'MSW29'!B41</f>
        <v>27.5</v>
      </c>
      <c r="C41" s="662">
        <f>'MSW29'!C41</f>
        <v>15</v>
      </c>
      <c r="D41" s="88" t="str">
        <f>'MSW29'!D41</f>
        <v>1 MIN</v>
      </c>
      <c r="E41" s="89" t="str">
        <f>'MSW29'!E41</f>
        <v/>
      </c>
      <c r="F41" s="85">
        <v>15.0</v>
      </c>
      <c r="H41" s="661">
        <f>'MSW29'!H41</f>
        <v>2</v>
      </c>
      <c r="I41" s="950">
        <f>'MSW29'!I41</f>
        <v>140</v>
      </c>
      <c r="J41" s="662">
        <f>'MSW29'!J41</f>
        <v>15</v>
      </c>
      <c r="K41" s="88" t="str">
        <f>'MSW29'!K41</f>
        <v>1 MIN</v>
      </c>
      <c r="L41" s="89" t="str">
        <f>'MSW29'!L41</f>
        <v/>
      </c>
      <c r="M41" s="85"/>
    </row>
    <row r="42">
      <c r="A42" s="951"/>
      <c r="B42" s="951"/>
      <c r="C42" s="951"/>
      <c r="D42" s="951"/>
      <c r="E42" s="951"/>
      <c r="F42" s="951"/>
      <c r="G42" t="str">
        <f>'MSW29'!G44</f>
        <v/>
      </c>
    </row>
    <row r="43">
      <c r="A43" s="951"/>
      <c r="B43" s="951"/>
      <c r="C43" s="951"/>
      <c r="D43" s="951"/>
      <c r="E43" s="951"/>
      <c r="F43" s="951"/>
    </row>
    <row r="44">
      <c r="A44" s="73" t="str">
        <f>'MSW29'!A44</f>
        <v>3. LAT PULL DOWN</v>
      </c>
      <c r="B44" s="53"/>
      <c r="C44" s="53"/>
      <c r="D44" s="53"/>
      <c r="E44" s="53"/>
      <c r="F44" s="54"/>
    </row>
    <row r="45">
      <c r="A45" s="226" t="str">
        <f>'MSW29'!A45</f>
        <v>CURRENT MAX</v>
      </c>
      <c r="B45" s="227">
        <f>'MSW29'!B45</f>
        <v>215</v>
      </c>
      <c r="C45" s="20"/>
      <c r="D45" s="20"/>
      <c r="E45" s="20"/>
      <c r="F45" s="95"/>
    </row>
    <row r="46">
      <c r="A46" s="231" t="str">
        <f>'MSW29'!A46</f>
        <v>SET</v>
      </c>
      <c r="B46" s="232" t="str">
        <f>'MSW29'!B46</f>
        <v>WEIGHT</v>
      </c>
      <c r="C46" s="232" t="str">
        <f>'MSW29'!C46</f>
        <v>REPS</v>
      </c>
      <c r="D46" s="232" t="str">
        <f>'MSW29'!D46</f>
        <v>REST</v>
      </c>
      <c r="E46" s="233" t="str">
        <f>'MSW29'!E46</f>
        <v>PREVIOUS</v>
      </c>
      <c r="F46" s="61" t="str">
        <f>'MSW29'!F46</f>
        <v>REP LOG</v>
      </c>
    </row>
    <row r="47">
      <c r="A47" s="236">
        <f>'MSW29'!A47</f>
        <v>1</v>
      </c>
      <c r="B47" s="237">
        <f>'MSW29'!B47</f>
        <v>75</v>
      </c>
      <c r="C47" s="237">
        <f>'MSW29'!C47</f>
        <v>6</v>
      </c>
      <c r="D47" s="238" t="str">
        <f>'MSW29'!D47</f>
        <v>30s</v>
      </c>
      <c r="E47" s="66" t="str">
        <f>'MSW29'!E47</f>
        <v/>
      </c>
      <c r="F47" s="67">
        <v>6.0</v>
      </c>
    </row>
    <row r="48">
      <c r="A48" s="236">
        <f>'MSW29'!A48</f>
        <v>2</v>
      </c>
      <c r="B48" s="237">
        <f>'MSW29'!B48</f>
        <v>140</v>
      </c>
      <c r="C48" s="238">
        <f>'MSW29'!C48</f>
        <v>3</v>
      </c>
      <c r="D48" s="238" t="str">
        <f>'MSW29'!D48</f>
        <v>1-2 MIN</v>
      </c>
      <c r="E48" s="66" t="str">
        <f>'MSW29'!E48</f>
        <v/>
      </c>
      <c r="F48" s="67">
        <v>3.0</v>
      </c>
    </row>
    <row r="49">
      <c r="A49" s="242">
        <f>'MSW29'!A49</f>
        <v>3</v>
      </c>
      <c r="B49" s="237">
        <f>'MSW29'!B49</f>
        <v>195</v>
      </c>
      <c r="C49" s="63">
        <f>'MSW29'!C49</f>
        <v>2</v>
      </c>
      <c r="D49" s="238" t="str">
        <f>'MSW29'!D49</f>
        <v>1-2 MIN</v>
      </c>
      <c r="E49" s="66" t="str">
        <f>'MSW29'!E49</f>
        <v/>
      </c>
      <c r="F49" s="67">
        <v>2.0</v>
      </c>
    </row>
    <row r="50">
      <c r="A50" s="243">
        <f>'MSW29'!A50</f>
        <v>4</v>
      </c>
      <c r="B50" s="237">
        <f>'MSW29'!B50</f>
        <v>215</v>
      </c>
      <c r="C50" s="257">
        <f>'MSW29'!C50</f>
        <v>3</v>
      </c>
      <c r="D50" s="238" t="str">
        <f>'MSW29'!D50</f>
        <v>1-5 MIN</v>
      </c>
      <c r="E50" s="66" t="str">
        <f>'MSW29'!E50</f>
        <v/>
      </c>
      <c r="F50" s="67">
        <v>3.0</v>
      </c>
    </row>
    <row r="51">
      <c r="A51" s="246" t="str">
        <f>'MSW29'!A51</f>
        <v>NEW 4 REP MAX ATTEMPT</v>
      </c>
      <c r="B51" s="20"/>
      <c r="C51" s="20"/>
      <c r="D51" s="20"/>
      <c r="E51" s="20"/>
      <c r="F51" s="95"/>
    </row>
    <row r="52">
      <c r="A52" s="249">
        <f>'MSW29'!A52</f>
        <v>5</v>
      </c>
      <c r="B52" s="175">
        <f>'MSW29'!B52</f>
        <v>220</v>
      </c>
      <c r="C52" s="238">
        <f>'MSW29'!C52</f>
        <v>4</v>
      </c>
      <c r="D52" s="238" t="str">
        <f>'MSW29'!D52</f>
        <v>1-5 MIN</v>
      </c>
      <c r="E52" s="250" t="str">
        <f>'MSW29'!E52</f>
        <v/>
      </c>
      <c r="F52" s="67">
        <v>4.0</v>
      </c>
    </row>
    <row r="53">
      <c r="A53" s="256" t="str">
        <f>'MSW29'!A53</f>
        <v>6</v>
      </c>
      <c r="B53" s="237">
        <f>'MSW29'!B53</f>
        <v>225</v>
      </c>
      <c r="C53" s="257" t="str">
        <f>'MSW29'!C53</f>
        <v>4</v>
      </c>
      <c r="D53" s="257" t="str">
        <f>'MSW29'!D53</f>
        <v>1-5 MIN</v>
      </c>
      <c r="E53" s="258" t="str">
        <f>'MSW29'!E53</f>
        <v/>
      </c>
      <c r="F53" s="67">
        <v>4.0</v>
      </c>
    </row>
    <row r="54">
      <c r="A54" s="246" t="str">
        <f>'MSW29'!A54</f>
        <v>DOWN SETS</v>
      </c>
      <c r="B54" s="20"/>
      <c r="C54" s="20"/>
      <c r="D54" s="20"/>
      <c r="E54" s="20"/>
      <c r="F54" s="95"/>
    </row>
    <row r="55">
      <c r="A55" s="264">
        <f>'MSW29'!A55</f>
        <v>7</v>
      </c>
      <c r="B55" s="265">
        <f>'MSW29'!B55</f>
        <v>180</v>
      </c>
      <c r="C55" s="266" t="str">
        <f>'MSW29'!C55</f>
        <v>REP OUT</v>
      </c>
      <c r="D55" s="267" t="str">
        <f>'MSW29'!D55</f>
        <v>1-3 MIN</v>
      </c>
      <c r="E55" s="268" t="str">
        <f>'MSW29'!E55</f>
        <v/>
      </c>
      <c r="F55" s="67">
        <v>6.0</v>
      </c>
    </row>
    <row r="56">
      <c r="A56" s="243">
        <f>'MSW29'!A56</f>
        <v>8</v>
      </c>
      <c r="B56" s="237">
        <f>'MSW29'!B56</f>
        <v>160</v>
      </c>
      <c r="C56" s="245" t="str">
        <f>'MSW29'!C56</f>
        <v>REP OUT</v>
      </c>
      <c r="D56" s="65" t="str">
        <f>'MSW29'!D56</f>
        <v>1-3 MIN</v>
      </c>
      <c r="E56" s="258" t="str">
        <f>'MSW29'!E56</f>
        <v/>
      </c>
      <c r="F56" s="271">
        <v>7.0</v>
      </c>
    </row>
    <row r="57">
      <c r="A57" s="272" t="str">
        <f>'MSW29'!A57</f>
        <v>FINAL MAX</v>
      </c>
      <c r="B57" s="273">
        <f>'MSW29'!B57</f>
        <v>225</v>
      </c>
      <c r="C57" s="11"/>
      <c r="D57" s="11"/>
      <c r="E57" s="11"/>
      <c r="F57" s="46"/>
    </row>
    <row r="58">
      <c r="A58" s="302" t="str">
        <f>'MSW29'!A58</f>
        <v/>
      </c>
      <c r="B58" s="302" t="str">
        <f>'MSW29'!B58</f>
        <v/>
      </c>
      <c r="C58" s="302" t="str">
        <f>'MSW29'!C58</f>
        <v/>
      </c>
      <c r="D58" s="302" t="str">
        <f>'MSW29'!D58</f>
        <v/>
      </c>
      <c r="E58" s="303" t="str">
        <f>'MSW29'!E58</f>
        <v/>
      </c>
      <c r="F58" s="103" t="str">
        <f>'MSW29'!F58</f>
        <v/>
      </c>
    </row>
    <row r="59">
      <c r="A59" s="302" t="str">
        <f>'MSW29'!A59</f>
        <v/>
      </c>
      <c r="B59" s="302" t="str">
        <f>'MSW29'!B59</f>
        <v/>
      </c>
      <c r="C59" s="302" t="str">
        <f>'MSW29'!C59</f>
        <v/>
      </c>
      <c r="D59" s="302" t="str">
        <f>'MSW29'!D59</f>
        <v/>
      </c>
      <c r="E59" s="303" t="str">
        <f>'MSW29'!E59</f>
        <v/>
      </c>
      <c r="F59" s="103" t="str">
        <f>'MSW29'!F59</f>
        <v/>
      </c>
    </row>
    <row r="60">
      <c r="A60" s="73" t="str">
        <f>'MSW29'!A60</f>
        <v>4. MACHINE LOW ROW</v>
      </c>
      <c r="B60" s="53"/>
      <c r="C60" s="53"/>
      <c r="D60" s="53"/>
      <c r="E60" s="53"/>
      <c r="F60" s="54"/>
    </row>
    <row r="61">
      <c r="A61" s="282" t="str">
        <f>'MSW29'!A61</f>
        <v>CURRENT MAX</v>
      </c>
      <c r="B61" s="56">
        <f>'MSW29'!B61</f>
        <v>195</v>
      </c>
      <c r="C61" s="13"/>
      <c r="D61" s="13"/>
      <c r="E61" s="13"/>
      <c r="F61" s="57"/>
    </row>
    <row r="62">
      <c r="A62" s="58" t="str">
        <f>'MSW29'!A62</f>
        <v>SET</v>
      </c>
      <c r="B62" s="59" t="str">
        <f>'MSW29'!B62</f>
        <v>WEIGHT</v>
      </c>
      <c r="C62" s="59" t="str">
        <f>'MSW29'!C62</f>
        <v>REPS</v>
      </c>
      <c r="D62" s="59" t="str">
        <f>'MSW29'!D62</f>
        <v>REST</v>
      </c>
      <c r="E62" s="60" t="str">
        <f>'MSW29'!E62</f>
        <v>PREVIOUS</v>
      </c>
      <c r="F62" s="61" t="str">
        <f>'MSW29'!F62</f>
        <v>REP LOG</v>
      </c>
    </row>
    <row r="63">
      <c r="A63" s="62">
        <f>'MSW29'!A63</f>
        <v>1</v>
      </c>
      <c r="B63" s="63">
        <f>'MSW29'!B63</f>
        <v>165</v>
      </c>
      <c r="C63" s="104" t="str">
        <f>'MSW29'!C63</f>
        <v>REP OUT</v>
      </c>
      <c r="D63" s="65" t="str">
        <f>'MSW29'!D63</f>
        <v>1 MIN</v>
      </c>
      <c r="E63" s="66" t="str">
        <f>'MSW29'!E63</f>
        <v/>
      </c>
      <c r="F63" s="67">
        <v>5.0</v>
      </c>
    </row>
    <row r="64">
      <c r="A64" s="62">
        <f>'MSW29'!A64</f>
        <v>2</v>
      </c>
      <c r="B64" s="63">
        <f>'MSW29'!B64</f>
        <v>145</v>
      </c>
      <c r="C64" s="104" t="str">
        <f>'MSW29'!C64</f>
        <v>REP OUT</v>
      </c>
      <c r="D64" s="65" t="str">
        <f>'MSW29'!D64</f>
        <v>1 MIN</v>
      </c>
      <c r="E64" s="66" t="str">
        <f>'MSW29'!E64</f>
        <v/>
      </c>
      <c r="F64" s="67">
        <v>7.0</v>
      </c>
    </row>
    <row r="65">
      <c r="A65" s="68">
        <f>'MSW29'!A65</f>
        <v>3</v>
      </c>
      <c r="B65" s="69">
        <f>'MSW29'!B65</f>
        <v>140</v>
      </c>
      <c r="C65" s="105" t="str">
        <f>'MSW29'!C65</f>
        <v>REP OUT</v>
      </c>
      <c r="D65" s="71" t="str">
        <f>'MSW29'!D65</f>
        <v>1 MIN</v>
      </c>
      <c r="E65" s="72" t="str">
        <f>'MSW29'!E65</f>
        <v/>
      </c>
      <c r="F65" s="67">
        <v>10.0</v>
      </c>
    </row>
    <row r="66">
      <c r="A66" s="103" t="str">
        <f>'MSW29'!A66</f>
        <v/>
      </c>
      <c r="B66" s="103" t="str">
        <f>'MSW29'!B66</f>
        <v/>
      </c>
      <c r="C66" s="103" t="str">
        <f>'MSW29'!C66</f>
        <v/>
      </c>
      <c r="D66" s="103" t="str">
        <f>'MSW29'!D66</f>
        <v/>
      </c>
      <c r="E66" s="222" t="str">
        <f>'MSW29'!E66</f>
        <v/>
      </c>
      <c r="F66" s="103" t="str">
        <f>'MSW29'!F66</f>
        <v/>
      </c>
    </row>
    <row r="67">
      <c r="A67" s="103" t="str">
        <f>'MSW29'!A67</f>
        <v/>
      </c>
      <c r="B67" s="103" t="str">
        <f>'MSW29'!B67</f>
        <v/>
      </c>
      <c r="C67" s="103" t="str">
        <f>'MSW29'!C67</f>
        <v/>
      </c>
      <c r="D67" s="103" t="str">
        <f>'MSW29'!D67</f>
        <v/>
      </c>
      <c r="E67" s="222" t="str">
        <f>'MSW29'!E67</f>
        <v/>
      </c>
      <c r="F67" s="103" t="str">
        <f>'MSW29'!F67</f>
        <v/>
      </c>
    </row>
    <row r="68">
      <c r="A68" s="73" t="str">
        <f>'MSW29'!A68</f>
        <v>5. MACHINE HIGH ROW</v>
      </c>
      <c r="B68" s="53"/>
      <c r="C68" s="53"/>
      <c r="D68" s="53"/>
      <c r="E68" s="53"/>
      <c r="F68" s="54"/>
    </row>
    <row r="69">
      <c r="A69" s="282" t="str">
        <f>'MSW29'!A69</f>
        <v>CURRENT MAX</v>
      </c>
      <c r="B69" s="56">
        <f>'MSW29'!B69</f>
        <v>170</v>
      </c>
      <c r="C69" s="13"/>
      <c r="D69" s="13"/>
      <c r="E69" s="13"/>
      <c r="F69" s="57"/>
    </row>
    <row r="70">
      <c r="A70" s="58" t="str">
        <f>'MSW29'!A70</f>
        <v>SET</v>
      </c>
      <c r="B70" s="59" t="str">
        <f>'MSW29'!B70</f>
        <v>WEIGHT</v>
      </c>
      <c r="C70" s="59" t="str">
        <f>'MSW29'!C70</f>
        <v>REPS</v>
      </c>
      <c r="D70" s="59" t="str">
        <f>'MSW29'!D70</f>
        <v>REST</v>
      </c>
      <c r="E70" s="60" t="str">
        <f>'MSW29'!E70</f>
        <v>PREVIOUS</v>
      </c>
      <c r="F70" s="61" t="str">
        <f>'MSW29'!F70</f>
        <v>REP LOG</v>
      </c>
    </row>
    <row r="71">
      <c r="A71" s="62">
        <f>'MSW29'!A71</f>
        <v>1</v>
      </c>
      <c r="B71" s="63">
        <f>'MSW29'!B71</f>
        <v>135</v>
      </c>
      <c r="C71" s="104" t="str">
        <f>'MSW29'!C71</f>
        <v>REP OUT</v>
      </c>
      <c r="D71" s="65" t="str">
        <f>'MSW29'!D71</f>
        <v>1 MIN</v>
      </c>
      <c r="E71" s="66" t="str">
        <f>'MSW29'!E71</f>
        <v/>
      </c>
      <c r="F71" s="67">
        <v>16.0</v>
      </c>
    </row>
    <row r="72">
      <c r="A72" s="62">
        <f>'MSW29'!A72</f>
        <v>2</v>
      </c>
      <c r="B72" s="63">
        <f>'MSW29'!B72</f>
        <v>135</v>
      </c>
      <c r="C72" s="104" t="str">
        <f>'MSW29'!C72</f>
        <v>REP OUT</v>
      </c>
      <c r="D72" s="65" t="str">
        <f>'MSW29'!D72</f>
        <v>1 MIN</v>
      </c>
      <c r="E72" s="66" t="str">
        <f>'MSW29'!E72</f>
        <v/>
      </c>
      <c r="F72" s="67">
        <v>10.0</v>
      </c>
    </row>
    <row r="73">
      <c r="A73" s="68">
        <f>'MSW29'!A73</f>
        <v>3</v>
      </c>
      <c r="B73" s="87">
        <f>'MSW29'!B73</f>
        <v>145</v>
      </c>
      <c r="C73" s="105" t="str">
        <f>'MSW29'!C73</f>
        <v>REP OUT</v>
      </c>
      <c r="D73" s="309" t="str">
        <f>'MSW29'!D73</f>
        <v>1 MIN</v>
      </c>
      <c r="E73" s="72" t="str">
        <f>'MSW29'!E73</f>
        <v/>
      </c>
      <c r="F73" s="67">
        <v>10.0</v>
      </c>
    </row>
    <row r="74">
      <c r="A74" s="103" t="str">
        <f>'MSW29'!A74</f>
        <v/>
      </c>
      <c r="B74" s="103" t="str">
        <f>'MSW29'!B74</f>
        <v/>
      </c>
      <c r="C74" s="103" t="str">
        <f>'MSW29'!C74</f>
        <v/>
      </c>
      <c r="D74" s="103" t="str">
        <f>'MSW29'!D74</f>
        <v/>
      </c>
      <c r="E74" s="222" t="str">
        <f>'MSW29'!E74</f>
        <v/>
      </c>
      <c r="F74" s="103" t="str">
        <f>'MSW29'!F74</f>
        <v/>
      </c>
    </row>
    <row r="75">
      <c r="A75" s="310" t="str">
        <f>'MSW29'!A75</f>
        <v>CLICK TO COMPLETE WORKOUT</v>
      </c>
      <c r="B75" s="36"/>
      <c r="C75" s="36"/>
      <c r="D75" s="36"/>
      <c r="E75" s="36"/>
      <c r="F75" s="37"/>
    </row>
    <row r="76">
      <c r="A76" t="str">
        <f>'MSW29'!A76</f>
        <v/>
      </c>
      <c r="B76" t="str">
        <f>'MSW29'!B76</f>
        <v/>
      </c>
      <c r="C76" t="str">
        <f>'MSW29'!C76</f>
        <v/>
      </c>
      <c r="D76" t="str">
        <f>'MSW29'!D76</f>
        <v/>
      </c>
      <c r="E76" t="str">
        <f>'MSW29'!E76</f>
        <v/>
      </c>
      <c r="F76" t="str">
        <f>'MSW29'!F76</f>
        <v/>
      </c>
    </row>
    <row r="77">
      <c r="A77" s="224" t="str">
        <f>'MSW29'!A77</f>
        <v>DAY 2 </v>
      </c>
      <c r="B77" s="36"/>
      <c r="C77" s="36"/>
      <c r="D77" s="36"/>
      <c r="E77" s="36"/>
      <c r="F77" s="37"/>
    </row>
    <row r="78">
      <c r="A78" t="str">
        <f>'MSW29'!A78</f>
        <v/>
      </c>
      <c r="B78" t="str">
        <f>'MSW29'!B78</f>
        <v/>
      </c>
      <c r="C78" t="str">
        <f>'MSW29'!C78</f>
        <v/>
      </c>
      <c r="D78" t="str">
        <f>'MSW29'!D78</f>
        <v/>
      </c>
      <c r="E78" t="str">
        <f>'MSW29'!E78</f>
        <v/>
      </c>
      <c r="F78" t="str">
        <f>'MSW29'!F78</f>
        <v/>
      </c>
    </row>
    <row r="79">
      <c r="A79" t="str">
        <f>'MSW29'!A79</f>
        <v/>
      </c>
      <c r="B79" t="str">
        <f>'MSW29'!B79</f>
        <v/>
      </c>
      <c r="C79" t="str">
        <f>'MSW29'!C79</f>
        <v/>
      </c>
      <c r="D79" t="str">
        <f>'MSW29'!D79</f>
        <v/>
      </c>
      <c r="E79" t="str">
        <f>'MSW29'!E79</f>
        <v/>
      </c>
      <c r="F79" t="str">
        <f>'MSW29'!F79</f>
        <v/>
      </c>
    </row>
    <row r="80">
      <c r="A80" s="93" t="str">
        <f>'MSW29'!A80</f>
        <v>2. LEG EXTENSION</v>
      </c>
      <c r="B80" s="53"/>
      <c r="C80" s="53"/>
      <c r="D80" s="53"/>
      <c r="E80" s="53"/>
      <c r="F80" s="54"/>
    </row>
    <row r="81">
      <c r="A81" s="226" t="str">
        <f>'MSW29'!A81</f>
        <v>CURRENT MAX</v>
      </c>
      <c r="B81" s="94">
        <f>'MSW29'!B81</f>
        <v>50</v>
      </c>
      <c r="C81" s="20"/>
      <c r="D81" s="20"/>
      <c r="E81" s="20"/>
      <c r="F81" s="95"/>
    </row>
    <row r="82">
      <c r="A82" s="96" t="str">
        <f>'MSW29'!A82</f>
        <v>SET</v>
      </c>
      <c r="B82" s="97" t="str">
        <f>'MSW29'!B82</f>
        <v>WEIGHT</v>
      </c>
      <c r="C82" s="97" t="str">
        <f>'MSW29'!C82</f>
        <v>REPS</v>
      </c>
      <c r="D82" s="97" t="str">
        <f>'MSW29'!D82</f>
        <v>REST</v>
      </c>
      <c r="E82" s="98" t="str">
        <f>'MSW29'!E82</f>
        <v>PREVIOUS</v>
      </c>
      <c r="F82" s="235" t="str">
        <f>'MSW29'!F82</f>
        <v>REP LOG</v>
      </c>
    </row>
    <row r="83">
      <c r="A83" s="62">
        <f>'MSW29'!A83</f>
        <v>1</v>
      </c>
      <c r="B83" s="99">
        <f>'MSW29'!B83</f>
        <v>50</v>
      </c>
      <c r="C83" s="104">
        <f>'MSW29'!C83</f>
        <v>20</v>
      </c>
      <c r="D83" s="83" t="str">
        <f>'MSW29'!D83</f>
        <v>1 MIN</v>
      </c>
      <c r="E83" s="100" t="str">
        <f>'MSW29'!E83</f>
        <v/>
      </c>
      <c r="F83" s="67"/>
    </row>
    <row r="84">
      <c r="A84" s="62">
        <f>'MSW29'!A84</f>
        <v>2</v>
      </c>
      <c r="B84" s="99">
        <f>'MSW29'!B84</f>
        <v>40</v>
      </c>
      <c r="C84" s="104">
        <f>'MSW29'!C84</f>
        <v>20</v>
      </c>
      <c r="D84" s="83" t="str">
        <f>'MSW29'!D84</f>
        <v>1 MIN</v>
      </c>
      <c r="E84" s="100" t="str">
        <f>'MSW29'!E84</f>
        <v/>
      </c>
      <c r="F84" s="67"/>
    </row>
    <row r="85">
      <c r="A85" s="68">
        <f>'MSW29'!A85</f>
        <v>3</v>
      </c>
      <c r="B85" s="101">
        <f>'MSW29'!B85</f>
        <v>30</v>
      </c>
      <c r="C85" s="105">
        <f>'MSW29'!C85</f>
        <v>20</v>
      </c>
      <c r="D85" s="88" t="str">
        <f>'MSW29'!D85</f>
        <v>1 MIN</v>
      </c>
      <c r="E85" s="102" t="str">
        <f>'MSW29'!E85</f>
        <v/>
      </c>
      <c r="F85" s="67"/>
    </row>
    <row r="86">
      <c r="A86" s="952" t="str">
        <f>'MSW29'!A86</f>
        <v/>
      </c>
      <c r="B86" t="str">
        <f>'MSW29'!B86</f>
        <v/>
      </c>
      <c r="C86" t="str">
        <f>'MSW29'!C86</f>
        <v/>
      </c>
      <c r="D86" t="str">
        <f>'MSW29'!D86</f>
        <v/>
      </c>
      <c r="E86" t="str">
        <f>'MSW29'!E86</f>
        <v/>
      </c>
      <c r="F86" t="str">
        <f>'MSW29'!F86</f>
        <v/>
      </c>
    </row>
    <row r="87">
      <c r="A87" t="str">
        <f>'MSW29'!A87</f>
        <v/>
      </c>
      <c r="B87" t="str">
        <f>'MSW29'!B87</f>
        <v/>
      </c>
      <c r="C87" t="str">
        <f>'MSW29'!C87</f>
        <v/>
      </c>
      <c r="D87" t="str">
        <f>'MSW29'!D87</f>
        <v/>
      </c>
      <c r="E87" t="str">
        <f>'MSW29'!E87</f>
        <v/>
      </c>
      <c r="F87" t="str">
        <f>'MSW29'!F87</f>
        <v/>
      </c>
    </row>
    <row r="88">
      <c r="A88" s="73" t="str">
        <f>'MSW29'!A88</f>
        <v>4. LEG CURL</v>
      </c>
      <c r="B88" s="53"/>
      <c r="C88" s="53"/>
      <c r="D88" s="53"/>
      <c r="E88" s="53"/>
      <c r="F88" s="54"/>
      <c r="G88" s="103"/>
      <c r="H88" s="953" t="str">
        <f>'MSW29'!H88</f>
        <v>4. PRONE LEG CURL</v>
      </c>
      <c r="I88" s="20"/>
      <c r="J88" s="20"/>
      <c r="K88" s="20"/>
      <c r="L88" s="20"/>
      <c r="M88" s="21"/>
      <c r="N88" s="498" t="str">
        <f>'MSW29'!N90</f>
        <v/>
      </c>
    </row>
    <row r="89">
      <c r="A89" s="226" t="str">
        <f>'MSW29'!A89</f>
        <v>CURRENT MAX</v>
      </c>
      <c r="B89" s="94">
        <f>'MSW29'!B89</f>
        <v>15</v>
      </c>
      <c r="C89" s="20"/>
      <c r="D89" s="20"/>
      <c r="E89" s="20"/>
      <c r="F89" s="95"/>
      <c r="G89" s="103"/>
      <c r="H89" s="871" t="str">
        <f>'MSW29'!H89</f>
        <v>CURRENT MAX</v>
      </c>
      <c r="I89" s="94">
        <f>'MSW29'!I89</f>
        <v>15</v>
      </c>
      <c r="J89" s="20"/>
      <c r="K89" s="20"/>
      <c r="L89" s="20"/>
      <c r="M89" s="21"/>
      <c r="N89" s="498"/>
    </row>
    <row r="90">
      <c r="A90" s="96" t="str">
        <f>'MSW29'!A90</f>
        <v>SET</v>
      </c>
      <c r="B90" s="97" t="str">
        <f>'MSW29'!B90</f>
        <v>WEIGHT</v>
      </c>
      <c r="C90" s="97" t="str">
        <f>'MSW29'!C90</f>
        <v>REPS</v>
      </c>
      <c r="D90" s="97" t="str">
        <f>'MSW29'!D90</f>
        <v>REST</v>
      </c>
      <c r="E90" s="98" t="str">
        <f>'MSW29'!E90</f>
        <v>PREVIOUS</v>
      </c>
      <c r="F90" s="235" t="str">
        <f>'MSW29'!F90</f>
        <v>REP LOG</v>
      </c>
      <c r="G90" s="234" t="str">
        <f>'MSW29'!G90</f>
        <v/>
      </c>
      <c r="H90" s="97" t="str">
        <f>'MSW29'!H90</f>
        <v>SET</v>
      </c>
      <c r="I90" s="97" t="str">
        <f>'MSW29'!I90</f>
        <v>WEIGHT</v>
      </c>
      <c r="J90" s="97" t="str">
        <f>'MSW29'!J90</f>
        <v>REPS</v>
      </c>
      <c r="K90" s="97" t="str">
        <f>'MSW29'!K90</f>
        <v>REST</v>
      </c>
      <c r="L90" s="98" t="str">
        <f>'MSW29'!L90</f>
        <v>PREVIOUS</v>
      </c>
      <c r="M90" s="954" t="str">
        <f>'MSW29'!M90</f>
        <v>REP LOG</v>
      </c>
      <c r="N90" s="498"/>
    </row>
    <row r="91">
      <c r="A91" s="62">
        <f>'MSW29'!A91</f>
        <v>1</v>
      </c>
      <c r="B91" s="99">
        <f>'MSW29'!B91</f>
        <v>15</v>
      </c>
      <c r="C91" s="64">
        <f>'MSW29'!C91</f>
        <v>20</v>
      </c>
      <c r="D91" s="83" t="str">
        <f>'MSW29'!D91</f>
        <v>1 MIN</v>
      </c>
      <c r="E91" s="100" t="str">
        <f>'MSW29'!E91</f>
        <v/>
      </c>
      <c r="F91" s="67"/>
      <c r="G91" s="324" t="str">
        <f>'MSW29'!G91</f>
        <v>ALTERNATE</v>
      </c>
      <c r="H91" s="955">
        <f>'MSW29'!H91</f>
        <v>1</v>
      </c>
      <c r="I91" s="99">
        <f>'MSW29'!I91</f>
        <v>15</v>
      </c>
      <c r="J91" s="64">
        <f>'MSW29'!J91</f>
        <v>20</v>
      </c>
      <c r="K91" s="83" t="str">
        <f>'MSW29'!K91</f>
        <v>1 MIN</v>
      </c>
      <c r="L91" s="100" t="str">
        <f>'MSW29'!L91</f>
        <v/>
      </c>
      <c r="M91" s="956"/>
      <c r="N91" s="498"/>
    </row>
    <row r="92">
      <c r="A92" s="62">
        <f>'MSW29'!A92</f>
        <v>2</v>
      </c>
      <c r="B92" s="99">
        <f>'MSW29'!B92</f>
        <v>10</v>
      </c>
      <c r="C92" s="64">
        <f>'MSW29'!C92</f>
        <v>20</v>
      </c>
      <c r="D92" s="83" t="str">
        <f>'MSW29'!D92</f>
        <v>1 MIN</v>
      </c>
      <c r="E92" s="100" t="str">
        <f>'MSW29'!E92</f>
        <v/>
      </c>
      <c r="F92" s="67"/>
      <c r="H92" s="955">
        <f>'MSW29'!H92</f>
        <v>2</v>
      </c>
      <c r="I92" s="99">
        <f>'MSW29'!I92</f>
        <v>10</v>
      </c>
      <c r="J92" s="64">
        <f>'MSW29'!J92</f>
        <v>20</v>
      </c>
      <c r="K92" s="83" t="str">
        <f>'MSW29'!K92</f>
        <v>1 MIN</v>
      </c>
      <c r="L92" s="100" t="str">
        <f>'MSW29'!L92</f>
        <v/>
      </c>
      <c r="M92" s="956"/>
      <c r="N92" s="498"/>
    </row>
    <row r="93">
      <c r="A93" s="325">
        <f>'MSW29'!A93</f>
        <v>3</v>
      </c>
      <c r="B93" s="326">
        <f>'MSW29'!B93</f>
        <v>10</v>
      </c>
      <c r="C93" s="957">
        <f>'MSW29'!C93</f>
        <v>20</v>
      </c>
      <c r="D93" s="328" t="str">
        <f>'MSW29'!D93</f>
        <v>1 MIN</v>
      </c>
      <c r="E93" s="329" t="str">
        <f>'MSW29'!E93</f>
        <v/>
      </c>
      <c r="F93" s="67"/>
      <c r="G93" s="103" t="str">
        <f>'MSW29'!G93</f>
        <v/>
      </c>
      <c r="H93" s="955">
        <f>'MSW29'!H93</f>
        <v>3</v>
      </c>
      <c r="I93" s="99">
        <f>'MSW29'!I93</f>
        <v>10</v>
      </c>
      <c r="J93" s="64">
        <f>'MSW29'!J93</f>
        <v>20</v>
      </c>
      <c r="K93" s="83" t="str">
        <f>'MSW29'!K93</f>
        <v>1 MIN</v>
      </c>
      <c r="L93" s="100" t="str">
        <f>'MSW29'!L93</f>
        <v/>
      </c>
      <c r="M93" s="958"/>
      <c r="N93" s="498"/>
    </row>
    <row r="94">
      <c r="A94" s="331" t="str">
        <f>'MSW29'!A94</f>
        <v/>
      </c>
      <c r="B94" s="331" t="str">
        <f>'MSW29'!B94</f>
        <v/>
      </c>
      <c r="C94" s="331" t="str">
        <f>'MSW29'!C94</f>
        <v/>
      </c>
      <c r="D94" s="331" t="str">
        <f>'MSW29'!D94</f>
        <v/>
      </c>
      <c r="E94" s="331" t="str">
        <f>'MSW29'!E94</f>
        <v/>
      </c>
      <c r="F94" s="331" t="str">
        <f>'MSW29'!F94</f>
        <v/>
      </c>
      <c r="G94" s="239" t="str">
        <f>'MSW29'!G94</f>
        <v/>
      </c>
    </row>
    <row r="95">
      <c r="A95" t="str">
        <f>'MSW29'!A95</f>
        <v/>
      </c>
      <c r="B95" t="str">
        <f>'MSW29'!B95</f>
        <v/>
      </c>
      <c r="C95" t="str">
        <f>'MSW29'!C95</f>
        <v/>
      </c>
      <c r="D95" t="str">
        <f>'MSW29'!D95</f>
        <v/>
      </c>
      <c r="E95" t="str">
        <f>'MSW29'!E95</f>
        <v/>
      </c>
      <c r="F95" t="str">
        <f>'MSW29'!F95</f>
        <v/>
      </c>
    </row>
    <row r="96">
      <c r="A96" s="959" t="str">
        <f>'MSW29'!A96</f>
        <v>2. MACHINE SQUAT</v>
      </c>
      <c r="B96" s="53"/>
      <c r="C96" s="53"/>
      <c r="D96" s="53"/>
      <c r="E96" s="53"/>
      <c r="F96" s="54"/>
    </row>
    <row r="97">
      <c r="A97" s="670" t="str">
        <f>'MSW29'!A97</f>
        <v>CURRENT MAX</v>
      </c>
      <c r="B97" s="671">
        <f>'MSW29'!B97</f>
        <v>35</v>
      </c>
      <c r="C97" s="36"/>
      <c r="D97" s="36"/>
      <c r="E97" s="36"/>
      <c r="F97" s="37"/>
    </row>
    <row r="98">
      <c r="A98" s="96" t="str">
        <f>'MSW29'!A98</f>
        <v>SET</v>
      </c>
      <c r="B98" s="672" t="str">
        <f>'MSW29'!B98</f>
        <v>WEIGHT</v>
      </c>
      <c r="C98" s="672" t="str">
        <f>'MSW29'!C98</f>
        <v>REPS</v>
      </c>
      <c r="D98" s="672" t="str">
        <f>'MSW29'!D98</f>
        <v>REST</v>
      </c>
      <c r="E98" s="673" t="str">
        <f>'MSW29'!E98</f>
        <v>PREVIOUS</v>
      </c>
      <c r="F98" s="235" t="str">
        <f>'MSW29'!F98</f>
        <v>REP LOG</v>
      </c>
    </row>
    <row r="99">
      <c r="A99" s="342">
        <f>'MSW29'!A99</f>
        <v>1</v>
      </c>
      <c r="B99" s="674">
        <f>'MSW29'!B99</f>
        <v>20</v>
      </c>
      <c r="C99" s="675">
        <f>'MSW29'!C99</f>
        <v>10</v>
      </c>
      <c r="D99" s="350" t="str">
        <f>'MSW29'!D99</f>
        <v>1-5 MIN</v>
      </c>
      <c r="E99" s="84" t="str">
        <f>'MSW29'!E99</f>
        <v/>
      </c>
      <c r="F99" s="67"/>
    </row>
    <row r="100">
      <c r="A100" s="342">
        <f>'MSW29'!A100</f>
        <v>2</v>
      </c>
      <c r="B100" s="674">
        <f>'MSW29'!B100</f>
        <v>25</v>
      </c>
      <c r="C100" s="675">
        <f>'MSW29'!C100</f>
        <v>10</v>
      </c>
      <c r="D100" s="350" t="str">
        <f>'MSW29'!D100</f>
        <v>1-5 MIN</v>
      </c>
      <c r="E100" s="84" t="str">
        <f>'MSW29'!E100</f>
        <v/>
      </c>
      <c r="F100" s="67"/>
    </row>
    <row r="101">
      <c r="A101" s="342">
        <f>'MSW29'!A101</f>
        <v>3</v>
      </c>
      <c r="B101" s="674">
        <f>'MSW29'!B101</f>
        <v>30</v>
      </c>
      <c r="C101" s="675">
        <f>'MSW29'!C101</f>
        <v>10</v>
      </c>
      <c r="D101" s="350" t="str">
        <f>'MSW29'!D101</f>
        <v>1-5 MIN</v>
      </c>
      <c r="E101" s="84" t="str">
        <f>'MSW29'!E101</f>
        <v/>
      </c>
      <c r="F101" s="67"/>
    </row>
    <row r="102">
      <c r="A102" s="342">
        <f>'MSW29'!A102</f>
        <v>4</v>
      </c>
      <c r="B102" s="99">
        <f>'MSW29'!B102</f>
        <v>35</v>
      </c>
      <c r="C102" s="675">
        <f>'MSW29'!C102</f>
        <v>10</v>
      </c>
      <c r="D102" s="350" t="str">
        <f>'MSW29'!D102</f>
        <v>1-5 MIN</v>
      </c>
      <c r="E102" s="84" t="str">
        <f>'MSW29'!E102</f>
        <v/>
      </c>
      <c r="F102" s="85"/>
    </row>
    <row r="103">
      <c r="A103" s="342">
        <f>'MSW29'!A103</f>
        <v>5</v>
      </c>
      <c r="B103" s="170">
        <f>'MSW29'!B103</f>
        <v>35</v>
      </c>
      <c r="C103" s="343">
        <f>'MSW29'!C103</f>
        <v>10</v>
      </c>
      <c r="D103" s="350" t="str">
        <f>'MSW29'!D103</f>
        <v>1-5 MIN</v>
      </c>
      <c r="E103" s="84" t="str">
        <f>'MSW29'!E103</f>
        <v/>
      </c>
      <c r="F103" s="85"/>
    </row>
    <row r="104">
      <c r="A104" s="272" t="str">
        <f>'MSW29'!A104</f>
        <v>FINAL MAX</v>
      </c>
      <c r="B104" s="332">
        <f>'MSW29'!B104</f>
        <v>35</v>
      </c>
      <c r="C104" s="33"/>
      <c r="D104" s="33"/>
      <c r="E104" s="33"/>
      <c r="F104" s="34"/>
    </row>
    <row r="106">
      <c r="A106" s="310" t="str">
        <f>'MSW29'!A106</f>
        <v>CLICK TO COMPLETE WORKOUT</v>
      </c>
      <c r="B106" s="36"/>
      <c r="C106" s="36"/>
      <c r="D106" s="36"/>
      <c r="E106" s="36"/>
      <c r="F106" s="37"/>
    </row>
    <row r="107">
      <c r="A107" t="str">
        <f>'MSW29'!A107</f>
        <v/>
      </c>
      <c r="B107" t="str">
        <f>'MSW29'!B107</f>
        <v/>
      </c>
      <c r="C107" t="str">
        <f>'MSW29'!C107</f>
        <v/>
      </c>
      <c r="D107" t="str">
        <f>'MSW29'!D107</f>
        <v/>
      </c>
      <c r="E107" t="str">
        <f>'MSW29'!E107</f>
        <v/>
      </c>
      <c r="F107" t="str">
        <f>'MSW29'!F107</f>
        <v/>
      </c>
    </row>
    <row r="108">
      <c r="A108" s="602" t="str">
        <f>'MSW29'!A108</f>
        <v>DAY 3</v>
      </c>
      <c r="B108" s="36"/>
      <c r="C108" s="36"/>
      <c r="D108" s="36"/>
      <c r="E108" s="36"/>
      <c r="F108" s="37"/>
    </row>
    <row r="109">
      <c r="A109" t="str">
        <f>'MSW29'!A109</f>
        <v/>
      </c>
      <c r="B109" t="str">
        <f>'MSW29'!B109</f>
        <v/>
      </c>
      <c r="C109" t="str">
        <f>'MSW29'!C109</f>
        <v/>
      </c>
      <c r="D109" t="str">
        <f>'MSW29'!D109</f>
        <v/>
      </c>
      <c r="E109" t="str">
        <f>'MSW29'!E109</f>
        <v/>
      </c>
      <c r="F109" t="str">
        <f>'MSW29'!F109</f>
        <v/>
      </c>
    </row>
    <row r="110">
      <c r="A110" s="960" t="str">
        <f>'MSW29'!A110</f>
        <v>1. SHOULDER CLEANS</v>
      </c>
      <c r="B110" s="53"/>
      <c r="C110" s="53"/>
      <c r="D110" s="53"/>
      <c r="E110" s="53"/>
      <c r="F110" s="54"/>
    </row>
    <row r="111">
      <c r="A111" s="961" t="str">
        <f>'MSW29'!A111</f>
        <v>CURRENT MAX</v>
      </c>
      <c r="B111" s="76">
        <f>'MSW29'!B111</f>
        <v>35</v>
      </c>
      <c r="C111" s="13"/>
      <c r="D111" s="13"/>
      <c r="E111" s="13"/>
      <c r="F111" s="57"/>
    </row>
    <row r="112">
      <c r="A112" s="962" t="str">
        <f>'MSW29'!A112</f>
        <v>SET</v>
      </c>
      <c r="B112" s="963" t="str">
        <f>'MSW29'!B112</f>
        <v>WEIGHT</v>
      </c>
      <c r="C112" s="963" t="str">
        <f>'MSW29'!C112</f>
        <v>REPS</v>
      </c>
      <c r="D112" s="964" t="str">
        <f>'MSW29'!D112</f>
        <v>REST</v>
      </c>
      <c r="E112" s="965" t="str">
        <f>'MSW29'!E112</f>
        <v>PREVIOUS</v>
      </c>
      <c r="F112" s="966" t="str">
        <f>'MSW29'!F112</f>
        <v>REP LOG</v>
      </c>
    </row>
    <row r="113">
      <c r="A113" s="967">
        <f>'MSW29'!A113</f>
        <v>1</v>
      </c>
      <c r="B113" s="968">
        <f>'MSW29'!B113</f>
        <v>35</v>
      </c>
      <c r="C113" s="968">
        <f>'MSW29'!C113</f>
        <v>20</v>
      </c>
      <c r="D113" s="969" t="str">
        <f>'MSW29'!D113</f>
        <v>1 MIN</v>
      </c>
      <c r="E113" s="970" t="str">
        <f>'MSW29'!E113</f>
        <v/>
      </c>
      <c r="F113" s="67">
        <v>10.0</v>
      </c>
    </row>
    <row r="114">
      <c r="A114" s="967">
        <f>'MSW29'!A114</f>
        <v>2</v>
      </c>
      <c r="B114" s="968">
        <f>'MSW29'!B114</f>
        <v>25</v>
      </c>
      <c r="C114" s="968">
        <f>'MSW29'!C114</f>
        <v>20</v>
      </c>
      <c r="D114" s="969" t="str">
        <f>'MSW29'!D114</f>
        <v>1 MIN</v>
      </c>
      <c r="E114" s="970" t="str">
        <f>'MSW29'!E114</f>
        <v/>
      </c>
      <c r="F114" s="67">
        <v>20.0</v>
      </c>
    </row>
    <row r="115">
      <c r="A115" s="971">
        <f>'MSW29'!A115</f>
        <v>3</v>
      </c>
      <c r="B115" s="972">
        <f>'MSW29'!B115</f>
        <v>25</v>
      </c>
      <c r="C115" s="972">
        <f>'MSW29'!C115</f>
        <v>20</v>
      </c>
      <c r="D115" s="973" t="str">
        <f>'MSW29'!D115</f>
        <v>1 MIN</v>
      </c>
      <c r="E115" s="974" t="str">
        <f>'MSW29'!E115</f>
        <v/>
      </c>
      <c r="F115" s="67">
        <v>20.0</v>
      </c>
    </row>
    <row r="116">
      <c r="A116" t="str">
        <f>'MSW29'!A116</f>
        <v/>
      </c>
      <c r="B116" t="str">
        <f>'MSW29'!B116</f>
        <v/>
      </c>
      <c r="C116" t="str">
        <f>'MSW29'!C116</f>
        <v/>
      </c>
      <c r="D116" t="str">
        <f>'MSW29'!D116</f>
        <v/>
      </c>
      <c r="E116" t="str">
        <f>'MSW29'!E116</f>
        <v/>
      </c>
      <c r="F116" t="str">
        <f>'MSW29'!F116</f>
        <v/>
      </c>
    </row>
    <row r="117">
      <c r="A117" s="361" t="str">
        <f>'MSW29'!A117</f>
        <v>2.  CABLE HIGH PULLEY ROW</v>
      </c>
      <c r="B117" s="53"/>
      <c r="C117" s="53"/>
      <c r="D117" s="53"/>
      <c r="E117" s="53"/>
      <c r="F117" s="54"/>
    </row>
    <row r="118">
      <c r="A118" s="226" t="str">
        <f>'MSW29'!A118</f>
        <v>SHLDR PRSS MAX</v>
      </c>
      <c r="B118" s="90">
        <f>'MSW29'!B118</f>
        <v>80</v>
      </c>
      <c r="C118" s="13"/>
      <c r="D118" s="13"/>
      <c r="E118" s="13"/>
      <c r="F118" s="57"/>
    </row>
    <row r="119">
      <c r="A119" s="77" t="str">
        <f>'MSW29'!A119</f>
        <v>SET</v>
      </c>
      <c r="B119" s="78" t="str">
        <f>'MSW29'!B119</f>
        <v>WEIGHT</v>
      </c>
      <c r="C119" s="78" t="str">
        <f>'MSW29'!C119</f>
        <v>REPS</v>
      </c>
      <c r="D119" s="78" t="str">
        <f>'MSW29'!D119</f>
        <v>REST</v>
      </c>
      <c r="E119" s="80" t="str">
        <f>'MSW29'!E119</f>
        <v>PREVIOUS</v>
      </c>
      <c r="F119" s="235" t="str">
        <f>'MSW29'!F119</f>
        <v>REP LOG</v>
      </c>
    </row>
    <row r="120">
      <c r="A120" s="81">
        <f>'MSW29'!A120</f>
        <v>1</v>
      </c>
      <c r="B120" s="82">
        <f>'MSW29'!B120</f>
        <v>110</v>
      </c>
      <c r="C120" s="65">
        <f>'MSW29'!C120</f>
        <v>20</v>
      </c>
      <c r="D120" s="83" t="str">
        <f>'MSW29'!D120</f>
        <v>1MIN</v>
      </c>
      <c r="E120" s="84" t="str">
        <f>'MSW29'!E120</f>
        <v/>
      </c>
      <c r="F120" s="67">
        <v>20.0</v>
      </c>
    </row>
    <row r="121">
      <c r="A121" s="81">
        <f>'MSW29'!A121</f>
        <v>2</v>
      </c>
      <c r="B121" s="82">
        <f>'MSW29'!B121</f>
        <v>110</v>
      </c>
      <c r="C121" s="65">
        <f>'MSW29'!C121</f>
        <v>20</v>
      </c>
      <c r="D121" s="83" t="str">
        <f>'MSW29'!D121</f>
        <v>1MIN</v>
      </c>
      <c r="E121" s="84" t="str">
        <f>'MSW29'!E121</f>
        <v/>
      </c>
      <c r="F121" s="67">
        <v>20.0</v>
      </c>
    </row>
    <row r="122">
      <c r="A122" s="86">
        <f>'MSW29'!A122</f>
        <v>3</v>
      </c>
      <c r="B122" s="87">
        <f>'MSW29'!B122</f>
        <v>110</v>
      </c>
      <c r="C122" s="71">
        <f>'MSW29'!C122</f>
        <v>20</v>
      </c>
      <c r="D122" s="88" t="str">
        <f>'MSW29'!D122</f>
        <v>1MIN</v>
      </c>
      <c r="E122" s="89" t="str">
        <f>'MSW29'!E122</f>
        <v/>
      </c>
      <c r="F122" s="67">
        <v>14.0</v>
      </c>
    </row>
    <row r="123">
      <c r="A123" t="str">
        <f>'MSW29'!A123</f>
        <v/>
      </c>
      <c r="B123" t="str">
        <f>'MSW29'!B123</f>
        <v/>
      </c>
      <c r="C123" t="str">
        <f>'MSW29'!C123</f>
        <v/>
      </c>
      <c r="D123" t="str">
        <f>'MSW29'!D123</f>
        <v/>
      </c>
      <c r="E123" t="str">
        <f>'MSW29'!E123</f>
        <v/>
      </c>
      <c r="F123" t="str">
        <f>'MSW29'!F123</f>
        <v/>
      </c>
    </row>
    <row r="124">
      <c r="A124" s="513" t="str">
        <f>'MSW29'!A124</f>
        <v>3. DUMBBELL SIDE LATERAL RAISE</v>
      </c>
      <c r="B124" s="53"/>
      <c r="C124" s="53"/>
      <c r="D124" s="53"/>
      <c r="E124" s="53"/>
      <c r="F124" s="54"/>
    </row>
    <row r="125">
      <c r="A125" s="226" t="str">
        <f>'MSW29'!A125</f>
        <v>SHLDR PRSS MAX</v>
      </c>
      <c r="B125" s="90">
        <f>'MSW29'!B125</f>
        <v>80</v>
      </c>
      <c r="C125" s="13"/>
      <c r="D125" s="13"/>
      <c r="E125" s="13"/>
      <c r="F125" s="57"/>
    </row>
    <row r="126">
      <c r="A126" s="376" t="str">
        <f>'MSW29'!A126</f>
        <v>SET</v>
      </c>
      <c r="B126" s="79" t="str">
        <f>'MSW29'!B126</f>
        <v>WEIGHT</v>
      </c>
      <c r="C126" s="79" t="str">
        <f>'MSW29'!C126</f>
        <v>REPS</v>
      </c>
      <c r="D126" s="79" t="str">
        <f>'MSW29'!D126</f>
        <v>REST</v>
      </c>
      <c r="E126" s="98" t="str">
        <f>'MSW29'!E126</f>
        <v>PREVIOUS</v>
      </c>
      <c r="F126" s="377" t="str">
        <f>'MSW29'!F126</f>
        <v>REP LOG</v>
      </c>
    </row>
    <row r="127">
      <c r="A127" s="81">
        <f>'MSW29'!A127</f>
        <v>1</v>
      </c>
      <c r="B127" s="82">
        <f>'MSW29'!B127</f>
        <v>15</v>
      </c>
      <c r="C127" s="65">
        <f>'MSW29'!C127</f>
        <v>20</v>
      </c>
      <c r="D127" s="83" t="str">
        <f>'MSW29'!D127</f>
        <v>1 MIN</v>
      </c>
      <c r="E127" s="378" t="str">
        <f>'MSW29'!E127</f>
        <v/>
      </c>
      <c r="F127" s="67">
        <v>20.0</v>
      </c>
    </row>
    <row r="128">
      <c r="A128" s="81">
        <f>'MSW29'!A128</f>
        <v>2</v>
      </c>
      <c r="B128" s="82">
        <f>'MSW29'!B128</f>
        <v>15</v>
      </c>
      <c r="C128" s="65">
        <f>'MSW29'!C128</f>
        <v>20</v>
      </c>
      <c r="D128" s="83" t="str">
        <f>'MSW29'!D128</f>
        <v>1 MIN</v>
      </c>
      <c r="E128" s="378" t="str">
        <f>'MSW29'!E128</f>
        <v/>
      </c>
      <c r="F128" s="67">
        <v>20.0</v>
      </c>
    </row>
    <row r="129">
      <c r="A129" s="86">
        <f>'MSW29'!A129</f>
        <v>3</v>
      </c>
      <c r="B129" s="87">
        <f>'MSW29'!B129</f>
        <v>15</v>
      </c>
      <c r="C129" s="71">
        <f>'MSW29'!C129</f>
        <v>20</v>
      </c>
      <c r="D129" s="88" t="str">
        <f>'MSW29'!D129</f>
        <v>1 MIN</v>
      </c>
      <c r="E129" s="379" t="str">
        <f>'MSW29'!E129</f>
        <v/>
      </c>
      <c r="F129" s="67">
        <v>20.0</v>
      </c>
    </row>
    <row r="130">
      <c r="A130" t="str">
        <f>'MSW29'!A130</f>
        <v/>
      </c>
      <c r="B130" t="str">
        <f>'MSW29'!B130</f>
        <v/>
      </c>
      <c r="C130" t="str">
        <f>'MSW29'!C130</f>
        <v/>
      </c>
      <c r="D130" t="str">
        <f>'MSW29'!D130</f>
        <v/>
      </c>
      <c r="E130" t="str">
        <f>'MSW29'!E130</f>
        <v/>
      </c>
      <c r="F130" t="str">
        <f>'MSW29'!F130</f>
        <v/>
      </c>
    </row>
    <row r="131">
      <c r="A131" s="73" t="str">
        <f>'MSW29'!A131</f>
        <v>4. TRICEP PUSH DOWNS</v>
      </c>
      <c r="B131" s="53"/>
      <c r="C131" s="53"/>
      <c r="D131" s="53"/>
      <c r="E131" s="53"/>
      <c r="F131" s="54"/>
    </row>
    <row r="132">
      <c r="A132" s="226" t="str">
        <f>'MSW29'!A132</f>
        <v>CURRENT MAX</v>
      </c>
      <c r="B132" s="90">
        <f>'MSW29'!B132</f>
        <v>30</v>
      </c>
      <c r="C132" s="13"/>
      <c r="D132" s="13"/>
      <c r="E132" s="13"/>
      <c r="F132" s="57"/>
    </row>
    <row r="133">
      <c r="A133" s="77" t="str">
        <f>'MSW29'!A133</f>
        <v>SET</v>
      </c>
      <c r="B133" s="78" t="str">
        <f>'MSW29'!B133</f>
        <v>WEIGHT</v>
      </c>
      <c r="C133" s="78" t="str">
        <f>'MSW29'!C133</f>
        <v>REPS</v>
      </c>
      <c r="D133" s="78" t="str">
        <f>'MSW29'!D133</f>
        <v>REST</v>
      </c>
      <c r="E133" s="80" t="str">
        <f>'MSW29'!E133</f>
        <v>PREVIOUS</v>
      </c>
      <c r="F133" s="235" t="str">
        <f>'MSW29'!F133</f>
        <v>REP LOG</v>
      </c>
    </row>
    <row r="134">
      <c r="A134" s="81">
        <f>'MSW29'!A134</f>
        <v>1</v>
      </c>
      <c r="B134" s="63">
        <v>70.0</v>
      </c>
      <c r="C134" s="65">
        <f>'MSW29'!C134</f>
        <v>20</v>
      </c>
      <c r="D134" s="83" t="str">
        <f>'MSW29'!D134</f>
        <v>1MIN</v>
      </c>
      <c r="E134" s="84" t="str">
        <f>'MSW29'!E134</f>
        <v/>
      </c>
      <c r="F134" s="85">
        <v>15.0</v>
      </c>
    </row>
    <row r="135">
      <c r="A135" s="81">
        <f>'MSW29'!A135</f>
        <v>2</v>
      </c>
      <c r="B135" s="82">
        <f>'MSW29'!B135</f>
        <v>70</v>
      </c>
      <c r="C135" s="65">
        <f>'MSW29'!C135</f>
        <v>20</v>
      </c>
      <c r="D135" s="83" t="str">
        <f>'MSW29'!D135</f>
        <v>1MIN</v>
      </c>
      <c r="E135" s="84" t="str">
        <f>'MSW29'!E135</f>
        <v/>
      </c>
      <c r="F135" s="85">
        <v>11.0</v>
      </c>
    </row>
    <row r="136">
      <c r="A136" s="86">
        <f>'MSW29'!A136</f>
        <v>3</v>
      </c>
      <c r="B136" s="87">
        <f>'MSW29'!B136</f>
        <v>65</v>
      </c>
      <c r="C136" s="71">
        <f>'MSW29'!C136</f>
        <v>20</v>
      </c>
      <c r="D136" s="88" t="str">
        <f>'MSW29'!D136</f>
        <v>1MIN</v>
      </c>
      <c r="E136" s="89" t="str">
        <f>'MSW29'!E136</f>
        <v/>
      </c>
      <c r="F136" s="85">
        <v>11.0</v>
      </c>
    </row>
    <row r="137">
      <c r="A137" t="str">
        <f>'MSW29'!A137</f>
        <v/>
      </c>
    </row>
    <row r="139">
      <c r="A139" s="975" t="str">
        <f>'MSW29'!A139</f>
        <v>5. BICEP CABLE CURL</v>
      </c>
      <c r="B139" s="20"/>
      <c r="C139" s="20"/>
      <c r="D139" s="20"/>
      <c r="E139" s="20"/>
      <c r="F139" s="21"/>
      <c r="G139" s="976"/>
      <c r="H139" s="977" t="str">
        <f>'MSW29'!H139</f>
        <v>4. BICEP BAR CURL</v>
      </c>
      <c r="I139" s="20"/>
      <c r="J139" s="20"/>
      <c r="K139" s="20"/>
      <c r="L139" s="20"/>
      <c r="M139" s="21"/>
      <c r="N139" s="7"/>
    </row>
    <row r="140">
      <c r="A140" s="871" t="str">
        <f>'MSW29'!A140</f>
        <v>CURRENT MAX</v>
      </c>
      <c r="B140" s="76">
        <f>'MSW29'!B140</f>
        <v>50</v>
      </c>
      <c r="C140" s="13"/>
      <c r="D140" s="13"/>
      <c r="E140" s="13"/>
      <c r="F140" s="14"/>
      <c r="H140" s="871" t="str">
        <f>'MSW29'!H140</f>
        <v>CURRENT MAX</v>
      </c>
      <c r="I140" s="76" t="str">
        <f>'MSW29'!I140</f>
        <v/>
      </c>
      <c r="J140" s="13"/>
      <c r="K140" s="13"/>
      <c r="L140" s="13"/>
      <c r="M140" s="14"/>
    </row>
    <row r="141">
      <c r="A141" s="78" t="str">
        <f>'MSW29'!A141</f>
        <v>SET</v>
      </c>
      <c r="B141" s="78" t="str">
        <f>'MSW29'!B141</f>
        <v>WEIGHT</v>
      </c>
      <c r="C141" s="78" t="str">
        <f>'MSW29'!C141</f>
        <v>REPS</v>
      </c>
      <c r="D141" s="78" t="str">
        <f>'MSW29'!D141</f>
        <v>REST</v>
      </c>
      <c r="E141" s="80" t="str">
        <f>'MSW29'!E141</f>
        <v>PREVIOUS</v>
      </c>
      <c r="F141" s="954" t="str">
        <f>'MSW29'!F141</f>
        <v>REP LOG</v>
      </c>
      <c r="H141" s="78" t="str">
        <f>'MSW29'!H141</f>
        <v>SET</v>
      </c>
      <c r="I141" s="78" t="str">
        <f>'MSW29'!I141</f>
        <v>WEIGHT</v>
      </c>
      <c r="J141" s="78" t="str">
        <f>'MSW29'!J141</f>
        <v>REPS</v>
      </c>
      <c r="K141" s="78" t="str">
        <f>'MSW29'!K141</f>
        <v>REST</v>
      </c>
      <c r="L141" s="80" t="str">
        <f>'MSW29'!L141</f>
        <v>PREVIOUS</v>
      </c>
      <c r="M141" s="954" t="str">
        <f>'MSW29'!M141</f>
        <v>REP LOG</v>
      </c>
    </row>
    <row r="142">
      <c r="A142" s="978">
        <f>'MSW29'!A142</f>
        <v>1</v>
      </c>
      <c r="B142" s="82">
        <f>'MSW29'!B142</f>
        <v>50</v>
      </c>
      <c r="C142" s="65">
        <f>'MSW29'!C142</f>
        <v>20</v>
      </c>
      <c r="D142" s="83" t="str">
        <f>'MSW29'!D142</f>
        <v>1MIN</v>
      </c>
      <c r="E142" s="84" t="str">
        <f>'MSW29'!E142</f>
        <v/>
      </c>
      <c r="F142" s="979">
        <v>4.0</v>
      </c>
      <c r="H142" s="978">
        <f>'MSW29'!H142</f>
        <v>1</v>
      </c>
      <c r="I142" s="82">
        <f>'MSW29'!I142</f>
        <v>0</v>
      </c>
      <c r="J142" s="65">
        <f>'MSW29'!J142</f>
        <v>20</v>
      </c>
      <c r="K142" s="83" t="str">
        <f>'MSW29'!K142</f>
        <v>1MIN</v>
      </c>
      <c r="L142" s="84" t="str">
        <f>'MSW29'!L142</f>
        <v/>
      </c>
      <c r="M142" s="979"/>
    </row>
    <row r="143">
      <c r="A143" s="978">
        <f>'MSW29'!A143</f>
        <v>2</v>
      </c>
      <c r="B143" s="82">
        <f>'MSW29'!B143</f>
        <v>40</v>
      </c>
      <c r="C143" s="65">
        <f>'MSW29'!C143</f>
        <v>20</v>
      </c>
      <c r="D143" s="83" t="str">
        <f>'MSW29'!D143</f>
        <v>1MIN</v>
      </c>
      <c r="E143" s="84"/>
      <c r="F143" s="979">
        <v>7.0</v>
      </c>
      <c r="H143" s="978">
        <f>'MSW29'!H143</f>
        <v>2</v>
      </c>
      <c r="I143" s="82">
        <f>'MSW29'!I143</f>
        <v>0</v>
      </c>
      <c r="J143" s="65">
        <f>'MSW29'!J143</f>
        <v>20</v>
      </c>
      <c r="K143" s="83" t="str">
        <f>'MSW29'!K143</f>
        <v>1MIN</v>
      </c>
      <c r="L143" s="84"/>
      <c r="M143" s="979"/>
    </row>
    <row r="144">
      <c r="A144" s="978">
        <f>'MSW29'!A144</f>
        <v>3</v>
      </c>
      <c r="B144" s="82">
        <f>'MSW29'!B144</f>
        <v>30</v>
      </c>
      <c r="C144" s="65">
        <f>'MSW29'!C144</f>
        <v>20</v>
      </c>
      <c r="D144" s="83" t="str">
        <f>'MSW29'!D144</f>
        <v>1MIN</v>
      </c>
      <c r="E144" s="84" t="str">
        <f>'MSW29'!E144</f>
        <v/>
      </c>
      <c r="F144" s="980"/>
      <c r="H144" s="978">
        <f>'MSW29'!H144</f>
        <v>3</v>
      </c>
      <c r="I144" s="82">
        <f>'MSW29'!I144</f>
        <v>0</v>
      </c>
      <c r="J144" s="65">
        <f>'MSW29'!J144</f>
        <v>20</v>
      </c>
      <c r="K144" s="83" t="str">
        <f>'MSW29'!K144</f>
        <v>1MIN</v>
      </c>
      <c r="L144" s="84" t="str">
        <f>'MSW29'!L144</f>
        <v/>
      </c>
      <c r="M144" s="980"/>
    </row>
    <row r="147">
      <c r="A147" s="310" t="str">
        <f>HYPERLINK("https://docs.google.com/a/fitnessresults.com/forms/d/e/1FAIpQLSd7MoczESe8Yjv6BKpmwAZGn9Aiymrs9-UdgfYIUpbr9t5NXg/viewform?usp=pp_url&amp;entry.93370101","CLICK TO COMPLETE WORKOUT")</f>
        <v>CLICK TO COMPLETE WORKOUT</v>
      </c>
      <c r="B147" s="36"/>
      <c r="C147" s="36"/>
      <c r="D147" s="36"/>
      <c r="E147" s="36"/>
      <c r="F147" s="37"/>
    </row>
    <row r="149">
      <c r="A149" s="639" t="s">
        <v>135</v>
      </c>
      <c r="B149" s="36"/>
      <c r="C149" s="36"/>
      <c r="D149" s="36"/>
      <c r="E149" s="36"/>
      <c r="F149" s="37"/>
    </row>
    <row r="151">
      <c r="A151" s="884" t="str">
        <f>HYPERLINK("https://www.amazon.com/30-Minute-Body-Investment-Champion/dp/0692791892/ref=sr_1_1?ie=UTF8&amp;qid=1490447969&amp;sr=8-1&amp;keywords=30+minute+body","WANT TO LEARN MORE?")</f>
        <v>WANT TO LEARN MORE?</v>
      </c>
      <c r="B151" s="16"/>
      <c r="C151" s="16"/>
      <c r="D151" s="16"/>
      <c r="E151" s="16"/>
      <c r="F151" s="17"/>
    </row>
    <row r="152">
      <c r="A152" s="18"/>
      <c r="B152" s="13"/>
      <c r="C152" s="13"/>
      <c r="D152" s="13"/>
      <c r="E152" s="13"/>
      <c r="F152" s="14"/>
    </row>
    <row r="153">
      <c r="A153" s="885"/>
      <c r="B153" s="886"/>
      <c r="C153" s="644" t="s">
        <v>67</v>
      </c>
      <c r="D153" s="25"/>
      <c r="E153" s="25"/>
      <c r="F153" s="26"/>
    </row>
    <row r="154">
      <c r="A154" s="887"/>
      <c r="B154" s="888"/>
      <c r="C154" s="529"/>
      <c r="F154" s="28"/>
    </row>
    <row r="155">
      <c r="A155" s="887"/>
      <c r="B155" s="888"/>
      <c r="C155" s="529"/>
      <c r="F155" s="28"/>
    </row>
    <row r="156">
      <c r="A156" s="887"/>
      <c r="B156" s="888"/>
      <c r="C156" s="529"/>
      <c r="F156" s="28"/>
    </row>
    <row r="157">
      <c r="A157" s="887"/>
      <c r="B157" s="888"/>
      <c r="C157" s="529"/>
      <c r="F157" s="28"/>
    </row>
    <row r="158">
      <c r="A158" s="887"/>
      <c r="B158" s="888"/>
      <c r="C158" s="529"/>
      <c r="F158" s="28"/>
    </row>
    <row r="159">
      <c r="A159" s="889"/>
      <c r="B159" s="888"/>
      <c r="C159" s="529"/>
      <c r="F159" s="28"/>
    </row>
    <row r="160">
      <c r="A160" s="887"/>
      <c r="B160" s="888"/>
      <c r="C160" s="529"/>
      <c r="F160" s="28"/>
    </row>
    <row r="161">
      <c r="A161" s="887"/>
      <c r="B161" s="888"/>
      <c r="C161" s="529"/>
      <c r="F161" s="28"/>
    </row>
    <row r="162">
      <c r="A162" s="890"/>
      <c r="B162" s="888"/>
      <c r="C162" s="529"/>
      <c r="F162" s="28"/>
    </row>
    <row r="163">
      <c r="A163" s="887"/>
      <c r="B163" s="888"/>
      <c r="C163" s="529"/>
      <c r="F163" s="28"/>
    </row>
    <row r="164">
      <c r="A164" s="887"/>
      <c r="B164" s="888"/>
      <c r="C164" s="529"/>
      <c r="F164" s="28"/>
    </row>
    <row r="165">
      <c r="A165" s="887"/>
      <c r="B165" s="888"/>
      <c r="C165" s="529"/>
      <c r="F165" s="28"/>
    </row>
    <row r="166">
      <c r="A166" s="887"/>
      <c r="B166" s="888"/>
      <c r="C166" s="529"/>
      <c r="F166" s="28"/>
    </row>
    <row r="167">
      <c r="A167" s="891"/>
      <c r="B167" s="892"/>
      <c r="C167" s="336"/>
      <c r="D167" s="11"/>
      <c r="E167" s="11"/>
      <c r="F167" s="46"/>
    </row>
  </sheetData>
  <mergeCells count="81">
    <mergeCell ref="H16:M16"/>
    <mergeCell ref="A17:N18"/>
    <mergeCell ref="A19:F19"/>
    <mergeCell ref="H19:M19"/>
    <mergeCell ref="A14:F15"/>
    <mergeCell ref="A16:F16"/>
    <mergeCell ref="N19:N31"/>
    <mergeCell ref="A20:F20"/>
    <mergeCell ref="H20:M20"/>
    <mergeCell ref="I21:M21"/>
    <mergeCell ref="H29:M29"/>
    <mergeCell ref="A68:F68"/>
    <mergeCell ref="B69:F69"/>
    <mergeCell ref="A44:F44"/>
    <mergeCell ref="B45:F45"/>
    <mergeCell ref="A51:F51"/>
    <mergeCell ref="A54:F54"/>
    <mergeCell ref="B57:F57"/>
    <mergeCell ref="A60:F60"/>
    <mergeCell ref="B61:F61"/>
    <mergeCell ref="B111:F111"/>
    <mergeCell ref="A117:F117"/>
    <mergeCell ref="B89:F89"/>
    <mergeCell ref="A96:F96"/>
    <mergeCell ref="B97:F97"/>
    <mergeCell ref="B104:F104"/>
    <mergeCell ref="A106:F106"/>
    <mergeCell ref="A108:F108"/>
    <mergeCell ref="A110:F110"/>
    <mergeCell ref="G94:N138"/>
    <mergeCell ref="H139:M139"/>
    <mergeCell ref="N139:N144"/>
    <mergeCell ref="I140:M140"/>
    <mergeCell ref="G27:G28"/>
    <mergeCell ref="H27:M27"/>
    <mergeCell ref="G42:N87"/>
    <mergeCell ref="H88:M88"/>
    <mergeCell ref="I89:M89"/>
    <mergeCell ref="G91:G92"/>
    <mergeCell ref="G139:G144"/>
    <mergeCell ref="G145:N168"/>
    <mergeCell ref="A12:F12"/>
    <mergeCell ref="A13:F13"/>
    <mergeCell ref="A1:N8"/>
    <mergeCell ref="A9:F9"/>
    <mergeCell ref="G9:G11"/>
    <mergeCell ref="H9:M9"/>
    <mergeCell ref="A10:F11"/>
    <mergeCell ref="H10:M10"/>
    <mergeCell ref="G12:N15"/>
    <mergeCell ref="B21:F21"/>
    <mergeCell ref="A27:F27"/>
    <mergeCell ref="G19:G26"/>
    <mergeCell ref="G29:G31"/>
    <mergeCell ref="G37:G41"/>
    <mergeCell ref="I34:M34"/>
    <mergeCell ref="A35:N36"/>
    <mergeCell ref="A37:F37"/>
    <mergeCell ref="H37:M37"/>
    <mergeCell ref="B38:F38"/>
    <mergeCell ref="I38:M38"/>
    <mergeCell ref="N38:N41"/>
    <mergeCell ref="A29:F29"/>
    <mergeCell ref="B34:F34"/>
    <mergeCell ref="A75:F75"/>
    <mergeCell ref="A77:F77"/>
    <mergeCell ref="A80:F80"/>
    <mergeCell ref="B81:F81"/>
    <mergeCell ref="A88:F88"/>
    <mergeCell ref="B140:F140"/>
    <mergeCell ref="A147:F147"/>
    <mergeCell ref="A149:F149"/>
    <mergeCell ref="A151:F152"/>
    <mergeCell ref="C153:F167"/>
    <mergeCell ref="B118:F118"/>
    <mergeCell ref="A124:F124"/>
    <mergeCell ref="B125:F125"/>
    <mergeCell ref="A131:F131"/>
    <mergeCell ref="B132:F132"/>
    <mergeCell ref="A137:F138"/>
    <mergeCell ref="A139:F139"/>
  </mergeCells>
  <dataValidations>
    <dataValidation type="decimal" allowBlank="1" showDropDown="1" showInputMessage="1" showErrorMessage="1" prompt="Enter a number between 0 and 30" sqref="F23:F26 M23:M26 F28 M28 F30:F33 M30:M33 F40:F41 M40:M41 F47:F50 F52:F53 F55:F56 F63:F65 F71:F73 F83:F85 F91:F93 M91:M93 F99:F103 F113:F115 F120:F122 F127:F129 F134">
      <formula1>0.0</formula1>
      <formula2>30.0</formula2>
    </dataValidation>
    <dataValidation type="decimal" operator="greaterThan" allowBlank="1" showDropDown="1" showErrorMessage="1" sqref="M11">
      <formula1>0.0</formula1>
    </dataValidation>
  </dataValidations>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86"/>
      <c r="B1" s="986"/>
      <c r="C1" s="986"/>
      <c r="D1" s="986"/>
      <c r="E1" s="986"/>
      <c r="F1" s="987"/>
      <c r="G1" s="987"/>
      <c r="H1" s="987"/>
      <c r="I1" s="987"/>
      <c r="J1" s="987"/>
      <c r="K1" s="987"/>
      <c r="L1" s="987"/>
      <c r="M1" s="987"/>
      <c r="N1" s="987"/>
      <c r="O1" s="987"/>
      <c r="P1" s="987"/>
      <c r="Q1" s="987"/>
      <c r="R1" s="987"/>
      <c r="S1" s="987"/>
      <c r="T1" s="987"/>
      <c r="U1" s="987"/>
      <c r="V1" s="987"/>
      <c r="W1" s="987"/>
      <c r="X1" s="987"/>
      <c r="Y1" s="987"/>
      <c r="Z1" s="987"/>
    </row>
    <row r="2">
      <c r="A2" s="986"/>
      <c r="B2" s="986"/>
      <c r="C2" s="986"/>
      <c r="D2" s="986"/>
      <c r="E2" s="986"/>
      <c r="F2" s="987"/>
      <c r="G2" s="987"/>
      <c r="H2" s="987"/>
      <c r="I2" s="987"/>
      <c r="J2" s="987"/>
      <c r="K2" s="987"/>
      <c r="L2" s="987"/>
      <c r="M2" s="987"/>
      <c r="N2" s="987"/>
      <c r="O2" s="987"/>
      <c r="P2" s="987"/>
      <c r="Q2" s="987"/>
      <c r="R2" s="987"/>
      <c r="S2" s="987"/>
      <c r="T2" s="987"/>
      <c r="U2" s="987"/>
      <c r="V2" s="987"/>
      <c r="W2" s="987"/>
      <c r="X2" s="987"/>
      <c r="Y2" s="987"/>
      <c r="Z2" s="987"/>
    </row>
    <row r="3">
      <c r="A3" s="986"/>
      <c r="B3" s="986"/>
      <c r="C3" s="986"/>
      <c r="D3" s="986"/>
      <c r="E3" s="986"/>
      <c r="F3" s="987"/>
      <c r="G3" s="987"/>
      <c r="H3" s="987"/>
      <c r="I3" s="987"/>
      <c r="J3" s="987"/>
      <c r="K3" s="987"/>
      <c r="L3" s="987"/>
      <c r="M3" s="987"/>
      <c r="N3" s="987"/>
      <c r="O3" s="987"/>
      <c r="P3" s="987"/>
      <c r="Q3" s="987"/>
      <c r="R3" s="987"/>
      <c r="S3" s="987"/>
      <c r="T3" s="987"/>
      <c r="U3" s="987"/>
      <c r="V3" s="987"/>
      <c r="W3" s="987"/>
      <c r="X3" s="987"/>
      <c r="Y3" s="987"/>
      <c r="Z3" s="987"/>
    </row>
    <row r="4">
      <c r="A4" s="986"/>
      <c r="B4" s="986"/>
      <c r="C4" s="986"/>
      <c r="D4" s="986"/>
      <c r="E4" s="986"/>
      <c r="F4" s="987"/>
      <c r="G4" s="987"/>
      <c r="H4" s="987"/>
      <c r="I4" s="987"/>
      <c r="J4" s="987"/>
      <c r="K4" s="987"/>
      <c r="L4" s="987"/>
      <c r="M4" s="987"/>
      <c r="N4" s="987"/>
      <c r="O4" s="987"/>
      <c r="P4" s="987"/>
      <c r="Q4" s="987"/>
      <c r="R4" s="987"/>
      <c r="S4" s="987"/>
      <c r="T4" s="987"/>
      <c r="U4" s="987"/>
      <c r="V4" s="987"/>
      <c r="W4" s="987"/>
      <c r="X4" s="987"/>
      <c r="Y4" s="987"/>
      <c r="Z4" s="987"/>
    </row>
    <row r="5">
      <c r="A5" s="986"/>
      <c r="B5" s="986"/>
      <c r="C5" s="986"/>
      <c r="D5" s="986"/>
      <c r="E5" s="986"/>
      <c r="F5" s="987"/>
      <c r="G5" s="987"/>
      <c r="H5" s="987"/>
      <c r="I5" s="987"/>
      <c r="J5" s="987"/>
      <c r="K5" s="987"/>
      <c r="L5" s="987"/>
      <c r="M5" s="987"/>
      <c r="N5" s="987"/>
      <c r="O5" s="987"/>
      <c r="P5" s="987"/>
      <c r="Q5" s="987"/>
      <c r="R5" s="987"/>
      <c r="S5" s="987"/>
      <c r="T5" s="987"/>
      <c r="U5" s="987"/>
      <c r="V5" s="987"/>
      <c r="W5" s="987"/>
      <c r="X5" s="987"/>
      <c r="Y5" s="987"/>
      <c r="Z5" s="987"/>
    </row>
    <row r="6">
      <c r="A6" s="986"/>
      <c r="B6" s="986"/>
      <c r="C6" s="986"/>
      <c r="D6" s="986"/>
      <c r="E6" s="986"/>
      <c r="F6" s="987"/>
      <c r="G6" s="987"/>
      <c r="H6" s="987"/>
      <c r="I6" s="987"/>
      <c r="J6" s="987"/>
      <c r="K6" s="987"/>
      <c r="L6" s="987"/>
      <c r="M6" s="987"/>
      <c r="N6" s="987"/>
      <c r="O6" s="987"/>
      <c r="P6" s="987"/>
      <c r="Q6" s="987"/>
      <c r="R6" s="987"/>
      <c r="S6" s="987"/>
      <c r="T6" s="987"/>
      <c r="U6" s="987"/>
      <c r="V6" s="987"/>
      <c r="W6" s="987"/>
      <c r="X6" s="987"/>
      <c r="Y6" s="987"/>
      <c r="Z6" s="987"/>
    </row>
    <row r="7">
      <c r="A7" s="986"/>
      <c r="B7" s="986"/>
      <c r="C7" s="986"/>
      <c r="D7" s="986"/>
      <c r="E7" s="986"/>
      <c r="F7" s="987"/>
      <c r="G7" s="987"/>
      <c r="H7" s="987"/>
      <c r="I7" s="987"/>
      <c r="J7" s="987"/>
      <c r="K7" s="987"/>
      <c r="L7" s="987"/>
      <c r="M7" s="987"/>
      <c r="N7" s="987"/>
      <c r="O7" s="987"/>
      <c r="P7" s="987"/>
      <c r="Q7" s="987"/>
      <c r="R7" s="987"/>
      <c r="S7" s="987"/>
      <c r="T7" s="987"/>
      <c r="U7" s="987"/>
      <c r="V7" s="987"/>
      <c r="W7" s="987"/>
      <c r="X7" s="987"/>
      <c r="Y7" s="987"/>
      <c r="Z7" s="987"/>
    </row>
    <row r="8">
      <c r="A8" s="988"/>
      <c r="B8" s="988"/>
      <c r="C8" s="988"/>
      <c r="D8" s="988"/>
      <c r="E8" s="988"/>
      <c r="F8" s="989"/>
      <c r="G8" s="987"/>
      <c r="H8" s="987"/>
      <c r="I8" s="987"/>
      <c r="J8" s="987"/>
      <c r="K8" s="987"/>
      <c r="L8" s="987"/>
      <c r="M8" s="987"/>
      <c r="N8" s="987"/>
      <c r="O8" s="987"/>
      <c r="P8" s="987"/>
      <c r="Q8" s="987"/>
      <c r="R8" s="987"/>
      <c r="S8" s="987"/>
      <c r="T8" s="987"/>
      <c r="U8" s="987"/>
      <c r="V8" s="987"/>
      <c r="W8" s="987"/>
      <c r="X8" s="987"/>
      <c r="Y8" s="987"/>
      <c r="Z8" s="987"/>
    </row>
    <row r="9">
      <c r="A9" s="1532" t="s">
        <v>319</v>
      </c>
      <c r="B9" s="11"/>
      <c r="C9" s="11"/>
      <c r="D9" s="11"/>
      <c r="E9" s="11"/>
      <c r="F9" s="46"/>
      <c r="G9" s="987"/>
      <c r="H9" s="987"/>
      <c r="I9" s="987"/>
      <c r="J9" s="987"/>
      <c r="K9" s="987"/>
      <c r="L9" s="987"/>
      <c r="M9" s="987"/>
      <c r="N9" s="987"/>
      <c r="O9" s="987"/>
      <c r="P9" s="987"/>
      <c r="Q9" s="987"/>
      <c r="R9" s="987"/>
      <c r="S9" s="987"/>
      <c r="T9" s="987"/>
      <c r="U9" s="987"/>
      <c r="V9" s="987"/>
      <c r="W9" s="987"/>
      <c r="X9" s="987"/>
      <c r="Y9" s="987"/>
      <c r="Z9" s="987"/>
    </row>
    <row r="10">
      <c r="A10" s="991" t="str">
        <f>HYPERLINK("https://goo.gl/forms/3ibooB993Hi7SS2d2","PRESS TO RECORD BODY WEIGHT")</f>
        <v>PRESS TO RECORD BODY WEIGHT</v>
      </c>
      <c r="F10" s="28"/>
      <c r="G10" s="987"/>
      <c r="H10" s="987"/>
      <c r="I10" s="987"/>
      <c r="J10" s="987"/>
      <c r="K10" s="987"/>
      <c r="L10" s="987"/>
      <c r="M10" s="987"/>
      <c r="N10" s="987"/>
      <c r="O10" s="987"/>
      <c r="P10" s="987"/>
      <c r="Q10" s="987"/>
      <c r="R10" s="987"/>
      <c r="S10" s="987"/>
      <c r="T10" s="987"/>
      <c r="U10" s="987"/>
      <c r="V10" s="987"/>
      <c r="W10" s="987"/>
      <c r="X10" s="987"/>
      <c r="Y10" s="987"/>
      <c r="Z10" s="987"/>
    </row>
    <row r="11">
      <c r="A11" s="336"/>
      <c r="B11" s="11"/>
      <c r="C11" s="11"/>
      <c r="D11" s="11"/>
      <c r="E11" s="11"/>
      <c r="F11" s="46"/>
      <c r="G11" s="987"/>
      <c r="H11" s="987"/>
      <c r="I11" s="987"/>
      <c r="J11" s="987"/>
      <c r="K11" s="987"/>
      <c r="L11" s="987"/>
      <c r="M11" s="987"/>
      <c r="N11" s="987"/>
      <c r="O11" s="987"/>
      <c r="P11" s="987"/>
      <c r="Q11" s="987"/>
      <c r="R11" s="987"/>
      <c r="S11" s="987"/>
      <c r="T11" s="987"/>
      <c r="U11" s="987"/>
      <c r="V11" s="987"/>
      <c r="W11" s="987"/>
      <c r="X11" s="987"/>
      <c r="Y11" s="987"/>
      <c r="Z11" s="987"/>
    </row>
    <row r="12">
      <c r="A12" s="992" t="s">
        <v>69</v>
      </c>
      <c r="B12" s="11"/>
      <c r="C12" s="11"/>
      <c r="D12" s="11"/>
      <c r="E12" s="11"/>
      <c r="F12" s="46"/>
      <c r="G12" s="987"/>
      <c r="H12" s="987"/>
      <c r="I12" s="987"/>
      <c r="J12" s="987"/>
      <c r="K12" s="987"/>
      <c r="L12" s="987"/>
      <c r="M12" s="987"/>
      <c r="N12" s="987"/>
      <c r="O12" s="987"/>
      <c r="P12" s="987"/>
      <c r="Q12" s="987"/>
      <c r="R12" s="987"/>
      <c r="S12" s="987"/>
      <c r="T12" s="987"/>
      <c r="U12" s="987"/>
      <c r="V12" s="987"/>
      <c r="W12" s="987"/>
      <c r="X12" s="987"/>
      <c r="Y12" s="987"/>
      <c r="Z12" s="987"/>
    </row>
    <row r="13">
      <c r="A13" s="993" t="s">
        <v>180</v>
      </c>
      <c r="B13" s="11"/>
      <c r="C13" s="11"/>
      <c r="D13" s="11"/>
      <c r="E13" s="11"/>
      <c r="F13" s="46"/>
      <c r="G13" s="987"/>
      <c r="H13" s="987"/>
      <c r="I13" s="987"/>
      <c r="J13" s="987"/>
      <c r="K13" s="987"/>
      <c r="L13" s="987"/>
      <c r="M13" s="987"/>
      <c r="N13" s="987"/>
      <c r="O13" s="987"/>
      <c r="P13" s="987"/>
      <c r="Q13" s="987"/>
      <c r="R13" s="987"/>
      <c r="S13" s="987"/>
      <c r="T13" s="987"/>
      <c r="U13" s="987"/>
      <c r="V13" s="987"/>
      <c r="W13" s="987"/>
      <c r="X13" s="987"/>
      <c r="Y13" s="987"/>
      <c r="Z13" s="987"/>
    </row>
    <row r="14">
      <c r="A14" s="994"/>
      <c r="B14" s="994"/>
      <c r="C14" s="994"/>
      <c r="D14" s="994"/>
      <c r="E14" s="994"/>
      <c r="F14" s="995"/>
      <c r="G14" s="987"/>
      <c r="H14" s="989"/>
      <c r="I14" s="989"/>
      <c r="J14" s="989"/>
      <c r="K14" s="989"/>
      <c r="L14" s="989"/>
      <c r="M14" s="989"/>
      <c r="N14" s="987"/>
      <c r="O14" s="987"/>
      <c r="P14" s="987"/>
      <c r="Q14" s="987"/>
      <c r="R14" s="987"/>
      <c r="S14" s="987"/>
      <c r="T14" s="987"/>
      <c r="U14" s="987"/>
      <c r="V14" s="987"/>
      <c r="W14" s="987"/>
      <c r="X14" s="987"/>
      <c r="Y14" s="987"/>
      <c r="Z14" s="987"/>
    </row>
    <row r="15">
      <c r="A15" s="996" t="s">
        <v>47</v>
      </c>
      <c r="B15" s="11"/>
      <c r="C15" s="11"/>
      <c r="D15" s="11"/>
      <c r="E15" s="11"/>
      <c r="F15" s="46"/>
      <c r="G15" s="997"/>
      <c r="H15" s="998" t="s">
        <v>118</v>
      </c>
      <c r="I15" s="11"/>
      <c r="J15" s="11"/>
      <c r="K15" s="11"/>
      <c r="L15" s="11"/>
      <c r="M15" s="46"/>
      <c r="N15" s="987"/>
      <c r="O15" s="998" t="s">
        <v>118</v>
      </c>
      <c r="P15" s="11"/>
      <c r="Q15" s="11"/>
      <c r="R15" s="11"/>
      <c r="S15" s="11"/>
      <c r="T15" s="46"/>
      <c r="U15" s="987"/>
      <c r="V15" s="987"/>
      <c r="W15" s="987"/>
      <c r="X15" s="987"/>
      <c r="Y15" s="987"/>
      <c r="Z15" s="987"/>
    </row>
    <row r="16">
      <c r="A16" s="987"/>
      <c r="B16" s="987"/>
      <c r="C16" s="987"/>
      <c r="D16" s="987"/>
      <c r="E16" s="987"/>
      <c r="F16" s="987"/>
      <c r="G16" s="623"/>
      <c r="H16" s="987"/>
      <c r="I16" s="987"/>
      <c r="J16" s="987"/>
      <c r="K16" s="987"/>
      <c r="L16" s="987"/>
      <c r="M16" s="987"/>
      <c r="N16" s="987"/>
      <c r="O16" s="987"/>
      <c r="P16" s="987"/>
      <c r="Q16" s="987"/>
      <c r="R16" s="987"/>
      <c r="S16" s="987"/>
      <c r="T16" s="987"/>
      <c r="U16" s="987"/>
      <c r="V16" s="987"/>
      <c r="W16" s="987"/>
      <c r="X16" s="987"/>
      <c r="Y16" s="987"/>
      <c r="Z16" s="987"/>
    </row>
    <row r="17">
      <c r="A17" s="989"/>
      <c r="B17" s="989"/>
      <c r="C17" s="989"/>
      <c r="D17" s="989"/>
      <c r="E17" s="989"/>
      <c r="F17" s="989"/>
      <c r="G17" s="623"/>
      <c r="H17" s="989"/>
      <c r="I17" s="989"/>
      <c r="J17" s="989"/>
      <c r="K17" s="989"/>
      <c r="L17" s="989"/>
      <c r="M17" s="989"/>
      <c r="N17" s="987"/>
      <c r="O17" s="987"/>
      <c r="P17" s="987"/>
      <c r="Q17" s="987"/>
      <c r="R17" s="987"/>
      <c r="S17" s="987"/>
      <c r="T17" s="987"/>
      <c r="U17" s="987"/>
      <c r="V17" s="987"/>
      <c r="W17" s="987"/>
      <c r="X17" s="987"/>
      <c r="Y17" s="987"/>
      <c r="Z17" s="987"/>
    </row>
    <row r="18">
      <c r="A18" s="51" t="s">
        <v>48</v>
      </c>
      <c r="B18" s="36"/>
      <c r="C18" s="36"/>
      <c r="D18" s="36"/>
      <c r="E18" s="36"/>
      <c r="F18" s="37"/>
      <c r="G18" s="999"/>
      <c r="H18" s="1000" t="s">
        <v>48</v>
      </c>
      <c r="I18" s="11"/>
      <c r="J18" s="11"/>
      <c r="K18" s="11"/>
      <c r="L18" s="11"/>
      <c r="M18" s="46"/>
      <c r="N18" s="623"/>
      <c r="O18" s="51" t="b">
        <f>B33='WEEK 29'!B38</f>
        <v>1</v>
      </c>
      <c r="P18" s="36"/>
      <c r="Q18" s="36"/>
      <c r="R18" s="36"/>
      <c r="S18" s="36"/>
      <c r="T18" s="37"/>
      <c r="U18" s="987"/>
      <c r="V18" s="987"/>
      <c r="W18" s="987"/>
      <c r="X18" s="987"/>
      <c r="Y18" s="987"/>
      <c r="Z18" s="987"/>
    </row>
    <row r="19">
      <c r="A19" s="93" t="str">
        <f>HYPERLINK("https://youtu.be/iLgUDezDMbU","1. BENCH PRESS")</f>
        <v>1. BENCH PRESS</v>
      </c>
      <c r="B19" s="53"/>
      <c r="C19" s="53"/>
      <c r="D19" s="53"/>
      <c r="E19" s="53"/>
      <c r="F19" s="54"/>
      <c r="G19" s="999"/>
      <c r="H19" s="1001" t="s">
        <v>181</v>
      </c>
      <c r="I19" s="13"/>
      <c r="J19" s="13"/>
      <c r="K19" s="13"/>
      <c r="L19" s="13"/>
      <c r="M19" s="57"/>
      <c r="N19" s="623"/>
      <c r="O19" s="93" t="str">
        <f>HYPERLINK("https://youtu.be/75e_H9Vq_Lw","1. MACHINE PRESS")</f>
        <v>1. MACHINE PRESS</v>
      </c>
      <c r="P19" s="53"/>
      <c r="Q19" s="53"/>
      <c r="R19" s="53"/>
      <c r="S19" s="53"/>
      <c r="T19" s="54"/>
      <c r="U19" s="987"/>
      <c r="V19" s="987"/>
      <c r="W19" s="987"/>
      <c r="X19" s="987"/>
      <c r="Y19" s="987"/>
      <c r="Z19" s="987"/>
    </row>
    <row r="20">
      <c r="A20" s="226" t="s">
        <v>119</v>
      </c>
      <c r="B20" s="691">
        <f>'WEEK 28'!B32</f>
        <v>265</v>
      </c>
      <c r="C20" s="13"/>
      <c r="D20" s="13"/>
      <c r="E20" s="13"/>
      <c r="F20" s="57"/>
      <c r="G20" s="999"/>
      <c r="H20" s="1002" t="s">
        <v>119</v>
      </c>
      <c r="I20" s="76">
        <f>'WEEK 29'!B34</f>
        <v>95</v>
      </c>
      <c r="J20" s="13"/>
      <c r="K20" s="13"/>
      <c r="L20" s="13"/>
      <c r="M20" s="57"/>
      <c r="N20" s="623"/>
      <c r="O20" s="226" t="s">
        <v>119</v>
      </c>
      <c r="P20" s="691" t="str">
        <f>'WEEK 29'!I34</f>
        <v/>
      </c>
      <c r="Q20" s="13"/>
      <c r="R20" s="13"/>
      <c r="S20" s="13"/>
      <c r="T20" s="57"/>
      <c r="U20" s="987"/>
      <c r="V20" s="987"/>
      <c r="W20" s="987"/>
      <c r="X20" s="987"/>
      <c r="Y20" s="987"/>
      <c r="Z20" s="987"/>
    </row>
    <row r="21">
      <c r="A21" s="96" t="s">
        <v>50</v>
      </c>
      <c r="B21" s="97" t="s">
        <v>51</v>
      </c>
      <c r="C21" s="97" t="s">
        <v>52</v>
      </c>
      <c r="D21" s="97" t="s">
        <v>53</v>
      </c>
      <c r="E21" s="341" t="s">
        <v>54</v>
      </c>
      <c r="F21" s="1003" t="s">
        <v>55</v>
      </c>
      <c r="G21" s="1004"/>
      <c r="H21" s="963" t="s">
        <v>50</v>
      </c>
      <c r="I21" s="963" t="s">
        <v>51</v>
      </c>
      <c r="J21" s="963" t="s">
        <v>52</v>
      </c>
      <c r="K21" s="963" t="s">
        <v>53</v>
      </c>
      <c r="L21" s="1005" t="s">
        <v>54</v>
      </c>
      <c r="M21" s="1006" t="s">
        <v>55</v>
      </c>
      <c r="N21" s="623"/>
      <c r="O21" s="96" t="s">
        <v>50</v>
      </c>
      <c r="P21" s="97" t="s">
        <v>51</v>
      </c>
      <c r="Q21" s="97" t="s">
        <v>52</v>
      </c>
      <c r="R21" s="97" t="s">
        <v>53</v>
      </c>
      <c r="S21" s="341" t="s">
        <v>54</v>
      </c>
      <c r="T21" s="235" t="s">
        <v>55</v>
      </c>
      <c r="U21" s="1007"/>
      <c r="V21" s="1007"/>
      <c r="W21" s="1007"/>
      <c r="X21" s="1007"/>
      <c r="Y21" s="1007"/>
      <c r="Z21" s="1007"/>
    </row>
    <row r="22">
      <c r="A22" s="725">
        <v>1.0</v>
      </c>
      <c r="B22" s="1473">
        <f>IF( 'WEEK 30'!B20&lt;125,45, mround('WEEK 30'!B20*0.9*0.35,5))</f>
        <v>85</v>
      </c>
      <c r="C22" s="344">
        <v>6.0</v>
      </c>
      <c r="D22" s="343" t="s">
        <v>150</v>
      </c>
      <c r="E22" s="727"/>
      <c r="F22" s="85"/>
      <c r="G22" s="1008"/>
      <c r="H22" s="1009">
        <v>1.0</v>
      </c>
      <c r="I22" s="968">
        <f>mround('WEEK 30'!I20*0.9*0.35,5)</f>
        <v>30</v>
      </c>
      <c r="J22" s="968">
        <v>6.0</v>
      </c>
      <c r="K22" s="968" t="s">
        <v>127</v>
      </c>
      <c r="L22" s="1010"/>
      <c r="M22" s="1011">
        <v>6.0</v>
      </c>
      <c r="N22" s="623"/>
      <c r="O22" s="725">
        <v>1.0</v>
      </c>
      <c r="P22" s="344">
        <f>mround('WEEK 30'!P20*0.9*0.35,5)</f>
        <v>0</v>
      </c>
      <c r="Q22" s="344">
        <v>6.0</v>
      </c>
      <c r="R22" s="343" t="s">
        <v>150</v>
      </c>
      <c r="S22" s="727"/>
      <c r="T22" s="85"/>
      <c r="U22" s="1012"/>
      <c r="V22" s="1012"/>
      <c r="W22" s="1012"/>
      <c r="X22" s="1012"/>
      <c r="Y22" s="1012"/>
      <c r="Z22" s="1012"/>
    </row>
    <row r="23">
      <c r="A23" s="725">
        <v>2.0</v>
      </c>
      <c r="B23" s="1474">
        <f>IF( 'WEEK 30'!B20&lt;70,MROUND('WEEK 30'!B20*0.78,5),MROUND('WEEK 30'!B20*0.9*0.72,5))</f>
        <v>170</v>
      </c>
      <c r="C23" s="344">
        <v>1.0</v>
      </c>
      <c r="D23" s="343" t="s">
        <v>151</v>
      </c>
      <c r="E23" s="727"/>
      <c r="F23" s="85"/>
      <c r="G23" s="1013" t="s">
        <v>123</v>
      </c>
      <c r="H23" s="1009">
        <v>2.0</v>
      </c>
      <c r="I23" s="968">
        <f>mround('WEEK 30'!I20*0.9*0.72,5)</f>
        <v>60</v>
      </c>
      <c r="J23" s="968">
        <v>1.0</v>
      </c>
      <c r="K23" s="968" t="s">
        <v>127</v>
      </c>
      <c r="L23" s="1010"/>
      <c r="M23" s="1011">
        <v>1.0</v>
      </c>
      <c r="N23" s="623"/>
      <c r="O23" s="725">
        <v>2.0</v>
      </c>
      <c r="P23" s="344">
        <f>mround('WEEK 30'!P20*0.9*0.72,5)</f>
        <v>0</v>
      </c>
      <c r="Q23" s="344">
        <v>1.0</v>
      </c>
      <c r="R23" s="343" t="s">
        <v>151</v>
      </c>
      <c r="S23" s="727"/>
      <c r="T23" s="85"/>
      <c r="U23" s="1012"/>
      <c r="V23" s="1012"/>
      <c r="W23" s="1012"/>
      <c r="X23" s="1012"/>
      <c r="Y23" s="1012"/>
      <c r="Z23" s="1012"/>
    </row>
    <row r="24">
      <c r="A24" s="725">
        <v>3.0</v>
      </c>
      <c r="B24" s="344">
        <f>mround('WEEK 30'!B20*0.9*0.9,5)</f>
        <v>215</v>
      </c>
      <c r="C24" s="344">
        <v>1.0</v>
      </c>
      <c r="D24" s="343" t="s">
        <v>57</v>
      </c>
      <c r="E24" s="727"/>
      <c r="F24" s="85"/>
      <c r="G24" s="28"/>
      <c r="H24" s="1009">
        <v>3.0</v>
      </c>
      <c r="I24" s="968">
        <f>mround('WEEK 30'!I20*0.9*0.9,5)</f>
        <v>75</v>
      </c>
      <c r="J24" s="968">
        <v>1.0</v>
      </c>
      <c r="K24" s="968" t="s">
        <v>127</v>
      </c>
      <c r="L24" s="1010"/>
      <c r="M24" s="1011">
        <v>1.0</v>
      </c>
      <c r="N24" s="623"/>
      <c r="O24" s="725">
        <v>3.0</v>
      </c>
      <c r="P24" s="344">
        <f>mround('WEEK 30'!P20*0.9*0.9,5)</f>
        <v>0</v>
      </c>
      <c r="Q24" s="344">
        <v>1.0</v>
      </c>
      <c r="R24" s="343" t="s">
        <v>57</v>
      </c>
      <c r="S24" s="727"/>
      <c r="T24" s="85"/>
      <c r="U24" s="1012"/>
      <c r="V24" s="1012"/>
      <c r="W24" s="1012"/>
      <c r="X24" s="1012"/>
      <c r="Y24" s="1012"/>
      <c r="Z24" s="1012"/>
    </row>
    <row r="25">
      <c r="A25" s="730" t="s">
        <v>152</v>
      </c>
      <c r="B25" s="13"/>
      <c r="C25" s="13"/>
      <c r="D25" s="13"/>
      <c r="E25" s="13"/>
      <c r="F25" s="57"/>
      <c r="G25" s="999"/>
      <c r="H25" s="1014" t="s">
        <v>182</v>
      </c>
      <c r="I25" s="13"/>
      <c r="J25" s="13"/>
      <c r="K25" s="13"/>
      <c r="L25" s="13"/>
      <c r="M25" s="57"/>
      <c r="N25" s="623"/>
      <c r="O25" s="730" t="s">
        <v>152</v>
      </c>
      <c r="P25" s="13"/>
      <c r="Q25" s="13"/>
      <c r="R25" s="13"/>
      <c r="S25" s="13"/>
      <c r="T25" s="57"/>
      <c r="U25" s="987"/>
      <c r="V25" s="987"/>
      <c r="W25" s="987"/>
      <c r="X25" s="987"/>
      <c r="Y25" s="987"/>
      <c r="Z25" s="987"/>
    </row>
    <row r="26">
      <c r="A26" s="96" t="s">
        <v>50</v>
      </c>
      <c r="B26" s="97" t="s">
        <v>51</v>
      </c>
      <c r="C26" s="97" t="s">
        <v>52</v>
      </c>
      <c r="D26" s="97" t="s">
        <v>53</v>
      </c>
      <c r="E26" s="341" t="s">
        <v>54</v>
      </c>
      <c r="F26" s="1003" t="s">
        <v>55</v>
      </c>
      <c r="G26" s="1004"/>
      <c r="H26" s="963" t="s">
        <v>50</v>
      </c>
      <c r="I26" s="963" t="s">
        <v>51</v>
      </c>
      <c r="J26" s="963" t="s">
        <v>52</v>
      </c>
      <c r="K26" s="963" t="s">
        <v>53</v>
      </c>
      <c r="L26" s="1005" t="s">
        <v>54</v>
      </c>
      <c r="M26" s="1006" t="s">
        <v>55</v>
      </c>
      <c r="N26" s="623"/>
      <c r="O26" s="96" t="s">
        <v>50</v>
      </c>
      <c r="P26" s="97" t="s">
        <v>51</v>
      </c>
      <c r="Q26" s="97" t="s">
        <v>52</v>
      </c>
      <c r="R26" s="97" t="s">
        <v>53</v>
      </c>
      <c r="S26" s="341" t="s">
        <v>54</v>
      </c>
      <c r="T26" s="235" t="s">
        <v>55</v>
      </c>
      <c r="U26" s="1007"/>
      <c r="V26" s="1007"/>
      <c r="W26" s="1007"/>
      <c r="X26" s="1007"/>
      <c r="Y26" s="1007"/>
      <c r="Z26" s="1007"/>
    </row>
    <row r="27">
      <c r="A27" s="342">
        <v>1.0</v>
      </c>
      <c r="B27" s="348">
        <f>mround('WEEK 30'!B20*1*0.9,5)</f>
        <v>240</v>
      </c>
      <c r="C27" s="437" t="s">
        <v>65</v>
      </c>
      <c r="D27" s="343" t="s">
        <v>122</v>
      </c>
      <c r="E27" s="727"/>
      <c r="F27" s="85"/>
      <c r="G27" s="1008"/>
      <c r="H27" s="1009">
        <v>1.0</v>
      </c>
      <c r="I27" s="1015">
        <f>mround('WEEK 30'!I20*1*0.9,5)</f>
        <v>85</v>
      </c>
      <c r="J27" s="1016" t="s">
        <v>65</v>
      </c>
      <c r="K27" s="968" t="s">
        <v>127</v>
      </c>
      <c r="L27" s="1010"/>
      <c r="M27" s="1017"/>
      <c r="N27" s="623"/>
      <c r="O27" s="725">
        <v>1.0</v>
      </c>
      <c r="P27" s="348">
        <f>mround('WEEK 30'!P20*1*0.9,5)</f>
        <v>0</v>
      </c>
      <c r="Q27" s="437" t="s">
        <v>65</v>
      </c>
      <c r="R27" s="343" t="s">
        <v>122</v>
      </c>
      <c r="S27" s="727"/>
      <c r="T27" s="85"/>
      <c r="U27" s="1012"/>
      <c r="V27" s="1012"/>
      <c r="W27" s="1012"/>
      <c r="X27" s="1012"/>
      <c r="Y27" s="1012"/>
      <c r="Z27" s="1012"/>
    </row>
    <row r="28">
      <c r="A28" s="725">
        <v>2.0</v>
      </c>
      <c r="B28" s="348">
        <f>IF('WEEK 30'!F27&lt;3,MROUND('WEEK 30'!B27*0.75,5),IF('WEEK 30'!F27&lt;6,MROUND('WEEK 30'!B27*0.85,5),mround('WEEK 30'!B27*0.9,5)))</f>
        <v>180</v>
      </c>
      <c r="C28" s="437" t="s">
        <v>65</v>
      </c>
      <c r="D28" s="343" t="s">
        <v>122</v>
      </c>
      <c r="E28" s="727"/>
      <c r="F28" s="85"/>
      <c r="G28" s="999"/>
      <c r="H28" s="1009">
        <v>2.0</v>
      </c>
      <c r="I28" s="1015">
        <f>mround('WEEK 30'!I27*0.84,5)</f>
        <v>70</v>
      </c>
      <c r="J28" s="1016" t="s">
        <v>65</v>
      </c>
      <c r="K28" s="968" t="s">
        <v>127</v>
      </c>
      <c r="L28" s="1010"/>
      <c r="M28" s="1017"/>
      <c r="N28" s="623"/>
      <c r="O28" s="725">
        <v>2.0</v>
      </c>
      <c r="P28" s="348">
        <f>IF('WEEK 30'!T27&lt;3,MROUND('WEEK 30'!P27*0.75,5),IF('WEEK 30'!T27&lt;6,MROUND('WEEK 30'!P27*0.85,5),mround('WEEK 30'!P27*0.9,5)))</f>
        <v>0</v>
      </c>
      <c r="Q28" s="437" t="s">
        <v>65</v>
      </c>
      <c r="R28" s="343" t="s">
        <v>122</v>
      </c>
      <c r="S28" s="727"/>
      <c r="T28" s="85"/>
      <c r="U28" s="987"/>
      <c r="V28" s="987"/>
      <c r="W28" s="987"/>
      <c r="X28" s="987"/>
      <c r="Y28" s="987"/>
      <c r="Z28" s="987"/>
    </row>
    <row r="29">
      <c r="A29" s="485">
        <v>3.0</v>
      </c>
      <c r="B29" s="732">
        <f>IF('WEEK 30'!F28&lt;3,MROUND('WEEK 30'!B28*0.75,5),IF('WEEK 30'!F28&lt;6,MROUND('WEEK 30'!B28*0.85,5),mround('WEEK 30'!B28*0.9,5)))</f>
        <v>160</v>
      </c>
      <c r="C29" s="733" t="s">
        <v>65</v>
      </c>
      <c r="D29" s="486" t="s">
        <v>122</v>
      </c>
      <c r="E29" s="734"/>
      <c r="F29" s="85"/>
      <c r="G29" s="999"/>
      <c r="H29" s="1018">
        <v>3.0</v>
      </c>
      <c r="I29" s="1019">
        <f>mround('WEEK 30'!I27*0.72,5)</f>
        <v>60</v>
      </c>
      <c r="J29" s="1020" t="s">
        <v>65</v>
      </c>
      <c r="K29" s="972" t="s">
        <v>127</v>
      </c>
      <c r="L29" s="1021"/>
      <c r="M29" s="1017"/>
      <c r="N29" s="623"/>
      <c r="O29" s="753">
        <v>3.0</v>
      </c>
      <c r="P29" s="732">
        <f>IF('WEEK 30'!T28&lt;3,MROUND('WEEK 30'!P28*0.75,5),IF('WEEK 30'!T28&lt;6,MROUND('WEEK 30'!P28*0.85,5),mround('WEEK 30'!P28*0.9,5)))</f>
        <v>0</v>
      </c>
      <c r="Q29" s="733" t="s">
        <v>65</v>
      </c>
      <c r="R29" s="486" t="s">
        <v>122</v>
      </c>
      <c r="S29" s="734"/>
      <c r="T29" s="85"/>
      <c r="U29" s="987"/>
      <c r="V29" s="987"/>
      <c r="W29" s="987"/>
      <c r="X29" s="987"/>
      <c r="Y29" s="987"/>
      <c r="Z29" s="987"/>
    </row>
    <row r="30">
      <c r="G30" s="623"/>
      <c r="H30" s="987"/>
      <c r="I30" s="987"/>
      <c r="J30" s="987"/>
      <c r="K30" s="987"/>
      <c r="L30" s="987"/>
      <c r="M30" s="987"/>
      <c r="N30" s="987"/>
      <c r="O30" s="987"/>
      <c r="P30" s="987"/>
      <c r="Q30" s="987"/>
      <c r="R30" s="987"/>
      <c r="S30" s="987"/>
      <c r="T30" s="987"/>
      <c r="U30" s="987"/>
      <c r="V30" s="987"/>
      <c r="W30" s="987"/>
      <c r="X30" s="987"/>
      <c r="Y30" s="987"/>
      <c r="Z30" s="987"/>
    </row>
    <row r="31">
      <c r="A31" s="1022"/>
      <c r="B31" s="1022"/>
      <c r="C31" s="1022"/>
      <c r="D31" s="1022"/>
      <c r="E31" s="1022"/>
      <c r="F31" s="989"/>
      <c r="G31" s="987"/>
      <c r="H31" s="987"/>
      <c r="I31" s="987"/>
      <c r="J31" s="987"/>
      <c r="K31" s="987"/>
      <c r="L31" s="987"/>
      <c r="M31" s="987"/>
      <c r="N31" s="987"/>
      <c r="O31" s="987"/>
      <c r="P31" s="987"/>
      <c r="Q31" s="987"/>
      <c r="R31" s="987"/>
      <c r="S31" s="987"/>
      <c r="T31" s="987"/>
      <c r="U31" s="987"/>
      <c r="V31" s="987"/>
      <c r="W31" s="987"/>
      <c r="X31" s="987"/>
      <c r="Y31" s="987"/>
      <c r="Z31" s="987"/>
    </row>
    <row r="32">
      <c r="A32" s="1023" t="str">
        <f>HYPERLINK("https://www.youtube.com/watch?v=mGv8D2DGyNQ","2. DB CHEST FLY")</f>
        <v>2. DB CHEST FLY</v>
      </c>
      <c r="B32" s="13"/>
      <c r="C32" s="13"/>
      <c r="D32" s="13"/>
      <c r="E32" s="13"/>
      <c r="F32" s="57"/>
      <c r="G32" s="987"/>
      <c r="H32" s="504" t="str">
        <f>HYPERLINK("https://www.youtube.com/watch?v=THb0dhfIu1k","2. MACHINE CHEST FLY")</f>
        <v>2. MACHINE CHEST FLY</v>
      </c>
      <c r="I32" s="53"/>
      <c r="J32" s="53"/>
      <c r="K32" s="53"/>
      <c r="L32" s="53"/>
      <c r="M32" s="54"/>
      <c r="N32" s="987"/>
      <c r="O32" s="987"/>
      <c r="P32" s="987"/>
      <c r="Q32" s="987"/>
      <c r="R32" s="987"/>
      <c r="S32" s="987"/>
      <c r="T32" s="987"/>
      <c r="U32" s="987"/>
      <c r="V32" s="987"/>
      <c r="W32" s="987"/>
      <c r="X32" s="987"/>
      <c r="Y32" s="987"/>
      <c r="Z32" s="987"/>
    </row>
    <row r="33">
      <c r="A33" s="226" t="s">
        <v>153</v>
      </c>
      <c r="B33" s="76">
        <f>'WEEK 29'!B38</f>
        <v>95</v>
      </c>
      <c r="C33" s="13"/>
      <c r="D33" s="13"/>
      <c r="E33" s="13"/>
      <c r="F33" s="57"/>
      <c r="G33" s="987"/>
      <c r="H33" s="226" t="s">
        <v>119</v>
      </c>
      <c r="I33" s="548">
        <f>'WEEK 30'!B33</f>
        <v>95</v>
      </c>
      <c r="J33" s="13"/>
      <c r="K33" s="13"/>
      <c r="L33" s="13"/>
      <c r="M33" s="57"/>
      <c r="N33" s="987"/>
      <c r="O33" s="987"/>
      <c r="P33" s="987"/>
      <c r="Q33" s="987"/>
      <c r="R33" s="987"/>
      <c r="S33" s="987"/>
      <c r="T33" s="987"/>
      <c r="U33" s="987"/>
      <c r="V33" s="987"/>
      <c r="W33" s="987"/>
      <c r="X33" s="987"/>
      <c r="Y33" s="987"/>
      <c r="Z33" s="987"/>
    </row>
    <row r="34">
      <c r="A34" s="1024" t="s">
        <v>50</v>
      </c>
      <c r="B34" s="1025" t="s">
        <v>51</v>
      </c>
      <c r="C34" s="1025" t="s">
        <v>52</v>
      </c>
      <c r="D34" s="1025" t="s">
        <v>53</v>
      </c>
      <c r="E34" s="1026" t="s">
        <v>54</v>
      </c>
      <c r="F34" s="1027" t="s">
        <v>55</v>
      </c>
      <c r="G34" s="1007"/>
      <c r="H34" s="96" t="s">
        <v>50</v>
      </c>
      <c r="I34" s="97" t="s">
        <v>51</v>
      </c>
      <c r="J34" s="97" t="s">
        <v>52</v>
      </c>
      <c r="K34" s="97" t="s">
        <v>53</v>
      </c>
      <c r="L34" s="341" t="s">
        <v>54</v>
      </c>
      <c r="M34" s="235" t="s">
        <v>55</v>
      </c>
      <c r="N34" s="1007"/>
      <c r="O34" s="1007"/>
      <c r="P34" s="1007"/>
      <c r="Q34" s="1007"/>
      <c r="R34" s="1007"/>
      <c r="S34" s="1007"/>
      <c r="T34" s="1007"/>
      <c r="U34" s="1007"/>
      <c r="V34" s="1007"/>
      <c r="W34" s="1007"/>
      <c r="X34" s="1007"/>
      <c r="Y34" s="1007"/>
      <c r="Z34" s="1007"/>
    </row>
    <row r="35">
      <c r="A35" s="967">
        <v>1.0</v>
      </c>
      <c r="B35" s="1028">
        <f>mround('WEEK 30'!B33*0.29,2.5)</f>
        <v>27.5</v>
      </c>
      <c r="C35" s="968">
        <v>15.0</v>
      </c>
      <c r="D35" s="968" t="s">
        <v>127</v>
      </c>
      <c r="E35" s="1010"/>
      <c r="F35" s="1011">
        <v>15.0</v>
      </c>
      <c r="G35" s="1012"/>
      <c r="H35" s="240">
        <v>1.0</v>
      </c>
      <c r="I35" s="254">
        <f>mround('WEEK 30'!I33*2*0.75,10)</f>
        <v>140</v>
      </c>
      <c r="J35" s="241">
        <v>15.0</v>
      </c>
      <c r="K35" s="83" t="s">
        <v>127</v>
      </c>
      <c r="L35" s="84" t="str">
        <f>IF('WEEK 29'!I40='WEEK 30'!I35,'WEEK 29'!M40,"")</f>
        <v/>
      </c>
      <c r="M35" s="85"/>
      <c r="N35" s="1012"/>
      <c r="O35" s="1012"/>
      <c r="P35" s="1012"/>
      <c r="Q35" s="1012"/>
      <c r="R35" s="1012"/>
      <c r="S35" s="1012"/>
      <c r="T35" s="1012"/>
      <c r="U35" s="1012"/>
      <c r="V35" s="1012"/>
      <c r="W35" s="1012"/>
      <c r="X35" s="1012"/>
      <c r="Y35" s="1012"/>
      <c r="Z35" s="1012"/>
    </row>
    <row r="36">
      <c r="A36" s="971">
        <v>2.0</v>
      </c>
      <c r="B36" s="972">
        <f>mround('WEEK 30'!B33*0.29,2.5)</f>
        <v>27.5</v>
      </c>
      <c r="C36" s="972">
        <v>15.0</v>
      </c>
      <c r="D36" s="972" t="s">
        <v>127</v>
      </c>
      <c r="E36" s="1021"/>
      <c r="F36" s="1011">
        <v>15.0</v>
      </c>
      <c r="G36" s="1012"/>
      <c r="H36" s="661">
        <v>2.0</v>
      </c>
      <c r="I36" s="662">
        <f>mround('WEEK 30'!I33*2*0.75,10)</f>
        <v>140</v>
      </c>
      <c r="J36" s="662">
        <v>15.0</v>
      </c>
      <c r="K36" s="88" t="s">
        <v>127</v>
      </c>
      <c r="L36" s="89" t="str">
        <f>IF('WEEK 29'!I41='WEEK 30'!I36,'WEEK 29'!M41,"")</f>
        <v/>
      </c>
      <c r="M36" s="85"/>
      <c r="N36" s="1012"/>
      <c r="O36" s="1012"/>
      <c r="P36" s="1012"/>
      <c r="Q36" s="1012"/>
      <c r="R36" s="1012"/>
      <c r="S36" s="1012"/>
      <c r="T36" s="1012"/>
      <c r="U36" s="1012"/>
      <c r="V36" s="1012"/>
      <c r="W36" s="1012"/>
      <c r="X36" s="1012"/>
      <c r="Y36" s="1012"/>
      <c r="Z36" s="1012"/>
    </row>
    <row r="37">
      <c r="A37" s="987"/>
      <c r="B37" s="987"/>
      <c r="C37" s="987"/>
      <c r="D37" s="987"/>
      <c r="E37" s="987"/>
      <c r="F37" s="987"/>
      <c r="G37" s="987"/>
      <c r="H37" s="987"/>
      <c r="I37" s="987"/>
      <c r="J37" s="987"/>
      <c r="K37" s="987"/>
      <c r="L37" s="987"/>
      <c r="M37" s="987"/>
      <c r="N37" s="987"/>
      <c r="O37" s="987"/>
      <c r="P37" s="987"/>
      <c r="Q37" s="987"/>
      <c r="R37" s="987"/>
      <c r="S37" s="987"/>
      <c r="T37" s="987"/>
      <c r="U37" s="987"/>
      <c r="V37" s="987"/>
      <c r="W37" s="987"/>
      <c r="X37" s="987"/>
      <c r="Y37" s="987"/>
      <c r="Z37" s="987"/>
    </row>
    <row r="38">
      <c r="A38" s="989"/>
      <c r="B38" s="989"/>
      <c r="C38" s="989"/>
      <c r="D38" s="989"/>
      <c r="E38" s="989"/>
      <c r="F38" s="989"/>
      <c r="G38" s="987"/>
      <c r="H38" s="987"/>
      <c r="I38" s="987"/>
      <c r="J38" s="987"/>
      <c r="K38" s="987"/>
      <c r="L38" s="987"/>
      <c r="M38" s="987"/>
      <c r="N38" s="987"/>
      <c r="O38" s="987"/>
      <c r="P38" s="987"/>
      <c r="Q38" s="987"/>
      <c r="R38" s="987"/>
      <c r="S38" s="987"/>
      <c r="T38" s="987"/>
      <c r="U38" s="987"/>
      <c r="V38" s="987"/>
      <c r="W38" s="987"/>
      <c r="X38" s="987"/>
      <c r="Y38" s="987"/>
      <c r="Z38" s="987"/>
    </row>
    <row r="39">
      <c r="A39" s="73" t="str">
        <f>HYPERLINK("https://youtu.be/9YH1YvZbiY0","3. MACHINE LOW ROW ")</f>
        <v>3. MACHINE LOW ROW </v>
      </c>
      <c r="B39" s="53"/>
      <c r="C39" s="53"/>
      <c r="D39" s="53"/>
      <c r="E39" s="53"/>
      <c r="F39" s="54"/>
      <c r="G39" s="987"/>
      <c r="H39" s="987"/>
      <c r="I39" s="987"/>
      <c r="J39" s="987"/>
      <c r="K39" s="987"/>
      <c r="L39" s="987"/>
      <c r="M39" s="987"/>
      <c r="N39" s="987"/>
      <c r="O39" s="987"/>
      <c r="P39" s="987"/>
      <c r="Q39" s="987"/>
      <c r="R39" s="987"/>
      <c r="S39" s="987"/>
      <c r="T39" s="987"/>
      <c r="U39" s="987"/>
      <c r="V39" s="987"/>
      <c r="W39" s="987"/>
      <c r="X39" s="987"/>
      <c r="Y39" s="987"/>
      <c r="Z39" s="987"/>
    </row>
    <row r="40">
      <c r="A40" s="226" t="s">
        <v>119</v>
      </c>
      <c r="B40" s="227">
        <f>'WEEK 29'!B61</f>
        <v>195</v>
      </c>
      <c r="C40" s="20"/>
      <c r="D40" s="20"/>
      <c r="E40" s="20"/>
      <c r="F40" s="95"/>
      <c r="G40" s="987"/>
      <c r="H40" s="987"/>
      <c r="I40" s="987"/>
      <c r="J40" s="987"/>
      <c r="K40" s="987"/>
      <c r="L40" s="987"/>
      <c r="M40" s="987"/>
      <c r="N40" s="987"/>
      <c r="O40" s="987"/>
      <c r="P40" s="987"/>
      <c r="Q40" s="987"/>
      <c r="R40" s="987"/>
      <c r="S40" s="987"/>
      <c r="T40" s="987"/>
      <c r="U40" s="987"/>
      <c r="V40" s="987"/>
      <c r="W40" s="987"/>
      <c r="X40" s="987"/>
      <c r="Y40" s="987"/>
      <c r="Z40" s="987"/>
    </row>
    <row r="41">
      <c r="A41" s="231" t="s">
        <v>50</v>
      </c>
      <c r="B41" s="232" t="s">
        <v>51</v>
      </c>
      <c r="C41" s="232" t="s">
        <v>52</v>
      </c>
      <c r="D41" s="232" t="s">
        <v>53</v>
      </c>
      <c r="E41" s="233" t="s">
        <v>54</v>
      </c>
      <c r="F41" s="61" t="s">
        <v>55</v>
      </c>
      <c r="G41" s="1007"/>
      <c r="H41" s="1007"/>
      <c r="I41" s="1007"/>
      <c r="J41" s="1007"/>
      <c r="K41" s="1007"/>
      <c r="L41" s="1007"/>
      <c r="M41" s="1007"/>
      <c r="N41" s="1007"/>
      <c r="O41" s="1007"/>
      <c r="P41" s="1007"/>
      <c r="Q41" s="1007"/>
      <c r="R41" s="1007"/>
      <c r="S41" s="1007"/>
      <c r="T41" s="1007"/>
      <c r="U41" s="1007"/>
      <c r="V41" s="1007"/>
      <c r="W41" s="1007"/>
      <c r="X41" s="1007"/>
      <c r="Y41" s="1007"/>
      <c r="Z41" s="1007"/>
    </row>
    <row r="42">
      <c r="A42" s="236">
        <v>1.0</v>
      </c>
      <c r="B42" s="237">
        <f>mround('WEEK 30'!B40*0.35,5)</f>
        <v>70</v>
      </c>
      <c r="C42" s="237">
        <v>6.0</v>
      </c>
      <c r="D42" s="238" t="s">
        <v>120</v>
      </c>
      <c r="E42" s="66"/>
      <c r="F42" s="67"/>
      <c r="G42" s="1012"/>
      <c r="H42" s="1012"/>
      <c r="I42" s="1012"/>
      <c r="J42" s="1012"/>
      <c r="K42" s="1012"/>
      <c r="L42" s="1012"/>
      <c r="M42" s="1012"/>
      <c r="N42" s="1012"/>
      <c r="O42" s="1012"/>
      <c r="P42" s="1012"/>
      <c r="Q42" s="1012"/>
      <c r="R42" s="1012"/>
      <c r="S42" s="1012"/>
      <c r="T42" s="1012"/>
      <c r="U42" s="1012"/>
      <c r="V42" s="1012"/>
      <c r="W42" s="1012"/>
      <c r="X42" s="1012"/>
      <c r="Y42" s="1012"/>
      <c r="Z42" s="1012"/>
    </row>
    <row r="43">
      <c r="A43" s="236">
        <v>2.0</v>
      </c>
      <c r="B43" s="237">
        <f>mround('WEEK 30'!B40*0.65,5)</f>
        <v>125</v>
      </c>
      <c r="C43" s="238">
        <v>3.0</v>
      </c>
      <c r="D43" s="238" t="s">
        <v>121</v>
      </c>
      <c r="E43" s="66"/>
      <c r="F43" s="67"/>
      <c r="G43" s="1012"/>
      <c r="H43" s="1012"/>
      <c r="I43" s="1012"/>
      <c r="J43" s="1012"/>
      <c r="K43" s="1012"/>
      <c r="L43" s="1012"/>
      <c r="M43" s="1012"/>
      <c r="N43" s="1012"/>
      <c r="O43" s="1012"/>
      <c r="P43" s="1012"/>
      <c r="Q43" s="1012"/>
      <c r="R43" s="1012"/>
      <c r="S43" s="1012"/>
      <c r="T43" s="1012"/>
      <c r="U43" s="1012"/>
      <c r="V43" s="1012"/>
      <c r="W43" s="1012"/>
      <c r="X43" s="1012"/>
      <c r="Y43" s="1012"/>
      <c r="Z43" s="1012"/>
    </row>
    <row r="44">
      <c r="A44" s="242">
        <v>3.0</v>
      </c>
      <c r="B44" s="237">
        <f>mround('WEEK 30'!B40*0.9,5)</f>
        <v>175</v>
      </c>
      <c r="C44" s="63">
        <v>2.0</v>
      </c>
      <c r="D44" s="238" t="s">
        <v>121</v>
      </c>
      <c r="E44" s="66"/>
      <c r="F44" s="67"/>
      <c r="G44" s="1012"/>
      <c r="H44" s="1012"/>
      <c r="I44" s="1012"/>
      <c r="J44" s="1012"/>
      <c r="K44" s="1012"/>
      <c r="L44" s="1012"/>
      <c r="M44" s="1012"/>
      <c r="N44" s="1012"/>
      <c r="O44" s="1012"/>
      <c r="P44" s="1012"/>
      <c r="Q44" s="1012"/>
      <c r="R44" s="1012"/>
      <c r="S44" s="1012"/>
      <c r="T44" s="1012"/>
      <c r="U44" s="1012"/>
      <c r="V44" s="1012"/>
      <c r="W44" s="1012"/>
      <c r="X44" s="1012"/>
      <c r="Y44" s="1012"/>
      <c r="Z44" s="1012"/>
    </row>
    <row r="45">
      <c r="A45" s="243">
        <v>4.0</v>
      </c>
      <c r="B45" s="237">
        <f>'WEEK 30'!B40</f>
        <v>195</v>
      </c>
      <c r="C45" s="257">
        <v>3.0</v>
      </c>
      <c r="D45" s="238" t="s">
        <v>122</v>
      </c>
      <c r="E45" s="66"/>
      <c r="F45" s="67"/>
      <c r="G45" s="1012"/>
      <c r="H45" s="1012"/>
      <c r="I45" s="1012"/>
      <c r="J45" s="1012"/>
      <c r="K45" s="1012"/>
      <c r="L45" s="1012"/>
      <c r="M45" s="1012"/>
      <c r="N45" s="1012"/>
      <c r="O45" s="1012"/>
      <c r="P45" s="1012"/>
      <c r="Q45" s="1012"/>
      <c r="R45" s="1012"/>
      <c r="S45" s="1012"/>
      <c r="T45" s="1012"/>
      <c r="U45" s="1012"/>
      <c r="V45" s="1012"/>
      <c r="W45" s="1012"/>
      <c r="X45" s="1012"/>
      <c r="Y45" s="1012"/>
      <c r="Z45" s="1012"/>
    </row>
    <row r="46">
      <c r="A46" s="246" t="str">
        <f>IF('WEEK 30'!F45&lt;3,"PROCEED TO DOWN SETS","NEW 4 REP MAX ATTEMPT")</f>
        <v>NEW 4 REP MAX ATTEMPT</v>
      </c>
      <c r="B46" s="20"/>
      <c r="C46" s="20"/>
      <c r="D46" s="20"/>
      <c r="E46" s="20"/>
      <c r="F46" s="95"/>
      <c r="G46" s="987"/>
      <c r="H46" s="987"/>
      <c r="I46" s="987"/>
      <c r="J46" s="987"/>
      <c r="K46" s="987"/>
      <c r="L46" s="987"/>
      <c r="M46" s="987"/>
      <c r="N46" s="987"/>
      <c r="O46" s="987"/>
      <c r="P46" s="987"/>
      <c r="Q46" s="987"/>
      <c r="R46" s="987"/>
      <c r="S46" s="987"/>
      <c r="T46" s="987"/>
      <c r="U46" s="987"/>
      <c r="V46" s="987"/>
      <c r="W46" s="987"/>
      <c r="X46" s="987"/>
      <c r="Y46" s="987"/>
      <c r="Z46" s="987"/>
    </row>
    <row r="47">
      <c r="A47" s="249">
        <f>if('WEEK 30'!F45&lt;=2,"",5)</f>
        <v>5</v>
      </c>
      <c r="B47" s="175">
        <f>IF('WEEK 30'!F45&lt;=2,"",'WEEK 30'!B45+5)</f>
        <v>200</v>
      </c>
      <c r="C47" s="238">
        <f>if('WEEK 30'!F45&lt;=2,"",4)</f>
        <v>4</v>
      </c>
      <c r="D47" s="238" t="str">
        <f>if('WEEK 30'!F45&lt;=2,"","1-5 MIN")</f>
        <v>1-5 MIN</v>
      </c>
      <c r="E47" s="250"/>
      <c r="F47" s="67"/>
      <c r="G47" s="1012"/>
      <c r="H47" s="1012"/>
      <c r="I47" s="1012"/>
      <c r="J47" s="1012"/>
      <c r="K47" s="1012"/>
      <c r="L47" s="1012"/>
      <c r="M47" s="1012"/>
      <c r="N47" s="1012"/>
      <c r="O47" s="1012"/>
      <c r="P47" s="1012"/>
      <c r="Q47" s="1012"/>
      <c r="R47" s="1012"/>
      <c r="S47" s="1012"/>
      <c r="T47" s="1012"/>
      <c r="U47" s="1012"/>
      <c r="V47" s="1012"/>
      <c r="W47" s="1012"/>
      <c r="X47" s="1012"/>
      <c r="Y47" s="1012"/>
      <c r="Z47" s="1012"/>
    </row>
    <row r="48">
      <c r="A48" s="259" t="str">
        <f>IF('WEEK 30'!F47&lt;4,"","6")</f>
        <v/>
      </c>
      <c r="B48" s="237" t="str">
        <f>IF('WEEK 30'!F47&lt;4,"",'WEEK 30'!B47+5)</f>
        <v/>
      </c>
      <c r="C48" s="257" t="str">
        <f>IF('WEEK 30'!F47&lt;4,"","4")</f>
        <v/>
      </c>
      <c r="D48" s="257" t="str">
        <f>IF('WEEK 30'!F47&lt;4,"","1-5 MIN")</f>
        <v/>
      </c>
      <c r="E48" s="258"/>
      <c r="F48" s="67"/>
      <c r="G48" s="1012"/>
      <c r="H48" s="1012"/>
      <c r="I48" s="1012"/>
      <c r="J48" s="1012"/>
      <c r="K48" s="1012"/>
      <c r="L48" s="1012"/>
      <c r="M48" s="1012"/>
      <c r="N48" s="1012"/>
      <c r="O48" s="1012"/>
      <c r="P48" s="1012"/>
      <c r="Q48" s="1012"/>
      <c r="R48" s="1012"/>
      <c r="S48" s="1012"/>
      <c r="T48" s="1012"/>
      <c r="U48" s="1012"/>
      <c r="V48" s="1012"/>
      <c r="W48" s="1012"/>
      <c r="X48" s="1012"/>
      <c r="Y48" s="1012"/>
      <c r="Z48" s="1012"/>
    </row>
    <row r="49">
      <c r="A49" s="246" t="s">
        <v>133</v>
      </c>
      <c r="B49" s="20"/>
      <c r="C49" s="20"/>
      <c r="D49" s="20"/>
      <c r="E49" s="20"/>
      <c r="F49" s="95"/>
      <c r="G49" s="1012"/>
      <c r="H49" s="1012"/>
      <c r="I49" s="1012"/>
      <c r="J49" s="1012"/>
      <c r="K49" s="1012"/>
      <c r="L49" s="1012"/>
      <c r="M49" s="1012"/>
      <c r="N49" s="1012"/>
      <c r="O49" s="1012"/>
      <c r="P49" s="1012"/>
      <c r="Q49" s="1012"/>
      <c r="R49" s="1012"/>
      <c r="S49" s="1012"/>
      <c r="T49" s="1012"/>
      <c r="U49" s="1012"/>
      <c r="V49" s="1012"/>
      <c r="W49" s="1012"/>
      <c r="X49" s="1012"/>
      <c r="Y49" s="1012"/>
      <c r="Z49" s="1012"/>
    </row>
    <row r="50">
      <c r="A50" s="264">
        <f>IF(OR(ISBLANK('WEEK 30'!F45),ISBLANK('WEEK 30'!F44),ISBLANK('WEEK 30'!F43)),"",IF((AND('WEEK 30'!A47="",'WEEK 30'!A48="")),5,IF((AND('WEEK 30'!A47&gt;1,'WEEK 30'!A48="")),6,7)))</f>
        <v>6</v>
      </c>
      <c r="B50" s="265">
        <f>MROUND('WEEK 30'!B52*0.8,5)</f>
        <v>160</v>
      </c>
      <c r="C50" s="266" t="s">
        <v>65</v>
      </c>
      <c r="D50" s="267" t="s">
        <v>127</v>
      </c>
      <c r="E50" s="268"/>
      <c r="F50" s="67"/>
      <c r="G50" s="987"/>
      <c r="H50" s="987"/>
      <c r="I50" s="987"/>
      <c r="J50" s="987"/>
      <c r="K50" s="987"/>
      <c r="L50" s="987"/>
      <c r="M50" s="987"/>
      <c r="N50" s="987"/>
      <c r="O50" s="987"/>
      <c r="P50" s="987"/>
      <c r="Q50" s="987"/>
      <c r="R50" s="987"/>
      <c r="S50" s="987"/>
      <c r="T50" s="987"/>
      <c r="U50" s="987"/>
      <c r="V50" s="987"/>
      <c r="W50" s="987"/>
      <c r="X50" s="987"/>
      <c r="Y50" s="987"/>
      <c r="Z50" s="987"/>
    </row>
    <row r="51">
      <c r="A51" s="243">
        <f>IF(OR(ISBLANK('WEEK 30'!F45),ISBLANK('WEEK 30'!F44),ISBLANK('WEEK 30'!F43)),"",IF((AND('WEEK 30'!A47="",'WEEK 30'!A48="")),6,IF((AND('WEEK 30'!A47&gt;1,'WEEK 30'!A48="")),7,8)))</f>
        <v>7</v>
      </c>
      <c r="B51" s="237">
        <f>mround('WEEK 30'!B52*0.7,5)</f>
        <v>140</v>
      </c>
      <c r="C51" s="245" t="s">
        <v>65</v>
      </c>
      <c r="D51" s="65" t="s">
        <v>127</v>
      </c>
      <c r="E51" s="258"/>
      <c r="F51" s="271"/>
      <c r="G51" s="987"/>
      <c r="H51" s="987"/>
      <c r="I51" s="987"/>
      <c r="J51" s="987"/>
      <c r="K51" s="987"/>
      <c r="L51" s="987"/>
      <c r="M51" s="987"/>
      <c r="N51" s="987"/>
      <c r="O51" s="987"/>
      <c r="P51" s="987"/>
      <c r="Q51" s="987"/>
      <c r="R51" s="987"/>
      <c r="S51" s="987"/>
      <c r="T51" s="987"/>
      <c r="U51" s="987"/>
      <c r="V51" s="987"/>
      <c r="W51" s="987"/>
      <c r="X51" s="987"/>
      <c r="Y51" s="987"/>
      <c r="Z51" s="987"/>
    </row>
    <row r="52">
      <c r="A52" s="272" t="s">
        <v>124</v>
      </c>
      <c r="B52" s="273">
        <f>IF(OR(ISBLANK('WEEK 30'!F45),ISBLANK('WEEK 30'!F44),ISBLANK('WEEK 30'!F43)),"",IF('WEEK 30'!F48&gt;=4,'WEEK 30'!B48,IF('WEEK 30'!F47&gt;=1,'WEEK 30'!B47,IF('WEEK 30'!F45&lt;3,'WEEK 30'!B45-5,'WEEK 30'!B45))))</f>
        <v>200</v>
      </c>
      <c r="C52" s="11"/>
      <c r="D52" s="11"/>
      <c r="E52" s="11"/>
      <c r="F52" s="46"/>
      <c r="G52" s="987"/>
      <c r="H52" s="987"/>
      <c r="I52" s="987"/>
      <c r="J52" s="987"/>
      <c r="K52" s="987"/>
      <c r="L52" s="987"/>
      <c r="M52" s="987"/>
      <c r="N52" s="987"/>
      <c r="O52" s="987"/>
      <c r="P52" s="987"/>
      <c r="Q52" s="987"/>
      <c r="R52" s="987"/>
      <c r="S52" s="987"/>
      <c r="T52" s="987"/>
      <c r="U52" s="987"/>
      <c r="V52" s="987"/>
      <c r="W52" s="987"/>
      <c r="X52" s="987"/>
      <c r="Y52" s="987"/>
      <c r="Z52" s="987"/>
    </row>
    <row r="53">
      <c r="A53" s="292"/>
      <c r="B53" s="292"/>
      <c r="C53" s="292"/>
      <c r="D53" s="292"/>
      <c r="E53" s="292"/>
      <c r="F53" s="292"/>
      <c r="G53" s="987"/>
      <c r="H53" s="987"/>
      <c r="I53" s="987"/>
      <c r="J53" s="987"/>
      <c r="K53" s="987"/>
      <c r="L53" s="987"/>
      <c r="M53" s="987"/>
      <c r="N53" s="987"/>
      <c r="O53" s="987"/>
      <c r="P53" s="987"/>
      <c r="Q53" s="987"/>
      <c r="R53" s="987"/>
      <c r="S53" s="987"/>
      <c r="T53" s="987"/>
      <c r="U53" s="987"/>
      <c r="V53" s="987"/>
      <c r="W53" s="987"/>
      <c r="X53" s="987"/>
      <c r="Y53" s="987"/>
      <c r="Z53" s="987"/>
    </row>
    <row r="54">
      <c r="A54" s="73" t="str">
        <f>HYPERLINK("https://youtu.be/hMUUvL3FlkE","4. HIGH ROW")</f>
        <v>4. HIGH ROW</v>
      </c>
      <c r="B54" s="53"/>
      <c r="C54" s="53"/>
      <c r="D54" s="53"/>
      <c r="E54" s="53"/>
      <c r="F54" s="54"/>
      <c r="G54" s="1029" t="s">
        <v>41</v>
      </c>
      <c r="H54" s="987"/>
      <c r="I54" s="987"/>
      <c r="J54" s="987"/>
      <c r="K54" s="987"/>
      <c r="L54" s="987"/>
      <c r="M54" s="987"/>
      <c r="N54" s="987"/>
      <c r="O54" s="987"/>
      <c r="P54" s="987"/>
      <c r="Q54" s="987"/>
      <c r="R54" s="987"/>
      <c r="S54" s="987"/>
      <c r="T54" s="987"/>
      <c r="U54" s="987"/>
      <c r="V54" s="987"/>
      <c r="W54" s="987"/>
      <c r="X54" s="987"/>
      <c r="Y54" s="987"/>
      <c r="Z54" s="987"/>
    </row>
    <row r="55">
      <c r="A55" s="282" t="s">
        <v>119</v>
      </c>
      <c r="B55" s="56">
        <f>'WEEK 29'!B69</f>
        <v>170</v>
      </c>
      <c r="C55" s="13"/>
      <c r="D55" s="13"/>
      <c r="E55" s="13"/>
      <c r="F55" s="57"/>
      <c r="G55" s="1007"/>
      <c r="H55" s="1007"/>
      <c r="I55" s="1007"/>
      <c r="J55" s="1007"/>
      <c r="K55" s="1007"/>
      <c r="L55" s="1007"/>
      <c r="M55" s="1007"/>
      <c r="N55" s="1007"/>
      <c r="O55" s="1007"/>
      <c r="P55" s="1007"/>
      <c r="Q55" s="1007"/>
      <c r="R55" s="1007"/>
      <c r="S55" s="1007"/>
      <c r="T55" s="1007"/>
      <c r="U55" s="1007"/>
      <c r="V55" s="1007"/>
      <c r="W55" s="1007"/>
      <c r="X55" s="1007"/>
      <c r="Y55" s="1007"/>
      <c r="Z55" s="1007"/>
    </row>
    <row r="56">
      <c r="A56" s="58" t="s">
        <v>50</v>
      </c>
      <c r="B56" s="59" t="s">
        <v>51</v>
      </c>
      <c r="C56" s="59" t="s">
        <v>52</v>
      </c>
      <c r="D56" s="59" t="s">
        <v>53</v>
      </c>
      <c r="E56" s="60" t="s">
        <v>54</v>
      </c>
      <c r="F56" s="61" t="s">
        <v>55</v>
      </c>
      <c r="G56" s="1012"/>
      <c r="H56" s="1012"/>
      <c r="I56" s="1012"/>
      <c r="J56" s="1012"/>
      <c r="K56" s="1012"/>
      <c r="L56" s="1012"/>
      <c r="M56" s="1012"/>
      <c r="N56" s="1012"/>
      <c r="O56" s="1012"/>
      <c r="P56" s="1012"/>
      <c r="Q56" s="1012"/>
      <c r="R56" s="1012"/>
      <c r="S56" s="1012"/>
      <c r="T56" s="1012"/>
      <c r="U56" s="1012"/>
      <c r="V56" s="1012"/>
      <c r="W56" s="1012"/>
      <c r="X56" s="1012"/>
      <c r="Y56" s="1012"/>
      <c r="Z56" s="1012"/>
    </row>
    <row r="57">
      <c r="A57" s="62">
        <v>1.0</v>
      </c>
      <c r="B57" s="63">
        <f>MROUND('WEEK 30'!B55*0.9,5)</f>
        <v>155</v>
      </c>
      <c r="C57" s="104" t="s">
        <v>65</v>
      </c>
      <c r="D57" s="65" t="s">
        <v>57</v>
      </c>
      <c r="E57" s="84" t="str">
        <f>IF('WEEK 25'!B63='WEEK 30'!B57,'WEEK 25'!F63,"")</f>
        <v/>
      </c>
      <c r="F57" s="67"/>
      <c r="G57" s="1012"/>
      <c r="H57" s="1012"/>
      <c r="I57" s="1012"/>
      <c r="J57" s="1012"/>
      <c r="K57" s="1012"/>
      <c r="L57" s="1012"/>
      <c r="M57" s="1012"/>
      <c r="N57" s="1012"/>
      <c r="O57" s="1012"/>
      <c r="P57" s="1012"/>
      <c r="Q57" s="1012"/>
      <c r="R57" s="1012"/>
      <c r="S57" s="1012"/>
      <c r="T57" s="1012"/>
      <c r="U57" s="1012"/>
      <c r="V57" s="1012"/>
      <c r="W57" s="1012"/>
      <c r="X57" s="1012"/>
      <c r="Y57" s="1012"/>
      <c r="Z57" s="1012"/>
    </row>
    <row r="58">
      <c r="A58" s="62">
        <v>2.0</v>
      </c>
      <c r="B58" s="63">
        <f>IF('WEEK 30'!F57&lt;6,MROUND('WEEK 30'!B55*0.75,5),IF('WEEK 30'!F57&lt;=11,MROUND('WEEK 30'!B55*0.85,5),'WEEK 30'!B57))</f>
        <v>155</v>
      </c>
      <c r="C58" s="104" t="s">
        <v>65</v>
      </c>
      <c r="D58" s="65" t="s">
        <v>57</v>
      </c>
      <c r="E58" s="84" t="str">
        <f>IF('WEEK 25'!B64='WEEK 30'!B58,'WEEK 25'!F64,"")</f>
        <v/>
      </c>
      <c r="F58" s="67"/>
      <c r="G58" s="1012"/>
      <c r="H58" s="1012"/>
      <c r="I58" s="1012"/>
      <c r="J58" s="1012"/>
      <c r="K58" s="1012"/>
      <c r="L58" s="1012"/>
      <c r="M58" s="1012"/>
      <c r="N58" s="1012"/>
      <c r="O58" s="1012"/>
      <c r="P58" s="1012"/>
      <c r="Q58" s="1012"/>
      <c r="R58" s="1012"/>
      <c r="S58" s="1012"/>
      <c r="T58" s="1012"/>
      <c r="U58" s="1012"/>
      <c r="V58" s="1012"/>
      <c r="W58" s="1012"/>
      <c r="X58" s="1012"/>
      <c r="Y58" s="1012"/>
      <c r="Z58" s="1012"/>
    </row>
    <row r="59">
      <c r="A59" s="68">
        <v>3.0</v>
      </c>
      <c r="B59" s="69">
        <f>IF('WEEK 30'!F58&lt;6,MROUND('WEEK 30'!B55*0.75,5),IF('WEEK 30'!F58&lt;=11,MROUND('WEEK 30'!B55*0.85,5),'WEEK 30'!B58))</f>
        <v>155</v>
      </c>
      <c r="C59" s="105" t="s">
        <v>65</v>
      </c>
      <c r="D59" s="71" t="s">
        <v>57</v>
      </c>
      <c r="E59" s="89" t="str">
        <f>IF('WEEK 25'!B65='WEEK 30'!B59,'WEEK 25'!F65,"")</f>
        <v/>
      </c>
      <c r="F59" s="67"/>
      <c r="G59" s="987"/>
      <c r="H59" s="987"/>
      <c r="I59" s="987"/>
      <c r="J59" s="987"/>
      <c r="K59" s="987"/>
      <c r="L59" s="987"/>
      <c r="M59" s="987"/>
      <c r="N59" s="987"/>
      <c r="O59" s="987"/>
      <c r="P59" s="987"/>
      <c r="Q59" s="987"/>
      <c r="R59" s="987"/>
      <c r="S59" s="987"/>
      <c r="T59" s="987"/>
      <c r="U59" s="987"/>
      <c r="V59" s="987"/>
      <c r="W59" s="987"/>
      <c r="X59" s="987"/>
      <c r="Y59" s="987"/>
      <c r="Z59" s="987"/>
    </row>
    <row r="60">
      <c r="A60" s="657"/>
      <c r="G60" s="987"/>
      <c r="H60" s="987"/>
      <c r="I60" s="987"/>
      <c r="J60" s="987"/>
      <c r="K60" s="987"/>
      <c r="L60" s="987"/>
      <c r="M60" s="987"/>
      <c r="N60" s="987"/>
      <c r="O60" s="987"/>
      <c r="P60" s="987"/>
      <c r="Q60" s="987"/>
      <c r="R60" s="987"/>
      <c r="S60" s="987"/>
      <c r="T60" s="987"/>
      <c r="U60" s="987"/>
      <c r="V60" s="987"/>
      <c r="W60" s="987"/>
      <c r="X60" s="987"/>
      <c r="Y60" s="987"/>
      <c r="Z60" s="987"/>
    </row>
    <row r="61">
      <c r="G61" s="987"/>
      <c r="H61" s="987"/>
      <c r="I61" s="987"/>
      <c r="J61" s="987"/>
      <c r="K61" s="987"/>
      <c r="L61" s="987"/>
      <c r="M61" s="987"/>
      <c r="N61" s="987"/>
      <c r="O61" s="987"/>
      <c r="P61" s="987"/>
      <c r="Q61" s="987"/>
      <c r="R61" s="987"/>
      <c r="S61" s="987"/>
      <c r="T61" s="987"/>
      <c r="U61" s="987"/>
      <c r="V61" s="987"/>
      <c r="W61" s="987"/>
      <c r="X61" s="987"/>
      <c r="Y61" s="987"/>
      <c r="Z61" s="987"/>
    </row>
    <row r="62">
      <c r="A62" s="440" t="str">
        <f>HYPERLINK("https://www.youtube.com/watch?v=PnaDzYh2axA","5. LAT PULL DOWN")</f>
        <v>5. LAT PULL DOWN</v>
      </c>
      <c r="B62" s="53"/>
      <c r="C62" s="53"/>
      <c r="D62" s="53"/>
      <c r="E62" s="53"/>
      <c r="F62" s="54"/>
      <c r="G62" s="987"/>
      <c r="H62" s="987"/>
      <c r="I62" s="987"/>
      <c r="J62" s="987"/>
      <c r="K62" s="987"/>
      <c r="L62" s="987"/>
      <c r="M62" s="987"/>
      <c r="N62" s="987"/>
      <c r="O62" s="987"/>
      <c r="P62" s="987"/>
      <c r="Q62" s="987"/>
      <c r="R62" s="987"/>
      <c r="S62" s="987"/>
      <c r="T62" s="987"/>
      <c r="U62" s="987"/>
      <c r="V62" s="987"/>
      <c r="W62" s="987"/>
      <c r="X62" s="987"/>
      <c r="Y62" s="987"/>
      <c r="Z62" s="987"/>
    </row>
    <row r="63">
      <c r="A63" s="282" t="s">
        <v>119</v>
      </c>
      <c r="B63" s="56">
        <f>'WEEK 29'!B57</f>
        <v>225</v>
      </c>
      <c r="C63" s="13"/>
      <c r="D63" s="13"/>
      <c r="E63" s="13"/>
      <c r="F63" s="57"/>
      <c r="G63" s="1007"/>
      <c r="H63" s="1007"/>
      <c r="I63" s="1007"/>
      <c r="J63" s="1007"/>
      <c r="K63" s="1007"/>
      <c r="L63" s="1007"/>
      <c r="M63" s="1007"/>
      <c r="N63" s="1007"/>
      <c r="O63" s="1007"/>
      <c r="P63" s="1007"/>
      <c r="Q63" s="1007"/>
      <c r="R63" s="1007"/>
      <c r="S63" s="1007"/>
      <c r="T63" s="1007"/>
      <c r="U63" s="1007"/>
      <c r="V63" s="1007"/>
      <c r="W63" s="1007"/>
      <c r="X63" s="1007"/>
      <c r="Y63" s="1007"/>
      <c r="Z63" s="1007"/>
    </row>
    <row r="64">
      <c r="A64" s="58" t="s">
        <v>50</v>
      </c>
      <c r="B64" s="59" t="s">
        <v>51</v>
      </c>
      <c r="C64" s="59" t="s">
        <v>52</v>
      </c>
      <c r="D64" s="59" t="s">
        <v>53</v>
      </c>
      <c r="E64" s="60" t="s">
        <v>54</v>
      </c>
      <c r="F64" s="61" t="s">
        <v>55</v>
      </c>
      <c r="G64" s="987"/>
      <c r="H64" s="987"/>
      <c r="I64" s="987"/>
      <c r="J64" s="987"/>
      <c r="K64" s="987"/>
      <c r="L64" s="987"/>
      <c r="M64" s="987"/>
      <c r="N64" s="987"/>
      <c r="O64" s="987"/>
      <c r="P64" s="987"/>
      <c r="Q64" s="987"/>
      <c r="R64" s="987"/>
      <c r="S64" s="987"/>
      <c r="T64" s="987"/>
      <c r="U64" s="987"/>
      <c r="V64" s="987"/>
      <c r="W64" s="987"/>
      <c r="X64" s="987"/>
      <c r="Y64" s="987"/>
      <c r="Z64" s="987"/>
    </row>
    <row r="65">
      <c r="A65" s="62">
        <v>1.0</v>
      </c>
      <c r="B65" s="63">
        <f>MROUND('WEEK 30'!B63*0.85,5)</f>
        <v>190</v>
      </c>
      <c r="C65" s="104" t="s">
        <v>65</v>
      </c>
      <c r="D65" s="65" t="s">
        <v>57</v>
      </c>
      <c r="E65" s="66"/>
      <c r="F65" s="67"/>
      <c r="G65" s="987"/>
      <c r="H65" s="987"/>
      <c r="I65" s="987"/>
      <c r="J65" s="987"/>
      <c r="K65" s="987"/>
      <c r="L65" s="987"/>
      <c r="M65" s="987"/>
      <c r="N65" s="987"/>
      <c r="O65" s="987"/>
      <c r="P65" s="987"/>
      <c r="Q65" s="987"/>
      <c r="R65" s="987"/>
      <c r="S65" s="987"/>
      <c r="T65" s="987"/>
      <c r="U65" s="987"/>
      <c r="V65" s="987"/>
      <c r="W65" s="987"/>
      <c r="X65" s="987"/>
      <c r="Y65" s="987"/>
      <c r="Z65" s="987"/>
    </row>
    <row r="66">
      <c r="A66" s="62">
        <v>2.0</v>
      </c>
      <c r="B66" s="63">
        <f>IF('WEEK 30'!F65&lt;6,MROUND('WEEK 30'!B63*0.75,5),IF('WEEK 30'!F65&lt;=11,MROUND('WEEK 30'!B63*0.85,5),'WEEK 30'!B65))</f>
        <v>170</v>
      </c>
      <c r="C66" s="104" t="s">
        <v>65</v>
      </c>
      <c r="D66" s="65" t="s">
        <v>57</v>
      </c>
      <c r="E66" s="66"/>
      <c r="F66" s="67"/>
      <c r="G66" s="987"/>
      <c r="H66" s="987"/>
      <c r="I66" s="987"/>
      <c r="J66" s="987"/>
      <c r="K66" s="987"/>
      <c r="L66" s="987"/>
      <c r="M66" s="987"/>
      <c r="N66" s="987"/>
      <c r="O66" s="987"/>
      <c r="P66" s="987"/>
      <c r="Q66" s="987"/>
      <c r="R66" s="987"/>
      <c r="S66" s="987"/>
      <c r="T66" s="987"/>
      <c r="U66" s="987"/>
      <c r="V66" s="987"/>
      <c r="W66" s="987"/>
      <c r="X66" s="987"/>
      <c r="Y66" s="987"/>
      <c r="Z66" s="987"/>
    </row>
    <row r="67">
      <c r="A67" s="325">
        <v>3.0</v>
      </c>
      <c r="B67" s="663">
        <f>IF('WEEK 30'!F66&lt;6,MROUND('WEEK 30'!B63*0.75,5),IF('WEEK 30'!F66&lt;=11,MROUND('WEEK 30'!B63*0.85,5),'WEEK 30'!B66))</f>
        <v>190</v>
      </c>
      <c r="C67" s="327" t="s">
        <v>65</v>
      </c>
      <c r="D67" s="631" t="s">
        <v>57</v>
      </c>
      <c r="E67" s="664"/>
      <c r="F67" s="665"/>
      <c r="G67" s="987"/>
      <c r="H67" s="987"/>
      <c r="I67" s="987"/>
      <c r="J67" s="987"/>
      <c r="K67" s="987"/>
      <c r="L67" s="987"/>
      <c r="M67" s="987"/>
      <c r="N67" s="987"/>
      <c r="O67" s="987"/>
      <c r="P67" s="987"/>
      <c r="Q67" s="987"/>
      <c r="R67" s="987"/>
      <c r="S67" s="987"/>
      <c r="T67" s="987"/>
      <c r="U67" s="987"/>
      <c r="V67" s="987"/>
      <c r="W67" s="987"/>
      <c r="X67" s="987"/>
      <c r="Y67" s="987"/>
      <c r="Z67" s="987"/>
    </row>
    <row r="68">
      <c r="A68" s="1030"/>
      <c r="B68" s="1030"/>
      <c r="C68" s="1030"/>
      <c r="D68" s="1030"/>
      <c r="E68" s="1030"/>
      <c r="F68" s="1030"/>
      <c r="G68" s="987"/>
      <c r="H68" s="987"/>
      <c r="I68" s="987"/>
      <c r="J68" s="987"/>
      <c r="K68" s="987"/>
      <c r="L68" s="987"/>
      <c r="M68" s="987"/>
      <c r="N68" s="987"/>
      <c r="O68" s="987"/>
      <c r="P68" s="987"/>
      <c r="Q68" s="987"/>
      <c r="R68" s="987"/>
      <c r="S68" s="987"/>
      <c r="T68" s="987"/>
      <c r="U68" s="987"/>
      <c r="V68" s="987"/>
      <c r="W68" s="987"/>
      <c r="X68" s="987"/>
      <c r="Y68" s="987"/>
      <c r="Z68" s="987"/>
    </row>
    <row r="69">
      <c r="A69" s="11"/>
      <c r="B69" s="11"/>
      <c r="C69" s="11"/>
      <c r="D69" s="11"/>
      <c r="E69" s="11"/>
      <c r="F69" s="11"/>
      <c r="G69" s="987"/>
      <c r="H69" s="987"/>
      <c r="I69" s="987"/>
      <c r="J69" s="987"/>
      <c r="K69" s="987"/>
      <c r="L69" s="987"/>
      <c r="M69" s="987"/>
      <c r="N69" s="987"/>
      <c r="O69" s="987"/>
      <c r="P69" s="987"/>
      <c r="Q69" s="987"/>
      <c r="R69" s="987"/>
      <c r="S69" s="987"/>
      <c r="T69" s="987"/>
      <c r="U69" s="987"/>
      <c r="V69" s="987"/>
      <c r="W69" s="987"/>
      <c r="X69" s="987"/>
      <c r="Y69" s="987"/>
      <c r="Z69" s="987"/>
    </row>
    <row r="70">
      <c r="A70" s="996" t="s">
        <v>128</v>
      </c>
      <c r="B70" s="11"/>
      <c r="C70" s="11"/>
      <c r="D70" s="11"/>
      <c r="E70" s="11"/>
      <c r="F70" s="46"/>
      <c r="G70" s="987"/>
      <c r="H70" s="987"/>
      <c r="I70" s="987"/>
      <c r="J70" s="987"/>
      <c r="K70" s="987"/>
      <c r="L70" s="987"/>
      <c r="M70" s="987"/>
      <c r="N70" s="987"/>
      <c r="O70" s="987"/>
      <c r="P70" s="987"/>
      <c r="Q70" s="987"/>
      <c r="R70" s="987"/>
      <c r="S70" s="987"/>
      <c r="T70" s="987"/>
      <c r="U70" s="987"/>
      <c r="V70" s="987"/>
      <c r="W70" s="987"/>
      <c r="X70" s="987"/>
      <c r="Y70" s="987"/>
      <c r="Z70" s="987"/>
    </row>
    <row r="71">
      <c r="A71" s="1031"/>
      <c r="B71" s="1031"/>
      <c r="C71" s="1031"/>
      <c r="D71" s="1031"/>
      <c r="E71" s="1031"/>
      <c r="F71" s="1031"/>
      <c r="G71" s="987"/>
      <c r="H71" s="987"/>
      <c r="I71" s="987"/>
      <c r="J71" s="987"/>
      <c r="K71" s="987"/>
      <c r="L71" s="987"/>
      <c r="M71" s="987"/>
      <c r="N71" s="987"/>
      <c r="O71" s="987"/>
      <c r="P71" s="987"/>
      <c r="Q71" s="987"/>
      <c r="R71" s="987"/>
      <c r="S71" s="987"/>
      <c r="T71" s="987"/>
      <c r="U71" s="987"/>
      <c r="V71" s="987"/>
      <c r="W71" s="987"/>
      <c r="X71" s="987"/>
      <c r="Y71" s="987"/>
      <c r="Z71" s="987"/>
    </row>
    <row r="72">
      <c r="A72" s="11"/>
      <c r="B72" s="11"/>
      <c r="C72" s="11"/>
      <c r="D72" s="11"/>
      <c r="E72" s="11"/>
      <c r="F72" s="11"/>
      <c r="G72" s="987"/>
      <c r="H72" s="1032"/>
      <c r="I72" s="1032"/>
      <c r="J72" s="1032"/>
      <c r="K72" s="1032"/>
      <c r="L72" s="1032"/>
      <c r="M72" s="1032"/>
      <c r="N72" s="987"/>
      <c r="O72" s="987"/>
      <c r="P72" s="987"/>
      <c r="Q72" s="987"/>
      <c r="R72" s="987"/>
      <c r="S72" s="987"/>
      <c r="T72" s="987"/>
      <c r="U72" s="987"/>
      <c r="V72" s="987"/>
      <c r="W72" s="987"/>
      <c r="X72" s="987"/>
      <c r="Y72" s="987"/>
      <c r="Z72" s="987"/>
    </row>
    <row r="73">
      <c r="A73" s="1033" t="s">
        <v>154</v>
      </c>
      <c r="B73" s="11"/>
      <c r="C73" s="11"/>
      <c r="D73" s="11"/>
      <c r="E73" s="11"/>
      <c r="F73" s="46"/>
      <c r="G73" s="1034"/>
      <c r="H73" s="1032"/>
      <c r="I73" s="1032"/>
      <c r="J73" s="1032"/>
      <c r="K73" s="1032"/>
      <c r="L73" s="1032"/>
      <c r="M73" s="1032"/>
      <c r="N73" s="987"/>
      <c r="O73" s="987"/>
      <c r="P73" s="987"/>
      <c r="Q73" s="987"/>
      <c r="R73" s="987"/>
      <c r="S73" s="987"/>
      <c r="T73" s="987"/>
      <c r="U73" s="987"/>
      <c r="V73" s="987"/>
      <c r="W73" s="987"/>
      <c r="X73" s="987"/>
      <c r="Y73" s="987"/>
      <c r="Z73" s="987"/>
    </row>
    <row r="74">
      <c r="A74" s="960" t="str">
        <f>HYPERLINK("https://www.youtube.com/watch?v=dVterVQksD4","2. LEG PRESS")</f>
        <v>2. LEG PRESS</v>
      </c>
      <c r="B74" s="53"/>
      <c r="C74" s="53"/>
      <c r="D74" s="53"/>
      <c r="E74" s="53"/>
      <c r="F74" s="53"/>
      <c r="G74" s="987"/>
      <c r="H74" s="1032"/>
      <c r="I74" s="1032"/>
      <c r="J74" s="1032"/>
      <c r="K74" s="1032"/>
      <c r="L74" s="1032"/>
      <c r="M74" s="1032"/>
      <c r="N74" s="987"/>
      <c r="O74" s="987"/>
      <c r="P74" s="987"/>
      <c r="Q74" s="987"/>
      <c r="R74" s="987"/>
      <c r="S74" s="987"/>
      <c r="T74" s="987"/>
      <c r="U74" s="987"/>
      <c r="V74" s="987"/>
      <c r="W74" s="987"/>
      <c r="X74" s="987"/>
      <c r="Y74" s="987"/>
      <c r="Z74" s="987"/>
    </row>
    <row r="75">
      <c r="A75" s="961" t="s">
        <v>119</v>
      </c>
      <c r="B75" s="1035">
        <f>'WEEK 26'!B96</f>
        <v>250</v>
      </c>
      <c r="C75" s="13"/>
      <c r="D75" s="13"/>
      <c r="E75" s="13"/>
      <c r="F75" s="57"/>
      <c r="G75" s="1007"/>
      <c r="H75" s="1032"/>
      <c r="I75" s="1032"/>
      <c r="J75" s="1032"/>
      <c r="K75" s="1032"/>
      <c r="L75" s="1032"/>
      <c r="M75" s="1032"/>
      <c r="N75" s="1007"/>
      <c r="O75" s="1007"/>
      <c r="P75" s="1007"/>
      <c r="Q75" s="1007"/>
      <c r="R75" s="1007"/>
      <c r="S75" s="1007"/>
      <c r="T75" s="1007"/>
      <c r="U75" s="1007"/>
      <c r="V75" s="1007"/>
      <c r="W75" s="1007"/>
      <c r="X75" s="1007"/>
      <c r="Y75" s="1007"/>
      <c r="Z75" s="1007"/>
    </row>
    <row r="76">
      <c r="A76" s="231" t="s">
        <v>50</v>
      </c>
      <c r="B76" s="232" t="s">
        <v>51</v>
      </c>
      <c r="C76" s="232" t="s">
        <v>52</v>
      </c>
      <c r="D76" s="232" t="s">
        <v>53</v>
      </c>
      <c r="E76" s="233" t="s">
        <v>54</v>
      </c>
      <c r="F76" s="61" t="s">
        <v>55</v>
      </c>
      <c r="G76" s="1036"/>
      <c r="H76" s="1032"/>
      <c r="I76" s="1032"/>
      <c r="J76" s="1032"/>
      <c r="K76" s="1032"/>
      <c r="L76" s="1032"/>
      <c r="M76" s="1032"/>
      <c r="N76" s="987"/>
      <c r="O76" s="987"/>
      <c r="P76" s="987"/>
      <c r="Q76" s="987"/>
      <c r="R76" s="987"/>
      <c r="S76" s="987"/>
      <c r="T76" s="987"/>
      <c r="U76" s="987"/>
      <c r="V76" s="987"/>
      <c r="W76" s="987"/>
      <c r="X76" s="987"/>
      <c r="Y76" s="987"/>
      <c r="Z76" s="987"/>
    </row>
    <row r="77">
      <c r="A77" s="236">
        <v>1.0</v>
      </c>
      <c r="B77" s="237">
        <f>mround('WEEK 30'!B75*0.35,5)</f>
        <v>90</v>
      </c>
      <c r="C77" s="238">
        <v>20.0</v>
      </c>
      <c r="D77" s="238" t="s">
        <v>120</v>
      </c>
      <c r="E77" s="66" t="str">
        <f>IF('WEEK 2'!B89='WEEK 30'!B77,'WEEK 2'!F89,"")</f>
        <v/>
      </c>
      <c r="F77" s="67"/>
      <c r="H77" s="1032"/>
      <c r="I77" s="1032"/>
      <c r="J77" s="1032"/>
      <c r="K77" s="1032"/>
      <c r="L77" s="1032"/>
      <c r="M77" s="1032"/>
      <c r="N77" s="987"/>
      <c r="O77" s="987"/>
      <c r="P77" s="987"/>
      <c r="Q77" s="987"/>
      <c r="R77" s="987"/>
      <c r="S77" s="987"/>
      <c r="T77" s="987"/>
      <c r="U77" s="987"/>
      <c r="V77" s="987"/>
      <c r="W77" s="987"/>
      <c r="X77" s="987"/>
      <c r="Y77" s="987"/>
      <c r="Z77" s="987"/>
    </row>
    <row r="78">
      <c r="A78" s="236">
        <v>2.0</v>
      </c>
      <c r="B78" s="237">
        <f>mround('WEEK 30'!B75*0.65,5)</f>
        <v>165</v>
      </c>
      <c r="C78" s="238">
        <v>20.0</v>
      </c>
      <c r="D78" s="238" t="s">
        <v>121</v>
      </c>
      <c r="E78" s="66" t="str">
        <f>IF('WEEK 2'!B90='WEEK 30'!B78,'WEEK 2'!F90,"")</f>
        <v/>
      </c>
      <c r="F78" s="67"/>
      <c r="G78" s="987"/>
      <c r="H78" s="1032"/>
      <c r="I78" s="1032"/>
      <c r="J78" s="1032"/>
      <c r="K78" s="1032"/>
      <c r="L78" s="1032"/>
      <c r="M78" s="1032"/>
      <c r="N78" s="987"/>
      <c r="O78" s="987"/>
      <c r="P78" s="987"/>
      <c r="Q78" s="987"/>
      <c r="R78" s="987"/>
      <c r="S78" s="987"/>
      <c r="T78" s="987"/>
      <c r="U78" s="987"/>
      <c r="V78" s="987"/>
      <c r="W78" s="987"/>
      <c r="X78" s="987"/>
      <c r="Y78" s="987"/>
      <c r="Z78" s="987"/>
    </row>
    <row r="79">
      <c r="A79" s="242">
        <v>3.0</v>
      </c>
      <c r="B79" s="237">
        <f>mround('WEEK 30'!B75*0.9,5)</f>
        <v>225</v>
      </c>
      <c r="C79" s="238">
        <v>20.0</v>
      </c>
      <c r="D79" s="238" t="s">
        <v>121</v>
      </c>
      <c r="E79" s="66" t="str">
        <f>IF('WEEK 2'!B91='WEEK 30'!B79,'WEEK 2'!F91,"")</f>
        <v/>
      </c>
      <c r="F79" s="67"/>
      <c r="G79" s="987"/>
      <c r="H79" s="1032"/>
      <c r="I79" s="1032"/>
      <c r="J79" s="1032"/>
      <c r="K79" s="1032"/>
      <c r="L79" s="1032"/>
      <c r="M79" s="1032"/>
      <c r="N79" s="987"/>
      <c r="O79" s="987"/>
      <c r="P79" s="987"/>
      <c r="Q79" s="987"/>
      <c r="R79" s="987"/>
      <c r="S79" s="987"/>
      <c r="T79" s="987"/>
      <c r="U79" s="987"/>
      <c r="V79" s="987"/>
      <c r="W79" s="987"/>
      <c r="X79" s="987"/>
      <c r="Y79" s="987"/>
      <c r="Z79" s="987"/>
    </row>
    <row r="80">
      <c r="A80" s="249">
        <v>4.0</v>
      </c>
      <c r="B80" s="175">
        <f>if('WEEK 30'!F79&lt;20,MROUND('WEEK 30'!B79-('WEEK 30'!B79*3%),5),'WEEK 30'!B75)</f>
        <v>220</v>
      </c>
      <c r="C80" s="238">
        <v>20.0</v>
      </c>
      <c r="D80" s="238" t="s">
        <v>122</v>
      </c>
      <c r="E80" s="66" t="str">
        <f>IF('WEEK 2'!B92='WEEK 30'!B80,'WEEK 2'!F92,"")</f>
        <v/>
      </c>
      <c r="F80" s="67"/>
      <c r="G80" s="987"/>
      <c r="H80" s="1032"/>
      <c r="I80" s="1032"/>
      <c r="J80" s="1032"/>
      <c r="K80" s="1032"/>
      <c r="L80" s="1032"/>
      <c r="M80" s="1032"/>
      <c r="N80" s="987"/>
      <c r="O80" s="987"/>
      <c r="P80" s="987"/>
      <c r="Q80" s="987"/>
      <c r="R80" s="987"/>
      <c r="S80" s="987"/>
      <c r="T80" s="987"/>
      <c r="U80" s="987"/>
      <c r="V80" s="987"/>
      <c r="W80" s="987"/>
      <c r="X80" s="987"/>
      <c r="Y80" s="987"/>
      <c r="Z80" s="987"/>
    </row>
    <row r="81">
      <c r="A81" s="249">
        <v>5.0</v>
      </c>
      <c r="B81" s="175">
        <f>IF((AND('WEEK 30'!B80&lt;='WEEK 30'!B79,'WEEK 30'!F80&gt;=20)),'WEEK 30'!B80,IF('WEEK 30'!F80&lt;20,MROUND('WEEK 30'!B80-('WEEK 30'!B80*3%),5),if( 'WEEK 30'!F80&lt;20,MROUND('WEEK 30'!B80-('WEEK 30'!B80*1.5%),5),MROUND('WEEK 30'!B80+('WEEK 30'!B80*1.5%),5))))</f>
        <v>215</v>
      </c>
      <c r="C81" s="238">
        <v>20.0</v>
      </c>
      <c r="D81" s="238" t="s">
        <v>122</v>
      </c>
      <c r="E81" s="66" t="str">
        <f>IF('WEEK 2'!B93='WEEK 30'!B81,'WEEK 2'!F93,"")</f>
        <v/>
      </c>
      <c r="F81" s="1037"/>
      <c r="G81" s="987"/>
      <c r="H81" s="987"/>
      <c r="I81" s="987"/>
      <c r="J81" s="987"/>
      <c r="K81" s="987"/>
      <c r="L81" s="987"/>
      <c r="M81" s="987"/>
      <c r="N81" s="987"/>
      <c r="O81" s="987"/>
      <c r="P81" s="987"/>
      <c r="Q81" s="987"/>
      <c r="R81" s="987"/>
      <c r="S81" s="987"/>
      <c r="T81" s="987"/>
      <c r="U81" s="987"/>
      <c r="V81" s="987"/>
      <c r="W81" s="987"/>
      <c r="X81" s="987"/>
      <c r="Y81" s="987"/>
      <c r="Z81" s="987"/>
    </row>
    <row r="82">
      <c r="A82" s="249">
        <f>if(F80&lt;20,6,6)</f>
        <v>6</v>
      </c>
      <c r="B82" s="175">
        <f>IF((AND('WEEK 30'!B81&lt;='WEEK 30'!B80,'WEEK 30'!F81&gt;=20)),'WEEK 30'!B81,IF('WEEK 30'!F81&lt;20,MROUND('WEEK 30'!B81-('WEEK 30'!B81*3%),5),if( 'WEEK 30'!F81&lt;20,MROUND('WEEK 30'!B81-('WEEK 30'!B81*1.5%),5),MROUND('WEEK 30'!B81+('WEEK 30'!B81*1.5%),5))))</f>
        <v>210</v>
      </c>
      <c r="C82" s="238">
        <v>20.0</v>
      </c>
      <c r="D82" s="238" t="s">
        <v>122</v>
      </c>
      <c r="E82" s="66" t="str">
        <f>IF('WEEK 2'!B94='WEEK 30'!B82,'WEEK 2'!F94,"")</f>
        <v/>
      </c>
      <c r="F82" s="67"/>
      <c r="G82" s="987"/>
      <c r="H82" s="987"/>
      <c r="I82" s="987"/>
      <c r="J82" s="987"/>
      <c r="K82" s="987"/>
      <c r="L82" s="987"/>
      <c r="M82" s="987"/>
      <c r="N82" s="987"/>
      <c r="O82" s="987"/>
      <c r="P82" s="987"/>
      <c r="Q82" s="987"/>
      <c r="R82" s="987"/>
      <c r="S82" s="987"/>
      <c r="T82" s="987"/>
      <c r="U82" s="987"/>
      <c r="V82" s="987"/>
      <c r="W82" s="987"/>
      <c r="X82" s="987"/>
      <c r="Y82" s="987"/>
      <c r="Z82" s="987"/>
    </row>
    <row r="83">
      <c r="A83" s="1038">
        <f>IF(F82&lt;20,7,"7")</f>
        <v>7</v>
      </c>
      <c r="B83" s="175">
        <f>IF((AND('WEEK 30'!B82&lt;='WEEK 30'!B81,'WEEK 30'!F82&gt;=20)),'WEEK 30'!B82,IF('WEEK 30'!F82&lt;20,MROUND('WEEK 30'!B82-('WEEK 30'!B82*3%),5),if( 'WEEK 30'!F82&lt;20,MROUND('WEEK 30'!B82-('WEEK 30'!B82*1.5%),5),MROUND('WEEK 30'!B82+('WEEK 30'!B82*1.5%),5))))</f>
        <v>205</v>
      </c>
      <c r="C83" s="238">
        <v>20.0</v>
      </c>
      <c r="D83" s="238" t="s">
        <v>122</v>
      </c>
      <c r="E83" s="66" t="str">
        <f>IF('WEEK 2'!B95='WEEK 30'!B83,'WEEK 2'!F95,"")</f>
        <v/>
      </c>
      <c r="F83" s="67"/>
      <c r="G83" s="987"/>
      <c r="H83" s="987"/>
      <c r="I83" s="987"/>
      <c r="J83" s="987"/>
      <c r="K83" s="987"/>
      <c r="L83" s="987"/>
      <c r="M83" s="987"/>
      <c r="N83" s="987"/>
      <c r="O83" s="987"/>
      <c r="P83" s="987"/>
      <c r="Q83" s="987"/>
      <c r="R83" s="987"/>
      <c r="S83" s="987"/>
      <c r="T83" s="987"/>
      <c r="U83" s="987"/>
      <c r="V83" s="987"/>
      <c r="W83" s="987"/>
      <c r="X83" s="987"/>
      <c r="Y83" s="987"/>
      <c r="Z83" s="987"/>
    </row>
    <row r="84">
      <c r="A84" s="249">
        <f>IF(F83&lt;20,8,"8")</f>
        <v>8</v>
      </c>
      <c r="B84" s="175">
        <f>IF((AND('WEEK 30'!B83&lt;='WEEK 30'!B82,'WEEK 30'!F83&gt;=20)),'WEEK 30'!B83,IF('WEEK 30'!F83&lt;20,MROUND('WEEK 30'!B83-('WEEK 30'!B83*3%),5),if( 'WEEK 30'!F83&lt;20,MROUND('WEEK 30'!B83-('WEEK 30'!B83*1.5%),5),MROUND('WEEK 30'!B83+('WEEK 30'!B83*1.5%),5))))</f>
        <v>200</v>
      </c>
      <c r="C84" s="238">
        <v>20.0</v>
      </c>
      <c r="D84" s="238" t="s">
        <v>122</v>
      </c>
      <c r="E84" s="66" t="str">
        <f>IF('WEEK 2'!B96='WEEK 30'!B84,'WEEK 2'!F96,"")</f>
        <v/>
      </c>
      <c r="F84" s="67"/>
      <c r="G84" s="987"/>
      <c r="H84" s="987"/>
      <c r="I84" s="987"/>
      <c r="J84" s="987"/>
      <c r="K84" s="987"/>
      <c r="L84" s="987"/>
      <c r="M84" s="987"/>
      <c r="N84" s="987"/>
      <c r="O84" s="987"/>
      <c r="P84" s="987"/>
      <c r="Q84" s="987"/>
      <c r="R84" s="987"/>
      <c r="S84" s="987"/>
      <c r="T84" s="987"/>
      <c r="U84" s="987"/>
      <c r="V84" s="987"/>
      <c r="W84" s="987"/>
      <c r="X84" s="987"/>
      <c r="Y84" s="987"/>
      <c r="Z84" s="987"/>
    </row>
    <row r="85">
      <c r="A85" s="272" t="s">
        <v>183</v>
      </c>
      <c r="B85" s="1039">
        <f>IF((AND('WEEK 30'!F84&gt;=20,'WEEK 30'!B84&gt;'WEEK 30'!B83)),'WEEK 30'!B84,IF((AND('WEEK 30'!F83&gt;=20,'WEEK 30'!B83&gt;'WEEK 30'!B82)),'WEEK 30'!B83,IF((AND('WEEK 30'!F82&gt;=20,'WEEK 30'!B82&gt;'WEEK 30'!B81)),'WEEK 30'!B82,IF((AND('WEEK 30'!F81&gt;=20,'WEEK 30'!B81&gt;'WEEK 30'!B80)),'WEEK 30'!B81,IF((AND('WEEK 30'!F80&gt;=20,'WEEK 30'!B80&gt;'WEEK 30'!B79)),'WEEK 30'!B80,IF((AND('WEEK 30'!F79&gt;=20,'WEEK 30'!B79&gt;'WEEK 30'!B78)),'WEEK 30'!B79,IF((AND('WEEK 30'!F78&gt;=20,'WEEK 30'!B78&gt;'WEEK 30'!B77)),'WEEK 30'!B78,IF((AND('WEEK 30'!F77&gt;=20,'WEEK 30'!B77&gt;'WEEK 30'!B76)),'WEEK 30'!B77,IF((AND('WEEK 30'!F76&gt;=20,'WEEK 30'!B76&gt;'WEEK 30'!B75)),'WEEK 30'!B75)))))))))</f>
        <v>250</v>
      </c>
      <c r="C85" s="11"/>
      <c r="D85" s="11"/>
      <c r="E85" s="11"/>
      <c r="F85" s="46"/>
      <c r="G85" s="987"/>
      <c r="H85" s="987"/>
      <c r="I85" s="987"/>
      <c r="J85" s="987"/>
      <c r="K85" s="987"/>
      <c r="L85" s="987"/>
      <c r="M85" s="987"/>
      <c r="N85" s="987"/>
      <c r="O85" s="987"/>
      <c r="P85" s="987"/>
      <c r="Q85" s="987"/>
      <c r="R85" s="987"/>
      <c r="S85" s="987"/>
      <c r="T85" s="987"/>
      <c r="U85" s="987"/>
      <c r="V85" s="987"/>
      <c r="W85" s="987"/>
      <c r="X85" s="987"/>
      <c r="Y85" s="987"/>
      <c r="Z85" s="987"/>
    </row>
    <row r="86">
      <c r="A86" s="1040"/>
      <c r="B86" s="1041"/>
      <c r="C86" s="1041"/>
      <c r="D86" s="1041"/>
      <c r="E86" s="1041"/>
      <c r="F86" s="1041"/>
      <c r="G86" s="987"/>
      <c r="H86" s="987"/>
      <c r="I86" s="987"/>
      <c r="J86" s="987"/>
      <c r="K86" s="987"/>
      <c r="L86" s="987"/>
      <c r="M86" s="987"/>
      <c r="N86" s="987"/>
      <c r="O86" s="987"/>
      <c r="P86" s="987"/>
      <c r="Q86" s="987"/>
      <c r="R86" s="987"/>
      <c r="S86" s="987"/>
      <c r="T86" s="987"/>
      <c r="U86" s="987"/>
      <c r="V86" s="987"/>
      <c r="W86" s="987"/>
      <c r="X86" s="987"/>
      <c r="Y86" s="987"/>
      <c r="Z86" s="987"/>
    </row>
    <row r="87">
      <c r="A87" s="1042"/>
      <c r="B87" s="1043"/>
      <c r="C87" s="1043"/>
      <c r="D87" s="1043"/>
      <c r="E87" s="1043"/>
      <c r="F87" s="1043"/>
      <c r="G87" s="987"/>
      <c r="H87" s="987"/>
      <c r="I87" s="987"/>
      <c r="J87" s="987"/>
      <c r="K87" s="987"/>
      <c r="L87" s="987"/>
      <c r="M87" s="987"/>
      <c r="N87" s="987"/>
      <c r="O87" s="987"/>
      <c r="P87" s="987"/>
      <c r="Q87" s="987"/>
      <c r="R87" s="987"/>
      <c r="S87" s="987"/>
      <c r="T87" s="987"/>
      <c r="U87" s="987"/>
      <c r="V87" s="987"/>
      <c r="W87" s="987"/>
      <c r="X87" s="987"/>
      <c r="Y87" s="987"/>
      <c r="Z87" s="987"/>
    </row>
    <row r="88">
      <c r="A88" s="1044" t="str">
        <f>HYPERLINK("https://www.youtube.com/watch?v=NZ9KiFtbiMs","2. LEG EXTENSION")</f>
        <v>2. LEG EXTENSION</v>
      </c>
      <c r="B88" s="13"/>
      <c r="C88" s="13"/>
      <c r="D88" s="13"/>
      <c r="E88" s="13"/>
      <c r="F88" s="57"/>
      <c r="G88" s="623"/>
      <c r="H88" s="623"/>
      <c r="I88" s="623"/>
      <c r="J88" s="623"/>
      <c r="K88" s="623"/>
      <c r="L88" s="623"/>
      <c r="M88" s="623"/>
      <c r="N88" s="987"/>
      <c r="O88" s="987"/>
      <c r="P88" s="987"/>
      <c r="Q88" s="987"/>
      <c r="R88" s="987"/>
      <c r="S88" s="987"/>
      <c r="T88" s="987"/>
      <c r="U88" s="987"/>
      <c r="V88" s="987"/>
      <c r="W88" s="987"/>
      <c r="X88" s="987"/>
      <c r="Y88" s="987"/>
      <c r="Z88" s="987"/>
    </row>
    <row r="89">
      <c r="A89" s="1045" t="s">
        <v>119</v>
      </c>
      <c r="B89" s="1046">
        <f>IF('WEEK 29'!B83='WEEK 29'!B85,'WEEK 29'!B83+5,IF('WEEK 29'!F83&lt;=9,MROUND('WEEK 29'!B81*0.95,5),'WEEK 29'!B83))</f>
        <v>50</v>
      </c>
      <c r="C89" s="13"/>
      <c r="D89" s="13"/>
      <c r="E89" s="13"/>
      <c r="F89" s="57"/>
      <c r="G89" s="623"/>
      <c r="H89" s="623"/>
      <c r="I89" s="623"/>
      <c r="J89" s="623"/>
      <c r="K89" s="623"/>
      <c r="L89" s="623"/>
      <c r="M89" s="623"/>
      <c r="N89" s="987"/>
      <c r="O89" s="987"/>
      <c r="P89" s="987"/>
      <c r="Q89" s="987"/>
      <c r="R89" s="987"/>
      <c r="S89" s="987"/>
      <c r="T89" s="987"/>
      <c r="U89" s="987"/>
      <c r="V89" s="987"/>
      <c r="W89" s="987"/>
      <c r="X89" s="987"/>
      <c r="Y89" s="987"/>
      <c r="Z89" s="987"/>
    </row>
    <row r="90">
      <c r="A90" s="567" t="s">
        <v>50</v>
      </c>
      <c r="B90" s="568" t="s">
        <v>51</v>
      </c>
      <c r="C90" s="568" t="s">
        <v>52</v>
      </c>
      <c r="D90" s="568" t="s">
        <v>53</v>
      </c>
      <c r="E90" s="1047" t="s">
        <v>54</v>
      </c>
      <c r="F90" s="1048" t="s">
        <v>55</v>
      </c>
      <c r="G90" s="623"/>
      <c r="H90" s="623"/>
      <c r="I90" s="623"/>
      <c r="J90" s="623"/>
      <c r="K90" s="623"/>
      <c r="L90" s="623"/>
      <c r="M90" s="623"/>
      <c r="N90" s="987"/>
      <c r="O90" s="987"/>
      <c r="P90" s="987"/>
      <c r="Q90" s="987"/>
      <c r="R90" s="987"/>
      <c r="S90" s="987"/>
      <c r="T90" s="987"/>
      <c r="U90" s="987"/>
      <c r="V90" s="987"/>
      <c r="W90" s="987"/>
      <c r="X90" s="987"/>
      <c r="Y90" s="987"/>
      <c r="Z90" s="987"/>
    </row>
    <row r="91">
      <c r="A91" s="1049">
        <v>1.0</v>
      </c>
      <c r="B91" s="1050">
        <f>'WEEK 30'!B89</f>
        <v>50</v>
      </c>
      <c r="C91" s="1051">
        <v>20.0</v>
      </c>
      <c r="D91" s="1052" t="s">
        <v>57</v>
      </c>
      <c r="E91" s="1010"/>
      <c r="F91" s="1011">
        <v>20.0</v>
      </c>
      <c r="G91" s="623"/>
      <c r="H91" s="623"/>
      <c r="I91" s="623"/>
      <c r="J91" s="623"/>
      <c r="K91" s="623"/>
      <c r="L91" s="623"/>
      <c r="M91" s="623"/>
      <c r="N91" s="987"/>
      <c r="O91" s="987"/>
      <c r="P91" s="987"/>
      <c r="Q91" s="987"/>
      <c r="R91" s="987"/>
      <c r="S91" s="987"/>
      <c r="T91" s="987"/>
      <c r="U91" s="987"/>
      <c r="V91" s="987"/>
      <c r="W91" s="987"/>
      <c r="X91" s="987"/>
      <c r="Y91" s="987"/>
      <c r="Z91" s="987"/>
    </row>
    <row r="92">
      <c r="A92" s="1049">
        <v>2.0</v>
      </c>
      <c r="B92" s="1050">
        <f>if('WEEK 30'!F91&lt;8,mround('WEEK 30'!B91*0.8,5),IF('WEEK 30'!F91&lt;=14,MROUND('WEEK 30'!B91*0.95,5),'WEEK 30'!B91))</f>
        <v>40</v>
      </c>
      <c r="C92" s="1051">
        <v>20.0</v>
      </c>
      <c r="D92" s="1052" t="s">
        <v>57</v>
      </c>
      <c r="E92" s="1010"/>
      <c r="F92" s="1011">
        <v>20.0</v>
      </c>
      <c r="G92" s="623"/>
      <c r="H92" s="623"/>
      <c r="I92" s="623"/>
      <c r="J92" s="623"/>
      <c r="K92" s="623"/>
      <c r="L92" s="623"/>
      <c r="M92" s="623"/>
      <c r="N92" s="987"/>
      <c r="O92" s="987"/>
      <c r="P92" s="987"/>
      <c r="Q92" s="987"/>
      <c r="R92" s="987"/>
      <c r="S92" s="987"/>
      <c r="T92" s="987"/>
      <c r="U92" s="987"/>
      <c r="V92" s="987"/>
      <c r="W92" s="987"/>
      <c r="X92" s="987"/>
      <c r="Y92" s="987"/>
      <c r="Z92" s="987"/>
    </row>
    <row r="93">
      <c r="A93" s="1053">
        <v>3.0</v>
      </c>
      <c r="B93" s="1054">
        <f>if('WEEK 30'!F92&lt;8,mround('WEEK 30'!B92*0.8,5),IF('WEEK 30'!F92&lt;=14,MROUND('WEEK 30'!B92*0.95,5),'WEEK 30'!B92))</f>
        <v>30</v>
      </c>
      <c r="C93" s="1055">
        <v>20.0</v>
      </c>
      <c r="D93" s="1056" t="s">
        <v>57</v>
      </c>
      <c r="E93" s="1021"/>
      <c r="F93" s="1011">
        <v>20.0</v>
      </c>
      <c r="G93" s="623"/>
      <c r="H93" s="623"/>
      <c r="I93" s="623"/>
      <c r="J93" s="623"/>
      <c r="K93" s="623"/>
      <c r="L93" s="623"/>
      <c r="M93" s="623"/>
      <c r="N93" s="987"/>
      <c r="O93" s="987"/>
      <c r="P93" s="987"/>
      <c r="Q93" s="987"/>
      <c r="R93" s="987"/>
      <c r="S93" s="987"/>
      <c r="T93" s="987"/>
      <c r="U93" s="987"/>
      <c r="V93" s="987"/>
      <c r="W93" s="987"/>
      <c r="X93" s="987"/>
      <c r="Y93" s="987"/>
      <c r="Z93" s="987"/>
    </row>
    <row r="94">
      <c r="A94" s="1057"/>
      <c r="B94" s="1057"/>
      <c r="C94" s="1057"/>
      <c r="D94" s="1057"/>
      <c r="E94" s="1057"/>
      <c r="F94" s="1057"/>
      <c r="G94" s="623"/>
      <c r="H94" s="623"/>
      <c r="I94" s="623"/>
      <c r="J94" s="623"/>
      <c r="K94" s="623"/>
      <c r="L94" s="623"/>
      <c r="M94" s="623"/>
      <c r="N94" s="987"/>
      <c r="O94" s="987"/>
      <c r="P94" s="987"/>
      <c r="Q94" s="987"/>
      <c r="R94" s="987"/>
      <c r="S94" s="987"/>
      <c r="T94" s="987"/>
      <c r="U94" s="987"/>
      <c r="V94" s="987"/>
      <c r="W94" s="987"/>
      <c r="X94" s="987"/>
      <c r="Y94" s="987"/>
      <c r="Z94" s="987"/>
    </row>
    <row r="95">
      <c r="A95" s="1058"/>
      <c r="B95" s="1058"/>
      <c r="C95" s="1058"/>
      <c r="D95" s="1058"/>
      <c r="E95" s="1058"/>
      <c r="F95" s="1058"/>
      <c r="G95" s="623"/>
      <c r="H95" s="623"/>
      <c r="I95" s="623"/>
      <c r="J95" s="623"/>
      <c r="K95" s="623"/>
      <c r="L95" s="623"/>
      <c r="M95" s="623"/>
      <c r="N95" s="987"/>
      <c r="O95" s="987"/>
      <c r="P95" s="987"/>
      <c r="Q95" s="987"/>
      <c r="R95" s="987"/>
      <c r="S95" s="987"/>
      <c r="T95" s="987"/>
      <c r="U95" s="987"/>
      <c r="V95" s="987"/>
      <c r="W95" s="987"/>
      <c r="X95" s="987"/>
      <c r="Y95" s="987"/>
      <c r="Z95" s="987"/>
    </row>
    <row r="96">
      <c r="A96" s="1058"/>
      <c r="B96" s="1058"/>
      <c r="C96" s="1058"/>
      <c r="D96" s="1058"/>
      <c r="E96" s="1058"/>
      <c r="F96" s="1058"/>
      <c r="G96" s="623"/>
      <c r="H96" s="623"/>
      <c r="I96" s="623"/>
      <c r="J96" s="623"/>
      <c r="K96" s="623"/>
      <c r="L96" s="623"/>
      <c r="M96" s="623"/>
      <c r="N96" s="987"/>
      <c r="O96" s="987"/>
      <c r="P96" s="987"/>
      <c r="Q96" s="987"/>
      <c r="R96" s="987"/>
      <c r="S96" s="987"/>
      <c r="T96" s="987"/>
      <c r="U96" s="987"/>
      <c r="V96" s="987"/>
      <c r="W96" s="987"/>
      <c r="X96" s="987"/>
      <c r="Y96" s="987"/>
      <c r="Z96" s="987"/>
    </row>
    <row r="97">
      <c r="A97" s="1059" t="str">
        <f>HYPERLINK("https://www.youtube.com/watch?v=XepOfsnGFJg","3.MACHINE LEG CURL")</f>
        <v>3.MACHINE LEG CURL</v>
      </c>
      <c r="B97" s="53"/>
      <c r="C97" s="53"/>
      <c r="D97" s="53"/>
      <c r="E97" s="53"/>
      <c r="F97" s="54"/>
      <c r="G97" s="997"/>
      <c r="H97" s="1060" t="s">
        <v>184</v>
      </c>
      <c r="I97" s="53"/>
      <c r="J97" s="53"/>
      <c r="K97" s="53"/>
      <c r="L97" s="53"/>
      <c r="M97" s="54"/>
      <c r="N97" s="987"/>
      <c r="O97" s="987"/>
      <c r="P97" s="987"/>
      <c r="Q97" s="987"/>
      <c r="R97" s="987"/>
      <c r="S97" s="987"/>
      <c r="T97" s="987"/>
      <c r="U97" s="987"/>
      <c r="V97" s="987"/>
      <c r="W97" s="987"/>
      <c r="X97" s="987"/>
      <c r="Y97" s="987"/>
      <c r="Z97" s="987"/>
    </row>
    <row r="98">
      <c r="A98" s="1045" t="s">
        <v>119</v>
      </c>
      <c r="B98" s="1061">
        <f>IF('WEEK 29'!B91='WEEK 29'!B93,'WEEK 29'!B91+5,IF('WEEK 29'!F91&lt;=9,MROUND('WEEK 29'!B91*0.95,5),'WEEK 29'!B91))</f>
        <v>15</v>
      </c>
      <c r="C98" s="13"/>
      <c r="D98" s="13"/>
      <c r="E98" s="13"/>
      <c r="F98" s="57"/>
      <c r="G98" s="997"/>
      <c r="H98" s="1045" t="s">
        <v>119</v>
      </c>
      <c r="I98" s="1061">
        <f>B98</f>
        <v>15</v>
      </c>
      <c r="J98" s="13"/>
      <c r="K98" s="13"/>
      <c r="L98" s="13"/>
      <c r="M98" s="57"/>
      <c r="N98" s="987"/>
      <c r="O98" s="987"/>
      <c r="P98" s="987"/>
      <c r="Q98" s="987"/>
      <c r="R98" s="987"/>
      <c r="S98" s="987"/>
      <c r="T98" s="987"/>
      <c r="U98" s="987"/>
      <c r="V98" s="987"/>
      <c r="W98" s="987"/>
      <c r="X98" s="987"/>
      <c r="Y98" s="987"/>
      <c r="Z98" s="987"/>
    </row>
    <row r="99">
      <c r="A99" s="567" t="s">
        <v>50</v>
      </c>
      <c r="B99" s="568" t="s">
        <v>51</v>
      </c>
      <c r="C99" s="568" t="s">
        <v>52</v>
      </c>
      <c r="D99" s="568" t="s">
        <v>53</v>
      </c>
      <c r="E99" s="1047" t="s">
        <v>54</v>
      </c>
      <c r="F99" s="1048" t="s">
        <v>55</v>
      </c>
      <c r="G99" s="997"/>
      <c r="H99" s="567" t="s">
        <v>50</v>
      </c>
      <c r="I99" s="568" t="s">
        <v>51</v>
      </c>
      <c r="J99" s="568" t="s">
        <v>52</v>
      </c>
      <c r="K99" s="568" t="s">
        <v>53</v>
      </c>
      <c r="L99" s="1047" t="s">
        <v>54</v>
      </c>
      <c r="M99" s="1048" t="s">
        <v>55</v>
      </c>
      <c r="N99" s="987"/>
      <c r="O99" s="987"/>
      <c r="P99" s="987"/>
      <c r="Q99" s="987"/>
      <c r="R99" s="987"/>
      <c r="S99" s="987"/>
      <c r="T99" s="987"/>
      <c r="U99" s="987"/>
      <c r="V99" s="987"/>
      <c r="W99" s="987"/>
      <c r="X99" s="987"/>
      <c r="Y99" s="987"/>
      <c r="Z99" s="987"/>
    </row>
    <row r="100">
      <c r="A100" s="1049">
        <v>1.0</v>
      </c>
      <c r="B100" s="1050">
        <f>'WEEK 30'!B98</f>
        <v>15</v>
      </c>
      <c r="C100" s="1062">
        <v>20.0</v>
      </c>
      <c r="D100" s="1052" t="s">
        <v>57</v>
      </c>
      <c r="E100" s="1010"/>
      <c r="F100" s="1017"/>
      <c r="G100" s="1063" t="s">
        <v>123</v>
      </c>
      <c r="H100" s="1049">
        <v>1.0</v>
      </c>
      <c r="I100" s="1050">
        <f>'WEEK 30'!I98</f>
        <v>15</v>
      </c>
      <c r="J100" s="1062">
        <v>20.0</v>
      </c>
      <c r="K100" s="1052" t="s">
        <v>57</v>
      </c>
      <c r="L100" s="1010"/>
      <c r="M100" s="1017"/>
      <c r="N100" s="987"/>
      <c r="O100" s="987"/>
      <c r="P100" s="987"/>
      <c r="Q100" s="987"/>
      <c r="R100" s="987"/>
      <c r="S100" s="987"/>
      <c r="T100" s="987"/>
      <c r="U100" s="987"/>
      <c r="V100" s="987"/>
      <c r="W100" s="987"/>
      <c r="X100" s="987"/>
      <c r="Y100" s="987"/>
      <c r="Z100" s="987"/>
    </row>
    <row r="101">
      <c r="A101" s="1049">
        <v>2.0</v>
      </c>
      <c r="B101" s="1050">
        <f>if('WEEK 30'!F100&lt;8,mround('WEEK 30'!B100*0.8,5),IF('WEEK 30'!F100&lt;=14,MROUND('WEEK 30'!B100*0.95,5),'WEEK 30'!B100))</f>
        <v>10</v>
      </c>
      <c r="C101" s="1062">
        <v>20.0</v>
      </c>
      <c r="D101" s="1052" t="s">
        <v>57</v>
      </c>
      <c r="E101" s="1010"/>
      <c r="F101" s="1017"/>
      <c r="G101" s="28"/>
      <c r="H101" s="1049">
        <v>2.0</v>
      </c>
      <c r="I101" s="1050">
        <f>if('WEEK 30'!M100&lt;8,mround('WEEK 30'!I100*0.8,5),IF('WEEK 30'!M100&lt;=14,MROUND('WEEK 30'!I100*0.95,5),'WEEK 30'!I100))</f>
        <v>10</v>
      </c>
      <c r="J101" s="1062">
        <v>20.0</v>
      </c>
      <c r="K101" s="1052" t="s">
        <v>57</v>
      </c>
      <c r="L101" s="1010"/>
      <c r="M101" s="1017"/>
      <c r="N101" s="987"/>
      <c r="O101" s="987"/>
      <c r="P101" s="987"/>
      <c r="Q101" s="987"/>
      <c r="R101" s="987"/>
      <c r="S101" s="987"/>
      <c r="T101" s="987"/>
      <c r="U101" s="987"/>
      <c r="V101" s="987"/>
      <c r="W101" s="987"/>
      <c r="X101" s="987"/>
      <c r="Y101" s="987"/>
      <c r="Z101" s="987"/>
    </row>
    <row r="102">
      <c r="A102" s="1053">
        <v>3.0</v>
      </c>
      <c r="B102" s="1054">
        <f>if('WEEK 30'!F101&lt;8,mround('WEEK 30'!B101*0.8,5),IF('WEEK 30'!F101&lt;=14,MROUND('WEEK 30'!B101*0.95,5),'WEEK 30'!B101))</f>
        <v>10</v>
      </c>
      <c r="C102" s="1064">
        <v>20.0</v>
      </c>
      <c r="D102" s="1056" t="s">
        <v>57</v>
      </c>
      <c r="E102" s="1021"/>
      <c r="F102" s="1017"/>
      <c r="G102" s="1065"/>
      <c r="H102" s="1053">
        <v>3.0</v>
      </c>
      <c r="I102" s="1054">
        <f>if('WEEK 30'!M101&lt;8,mround('WEEK 30'!I101*0.8,5),IF('WEEK 30'!M101&lt;=14,MROUND('WEEK 30'!I101*0.95,5),'WEEK 30'!I101))</f>
        <v>10</v>
      </c>
      <c r="J102" s="1064">
        <v>20.0</v>
      </c>
      <c r="K102" s="1056" t="s">
        <v>57</v>
      </c>
      <c r="L102" s="1021"/>
      <c r="M102" s="1017"/>
      <c r="N102" s="987"/>
      <c r="O102" s="987"/>
      <c r="P102" s="987"/>
      <c r="Q102" s="987"/>
      <c r="R102" s="987"/>
      <c r="S102" s="987"/>
      <c r="T102" s="987"/>
      <c r="U102" s="987"/>
      <c r="V102" s="987"/>
      <c r="W102" s="987"/>
      <c r="X102" s="987"/>
      <c r="Y102" s="987"/>
      <c r="Z102" s="987"/>
    </row>
    <row r="103">
      <c r="A103" s="1057"/>
      <c r="B103" s="1057"/>
      <c r="C103" s="1057"/>
      <c r="D103" s="1057"/>
      <c r="E103" s="1057"/>
      <c r="F103" s="1057"/>
      <c r="G103" s="623"/>
      <c r="H103" s="1057"/>
      <c r="I103" s="1057"/>
      <c r="J103" s="1057"/>
      <c r="K103" s="1057"/>
      <c r="L103" s="1057"/>
      <c r="M103" s="1057"/>
      <c r="N103" s="987"/>
      <c r="O103" s="987"/>
      <c r="P103" s="987"/>
      <c r="Q103" s="987"/>
      <c r="R103" s="987"/>
      <c r="S103" s="987"/>
      <c r="T103" s="987"/>
      <c r="U103" s="987"/>
      <c r="V103" s="987"/>
      <c r="W103" s="987"/>
      <c r="X103" s="987"/>
      <c r="Y103" s="987"/>
      <c r="Z103" s="987"/>
    </row>
    <row r="104">
      <c r="A104" s="987"/>
      <c r="B104" s="987"/>
      <c r="C104" s="987"/>
      <c r="D104" s="987"/>
      <c r="E104" s="987"/>
      <c r="F104" s="987"/>
      <c r="G104" s="987"/>
      <c r="H104" s="987"/>
      <c r="I104" s="987"/>
      <c r="J104" s="987"/>
      <c r="K104" s="987"/>
      <c r="L104" s="987"/>
      <c r="M104" s="987"/>
      <c r="N104" s="987"/>
      <c r="O104" s="987"/>
      <c r="P104" s="987"/>
      <c r="Q104" s="987"/>
      <c r="R104" s="987"/>
      <c r="S104" s="987"/>
      <c r="T104" s="987"/>
      <c r="U104" s="987"/>
      <c r="V104" s="987"/>
      <c r="W104" s="987"/>
      <c r="X104" s="987"/>
      <c r="Y104" s="987"/>
      <c r="Z104" s="987"/>
    </row>
    <row r="105">
      <c r="A105" s="996" t="s">
        <v>62</v>
      </c>
      <c r="B105" s="11"/>
      <c r="C105" s="11"/>
      <c r="D105" s="11"/>
      <c r="E105" s="11"/>
      <c r="F105" s="46"/>
      <c r="G105" s="987"/>
      <c r="H105" s="987"/>
      <c r="I105" s="987"/>
      <c r="J105" s="987"/>
      <c r="K105" s="987"/>
      <c r="L105" s="987"/>
      <c r="M105" s="987"/>
      <c r="N105" s="987"/>
      <c r="O105" s="987"/>
      <c r="P105" s="987"/>
      <c r="Q105" s="987"/>
      <c r="R105" s="987"/>
      <c r="S105" s="987"/>
      <c r="T105" s="987"/>
      <c r="U105" s="987"/>
      <c r="V105" s="987"/>
      <c r="W105" s="987"/>
      <c r="X105" s="987"/>
      <c r="Y105" s="987"/>
      <c r="Z105" s="987"/>
    </row>
    <row r="106">
      <c r="A106" s="987"/>
      <c r="B106" s="987"/>
      <c r="C106" s="987"/>
      <c r="D106" s="987"/>
      <c r="E106" s="987"/>
      <c r="F106" s="987"/>
      <c r="G106" s="987"/>
      <c r="H106" s="987"/>
      <c r="I106" s="987"/>
      <c r="J106" s="987"/>
      <c r="K106" s="987"/>
      <c r="L106" s="987"/>
      <c r="M106" s="987"/>
      <c r="N106" s="987"/>
      <c r="O106" s="987"/>
      <c r="P106" s="987"/>
      <c r="Q106" s="987"/>
      <c r="R106" s="987"/>
      <c r="S106" s="987"/>
      <c r="T106" s="987"/>
      <c r="U106" s="987"/>
      <c r="V106" s="987"/>
      <c r="W106" s="987"/>
      <c r="X106" s="987"/>
      <c r="Y106" s="987"/>
      <c r="Z106" s="987"/>
    </row>
    <row r="107">
      <c r="A107" s="989"/>
      <c r="B107" s="989"/>
      <c r="C107" s="989"/>
      <c r="D107" s="989"/>
      <c r="E107" s="989"/>
      <c r="F107" s="989"/>
      <c r="G107" s="987"/>
      <c r="H107" s="987"/>
      <c r="I107" s="987"/>
      <c r="J107" s="987"/>
      <c r="K107" s="987"/>
      <c r="L107" s="987"/>
      <c r="M107" s="987"/>
      <c r="N107" s="987"/>
      <c r="O107" s="987"/>
      <c r="P107" s="987"/>
      <c r="Q107" s="987"/>
      <c r="R107" s="987"/>
      <c r="S107" s="987"/>
      <c r="T107" s="987"/>
      <c r="U107" s="987"/>
      <c r="V107" s="987"/>
      <c r="W107" s="987"/>
      <c r="X107" s="987"/>
      <c r="Y107" s="987"/>
      <c r="Z107" s="987"/>
    </row>
    <row r="108">
      <c r="A108" s="51" t="s">
        <v>131</v>
      </c>
      <c r="B108" s="36"/>
      <c r="C108" s="36"/>
      <c r="D108" s="36"/>
      <c r="E108" s="36"/>
      <c r="F108" s="37"/>
      <c r="G108" s="419"/>
      <c r="H108" s="51" t="s">
        <v>131</v>
      </c>
      <c r="I108" s="36"/>
      <c r="J108" s="36"/>
      <c r="K108" s="36"/>
      <c r="L108" s="36"/>
      <c r="M108" s="37"/>
      <c r="N108" s="987"/>
      <c r="O108" s="987"/>
      <c r="P108" s="987"/>
      <c r="Q108" s="987"/>
      <c r="R108" s="987"/>
      <c r="S108" s="987"/>
      <c r="T108" s="987"/>
      <c r="U108" s="987"/>
      <c r="V108" s="987"/>
      <c r="W108" s="987"/>
      <c r="X108" s="987"/>
      <c r="Y108" s="987"/>
      <c r="Z108" s="987"/>
    </row>
    <row r="109">
      <c r="A109" s="504" t="str">
        <f>HYPERLINK("https://youtu.be/rmxOkkd2hUk","1. SHOULDER PRESS")</f>
        <v>1. SHOULDER PRESS</v>
      </c>
      <c r="B109" s="53"/>
      <c r="C109" s="53"/>
      <c r="D109" s="53"/>
      <c r="E109" s="53"/>
      <c r="F109" s="54"/>
      <c r="G109" s="419"/>
      <c r="H109" s="778" t="str">
        <f>HYPERLINK("https://www.youtube.com/watch?v=-cSBPE-y38M","1. MACHINE SHOULDER PRESS")</f>
        <v>1. MACHINE SHOULDER PRESS</v>
      </c>
      <c r="I109" s="53"/>
      <c r="J109" s="53"/>
      <c r="K109" s="53"/>
      <c r="L109" s="53"/>
      <c r="M109" s="54"/>
      <c r="N109" s="987"/>
      <c r="O109" s="987"/>
      <c r="P109" s="987"/>
      <c r="Q109" s="987"/>
      <c r="R109" s="987"/>
      <c r="S109" s="987"/>
      <c r="T109" s="987"/>
      <c r="U109" s="987"/>
      <c r="V109" s="987"/>
      <c r="W109" s="987"/>
      <c r="X109" s="987"/>
      <c r="Y109" s="987"/>
      <c r="Z109" s="987"/>
    </row>
    <row r="110">
      <c r="A110" s="589" t="s">
        <v>119</v>
      </c>
      <c r="B110" s="227">
        <f>IF('WEEK 28'!I118="",'WEEK 27'!B113,'WEEK 28'!I118)</f>
        <v>80</v>
      </c>
      <c r="C110" s="20"/>
      <c r="D110" s="20"/>
      <c r="E110" s="20"/>
      <c r="F110" s="95"/>
      <c r="G110" s="419"/>
      <c r="H110" s="589" t="s">
        <v>119</v>
      </c>
      <c r="I110" s="227">
        <f>'WEEK 28'!B116</f>
        <v>0</v>
      </c>
      <c r="J110" s="20"/>
      <c r="K110" s="20"/>
      <c r="L110" s="20"/>
      <c r="M110" s="95"/>
      <c r="N110" s="987"/>
      <c r="O110" s="987"/>
      <c r="P110" s="987"/>
      <c r="Q110" s="987"/>
      <c r="R110" s="987"/>
      <c r="S110" s="987"/>
      <c r="T110" s="987"/>
      <c r="U110" s="987"/>
      <c r="V110" s="987"/>
      <c r="W110" s="987"/>
      <c r="X110" s="987"/>
      <c r="Y110" s="987"/>
      <c r="Z110" s="987"/>
    </row>
    <row r="111">
      <c r="A111" s="364" t="s">
        <v>50</v>
      </c>
      <c r="B111" s="365" t="s">
        <v>51</v>
      </c>
      <c r="C111" s="365" t="s">
        <v>52</v>
      </c>
      <c r="D111" s="365" t="s">
        <v>53</v>
      </c>
      <c r="E111" s="609" t="s">
        <v>54</v>
      </c>
      <c r="F111" s="61" t="s">
        <v>55</v>
      </c>
      <c r="G111" s="724"/>
      <c r="H111" s="364" t="s">
        <v>50</v>
      </c>
      <c r="I111" s="365" t="s">
        <v>51</v>
      </c>
      <c r="J111" s="365" t="s">
        <v>52</v>
      </c>
      <c r="K111" s="365" t="s">
        <v>53</v>
      </c>
      <c r="L111" s="609" t="s">
        <v>54</v>
      </c>
      <c r="M111" s="61" t="s">
        <v>55</v>
      </c>
      <c r="N111" s="1007"/>
      <c r="O111" s="1007"/>
      <c r="P111" s="1007"/>
      <c r="Q111" s="1007"/>
      <c r="R111" s="1007"/>
      <c r="S111" s="1007"/>
      <c r="T111" s="1007"/>
      <c r="U111" s="1007"/>
      <c r="V111" s="1007"/>
      <c r="W111" s="1007"/>
      <c r="X111" s="1007"/>
      <c r="Y111" s="1007"/>
      <c r="Z111" s="1007"/>
    </row>
    <row r="112">
      <c r="A112" s="236">
        <v>1.0</v>
      </c>
      <c r="B112" s="237">
        <f>mround('WEEK 30'!B110*0.35,5)</f>
        <v>30</v>
      </c>
      <c r="C112" s="237">
        <v>6.0</v>
      </c>
      <c r="D112" s="238" t="s">
        <v>120</v>
      </c>
      <c r="E112" s="66"/>
      <c r="F112" s="67"/>
      <c r="G112" s="728"/>
      <c r="H112" s="236">
        <v>1.0</v>
      </c>
      <c r="I112" s="237">
        <f>mround('WEEK 27'!I115*0.35,5)</f>
        <v>20</v>
      </c>
      <c r="J112" s="237">
        <v>6.0</v>
      </c>
      <c r="K112" s="238" t="s">
        <v>120</v>
      </c>
      <c r="L112" s="66"/>
      <c r="M112" s="67"/>
      <c r="N112" s="1012"/>
      <c r="O112" s="1012"/>
      <c r="P112" s="1012"/>
      <c r="Q112" s="1012"/>
      <c r="R112" s="1012"/>
      <c r="S112" s="1012"/>
      <c r="T112" s="1012"/>
      <c r="U112" s="1012"/>
      <c r="V112" s="1012"/>
      <c r="W112" s="1012"/>
      <c r="X112" s="1012"/>
      <c r="Y112" s="1012"/>
      <c r="Z112" s="1012"/>
    </row>
    <row r="113">
      <c r="A113" s="236">
        <v>2.0</v>
      </c>
      <c r="B113" s="237">
        <f>mround('WEEK 30'!B110*0.65,5)</f>
        <v>50</v>
      </c>
      <c r="C113" s="237">
        <v>1.0</v>
      </c>
      <c r="D113" s="238" t="s">
        <v>57</v>
      </c>
      <c r="E113" s="66"/>
      <c r="F113" s="67"/>
      <c r="G113" s="728"/>
      <c r="H113" s="236">
        <v>2.0</v>
      </c>
      <c r="I113" s="237">
        <f>mround('WEEK 30'!I110*0.65,5)</f>
        <v>0</v>
      </c>
      <c r="J113" s="237">
        <v>1.0</v>
      </c>
      <c r="K113" s="238" t="s">
        <v>57</v>
      </c>
      <c r="L113" s="66"/>
      <c r="M113" s="67"/>
      <c r="N113" s="1012"/>
      <c r="O113" s="1012"/>
      <c r="P113" s="1012"/>
      <c r="Q113" s="1012"/>
      <c r="R113" s="1012"/>
      <c r="S113" s="1012"/>
      <c r="T113" s="1012"/>
      <c r="U113" s="1012"/>
      <c r="V113" s="1012"/>
      <c r="W113" s="1012"/>
      <c r="X113" s="1012"/>
      <c r="Y113" s="1012"/>
      <c r="Z113" s="1012"/>
    </row>
    <row r="114">
      <c r="A114" s="779">
        <v>3.0</v>
      </c>
      <c r="B114" s="780">
        <f> mround('WEEK 30'!B110*0.9,5)</f>
        <v>70</v>
      </c>
      <c r="C114" s="781" t="s">
        <v>65</v>
      </c>
      <c r="D114" s="782" t="s">
        <v>57</v>
      </c>
      <c r="E114" s="783"/>
      <c r="F114" s="784"/>
      <c r="G114" s="728"/>
      <c r="H114" s="779">
        <v>3.0</v>
      </c>
      <c r="I114" s="780">
        <f> mround('WEEK 30'!I110*0.9,5)</f>
        <v>0</v>
      </c>
      <c r="J114" s="781" t="s">
        <v>65</v>
      </c>
      <c r="K114" s="782" t="s">
        <v>57</v>
      </c>
      <c r="L114" s="783"/>
      <c r="M114" s="784"/>
      <c r="N114" s="1012"/>
      <c r="O114" s="1012"/>
      <c r="P114" s="1012"/>
      <c r="Q114" s="1012"/>
      <c r="R114" s="1012"/>
      <c r="S114" s="1012"/>
      <c r="T114" s="1012"/>
      <c r="U114" s="1012"/>
      <c r="V114" s="1012"/>
      <c r="W114" s="1012"/>
      <c r="X114" s="1012"/>
      <c r="Y114" s="1012"/>
      <c r="Z114" s="1012"/>
    </row>
    <row r="115">
      <c r="A115" s="785">
        <v>4.0</v>
      </c>
      <c r="B115" s="388">
        <f>if('WEEK 30'!F114&lt;20,mround('WEEK 30'!B114*0.85,5),'WEEK 30'!B114)</f>
        <v>60</v>
      </c>
      <c r="C115" s="781" t="s">
        <v>65</v>
      </c>
      <c r="D115" s="390" t="s">
        <v>57</v>
      </c>
      <c r="E115" s="786"/>
      <c r="F115" s="392"/>
      <c r="G115" s="728"/>
      <c r="H115" s="785">
        <v>4.0</v>
      </c>
      <c r="I115" s="388">
        <f>if('WEEK 30'!M114&lt;20,mround('WEEK 30'!I114*0.85,5),'WEEK 30'!I114)</f>
        <v>0</v>
      </c>
      <c r="J115" s="781" t="s">
        <v>65</v>
      </c>
      <c r="K115" s="390" t="s">
        <v>57</v>
      </c>
      <c r="L115" s="786"/>
      <c r="M115" s="392"/>
      <c r="N115" s="1012"/>
      <c r="O115" s="1012"/>
      <c r="P115" s="1012"/>
      <c r="Q115" s="1012"/>
      <c r="R115" s="1012"/>
      <c r="S115" s="1012"/>
      <c r="T115" s="1012"/>
      <c r="U115" s="1012"/>
      <c r="V115" s="1012"/>
      <c r="W115" s="1012"/>
      <c r="X115" s="1012"/>
      <c r="Y115" s="1012"/>
      <c r="Z115" s="1012"/>
    </row>
    <row r="116">
      <c r="A116" s="787">
        <v>5.0</v>
      </c>
      <c r="B116" s="788">
        <f>if('WEEK 30'!F115&lt;20,mround('WEEK 30'!B115*0.85,2.5),'WEEK 30'!B115)</f>
        <v>50</v>
      </c>
      <c r="C116" s="789" t="s">
        <v>65</v>
      </c>
      <c r="D116" s="397" t="s">
        <v>57</v>
      </c>
      <c r="E116" s="790"/>
      <c r="F116" s="392"/>
      <c r="G116" s="724"/>
      <c r="H116" s="787">
        <v>5.0</v>
      </c>
      <c r="I116" s="788">
        <f>if('WEEK 30'!M115&lt;20,mround('WEEK 30'!I115*0.85,10),'WEEK 30'!I115)</f>
        <v>0</v>
      </c>
      <c r="J116" s="789" t="s">
        <v>65</v>
      </c>
      <c r="K116" s="397" t="s">
        <v>57</v>
      </c>
      <c r="L116" s="790"/>
      <c r="M116" s="392"/>
      <c r="N116" s="1007"/>
      <c r="O116" s="1007"/>
      <c r="P116" s="1007"/>
      <c r="Q116" s="1007"/>
      <c r="R116" s="1007"/>
      <c r="S116" s="1007"/>
      <c r="T116" s="1007"/>
      <c r="U116" s="1007"/>
      <c r="V116" s="1007"/>
      <c r="W116" s="1007"/>
      <c r="X116" s="1007"/>
      <c r="Y116" s="1007"/>
      <c r="Z116" s="1007"/>
    </row>
    <row r="117">
      <c r="A117" s="623"/>
      <c r="B117" s="623"/>
      <c r="C117" s="623"/>
      <c r="D117" s="623"/>
      <c r="E117" s="1058"/>
      <c r="F117" s="623"/>
      <c r="G117" s="987"/>
      <c r="H117" s="987"/>
      <c r="I117" s="987"/>
      <c r="J117" s="987"/>
      <c r="K117" s="987"/>
      <c r="L117" s="987"/>
      <c r="M117" s="987"/>
      <c r="N117" s="987"/>
      <c r="O117" s="987"/>
      <c r="P117" s="987"/>
      <c r="Q117" s="987"/>
      <c r="R117" s="987"/>
      <c r="S117" s="987"/>
      <c r="T117" s="987"/>
      <c r="U117" s="987"/>
      <c r="V117" s="987"/>
      <c r="W117" s="987"/>
      <c r="X117" s="987"/>
      <c r="Y117" s="987"/>
      <c r="Z117" s="987"/>
    </row>
    <row r="118">
      <c r="A118" s="995"/>
      <c r="B118" s="995"/>
      <c r="C118" s="995"/>
      <c r="D118" s="995"/>
      <c r="E118" s="1066"/>
      <c r="F118" s="995"/>
      <c r="G118" s="987"/>
      <c r="H118" s="987"/>
      <c r="I118" s="987"/>
      <c r="J118" s="987"/>
      <c r="K118" s="987"/>
      <c r="L118" s="987"/>
      <c r="M118" s="987"/>
      <c r="N118" s="987"/>
      <c r="O118" s="987"/>
      <c r="P118" s="987"/>
      <c r="Q118" s="987"/>
      <c r="R118" s="987"/>
      <c r="S118" s="987"/>
      <c r="T118" s="987"/>
      <c r="U118" s="987"/>
      <c r="V118" s="987"/>
      <c r="W118" s="987"/>
      <c r="X118" s="987"/>
      <c r="Y118" s="987"/>
      <c r="Z118" s="987"/>
    </row>
    <row r="119">
      <c r="A119" s="361" t="str">
        <f>HYPERLINK("https://www.youtube.com/watch?v=gxWVN6F_uxo","2.  CABLE HIGH PULLEY ROW")</f>
        <v>2.  CABLE HIGH PULLEY ROW</v>
      </c>
      <c r="B119" s="53"/>
      <c r="C119" s="53"/>
      <c r="D119" s="53"/>
      <c r="E119" s="53"/>
      <c r="F119" s="54"/>
      <c r="G119" s="987"/>
      <c r="H119" s="987"/>
      <c r="I119" s="987"/>
      <c r="J119" s="987"/>
      <c r="K119" s="987"/>
      <c r="L119" s="987"/>
      <c r="M119" s="987"/>
      <c r="N119" s="987"/>
      <c r="O119" s="987"/>
      <c r="P119" s="987"/>
      <c r="Q119" s="987"/>
      <c r="R119" s="987"/>
      <c r="S119" s="987"/>
      <c r="T119" s="987"/>
      <c r="U119" s="987"/>
      <c r="V119" s="987"/>
      <c r="W119" s="987"/>
      <c r="X119" s="987"/>
      <c r="Y119" s="987"/>
      <c r="Z119" s="987"/>
    </row>
    <row r="120">
      <c r="A120" s="226" t="s">
        <v>119</v>
      </c>
      <c r="B120" s="94">
        <f>IF('WEEK 25'!B130='WEEK 25'!B132,'WEEK 25'!B130+5,IF('WEEK 25'!F130&lt;=14,MROUND('WEEK 25'!B128*0.85,5),'WEEK 25'!B130))</f>
        <v>5</v>
      </c>
      <c r="C120" s="20"/>
      <c r="D120" s="20"/>
      <c r="E120" s="20"/>
      <c r="F120" s="95"/>
      <c r="G120" s="987"/>
      <c r="H120" s="987"/>
      <c r="I120" s="987"/>
      <c r="J120" s="987"/>
      <c r="K120" s="987"/>
      <c r="L120" s="987"/>
      <c r="M120" s="987"/>
      <c r="N120" s="987"/>
      <c r="O120" s="987"/>
      <c r="P120" s="987"/>
      <c r="Q120" s="987"/>
      <c r="R120" s="987"/>
      <c r="S120" s="987"/>
      <c r="T120" s="987"/>
      <c r="U120" s="987"/>
      <c r="V120" s="987"/>
      <c r="W120" s="987"/>
      <c r="X120" s="987"/>
      <c r="Y120" s="987"/>
      <c r="Z120" s="987"/>
    </row>
    <row r="121">
      <c r="A121" s="962" t="s">
        <v>50</v>
      </c>
      <c r="B121" s="963" t="s">
        <v>51</v>
      </c>
      <c r="C121" s="963" t="s">
        <v>52</v>
      </c>
      <c r="D121" s="963" t="s">
        <v>53</v>
      </c>
      <c r="E121" s="1005" t="s">
        <v>54</v>
      </c>
      <c r="F121" s="1006" t="s">
        <v>55</v>
      </c>
      <c r="G121" s="1007"/>
      <c r="H121" s="1007"/>
      <c r="I121" s="1007"/>
      <c r="J121" s="1007"/>
      <c r="K121" s="1007"/>
      <c r="L121" s="1007"/>
      <c r="M121" s="1007"/>
      <c r="N121" s="1007"/>
      <c r="O121" s="1007"/>
      <c r="P121" s="1007"/>
      <c r="Q121" s="1007"/>
      <c r="R121" s="1007"/>
      <c r="S121" s="1007"/>
      <c r="T121" s="1007"/>
      <c r="U121" s="1007"/>
      <c r="V121" s="1007"/>
      <c r="W121" s="1007"/>
      <c r="X121" s="1007"/>
      <c r="Y121" s="1007"/>
      <c r="Z121" s="1007"/>
    </row>
    <row r="122">
      <c r="A122" s="967">
        <v>1.0</v>
      </c>
      <c r="B122" s="1028">
        <f>'WEEK 30'!B120</f>
        <v>70</v>
      </c>
      <c r="C122" s="1067" t="s">
        <v>61</v>
      </c>
      <c r="D122" s="968" t="s">
        <v>121</v>
      </c>
      <c r="E122" s="1010"/>
      <c r="F122" s="1017"/>
      <c r="G122" s="1012"/>
      <c r="H122" s="1012"/>
      <c r="I122" s="1012"/>
      <c r="J122" s="1012"/>
      <c r="K122" s="1012"/>
      <c r="L122" s="1012"/>
      <c r="M122" s="1012"/>
      <c r="N122" s="1012"/>
      <c r="O122" s="1012"/>
      <c r="P122" s="1012"/>
      <c r="Q122" s="1012"/>
      <c r="R122" s="1012"/>
      <c r="S122" s="1012"/>
      <c r="T122" s="1012"/>
      <c r="U122" s="1012"/>
      <c r="V122" s="1012"/>
      <c r="W122" s="1012"/>
      <c r="X122" s="1012"/>
      <c r="Y122" s="1012"/>
      <c r="Z122" s="1012"/>
    </row>
    <row r="123">
      <c r="A123" s="242">
        <v>2.0</v>
      </c>
      <c r="B123" s="99">
        <f>if('WEEK 30'!F122&lt;15,mround('WEEK 30'!B122*0.85,10),'WEEK 30'!B122)</f>
        <v>70</v>
      </c>
      <c r="C123" s="1067" t="s">
        <v>61</v>
      </c>
      <c r="D123" s="968" t="s">
        <v>121</v>
      </c>
      <c r="E123" s="1010"/>
      <c r="F123" s="1017"/>
      <c r="G123" s="1012"/>
      <c r="H123" s="1012"/>
      <c r="I123" s="1012"/>
      <c r="J123" s="1012"/>
      <c r="K123" s="1012"/>
      <c r="L123" s="1012"/>
      <c r="M123" s="1012"/>
      <c r="N123" s="1012"/>
      <c r="O123" s="1012"/>
      <c r="P123" s="1012"/>
      <c r="Q123" s="1012"/>
      <c r="R123" s="1012"/>
      <c r="S123" s="1012"/>
      <c r="T123" s="1012"/>
      <c r="U123" s="1012"/>
      <c r="V123" s="1012"/>
      <c r="W123" s="1012"/>
      <c r="X123" s="1012"/>
      <c r="Y123" s="1012"/>
      <c r="Z123" s="1012"/>
    </row>
    <row r="124">
      <c r="A124" s="289">
        <v>3.0</v>
      </c>
      <c r="B124" s="101">
        <f>if('WEEK 30'!F123&lt;15,mround('WEEK 30'!B123*0.85,10),'WEEK 30'!B123)</f>
        <v>70</v>
      </c>
      <c r="C124" s="1067" t="s">
        <v>61</v>
      </c>
      <c r="D124" s="968" t="s">
        <v>121</v>
      </c>
      <c r="E124" s="1021"/>
      <c r="F124" s="1017"/>
      <c r="G124" s="1012"/>
      <c r="H124" s="1012"/>
      <c r="I124" s="1012"/>
      <c r="J124" s="1012"/>
      <c r="K124" s="1012"/>
      <c r="L124" s="1012"/>
      <c r="M124" s="1012"/>
      <c r="N124" s="1012"/>
      <c r="O124" s="1012"/>
      <c r="P124" s="1012"/>
      <c r="Q124" s="1012"/>
      <c r="R124" s="1012"/>
      <c r="S124" s="1012"/>
      <c r="T124" s="1012"/>
      <c r="U124" s="1012"/>
      <c r="V124" s="1012"/>
      <c r="W124" s="1012"/>
      <c r="X124" s="1012"/>
      <c r="Y124" s="1012"/>
      <c r="Z124" s="1012"/>
    </row>
    <row r="125">
      <c r="A125" s="1068"/>
      <c r="B125" s="1068"/>
      <c r="C125" s="1068"/>
      <c r="D125" s="623"/>
      <c r="E125" s="1058"/>
      <c r="F125" s="623"/>
      <c r="G125" s="987"/>
      <c r="H125" s="987"/>
      <c r="I125" s="987"/>
      <c r="J125" s="987"/>
      <c r="K125" s="987"/>
      <c r="L125" s="987"/>
      <c r="M125" s="987"/>
      <c r="N125" s="987"/>
      <c r="O125" s="987"/>
      <c r="P125" s="987"/>
      <c r="Q125" s="987"/>
      <c r="R125" s="987"/>
      <c r="S125" s="987"/>
      <c r="T125" s="987"/>
      <c r="U125" s="987"/>
      <c r="V125" s="987"/>
      <c r="W125" s="987"/>
      <c r="X125" s="987"/>
      <c r="Y125" s="987"/>
      <c r="Z125" s="987"/>
    </row>
    <row r="126">
      <c r="A126" s="1069"/>
      <c r="B126" s="1069"/>
      <c r="C126" s="1069"/>
      <c r="D126" s="995"/>
      <c r="E126" s="1066"/>
      <c r="F126" s="995"/>
      <c r="G126" s="987"/>
      <c r="H126" s="987"/>
      <c r="I126" s="987"/>
      <c r="J126" s="987"/>
      <c r="K126" s="987"/>
      <c r="L126" s="987"/>
      <c r="M126" s="987"/>
      <c r="N126" s="987"/>
      <c r="O126" s="987"/>
      <c r="P126" s="987"/>
      <c r="Q126" s="987"/>
      <c r="R126" s="987"/>
      <c r="S126" s="987"/>
      <c r="T126" s="987"/>
      <c r="U126" s="987"/>
      <c r="V126" s="987"/>
      <c r="W126" s="987"/>
      <c r="X126" s="987"/>
      <c r="Y126" s="987"/>
      <c r="Z126" s="987"/>
    </row>
    <row r="127">
      <c r="A127" s="1070" t="str">
        <f>HYPERLINK("https://youtu.be/QUNZvtb6mnY","3. DUMBBELL SIDE LATERAL RAISE")</f>
        <v>3. DUMBBELL SIDE LATERAL RAISE</v>
      </c>
      <c r="B127" s="13"/>
      <c r="C127" s="13"/>
      <c r="D127" s="13"/>
      <c r="E127" s="13"/>
      <c r="F127" s="57"/>
      <c r="G127" s="987"/>
      <c r="H127" s="987"/>
      <c r="I127" s="987"/>
      <c r="J127" s="987"/>
      <c r="K127" s="987"/>
      <c r="L127" s="987"/>
      <c r="M127" s="987"/>
      <c r="N127" s="987"/>
      <c r="O127" s="987"/>
      <c r="P127" s="987"/>
      <c r="Q127" s="987"/>
      <c r="R127" s="987"/>
      <c r="S127" s="987"/>
      <c r="T127" s="987"/>
      <c r="U127" s="987"/>
      <c r="V127" s="987"/>
      <c r="W127" s="987"/>
      <c r="X127" s="987"/>
      <c r="Y127" s="987"/>
      <c r="Z127" s="987"/>
    </row>
    <row r="128">
      <c r="A128" s="226" t="s">
        <v>134</v>
      </c>
      <c r="B128" s="76">
        <f>'WEEK 29'!B125</f>
        <v>80</v>
      </c>
      <c r="C128" s="13"/>
      <c r="D128" s="13"/>
      <c r="E128" s="13"/>
      <c r="F128" s="57"/>
      <c r="G128" s="987"/>
      <c r="H128" s="987"/>
      <c r="I128" s="987"/>
      <c r="J128" s="987"/>
      <c r="K128" s="987"/>
      <c r="L128" s="987"/>
      <c r="M128" s="987"/>
      <c r="N128" s="987"/>
      <c r="O128" s="987"/>
      <c r="P128" s="987"/>
      <c r="Q128" s="987"/>
      <c r="R128" s="987"/>
      <c r="S128" s="987"/>
      <c r="T128" s="987"/>
      <c r="U128" s="987"/>
      <c r="V128" s="987"/>
      <c r="W128" s="987"/>
      <c r="X128" s="987"/>
      <c r="Y128" s="987"/>
      <c r="Z128" s="987"/>
    </row>
    <row r="129">
      <c r="A129" s="1071" t="s">
        <v>50</v>
      </c>
      <c r="B129" s="1072" t="s">
        <v>51</v>
      </c>
      <c r="C129" s="1072" t="s">
        <v>52</v>
      </c>
      <c r="D129" s="1072" t="s">
        <v>53</v>
      </c>
      <c r="E129" s="1073" t="s">
        <v>54</v>
      </c>
      <c r="F129" s="1006" t="s">
        <v>55</v>
      </c>
      <c r="G129" s="987"/>
      <c r="H129" s="987"/>
      <c r="I129" s="987"/>
      <c r="J129" s="987"/>
      <c r="K129" s="987"/>
      <c r="L129" s="987"/>
      <c r="M129" s="987"/>
      <c r="N129" s="987"/>
      <c r="O129" s="987"/>
      <c r="P129" s="987"/>
      <c r="Q129" s="987"/>
      <c r="R129" s="987"/>
      <c r="S129" s="987"/>
      <c r="T129" s="987"/>
      <c r="U129" s="987"/>
      <c r="V129" s="987"/>
      <c r="W129" s="987"/>
      <c r="X129" s="987"/>
      <c r="Y129" s="987"/>
      <c r="Z129" s="987"/>
    </row>
    <row r="130">
      <c r="A130" s="1074">
        <v>1.0</v>
      </c>
      <c r="B130" s="968">
        <f> mround('WEEK 30'!B128*0.2,5)</f>
        <v>15</v>
      </c>
      <c r="C130" s="1075" t="s">
        <v>61</v>
      </c>
      <c r="D130" s="1076" t="s">
        <v>57</v>
      </c>
      <c r="E130" s="1077"/>
      <c r="F130" s="1017"/>
      <c r="G130" s="987"/>
      <c r="H130" s="987"/>
      <c r="I130" s="987"/>
      <c r="J130" s="987"/>
      <c r="K130" s="987"/>
      <c r="L130" s="987"/>
      <c r="M130" s="987"/>
      <c r="N130" s="987"/>
      <c r="O130" s="987"/>
      <c r="P130" s="987"/>
      <c r="Q130" s="987"/>
      <c r="R130" s="987"/>
      <c r="S130" s="987"/>
      <c r="T130" s="987"/>
      <c r="U130" s="987"/>
      <c r="V130" s="987"/>
      <c r="W130" s="987"/>
      <c r="X130" s="987"/>
      <c r="Y130" s="987"/>
      <c r="Z130" s="987"/>
    </row>
    <row r="131">
      <c r="A131" s="1074">
        <v>2.0</v>
      </c>
      <c r="B131" s="968">
        <f>if('WEEK 30'!F133&lt;15,mround('WEEK 30'!B128*0.15,2.5),'WEEK 30'!B130)</f>
        <v>12.5</v>
      </c>
      <c r="C131" s="1075" t="s">
        <v>61</v>
      </c>
      <c r="D131" s="1076" t="s">
        <v>57</v>
      </c>
      <c r="E131" s="1077"/>
      <c r="F131" s="1017"/>
      <c r="G131" s="987"/>
      <c r="H131" s="987"/>
      <c r="I131" s="987"/>
      <c r="J131" s="987"/>
      <c r="K131" s="987"/>
      <c r="L131" s="987"/>
      <c r="M131" s="987"/>
      <c r="N131" s="987"/>
      <c r="O131" s="987"/>
      <c r="P131" s="987"/>
      <c r="Q131" s="987"/>
      <c r="R131" s="987"/>
      <c r="S131" s="987"/>
      <c r="T131" s="987"/>
      <c r="U131" s="987"/>
      <c r="V131" s="987"/>
      <c r="W131" s="987"/>
      <c r="X131" s="987"/>
      <c r="Y131" s="987"/>
      <c r="Z131" s="987"/>
    </row>
    <row r="132">
      <c r="A132" s="1078">
        <v>3.0</v>
      </c>
      <c r="B132" s="972">
        <f>if('WEEK 30'!F134&lt;15,mround('WEEK 30'!B128*0.1,2.5),'WEEK 30'!B131)</f>
        <v>7.5</v>
      </c>
      <c r="C132" s="1079" t="s">
        <v>61</v>
      </c>
      <c r="D132" s="1080" t="s">
        <v>57</v>
      </c>
      <c r="E132" s="31"/>
      <c r="F132" s="1017"/>
      <c r="G132" s="987"/>
      <c r="H132" s="987"/>
      <c r="I132" s="987"/>
      <c r="J132" s="987"/>
      <c r="K132" s="987"/>
      <c r="L132" s="987"/>
      <c r="M132" s="987"/>
      <c r="N132" s="987"/>
      <c r="O132" s="987"/>
      <c r="P132" s="987"/>
      <c r="Q132" s="987"/>
      <c r="R132" s="987"/>
      <c r="S132" s="987"/>
      <c r="T132" s="987"/>
      <c r="U132" s="987"/>
      <c r="V132" s="987"/>
      <c r="W132" s="987"/>
      <c r="X132" s="987"/>
      <c r="Y132" s="987"/>
      <c r="Z132" s="987"/>
    </row>
    <row r="133">
      <c r="A133" s="1068"/>
      <c r="B133" s="1068"/>
      <c r="C133" s="1068"/>
      <c r="D133" s="623"/>
      <c r="E133" s="1058"/>
      <c r="F133" s="623"/>
      <c r="G133" s="987"/>
      <c r="H133" s="987"/>
      <c r="I133" s="987"/>
      <c r="J133" s="987"/>
      <c r="K133" s="987"/>
      <c r="L133" s="987"/>
      <c r="M133" s="987"/>
      <c r="N133" s="987"/>
      <c r="O133" s="987"/>
      <c r="P133" s="987"/>
      <c r="Q133" s="987"/>
      <c r="R133" s="987"/>
      <c r="S133" s="987"/>
      <c r="T133" s="987"/>
      <c r="U133" s="987"/>
      <c r="V133" s="987"/>
      <c r="W133" s="987"/>
      <c r="X133" s="987"/>
      <c r="Y133" s="987"/>
      <c r="Z133" s="987"/>
    </row>
    <row r="134">
      <c r="A134" s="1069"/>
      <c r="B134" s="1069"/>
      <c r="C134" s="1069"/>
      <c r="D134" s="995"/>
      <c r="E134" s="1066"/>
      <c r="F134" s="995"/>
      <c r="G134" s="987"/>
      <c r="H134" s="987"/>
      <c r="I134" s="987"/>
      <c r="J134" s="987"/>
      <c r="K134" s="987"/>
      <c r="L134" s="987"/>
      <c r="M134" s="987"/>
      <c r="N134" s="987"/>
      <c r="O134" s="987"/>
      <c r="P134" s="987"/>
      <c r="Q134" s="987"/>
      <c r="R134" s="987"/>
      <c r="S134" s="987"/>
      <c r="T134" s="987"/>
      <c r="U134" s="987"/>
      <c r="V134" s="987"/>
      <c r="W134" s="987"/>
      <c r="X134" s="987"/>
      <c r="Y134" s="987"/>
      <c r="Z134" s="987"/>
    </row>
    <row r="135">
      <c r="A135" s="1295" t="str">
        <f>HYPERLINK("https://www.youtube.com/watch?v=NlchRoKP7s8","3. DUMBBELL TRICEP EXTENSIONS")</f>
        <v>3. DUMBBELL TRICEP EXTENSIONS</v>
      </c>
      <c r="B135" s="53"/>
      <c r="C135" s="53"/>
      <c r="D135" s="53"/>
      <c r="E135" s="53"/>
      <c r="F135" s="54"/>
      <c r="G135" s="987"/>
      <c r="H135" s="623"/>
      <c r="I135" s="623"/>
      <c r="J135" s="623"/>
      <c r="K135" s="623"/>
      <c r="L135" s="623"/>
      <c r="M135" s="623"/>
      <c r="N135" s="987"/>
      <c r="O135" s="987"/>
      <c r="P135" s="987"/>
      <c r="Q135" s="987"/>
      <c r="R135" s="987"/>
      <c r="S135" s="987"/>
      <c r="T135" s="987"/>
      <c r="U135" s="987"/>
      <c r="V135" s="987"/>
      <c r="W135" s="987"/>
      <c r="X135" s="987"/>
      <c r="Y135" s="987"/>
      <c r="Z135" s="987"/>
    </row>
    <row r="136">
      <c r="A136" s="1268" t="s">
        <v>119</v>
      </c>
      <c r="B136" s="76">
        <f>IF('WEEK 24'!B125='WEEK 24'!B127,'WEEK 24'!B125,IF('WEEK 24'!F125&lt;=15,MROUND('WEEK 24'!B123*0.95,5),'WEEK 24'!B123))</f>
        <v>30</v>
      </c>
      <c r="C136" s="13"/>
      <c r="D136" s="13"/>
      <c r="E136" s="13"/>
      <c r="F136" s="57"/>
      <c r="G136" s="987"/>
      <c r="H136" s="623"/>
      <c r="I136" s="623"/>
      <c r="J136" s="623"/>
      <c r="K136" s="623"/>
      <c r="L136" s="623"/>
      <c r="M136" s="623"/>
      <c r="N136" s="987"/>
      <c r="O136" s="987"/>
      <c r="P136" s="987"/>
      <c r="Q136" s="987"/>
      <c r="R136" s="987"/>
      <c r="S136" s="987"/>
      <c r="T136" s="987"/>
      <c r="U136" s="987"/>
      <c r="V136" s="987"/>
      <c r="W136" s="987"/>
      <c r="X136" s="987"/>
      <c r="Y136" s="987"/>
      <c r="Z136" s="987"/>
    </row>
    <row r="137">
      <c r="A137" s="1071" t="s">
        <v>50</v>
      </c>
      <c r="B137" s="1072" t="s">
        <v>51</v>
      </c>
      <c r="C137" s="1072" t="s">
        <v>52</v>
      </c>
      <c r="D137" s="1072" t="s">
        <v>53</v>
      </c>
      <c r="E137" s="1073" t="s">
        <v>54</v>
      </c>
      <c r="F137" s="1006" t="s">
        <v>55</v>
      </c>
      <c r="G137" s="1007"/>
      <c r="H137" s="623"/>
      <c r="I137" s="623"/>
      <c r="J137" s="623"/>
      <c r="K137" s="623"/>
      <c r="L137" s="623"/>
      <c r="M137" s="623"/>
      <c r="N137" s="1007"/>
      <c r="O137" s="1007"/>
      <c r="P137" s="1007"/>
      <c r="Q137" s="1007"/>
      <c r="R137" s="1007"/>
      <c r="S137" s="1007"/>
      <c r="T137" s="1007"/>
      <c r="U137" s="1007"/>
      <c r="V137" s="1007"/>
      <c r="W137" s="1007"/>
      <c r="X137" s="1007"/>
      <c r="Y137" s="1007"/>
      <c r="Z137" s="1007"/>
    </row>
    <row r="138">
      <c r="A138" s="1074">
        <v>1.0</v>
      </c>
      <c r="B138" s="968">
        <f> mround('WEEK 30'!B136,5)</f>
        <v>30</v>
      </c>
      <c r="C138" s="1075" t="s">
        <v>168</v>
      </c>
      <c r="D138" s="1076" t="s">
        <v>57</v>
      </c>
      <c r="E138" s="1235" t="str">
        <f>IF('WEEK 24'!B125='WEEK 30'!B138,'WEEK 24'!F125,"")</f>
        <v/>
      </c>
      <c r="F138" s="1017"/>
      <c r="G138" s="1012"/>
      <c r="H138" s="623"/>
      <c r="I138" s="623"/>
      <c r="J138" s="623"/>
      <c r="K138" s="623"/>
      <c r="L138" s="623"/>
      <c r="M138" s="623"/>
      <c r="N138" s="1012"/>
      <c r="O138" s="1012"/>
      <c r="P138" s="1012"/>
      <c r="Q138" s="1012"/>
      <c r="R138" s="1012"/>
      <c r="S138" s="1012"/>
      <c r="T138" s="1012"/>
      <c r="U138" s="1012"/>
      <c r="V138" s="1012"/>
      <c r="W138" s="1012"/>
      <c r="X138" s="1012"/>
      <c r="Y138" s="1012"/>
      <c r="Z138" s="1012"/>
    </row>
    <row r="139">
      <c r="A139" s="1074">
        <v>2.0</v>
      </c>
      <c r="B139" s="968">
        <f>if('WEEK 30'!F138&lt;15,mround('WEEK 30'!B138*0.9,2.5),'WEEK 30'!B138)</f>
        <v>27.5</v>
      </c>
      <c r="C139" s="1075" t="s">
        <v>168</v>
      </c>
      <c r="D139" s="1076" t="s">
        <v>57</v>
      </c>
      <c r="E139" s="1235" t="str">
        <f>IF('WEEK 24'!B126='WEEK 30'!B139,'WEEK 24'!F126,"")</f>
        <v/>
      </c>
      <c r="F139" s="1017"/>
      <c r="G139" s="1012"/>
      <c r="H139" s="623"/>
      <c r="I139" s="623"/>
      <c r="J139" s="623"/>
      <c r="K139" s="623"/>
      <c r="L139" s="623"/>
      <c r="M139" s="623"/>
      <c r="N139" s="1012"/>
      <c r="O139" s="1012"/>
      <c r="P139" s="1012"/>
      <c r="Q139" s="1012"/>
      <c r="R139" s="1012"/>
      <c r="S139" s="1012"/>
      <c r="T139" s="1012"/>
      <c r="U139" s="1012"/>
      <c r="V139" s="1012"/>
      <c r="W139" s="1012"/>
      <c r="X139" s="1012"/>
      <c r="Y139" s="1012"/>
      <c r="Z139" s="1012"/>
    </row>
    <row r="140">
      <c r="A140" s="1078">
        <v>3.0</v>
      </c>
      <c r="B140" s="972">
        <f>if('WEEK 30'!F139&lt;15,mround('WEEK 30'!B136*0.8,2.5),'WEEK 30'!B139)</f>
        <v>25</v>
      </c>
      <c r="C140" s="1079" t="s">
        <v>168</v>
      </c>
      <c r="D140" s="1080" t="s">
        <v>57</v>
      </c>
      <c r="E140" s="1235" t="str">
        <f>IF('WEEK 24'!B127='WEEK 30'!B140,'WEEK 24'!F127,"")</f>
        <v/>
      </c>
      <c r="F140" s="1017"/>
      <c r="G140" s="1012"/>
      <c r="H140" s="623"/>
      <c r="I140" s="623"/>
      <c r="J140" s="623"/>
      <c r="K140" s="623"/>
      <c r="L140" s="623"/>
      <c r="M140" s="623"/>
      <c r="N140" s="1012"/>
      <c r="O140" s="1012"/>
      <c r="P140" s="1012"/>
      <c r="Q140" s="1012"/>
      <c r="R140" s="1012"/>
      <c r="S140" s="1012"/>
      <c r="T140" s="1012"/>
      <c r="U140" s="1012"/>
      <c r="V140" s="1012"/>
      <c r="W140" s="1012"/>
      <c r="X140" s="1012"/>
      <c r="Y140" s="1012"/>
      <c r="Z140" s="1012"/>
    </row>
    <row r="141">
      <c r="A141" s="623"/>
      <c r="B141" s="623"/>
      <c r="C141" s="623"/>
      <c r="D141" s="623"/>
      <c r="E141" s="623"/>
      <c r="F141" s="623"/>
      <c r="G141" s="1034"/>
      <c r="H141" s="987"/>
      <c r="I141" s="987"/>
      <c r="J141" s="987"/>
      <c r="K141" s="987"/>
      <c r="L141" s="987"/>
      <c r="M141" s="987"/>
      <c r="N141" s="987"/>
      <c r="O141" s="987"/>
      <c r="P141" s="987"/>
      <c r="Q141" s="987"/>
      <c r="R141" s="987"/>
      <c r="S141" s="987"/>
      <c r="T141" s="987"/>
      <c r="U141" s="987"/>
      <c r="V141" s="987"/>
      <c r="W141" s="987"/>
      <c r="X141" s="987"/>
      <c r="Y141" s="987"/>
      <c r="Z141" s="987"/>
    </row>
    <row r="142">
      <c r="A142" s="995"/>
      <c r="B142" s="995"/>
      <c r="C142" s="995"/>
      <c r="D142" s="995"/>
      <c r="E142" s="995"/>
      <c r="F142" s="995"/>
      <c r="G142" s="987"/>
      <c r="H142" s="987"/>
      <c r="I142" s="987"/>
      <c r="J142" s="987"/>
      <c r="K142" s="987"/>
      <c r="L142" s="987"/>
      <c r="M142" s="987"/>
      <c r="N142" s="987"/>
      <c r="O142" s="987"/>
      <c r="P142" s="987"/>
      <c r="Q142" s="987"/>
      <c r="R142" s="987"/>
      <c r="S142" s="987"/>
      <c r="T142" s="987"/>
      <c r="U142" s="987"/>
      <c r="V142" s="987"/>
      <c r="W142" s="987"/>
      <c r="X142" s="987"/>
      <c r="Y142" s="987"/>
      <c r="Z142" s="987"/>
    </row>
    <row r="143">
      <c r="A143" s="113" t="str">
        <f>HYPERLINK("https://www.youtube.com/watch?v=TorWpKwLCSg","5. ALTERNATING BICEP CURLS ")</f>
        <v>5. ALTERNATING BICEP CURLS </v>
      </c>
      <c r="B143" s="53"/>
      <c r="C143" s="53"/>
      <c r="D143" s="53"/>
      <c r="E143" s="53"/>
      <c r="F143" s="54"/>
      <c r="G143" s="987"/>
      <c r="H143" s="987"/>
      <c r="I143" s="987"/>
      <c r="J143" s="987"/>
      <c r="K143" s="987"/>
      <c r="L143" s="987"/>
      <c r="M143" s="987"/>
      <c r="N143" s="987"/>
      <c r="O143" s="987"/>
      <c r="P143" s="987"/>
      <c r="Q143" s="987"/>
      <c r="R143" s="987"/>
      <c r="S143" s="987"/>
      <c r="T143" s="987"/>
      <c r="U143" s="987"/>
      <c r="V143" s="987"/>
      <c r="W143" s="987"/>
      <c r="X143" s="987"/>
      <c r="Y143" s="987"/>
      <c r="Z143" s="987"/>
    </row>
    <row r="144">
      <c r="A144" s="226" t="s">
        <v>119</v>
      </c>
      <c r="B144" s="94">
        <f>IF('WEEK 28'!B147='WEEK 28'!B149,'WEEK 28'!B147+5,IF('WEEK 28'!F147&lt;=14,MROUND('WEEK 28'!B145*0.95,5),'WEEK 28'!B147))</f>
        <v>25</v>
      </c>
      <c r="C144" s="20"/>
      <c r="D144" s="20"/>
      <c r="E144" s="20"/>
      <c r="F144" s="95"/>
      <c r="G144" s="1007"/>
      <c r="H144" s="1007"/>
      <c r="I144" s="1007"/>
      <c r="J144" s="1007"/>
      <c r="K144" s="1007"/>
      <c r="L144" s="1007"/>
      <c r="M144" s="1007"/>
      <c r="N144" s="1007"/>
      <c r="O144" s="1007"/>
      <c r="P144" s="1007"/>
      <c r="Q144" s="1007"/>
      <c r="R144" s="1007"/>
      <c r="S144" s="1007"/>
      <c r="T144" s="1007"/>
      <c r="U144" s="1007"/>
      <c r="V144" s="1007"/>
      <c r="W144" s="1007"/>
      <c r="X144" s="1007"/>
      <c r="Y144" s="1007"/>
      <c r="Z144" s="1007"/>
    </row>
    <row r="145">
      <c r="A145" s="77" t="s">
        <v>50</v>
      </c>
      <c r="B145" s="78" t="s">
        <v>51</v>
      </c>
      <c r="C145" s="78" t="s">
        <v>52</v>
      </c>
      <c r="D145" s="78" t="s">
        <v>53</v>
      </c>
      <c r="E145" s="80" t="s">
        <v>54</v>
      </c>
      <c r="F145" s="235" t="s">
        <v>55</v>
      </c>
      <c r="G145" s="1012"/>
      <c r="H145" s="1012"/>
      <c r="I145" s="1012"/>
      <c r="J145" s="1012"/>
      <c r="K145" s="1012"/>
      <c r="L145" s="1012"/>
      <c r="M145" s="1012"/>
      <c r="N145" s="1012"/>
      <c r="O145" s="1012"/>
      <c r="P145" s="1012"/>
      <c r="Q145" s="1012"/>
      <c r="R145" s="1012"/>
      <c r="S145" s="1012"/>
      <c r="T145" s="1012"/>
      <c r="U145" s="1012"/>
      <c r="V145" s="1012"/>
      <c r="W145" s="1012"/>
      <c r="X145" s="1012"/>
      <c r="Y145" s="1012"/>
      <c r="Z145" s="1012"/>
    </row>
    <row r="146">
      <c r="A146" s="81">
        <v>1.0</v>
      </c>
      <c r="B146" s="82">
        <f>MROUND('WEEK 30'!B144*0.9,10)</f>
        <v>20</v>
      </c>
      <c r="C146" s="65" t="s">
        <v>61</v>
      </c>
      <c r="D146" s="83" t="s">
        <v>58</v>
      </c>
      <c r="E146" s="84" t="str">
        <f>IF('WEEK 30'!B146='WEEK 28'!B147,'WEEK 28'!F147,"")</f>
        <v/>
      </c>
      <c r="F146" s="85"/>
      <c r="G146" s="1012"/>
      <c r="H146" s="1012"/>
      <c r="I146" s="1012"/>
      <c r="J146" s="1012"/>
      <c r="K146" s="1012"/>
      <c r="L146" s="1012"/>
      <c r="M146" s="1012"/>
      <c r="N146" s="1012"/>
      <c r="O146" s="1012"/>
      <c r="P146" s="1012"/>
      <c r="Q146" s="1012"/>
      <c r="R146" s="1012"/>
      <c r="S146" s="1012"/>
      <c r="T146" s="1012"/>
      <c r="U146" s="1012"/>
      <c r="V146" s="1012"/>
      <c r="W146" s="1012"/>
      <c r="X146" s="1012"/>
      <c r="Y146" s="1012"/>
      <c r="Z146" s="1012"/>
    </row>
    <row r="147">
      <c r="A147" s="81">
        <v>2.0</v>
      </c>
      <c r="B147" s="82">
        <f>if('WEEK 30'!F146&lt;15,mround('WEEK 30'!B146*0.8,5),IF('WEEK 30'!F146&lt;=18,MROUND('WEEK 30'!B144*0.95,5),'WEEK 30'!B146))</f>
        <v>15</v>
      </c>
      <c r="C147" s="65" t="s">
        <v>61</v>
      </c>
      <c r="D147" s="83" t="s">
        <v>58</v>
      </c>
      <c r="E147" s="84" t="str">
        <f>IF('WEEK 30'!B147='WEEK 28'!B148,'WEEK 28'!F148,"")</f>
        <v/>
      </c>
      <c r="F147" s="85"/>
      <c r="G147" s="1012"/>
      <c r="H147" s="1012"/>
      <c r="I147" s="1012"/>
      <c r="J147" s="1012"/>
      <c r="K147" s="1012"/>
      <c r="L147" s="1012"/>
      <c r="M147" s="1012"/>
      <c r="N147" s="1012"/>
      <c r="O147" s="1012"/>
      <c r="P147" s="1012"/>
      <c r="Q147" s="1012"/>
      <c r="R147" s="1012"/>
      <c r="S147" s="1012"/>
      <c r="T147" s="1012"/>
      <c r="U147" s="1012"/>
      <c r="V147" s="1012"/>
      <c r="W147" s="1012"/>
      <c r="X147" s="1012"/>
      <c r="Y147" s="1012"/>
      <c r="Z147" s="1012"/>
    </row>
    <row r="148">
      <c r="A148" s="629">
        <v>3.0</v>
      </c>
      <c r="B148" s="630">
        <f>if('WEEK 30'!F147&lt;15,mround('WEEK 30'!B147*0.8,5),IF('WEEK 30'!F147&lt;=18,MROUND('WEEK 30'!B145*0.95,5),'WEEK 30'!B147))</f>
        <v>10</v>
      </c>
      <c r="C148" s="631" t="s">
        <v>61</v>
      </c>
      <c r="D148" s="328" t="s">
        <v>58</v>
      </c>
      <c r="E148" s="84" t="str">
        <f>IF('WEEK 30'!B148='WEEK 28'!B149,'WEEK 28'!F149,"")</f>
        <v/>
      </c>
      <c r="F148" s="330"/>
      <c r="G148" s="1012"/>
      <c r="H148" s="1012"/>
      <c r="I148" s="1012"/>
      <c r="J148" s="1012"/>
      <c r="K148" s="1012"/>
      <c r="L148" s="1012"/>
      <c r="M148" s="1012"/>
      <c r="N148" s="1012"/>
      <c r="O148" s="1012"/>
      <c r="P148" s="1012"/>
      <c r="Q148" s="1012"/>
      <c r="R148" s="1012"/>
      <c r="S148" s="1012"/>
      <c r="T148" s="1012"/>
      <c r="U148" s="1012"/>
      <c r="V148" s="1012"/>
      <c r="W148" s="1012"/>
      <c r="X148" s="1012"/>
      <c r="Y148" s="1012"/>
      <c r="Z148" s="1012"/>
    </row>
    <row r="149">
      <c r="A149" s="1088"/>
      <c r="B149" s="1089"/>
      <c r="C149" s="1089"/>
      <c r="D149" s="1089"/>
      <c r="E149" s="1089"/>
      <c r="F149" s="1089"/>
      <c r="G149" s="987"/>
      <c r="H149" s="987"/>
      <c r="I149" s="987"/>
      <c r="J149" s="987"/>
      <c r="K149" s="987"/>
      <c r="L149" s="987"/>
      <c r="M149" s="987"/>
      <c r="N149" s="987"/>
      <c r="O149" s="987"/>
      <c r="P149" s="987"/>
      <c r="Q149" s="987"/>
      <c r="R149" s="987"/>
      <c r="S149" s="987"/>
      <c r="T149" s="987"/>
      <c r="U149" s="987"/>
      <c r="V149" s="987"/>
      <c r="W149" s="987"/>
      <c r="X149" s="987"/>
      <c r="Y149" s="987"/>
      <c r="Z149" s="987"/>
    </row>
    <row r="150">
      <c r="A150" s="1090"/>
      <c r="B150" s="1091"/>
      <c r="C150" s="1091"/>
      <c r="D150" s="1091"/>
      <c r="E150" s="1091"/>
      <c r="F150" s="1091"/>
      <c r="G150" s="987"/>
      <c r="H150" s="987"/>
      <c r="I150" s="987"/>
      <c r="J150" s="987"/>
      <c r="K150" s="987"/>
      <c r="L150" s="987"/>
      <c r="M150" s="987"/>
      <c r="N150" s="987"/>
      <c r="O150" s="987"/>
      <c r="P150" s="987"/>
      <c r="Q150" s="987"/>
      <c r="R150" s="987"/>
      <c r="S150" s="987"/>
      <c r="T150" s="987"/>
      <c r="U150" s="987"/>
      <c r="V150" s="987"/>
      <c r="W150" s="987"/>
      <c r="X150" s="987"/>
      <c r="Y150" s="987"/>
      <c r="Z150" s="987"/>
    </row>
    <row r="151">
      <c r="A151" s="1092" t="s">
        <v>135</v>
      </c>
      <c r="B151" s="11"/>
      <c r="C151" s="11"/>
      <c r="D151" s="11"/>
      <c r="E151" s="11"/>
      <c r="F151" s="46"/>
      <c r="G151" s="987"/>
      <c r="H151" s="987"/>
      <c r="I151" s="987"/>
      <c r="J151" s="987"/>
      <c r="K151" s="987"/>
      <c r="L151" s="987"/>
      <c r="M151" s="987"/>
      <c r="N151" s="987"/>
      <c r="O151" s="987"/>
      <c r="P151" s="987"/>
      <c r="Q151" s="987"/>
      <c r="R151" s="987"/>
      <c r="S151" s="987"/>
      <c r="T151" s="987"/>
      <c r="U151" s="987"/>
      <c r="V151" s="987"/>
      <c r="W151" s="987"/>
      <c r="X151" s="987"/>
      <c r="Y151" s="987"/>
      <c r="Z151" s="987"/>
    </row>
    <row r="152">
      <c r="A152" s="1093"/>
      <c r="B152" s="1093"/>
      <c r="C152" s="1093"/>
      <c r="D152" s="1093"/>
      <c r="E152" s="1093"/>
      <c r="F152" s="1093"/>
      <c r="G152" s="987"/>
      <c r="H152" s="987"/>
      <c r="I152" s="987"/>
      <c r="J152" s="987"/>
      <c r="K152" s="987"/>
      <c r="L152" s="987"/>
      <c r="M152" s="987"/>
      <c r="N152" s="987"/>
      <c r="O152" s="987"/>
      <c r="P152" s="987"/>
      <c r="Q152" s="987"/>
      <c r="R152" s="987"/>
      <c r="S152" s="987"/>
      <c r="T152" s="987"/>
      <c r="U152" s="987"/>
      <c r="V152" s="987"/>
      <c r="W152" s="987"/>
      <c r="X152" s="987"/>
      <c r="Y152" s="987"/>
      <c r="Z152" s="987"/>
    </row>
    <row r="153">
      <c r="A153" s="1094" t="str">
        <f>HYPERLINK("https://www.amazon.com/30-Minute-Body-Investment-Champion/dp/0692791892/ref=sr_1_1?ie=UTF8&amp;qid=1490447969&amp;sr=8-1&amp;keywords=30+minute+body","WANT TO LEARN MORE?")</f>
        <v>WANT TO LEARN MORE?</v>
      </c>
      <c r="F153" s="39"/>
      <c r="G153" s="987"/>
      <c r="H153" s="987"/>
      <c r="I153" s="987"/>
      <c r="J153" s="987"/>
      <c r="K153" s="987"/>
      <c r="L153" s="987"/>
      <c r="M153" s="987"/>
      <c r="N153" s="987"/>
      <c r="O153" s="987"/>
      <c r="P153" s="987"/>
      <c r="Q153" s="987"/>
      <c r="R153" s="987"/>
      <c r="S153" s="987"/>
      <c r="T153" s="987"/>
      <c r="U153" s="987"/>
      <c r="V153" s="987"/>
      <c r="W153" s="987"/>
      <c r="X153" s="987"/>
      <c r="Y153" s="987"/>
      <c r="Z153" s="987"/>
    </row>
    <row r="154">
      <c r="A154" s="18"/>
      <c r="B154" s="13"/>
      <c r="C154" s="13"/>
      <c r="D154" s="13"/>
      <c r="E154" s="13"/>
      <c r="F154" s="14"/>
      <c r="G154" s="987"/>
      <c r="H154" s="987"/>
      <c r="I154" s="987"/>
      <c r="J154" s="987"/>
      <c r="K154" s="987"/>
      <c r="L154" s="987"/>
      <c r="M154" s="987"/>
      <c r="N154" s="987"/>
      <c r="O154" s="987"/>
      <c r="P154" s="987"/>
      <c r="Q154" s="987"/>
      <c r="R154" s="987"/>
      <c r="S154" s="987"/>
      <c r="T154" s="987"/>
      <c r="U154" s="987"/>
      <c r="V154" s="987"/>
      <c r="W154" s="987"/>
      <c r="X154" s="987"/>
      <c r="Y154" s="987"/>
      <c r="Z154" s="987"/>
    </row>
    <row r="155">
      <c r="A155" s="987"/>
      <c r="B155" s="999"/>
      <c r="C155" s="1095" t="s">
        <v>67</v>
      </c>
      <c r="F155" s="28"/>
      <c r="G155" s="987"/>
      <c r="H155" s="987"/>
      <c r="I155" s="987"/>
      <c r="J155" s="987"/>
      <c r="K155" s="987"/>
      <c r="L155" s="987"/>
      <c r="M155" s="987"/>
      <c r="N155" s="987"/>
      <c r="O155" s="987"/>
      <c r="P155" s="987"/>
      <c r="Q155" s="987"/>
      <c r="R155" s="987"/>
      <c r="S155" s="987"/>
      <c r="T155" s="987"/>
      <c r="U155" s="987"/>
      <c r="V155" s="987"/>
      <c r="W155" s="987"/>
      <c r="X155" s="987"/>
      <c r="Y155" s="987"/>
      <c r="Z155" s="987"/>
    </row>
    <row r="156">
      <c r="A156" s="987"/>
      <c r="B156" s="999"/>
      <c r="F156" s="28"/>
      <c r="G156" s="987"/>
      <c r="H156" s="987"/>
      <c r="I156" s="987"/>
      <c r="J156" s="987"/>
      <c r="K156" s="987"/>
      <c r="L156" s="987"/>
      <c r="M156" s="987"/>
      <c r="N156" s="987"/>
      <c r="O156" s="987"/>
      <c r="P156" s="987"/>
      <c r="Q156" s="987"/>
      <c r="R156" s="987"/>
      <c r="S156" s="987"/>
      <c r="T156" s="987"/>
      <c r="U156" s="987"/>
      <c r="V156" s="987"/>
      <c r="W156" s="987"/>
      <c r="X156" s="987"/>
      <c r="Y156" s="987"/>
      <c r="Z156" s="987"/>
    </row>
    <row r="157">
      <c r="A157" s="987"/>
      <c r="B157" s="999"/>
      <c r="F157" s="28"/>
      <c r="G157" s="987"/>
      <c r="H157" s="987"/>
      <c r="I157" s="987"/>
      <c r="J157" s="987"/>
      <c r="K157" s="987"/>
      <c r="L157" s="987"/>
      <c r="M157" s="987"/>
      <c r="N157" s="987"/>
      <c r="O157" s="987"/>
      <c r="P157" s="987"/>
      <c r="Q157" s="987"/>
      <c r="R157" s="987"/>
      <c r="S157" s="987"/>
      <c r="T157" s="987"/>
      <c r="U157" s="987"/>
      <c r="V157" s="987"/>
      <c r="W157" s="987"/>
      <c r="X157" s="987"/>
      <c r="Y157" s="987"/>
      <c r="Z157" s="987"/>
    </row>
    <row r="158">
      <c r="A158" s="987"/>
      <c r="B158" s="999"/>
      <c r="F158" s="28"/>
      <c r="G158" s="987"/>
      <c r="H158" s="987"/>
      <c r="I158" s="987"/>
      <c r="J158" s="987"/>
      <c r="K158" s="987"/>
      <c r="L158" s="987"/>
      <c r="M158" s="987"/>
      <c r="N158" s="987"/>
      <c r="O158" s="987"/>
      <c r="P158" s="987"/>
      <c r="Q158" s="987"/>
      <c r="R158" s="987"/>
      <c r="S158" s="987"/>
      <c r="T158" s="987"/>
      <c r="U158" s="987"/>
      <c r="V158" s="987"/>
      <c r="W158" s="987"/>
      <c r="X158" s="987"/>
      <c r="Y158" s="987"/>
      <c r="Z158" s="987"/>
    </row>
    <row r="159">
      <c r="A159" s="987"/>
      <c r="B159" s="999"/>
      <c r="F159" s="28"/>
      <c r="G159" s="987"/>
      <c r="H159" s="987"/>
      <c r="I159" s="987"/>
      <c r="J159" s="987"/>
      <c r="K159" s="987"/>
      <c r="L159" s="987"/>
      <c r="M159" s="987"/>
      <c r="N159" s="987"/>
      <c r="O159" s="987"/>
      <c r="P159" s="987"/>
      <c r="Q159" s="987"/>
      <c r="R159" s="987"/>
      <c r="S159" s="987"/>
      <c r="T159" s="987"/>
      <c r="U159" s="987"/>
      <c r="V159" s="987"/>
      <c r="W159" s="987"/>
      <c r="X159" s="987"/>
      <c r="Y159" s="987"/>
      <c r="Z159" s="987"/>
    </row>
    <row r="160">
      <c r="A160" s="987"/>
      <c r="B160" s="999"/>
      <c r="F160" s="28"/>
      <c r="G160" s="987"/>
      <c r="H160" s="987"/>
      <c r="I160" s="987"/>
      <c r="J160" s="987"/>
      <c r="K160" s="987"/>
      <c r="L160" s="987"/>
      <c r="M160" s="987"/>
      <c r="N160" s="987"/>
      <c r="O160" s="987"/>
      <c r="P160" s="987"/>
      <c r="Q160" s="987"/>
      <c r="R160" s="987"/>
      <c r="S160" s="987"/>
      <c r="T160" s="987"/>
      <c r="U160" s="987"/>
      <c r="V160" s="987"/>
      <c r="W160" s="987"/>
      <c r="X160" s="987"/>
      <c r="Y160" s="987"/>
      <c r="Z160" s="987"/>
    </row>
    <row r="161">
      <c r="A161" s="623"/>
      <c r="B161" s="999"/>
      <c r="F161" s="28"/>
      <c r="G161" s="987"/>
      <c r="H161" s="987"/>
      <c r="I161" s="987"/>
      <c r="J161" s="987"/>
      <c r="K161" s="987"/>
      <c r="L161" s="987"/>
      <c r="M161" s="987"/>
      <c r="N161" s="987"/>
      <c r="O161" s="987"/>
      <c r="P161" s="987"/>
      <c r="Q161" s="987"/>
      <c r="R161" s="987"/>
      <c r="S161" s="987"/>
      <c r="T161" s="987"/>
      <c r="U161" s="987"/>
      <c r="V161" s="987"/>
      <c r="W161" s="987"/>
      <c r="X161" s="987"/>
      <c r="Y161" s="987"/>
      <c r="Z161" s="987"/>
    </row>
    <row r="162">
      <c r="A162" s="987"/>
      <c r="B162" s="999"/>
      <c r="F162" s="28"/>
      <c r="G162" s="987"/>
      <c r="H162" s="987"/>
      <c r="I162" s="987"/>
      <c r="J162" s="987"/>
      <c r="K162" s="987"/>
      <c r="L162" s="987"/>
      <c r="M162" s="987"/>
      <c r="N162" s="987"/>
      <c r="O162" s="987"/>
      <c r="P162" s="987"/>
      <c r="Q162" s="987"/>
      <c r="R162" s="987"/>
      <c r="S162" s="987"/>
      <c r="T162" s="987"/>
      <c r="U162" s="987"/>
      <c r="V162" s="987"/>
      <c r="W162" s="987"/>
      <c r="X162" s="987"/>
      <c r="Y162" s="987"/>
      <c r="Z162" s="987"/>
    </row>
    <row r="163">
      <c r="A163" s="987"/>
      <c r="B163" s="999"/>
      <c r="F163" s="28"/>
      <c r="G163" s="987"/>
      <c r="H163" s="987"/>
      <c r="I163" s="987"/>
      <c r="J163" s="987"/>
      <c r="K163" s="987"/>
      <c r="L163" s="987"/>
      <c r="M163" s="987"/>
      <c r="N163" s="987"/>
      <c r="O163" s="987"/>
      <c r="P163" s="987"/>
      <c r="Q163" s="987"/>
      <c r="R163" s="987"/>
      <c r="S163" s="987"/>
      <c r="T163" s="987"/>
      <c r="U163" s="987"/>
      <c r="V163" s="987"/>
      <c r="W163" s="987"/>
      <c r="X163" s="987"/>
      <c r="Y163" s="987"/>
      <c r="Z163" s="987"/>
    </row>
    <row r="164">
      <c r="A164" s="1034"/>
      <c r="B164" s="999"/>
      <c r="F164" s="28"/>
      <c r="G164" s="987"/>
      <c r="H164" s="987"/>
      <c r="I164" s="987"/>
      <c r="J164" s="987"/>
      <c r="K164" s="987"/>
      <c r="L164" s="987"/>
      <c r="M164" s="987"/>
      <c r="N164" s="987"/>
      <c r="O164" s="987"/>
      <c r="P164" s="987"/>
      <c r="Q164" s="987"/>
      <c r="R164" s="987"/>
      <c r="S164" s="987"/>
      <c r="T164" s="987"/>
      <c r="U164" s="987"/>
      <c r="V164" s="987"/>
      <c r="W164" s="987"/>
      <c r="X164" s="987"/>
      <c r="Y164" s="987"/>
      <c r="Z164" s="987"/>
    </row>
    <row r="165">
      <c r="A165" s="987"/>
      <c r="B165" s="999"/>
      <c r="F165" s="28"/>
      <c r="G165" s="987"/>
      <c r="H165" s="987"/>
      <c r="I165" s="987"/>
      <c r="J165" s="987"/>
      <c r="K165" s="987"/>
      <c r="L165" s="987"/>
      <c r="M165" s="987"/>
      <c r="N165" s="987"/>
      <c r="O165" s="987"/>
      <c r="P165" s="987"/>
      <c r="Q165" s="987"/>
      <c r="R165" s="987"/>
      <c r="S165" s="987"/>
      <c r="T165" s="987"/>
      <c r="U165" s="987"/>
      <c r="V165" s="987"/>
      <c r="W165" s="987"/>
      <c r="X165" s="987"/>
      <c r="Y165" s="987"/>
      <c r="Z165" s="987"/>
    </row>
    <row r="166">
      <c r="A166" s="987"/>
      <c r="B166" s="999"/>
      <c r="F166" s="28"/>
      <c r="G166" s="987"/>
      <c r="H166" s="987"/>
      <c r="I166" s="987"/>
      <c r="J166" s="987"/>
      <c r="K166" s="987"/>
      <c r="L166" s="987"/>
      <c r="M166" s="987"/>
      <c r="N166" s="987"/>
      <c r="O166" s="987"/>
      <c r="P166" s="987"/>
      <c r="Q166" s="987"/>
      <c r="R166" s="987"/>
      <c r="S166" s="987"/>
      <c r="T166" s="987"/>
      <c r="U166" s="987"/>
      <c r="V166" s="987"/>
      <c r="W166" s="987"/>
      <c r="X166" s="987"/>
      <c r="Y166" s="987"/>
      <c r="Z166" s="987"/>
    </row>
    <row r="167">
      <c r="A167" s="987"/>
      <c r="B167" s="999"/>
      <c r="F167" s="28"/>
      <c r="G167" s="987"/>
      <c r="H167" s="987"/>
      <c r="I167" s="987"/>
      <c r="J167" s="987"/>
      <c r="K167" s="987"/>
      <c r="L167" s="987"/>
      <c r="M167" s="987"/>
      <c r="N167" s="987"/>
      <c r="O167" s="987"/>
      <c r="P167" s="987"/>
      <c r="Q167" s="987"/>
      <c r="R167" s="987"/>
      <c r="S167" s="987"/>
      <c r="T167" s="987"/>
      <c r="U167" s="987"/>
      <c r="V167" s="987"/>
      <c r="W167" s="987"/>
      <c r="X167" s="987"/>
      <c r="Y167" s="987"/>
      <c r="Z167" s="987"/>
    </row>
    <row r="168">
      <c r="A168" s="987"/>
      <c r="B168" s="999"/>
      <c r="F168" s="28"/>
      <c r="G168" s="987"/>
      <c r="H168" s="987"/>
      <c r="I168" s="987"/>
      <c r="J168" s="987"/>
      <c r="K168" s="987"/>
      <c r="L168" s="987"/>
      <c r="M168" s="987"/>
      <c r="N168" s="987"/>
      <c r="O168" s="987"/>
      <c r="P168" s="987"/>
      <c r="Q168" s="987"/>
      <c r="R168" s="987"/>
      <c r="S168" s="987"/>
      <c r="T168" s="987"/>
      <c r="U168" s="987"/>
      <c r="V168" s="987"/>
      <c r="W168" s="987"/>
      <c r="X168" s="987"/>
      <c r="Y168" s="987"/>
      <c r="Z168" s="987"/>
    </row>
    <row r="169">
      <c r="A169" s="987"/>
      <c r="B169" s="999"/>
      <c r="C169" s="11"/>
      <c r="D169" s="11"/>
      <c r="E169" s="11"/>
      <c r="F169" s="46"/>
      <c r="G169" s="987"/>
      <c r="H169" s="987"/>
      <c r="I169" s="987"/>
      <c r="J169" s="987"/>
      <c r="K169" s="987"/>
      <c r="L169" s="987"/>
      <c r="M169" s="987"/>
      <c r="N169" s="987"/>
      <c r="O169" s="987"/>
      <c r="P169" s="987"/>
      <c r="Q169" s="987"/>
      <c r="R169" s="987"/>
      <c r="S169" s="987"/>
      <c r="T169" s="987"/>
      <c r="U169" s="987"/>
      <c r="V169" s="987"/>
      <c r="W169" s="987"/>
      <c r="X169" s="987"/>
      <c r="Y169" s="987"/>
      <c r="Z169" s="987"/>
    </row>
    <row r="170">
      <c r="A170" s="987"/>
      <c r="B170" s="987"/>
      <c r="C170" s="987"/>
      <c r="D170" s="987"/>
      <c r="E170" s="987"/>
      <c r="F170" s="987"/>
      <c r="G170" s="987"/>
      <c r="H170" s="987"/>
      <c r="I170" s="987"/>
      <c r="J170" s="987"/>
      <c r="K170" s="987"/>
      <c r="L170" s="987"/>
      <c r="M170" s="987"/>
      <c r="N170" s="987"/>
      <c r="O170" s="987"/>
      <c r="P170" s="987"/>
      <c r="Q170" s="987"/>
      <c r="R170" s="987"/>
      <c r="S170" s="987"/>
      <c r="T170" s="987"/>
      <c r="U170" s="987"/>
      <c r="V170" s="987"/>
      <c r="W170" s="987"/>
      <c r="X170" s="987"/>
      <c r="Y170" s="987"/>
      <c r="Z170" s="987"/>
    </row>
    <row r="171">
      <c r="A171" s="987"/>
      <c r="B171" s="987"/>
      <c r="C171" s="987"/>
      <c r="D171" s="987"/>
      <c r="E171" s="987"/>
      <c r="F171" s="987"/>
      <c r="G171" s="987"/>
      <c r="H171" s="987"/>
      <c r="I171" s="987"/>
      <c r="J171" s="987"/>
      <c r="K171" s="987"/>
      <c r="L171" s="987"/>
      <c r="M171" s="987"/>
      <c r="N171" s="987"/>
      <c r="O171" s="987"/>
      <c r="P171" s="987"/>
      <c r="Q171" s="987"/>
      <c r="R171" s="987"/>
      <c r="S171" s="987"/>
      <c r="T171" s="987"/>
      <c r="U171" s="987"/>
      <c r="V171" s="987"/>
      <c r="W171" s="987"/>
      <c r="X171" s="987"/>
      <c r="Y171" s="987"/>
      <c r="Z171" s="987"/>
    </row>
    <row r="172">
      <c r="A172" s="987"/>
      <c r="B172" s="987"/>
      <c r="C172" s="987"/>
      <c r="D172" s="987"/>
      <c r="E172" s="987"/>
      <c r="F172" s="987"/>
      <c r="G172" s="987"/>
      <c r="H172" s="987"/>
      <c r="I172" s="987"/>
      <c r="J172" s="987"/>
      <c r="K172" s="987"/>
      <c r="L172" s="987"/>
      <c r="M172" s="987"/>
      <c r="N172" s="987"/>
      <c r="O172" s="987"/>
      <c r="P172" s="987"/>
      <c r="Q172" s="987"/>
      <c r="R172" s="987"/>
      <c r="S172" s="987"/>
      <c r="T172" s="987"/>
      <c r="U172" s="987"/>
      <c r="V172" s="987"/>
      <c r="W172" s="987"/>
      <c r="X172" s="987"/>
      <c r="Y172" s="987"/>
      <c r="Z172" s="987"/>
    </row>
    <row r="173">
      <c r="A173" s="1034"/>
      <c r="B173" s="987"/>
      <c r="C173" s="987"/>
      <c r="D173" s="987"/>
      <c r="E173" s="987"/>
      <c r="F173" s="987"/>
      <c r="G173" s="987"/>
      <c r="H173" s="987"/>
      <c r="I173" s="987"/>
      <c r="J173" s="987"/>
      <c r="K173" s="987"/>
      <c r="L173" s="987"/>
      <c r="M173" s="987"/>
      <c r="N173" s="987"/>
      <c r="O173" s="987"/>
      <c r="P173" s="987"/>
      <c r="Q173" s="987"/>
      <c r="R173" s="987"/>
      <c r="S173" s="987"/>
      <c r="T173" s="987"/>
      <c r="U173" s="987"/>
      <c r="V173" s="987"/>
      <c r="W173" s="987"/>
      <c r="X173" s="987"/>
      <c r="Y173" s="987"/>
      <c r="Z173" s="987"/>
    </row>
    <row r="174">
      <c r="A174" s="987"/>
      <c r="B174" s="987"/>
      <c r="C174" s="987"/>
      <c r="D174" s="987"/>
      <c r="E174" s="987"/>
      <c r="F174" s="987"/>
      <c r="G174" s="987"/>
      <c r="H174" s="987"/>
      <c r="I174" s="987"/>
      <c r="J174" s="987"/>
      <c r="K174" s="987"/>
      <c r="L174" s="987"/>
      <c r="M174" s="987"/>
      <c r="N174" s="987"/>
      <c r="O174" s="987"/>
      <c r="P174" s="987"/>
      <c r="Q174" s="987"/>
      <c r="R174" s="987"/>
      <c r="S174" s="987"/>
      <c r="T174" s="987"/>
      <c r="U174" s="987"/>
      <c r="V174" s="987"/>
      <c r="W174" s="987"/>
      <c r="X174" s="987"/>
      <c r="Y174" s="987"/>
      <c r="Z174" s="987"/>
    </row>
    <row r="175">
      <c r="A175" s="987"/>
      <c r="B175" s="987"/>
      <c r="C175" s="987"/>
      <c r="D175" s="987"/>
      <c r="E175" s="987"/>
      <c r="F175" s="987"/>
      <c r="G175" s="987"/>
      <c r="H175" s="987"/>
      <c r="I175" s="987"/>
      <c r="J175" s="987"/>
      <c r="K175" s="987"/>
      <c r="L175" s="987"/>
      <c r="M175" s="987"/>
      <c r="N175" s="987"/>
      <c r="O175" s="987"/>
      <c r="P175" s="987"/>
      <c r="Q175" s="987"/>
      <c r="R175" s="987"/>
      <c r="S175" s="987"/>
      <c r="T175" s="987"/>
      <c r="U175" s="987"/>
      <c r="V175" s="987"/>
      <c r="W175" s="987"/>
      <c r="X175" s="987"/>
      <c r="Y175" s="987"/>
      <c r="Z175" s="987"/>
    </row>
    <row r="176">
      <c r="A176" s="987"/>
      <c r="B176" s="987"/>
      <c r="C176" s="987"/>
      <c r="D176" s="987"/>
      <c r="E176" s="987"/>
      <c r="F176" s="987"/>
      <c r="G176" s="987"/>
      <c r="H176" s="987"/>
      <c r="I176" s="987"/>
      <c r="J176" s="987"/>
      <c r="K176" s="987"/>
      <c r="L176" s="987"/>
      <c r="M176" s="987"/>
      <c r="N176" s="987"/>
      <c r="O176" s="987"/>
      <c r="P176" s="987"/>
      <c r="Q176" s="987"/>
      <c r="R176" s="987"/>
      <c r="S176" s="987"/>
      <c r="T176" s="987"/>
      <c r="U176" s="987"/>
      <c r="V176" s="987"/>
      <c r="W176" s="987"/>
      <c r="X176" s="987"/>
      <c r="Y176" s="987"/>
      <c r="Z176" s="987"/>
    </row>
    <row r="177">
      <c r="A177" s="987"/>
      <c r="B177" s="987"/>
      <c r="C177" s="987"/>
      <c r="D177" s="987"/>
      <c r="E177" s="987"/>
      <c r="F177" s="987"/>
      <c r="G177" s="987"/>
      <c r="H177" s="987"/>
      <c r="I177" s="987"/>
      <c r="J177" s="987"/>
      <c r="K177" s="987"/>
      <c r="L177" s="987"/>
      <c r="M177" s="987"/>
      <c r="N177" s="987"/>
      <c r="O177" s="987"/>
      <c r="P177" s="987"/>
      <c r="Q177" s="987"/>
      <c r="R177" s="987"/>
      <c r="S177" s="987"/>
      <c r="T177" s="987"/>
      <c r="U177" s="987"/>
      <c r="V177" s="987"/>
      <c r="W177" s="987"/>
      <c r="X177" s="987"/>
      <c r="Y177" s="987"/>
      <c r="Z177" s="987"/>
    </row>
    <row r="178">
      <c r="A178" s="987"/>
      <c r="B178" s="987"/>
      <c r="C178" s="987"/>
      <c r="D178" s="987"/>
      <c r="E178" s="987"/>
      <c r="F178" s="987"/>
      <c r="G178" s="987"/>
      <c r="H178" s="987"/>
      <c r="I178" s="987"/>
      <c r="J178" s="987"/>
      <c r="K178" s="987"/>
      <c r="L178" s="987"/>
      <c r="M178" s="987"/>
      <c r="N178" s="987"/>
      <c r="O178" s="987"/>
      <c r="P178" s="987"/>
      <c r="Q178" s="987"/>
      <c r="R178" s="987"/>
      <c r="S178" s="987"/>
      <c r="T178" s="987"/>
      <c r="U178" s="987"/>
      <c r="V178" s="987"/>
      <c r="W178" s="987"/>
      <c r="X178" s="987"/>
      <c r="Y178" s="987"/>
      <c r="Z178" s="987"/>
    </row>
    <row r="179">
      <c r="A179" s="987"/>
      <c r="B179" s="987"/>
      <c r="C179" s="987"/>
      <c r="D179" s="987"/>
      <c r="E179" s="987"/>
      <c r="F179" s="987"/>
      <c r="G179" s="987"/>
      <c r="H179" s="987"/>
      <c r="I179" s="987"/>
      <c r="J179" s="987"/>
      <c r="K179" s="987"/>
      <c r="L179" s="987"/>
      <c r="M179" s="987"/>
      <c r="N179" s="987"/>
      <c r="O179" s="987"/>
      <c r="P179" s="987"/>
      <c r="Q179" s="987"/>
      <c r="R179" s="987"/>
      <c r="S179" s="987"/>
      <c r="T179" s="987"/>
      <c r="U179" s="987"/>
      <c r="V179" s="987"/>
      <c r="W179" s="987"/>
      <c r="X179" s="987"/>
      <c r="Y179" s="987"/>
      <c r="Z179" s="987"/>
    </row>
    <row r="180">
      <c r="A180" s="987"/>
      <c r="B180" s="987"/>
      <c r="C180" s="987"/>
      <c r="D180" s="987"/>
      <c r="E180" s="987"/>
      <c r="F180" s="987"/>
      <c r="G180" s="987"/>
      <c r="H180" s="987"/>
      <c r="I180" s="987"/>
      <c r="J180" s="987"/>
      <c r="K180" s="987"/>
      <c r="L180" s="987"/>
      <c r="M180" s="987"/>
      <c r="N180" s="987"/>
      <c r="O180" s="987"/>
      <c r="P180" s="987"/>
      <c r="Q180" s="987"/>
      <c r="R180" s="987"/>
      <c r="S180" s="987"/>
      <c r="T180" s="987"/>
      <c r="U180" s="987"/>
      <c r="V180" s="987"/>
      <c r="W180" s="987"/>
      <c r="X180" s="987"/>
      <c r="Y180" s="987"/>
      <c r="Z180" s="987"/>
    </row>
    <row r="181">
      <c r="A181" s="987"/>
      <c r="B181" s="987"/>
      <c r="C181" s="987"/>
      <c r="D181" s="987"/>
      <c r="E181" s="987"/>
      <c r="F181" s="987"/>
      <c r="G181" s="987"/>
      <c r="H181" s="987"/>
      <c r="I181" s="987"/>
      <c r="J181" s="987"/>
      <c r="K181" s="987"/>
      <c r="L181" s="987"/>
      <c r="M181" s="987"/>
      <c r="N181" s="987"/>
      <c r="O181" s="987"/>
      <c r="P181" s="987"/>
      <c r="Q181" s="987"/>
      <c r="R181" s="987"/>
      <c r="S181" s="987"/>
      <c r="T181" s="987"/>
      <c r="U181" s="987"/>
      <c r="V181" s="987"/>
      <c r="W181" s="987"/>
      <c r="X181" s="987"/>
      <c r="Y181" s="987"/>
      <c r="Z181" s="987"/>
    </row>
    <row r="182">
      <c r="A182" s="987"/>
      <c r="B182" s="987"/>
      <c r="C182" s="987"/>
      <c r="D182" s="987"/>
      <c r="E182" s="987"/>
      <c r="F182" s="987"/>
      <c r="G182" s="987"/>
      <c r="H182" s="987"/>
      <c r="I182" s="987"/>
      <c r="J182" s="987"/>
      <c r="K182" s="987"/>
      <c r="L182" s="987"/>
      <c r="M182" s="987"/>
      <c r="N182" s="987"/>
      <c r="O182" s="987"/>
      <c r="P182" s="987"/>
      <c r="Q182" s="987"/>
      <c r="R182" s="987"/>
      <c r="S182" s="987"/>
      <c r="T182" s="987"/>
      <c r="U182" s="987"/>
      <c r="V182" s="987"/>
      <c r="W182" s="987"/>
      <c r="X182" s="987"/>
      <c r="Y182" s="987"/>
      <c r="Z182" s="987"/>
    </row>
    <row r="183">
      <c r="A183" s="987"/>
      <c r="B183" s="987"/>
      <c r="C183" s="987"/>
      <c r="D183" s="987"/>
      <c r="E183" s="987"/>
      <c r="F183" s="987"/>
      <c r="G183" s="987"/>
      <c r="H183" s="987"/>
      <c r="I183" s="987"/>
      <c r="J183" s="987"/>
      <c r="K183" s="987"/>
      <c r="L183" s="987"/>
      <c r="M183" s="987"/>
      <c r="N183" s="987"/>
      <c r="O183" s="987"/>
      <c r="P183" s="987"/>
      <c r="Q183" s="987"/>
      <c r="R183" s="987"/>
      <c r="S183" s="987"/>
      <c r="T183" s="987"/>
      <c r="U183" s="987"/>
      <c r="V183" s="987"/>
      <c r="W183" s="987"/>
      <c r="X183" s="987"/>
      <c r="Y183" s="987"/>
      <c r="Z183" s="987"/>
    </row>
    <row r="184">
      <c r="A184" s="987"/>
      <c r="B184" s="987"/>
      <c r="C184" s="987"/>
      <c r="D184" s="987"/>
      <c r="E184" s="987"/>
      <c r="F184" s="987"/>
      <c r="G184" s="987"/>
      <c r="H184" s="987"/>
      <c r="I184" s="987"/>
      <c r="J184" s="987"/>
      <c r="K184" s="987"/>
      <c r="L184" s="987"/>
      <c r="M184" s="987"/>
      <c r="N184" s="987"/>
      <c r="O184" s="987"/>
      <c r="P184" s="987"/>
      <c r="Q184" s="987"/>
      <c r="R184" s="987"/>
      <c r="S184" s="987"/>
      <c r="T184" s="987"/>
      <c r="U184" s="987"/>
      <c r="V184" s="987"/>
      <c r="W184" s="987"/>
      <c r="X184" s="987"/>
      <c r="Y184" s="987"/>
      <c r="Z184" s="987"/>
    </row>
    <row r="185">
      <c r="A185" s="987"/>
      <c r="B185" s="987"/>
      <c r="C185" s="987"/>
      <c r="D185" s="987"/>
      <c r="E185" s="987"/>
      <c r="F185" s="987"/>
      <c r="G185" s="987"/>
      <c r="H185" s="987"/>
      <c r="I185" s="987"/>
      <c r="J185" s="987"/>
      <c r="K185" s="987"/>
      <c r="L185" s="987"/>
      <c r="M185" s="987"/>
      <c r="N185" s="987"/>
      <c r="O185" s="987"/>
      <c r="P185" s="987"/>
      <c r="Q185" s="987"/>
      <c r="R185" s="987"/>
      <c r="S185" s="987"/>
      <c r="T185" s="987"/>
      <c r="U185" s="987"/>
      <c r="V185" s="987"/>
      <c r="W185" s="987"/>
      <c r="X185" s="987"/>
      <c r="Y185" s="987"/>
      <c r="Z185" s="987"/>
    </row>
    <row r="186">
      <c r="A186" s="987"/>
      <c r="B186" s="987"/>
      <c r="C186" s="987"/>
      <c r="D186" s="987"/>
      <c r="E186" s="987"/>
      <c r="F186" s="987"/>
      <c r="G186" s="987"/>
      <c r="H186" s="987"/>
      <c r="I186" s="987"/>
      <c r="J186" s="987"/>
      <c r="K186" s="987"/>
      <c r="L186" s="987"/>
      <c r="M186" s="987"/>
      <c r="N186" s="987"/>
      <c r="O186" s="987"/>
      <c r="P186" s="987"/>
      <c r="Q186" s="987"/>
      <c r="R186" s="987"/>
      <c r="S186" s="987"/>
      <c r="T186" s="987"/>
      <c r="U186" s="987"/>
      <c r="V186" s="987"/>
      <c r="W186" s="987"/>
      <c r="X186" s="987"/>
      <c r="Y186" s="987"/>
      <c r="Z186" s="987"/>
    </row>
    <row r="187">
      <c r="A187" s="987"/>
      <c r="B187" s="987"/>
      <c r="C187" s="987"/>
      <c r="D187" s="987"/>
      <c r="E187" s="987"/>
      <c r="F187" s="987"/>
      <c r="G187" s="987"/>
      <c r="H187" s="987"/>
      <c r="I187" s="987"/>
      <c r="J187" s="987"/>
      <c r="K187" s="987"/>
      <c r="L187" s="987"/>
      <c r="M187" s="987"/>
      <c r="N187" s="987"/>
      <c r="O187" s="987"/>
      <c r="P187" s="987"/>
      <c r="Q187" s="987"/>
      <c r="R187" s="987"/>
      <c r="S187" s="987"/>
      <c r="T187" s="987"/>
      <c r="U187" s="987"/>
      <c r="V187" s="987"/>
      <c r="W187" s="987"/>
      <c r="X187" s="987"/>
      <c r="Y187" s="987"/>
      <c r="Z187" s="987"/>
    </row>
    <row r="188">
      <c r="A188" s="987"/>
      <c r="B188" s="987"/>
      <c r="C188" s="987"/>
      <c r="D188" s="987"/>
      <c r="E188" s="987"/>
      <c r="F188" s="987"/>
      <c r="G188" s="987"/>
      <c r="H188" s="987"/>
      <c r="I188" s="987"/>
      <c r="J188" s="987"/>
      <c r="K188" s="987"/>
      <c r="L188" s="987"/>
      <c r="M188" s="987"/>
      <c r="N188" s="987"/>
      <c r="O188" s="987"/>
      <c r="P188" s="987"/>
      <c r="Q188" s="987"/>
      <c r="R188" s="987"/>
      <c r="S188" s="987"/>
      <c r="T188" s="987"/>
      <c r="U188" s="987"/>
      <c r="V188" s="987"/>
      <c r="W188" s="987"/>
      <c r="X188" s="987"/>
      <c r="Y188" s="987"/>
      <c r="Z188" s="987"/>
    </row>
    <row r="189">
      <c r="A189" s="987"/>
      <c r="B189" s="987"/>
      <c r="C189" s="987"/>
      <c r="D189" s="987"/>
      <c r="E189" s="987"/>
      <c r="F189" s="987"/>
      <c r="G189" s="987"/>
      <c r="H189" s="987"/>
      <c r="I189" s="987"/>
      <c r="J189" s="987"/>
      <c r="K189" s="987"/>
      <c r="L189" s="987"/>
      <c r="M189" s="987"/>
      <c r="N189" s="987"/>
      <c r="O189" s="987"/>
      <c r="P189" s="987"/>
      <c r="Q189" s="987"/>
      <c r="R189" s="987"/>
      <c r="S189" s="987"/>
      <c r="T189" s="987"/>
      <c r="U189" s="987"/>
      <c r="V189" s="987"/>
      <c r="W189" s="987"/>
      <c r="X189" s="987"/>
      <c r="Y189" s="987"/>
      <c r="Z189" s="987"/>
    </row>
    <row r="190">
      <c r="A190" s="987"/>
      <c r="B190" s="987"/>
      <c r="C190" s="987"/>
      <c r="D190" s="987"/>
      <c r="E190" s="987"/>
      <c r="F190" s="987"/>
      <c r="G190" s="987"/>
      <c r="H190" s="987"/>
      <c r="I190" s="987"/>
      <c r="J190" s="987"/>
      <c r="K190" s="987"/>
      <c r="L190" s="987"/>
      <c r="M190" s="987"/>
      <c r="N190" s="987"/>
      <c r="O190" s="987"/>
      <c r="P190" s="987"/>
      <c r="Q190" s="987"/>
      <c r="R190" s="987"/>
      <c r="S190" s="987"/>
      <c r="T190" s="987"/>
      <c r="U190" s="987"/>
      <c r="V190" s="987"/>
      <c r="W190" s="987"/>
      <c r="X190" s="987"/>
      <c r="Y190" s="987"/>
      <c r="Z190" s="987"/>
    </row>
    <row r="191">
      <c r="A191" s="987"/>
      <c r="B191" s="987"/>
      <c r="C191" s="987"/>
      <c r="D191" s="987"/>
      <c r="E191" s="987"/>
      <c r="F191" s="987"/>
      <c r="G191" s="987"/>
      <c r="H191" s="987"/>
      <c r="I191" s="987"/>
      <c r="J191" s="987"/>
      <c r="K191" s="987"/>
      <c r="L191" s="987"/>
      <c r="M191" s="987"/>
      <c r="N191" s="987"/>
      <c r="O191" s="987"/>
      <c r="P191" s="987"/>
      <c r="Q191" s="987"/>
      <c r="R191" s="987"/>
      <c r="S191" s="987"/>
      <c r="T191" s="987"/>
      <c r="U191" s="987"/>
      <c r="V191" s="987"/>
      <c r="W191" s="987"/>
      <c r="X191" s="987"/>
      <c r="Y191" s="987"/>
      <c r="Z191" s="987"/>
    </row>
    <row r="192">
      <c r="A192" s="987"/>
      <c r="B192" s="987"/>
      <c r="C192" s="987"/>
      <c r="D192" s="987"/>
      <c r="E192" s="987"/>
      <c r="F192" s="987"/>
      <c r="G192" s="987"/>
      <c r="H192" s="987"/>
      <c r="I192" s="987"/>
      <c r="J192" s="987"/>
      <c r="K192" s="987"/>
      <c r="L192" s="987"/>
      <c r="M192" s="987"/>
      <c r="N192" s="987"/>
      <c r="O192" s="987"/>
      <c r="P192" s="987"/>
      <c r="Q192" s="987"/>
      <c r="R192" s="987"/>
      <c r="S192" s="987"/>
      <c r="T192" s="987"/>
      <c r="U192" s="987"/>
      <c r="V192" s="987"/>
      <c r="W192" s="987"/>
      <c r="X192" s="987"/>
      <c r="Y192" s="987"/>
      <c r="Z192" s="987"/>
    </row>
    <row r="193">
      <c r="A193" s="987"/>
      <c r="B193" s="987"/>
      <c r="C193" s="987"/>
      <c r="D193" s="987"/>
      <c r="E193" s="987"/>
      <c r="F193" s="987"/>
      <c r="G193" s="987"/>
      <c r="H193" s="987"/>
      <c r="I193" s="987"/>
      <c r="J193" s="987"/>
      <c r="K193" s="987"/>
      <c r="L193" s="987"/>
      <c r="M193" s="987"/>
      <c r="N193" s="987"/>
      <c r="O193" s="987"/>
      <c r="P193" s="987"/>
      <c r="Q193" s="987"/>
      <c r="R193" s="987"/>
      <c r="S193" s="987"/>
      <c r="T193" s="987"/>
      <c r="U193" s="987"/>
      <c r="V193" s="987"/>
      <c r="W193" s="987"/>
      <c r="X193" s="987"/>
      <c r="Y193" s="987"/>
      <c r="Z193" s="987"/>
    </row>
    <row r="194">
      <c r="A194" s="987"/>
      <c r="B194" s="987"/>
      <c r="C194" s="987"/>
      <c r="D194" s="987"/>
      <c r="E194" s="987"/>
      <c r="F194" s="987"/>
      <c r="G194" s="987"/>
      <c r="H194" s="987"/>
      <c r="I194" s="987"/>
      <c r="J194" s="987"/>
      <c r="K194" s="987"/>
      <c r="L194" s="987"/>
      <c r="M194" s="987"/>
      <c r="N194" s="987"/>
      <c r="O194" s="987"/>
      <c r="P194" s="987"/>
      <c r="Q194" s="987"/>
      <c r="R194" s="987"/>
      <c r="S194" s="987"/>
      <c r="T194" s="987"/>
      <c r="U194" s="987"/>
      <c r="V194" s="987"/>
      <c r="W194" s="987"/>
      <c r="X194" s="987"/>
      <c r="Y194" s="987"/>
      <c r="Z194" s="987"/>
    </row>
    <row r="195">
      <c r="A195" s="987"/>
      <c r="B195" s="987"/>
      <c r="C195" s="987"/>
      <c r="D195" s="987"/>
      <c r="E195" s="987"/>
      <c r="F195" s="987"/>
      <c r="G195" s="987"/>
      <c r="H195" s="987"/>
      <c r="I195" s="987"/>
      <c r="J195" s="987"/>
      <c r="K195" s="987"/>
      <c r="L195" s="987"/>
      <c r="M195" s="987"/>
      <c r="N195" s="987"/>
      <c r="O195" s="987"/>
      <c r="P195" s="987"/>
      <c r="Q195" s="987"/>
      <c r="R195" s="987"/>
      <c r="S195" s="987"/>
      <c r="T195" s="987"/>
      <c r="U195" s="987"/>
      <c r="V195" s="987"/>
      <c r="W195" s="987"/>
      <c r="X195" s="987"/>
      <c r="Y195" s="987"/>
      <c r="Z195" s="987"/>
    </row>
    <row r="196">
      <c r="A196" s="987"/>
      <c r="B196" s="987"/>
      <c r="C196" s="987"/>
      <c r="D196" s="987"/>
      <c r="E196" s="987"/>
      <c r="F196" s="987"/>
      <c r="G196" s="987"/>
      <c r="H196" s="987"/>
      <c r="I196" s="987"/>
      <c r="J196" s="987"/>
      <c r="K196" s="987"/>
      <c r="L196" s="987"/>
      <c r="M196" s="987"/>
      <c r="N196" s="987"/>
      <c r="O196" s="987"/>
      <c r="P196" s="987"/>
      <c r="Q196" s="987"/>
      <c r="R196" s="987"/>
      <c r="S196" s="987"/>
      <c r="T196" s="987"/>
      <c r="U196" s="987"/>
      <c r="V196" s="987"/>
      <c r="W196" s="987"/>
      <c r="X196" s="987"/>
      <c r="Y196" s="987"/>
      <c r="Z196" s="987"/>
    </row>
    <row r="197">
      <c r="A197" s="987"/>
      <c r="B197" s="987"/>
      <c r="C197" s="987"/>
      <c r="D197" s="987"/>
      <c r="E197" s="987"/>
      <c r="F197" s="987"/>
      <c r="G197" s="987"/>
      <c r="H197" s="987"/>
      <c r="I197" s="987"/>
      <c r="J197" s="987"/>
      <c r="K197" s="987"/>
      <c r="L197" s="987"/>
      <c r="M197" s="987"/>
      <c r="N197" s="987"/>
      <c r="O197" s="987"/>
      <c r="P197" s="987"/>
      <c r="Q197" s="987"/>
      <c r="R197" s="987"/>
      <c r="S197" s="987"/>
      <c r="T197" s="987"/>
      <c r="U197" s="987"/>
      <c r="V197" s="987"/>
      <c r="W197" s="987"/>
      <c r="X197" s="987"/>
      <c r="Y197" s="987"/>
      <c r="Z197" s="987"/>
    </row>
    <row r="198">
      <c r="A198" s="987"/>
      <c r="B198" s="987"/>
      <c r="C198" s="987"/>
      <c r="D198" s="987"/>
      <c r="E198" s="987"/>
      <c r="F198" s="987"/>
      <c r="G198" s="987"/>
      <c r="H198" s="987"/>
      <c r="I198" s="987"/>
      <c r="J198" s="987"/>
      <c r="K198" s="987"/>
      <c r="L198" s="987"/>
      <c r="M198" s="987"/>
      <c r="N198" s="987"/>
      <c r="O198" s="987"/>
      <c r="P198" s="987"/>
      <c r="Q198" s="987"/>
      <c r="R198" s="987"/>
      <c r="S198" s="987"/>
      <c r="T198" s="987"/>
      <c r="U198" s="987"/>
      <c r="V198" s="987"/>
      <c r="W198" s="987"/>
      <c r="X198" s="987"/>
      <c r="Y198" s="987"/>
      <c r="Z198" s="987"/>
    </row>
    <row r="199">
      <c r="A199" s="987"/>
      <c r="B199" s="987"/>
      <c r="C199" s="987"/>
      <c r="D199" s="987"/>
      <c r="E199" s="987"/>
      <c r="F199" s="987"/>
      <c r="G199" s="987"/>
      <c r="H199" s="987"/>
      <c r="I199" s="987"/>
      <c r="J199" s="987"/>
      <c r="K199" s="987"/>
      <c r="L199" s="987"/>
      <c r="M199" s="987"/>
      <c r="N199" s="987"/>
      <c r="O199" s="987"/>
      <c r="P199" s="987"/>
      <c r="Q199" s="987"/>
      <c r="R199" s="987"/>
      <c r="S199" s="987"/>
      <c r="T199" s="987"/>
      <c r="U199" s="987"/>
      <c r="V199" s="987"/>
      <c r="W199" s="987"/>
      <c r="X199" s="987"/>
      <c r="Y199" s="987"/>
      <c r="Z199" s="987"/>
    </row>
    <row r="200">
      <c r="A200" s="987"/>
      <c r="B200" s="987"/>
      <c r="C200" s="987"/>
      <c r="D200" s="987"/>
      <c r="E200" s="987"/>
      <c r="F200" s="987"/>
      <c r="G200" s="987"/>
      <c r="H200" s="987"/>
      <c r="I200" s="987"/>
      <c r="J200" s="987"/>
      <c r="K200" s="987"/>
      <c r="L200" s="987"/>
      <c r="M200" s="987"/>
      <c r="N200" s="987"/>
      <c r="O200" s="987"/>
      <c r="P200" s="987"/>
      <c r="Q200" s="987"/>
      <c r="R200" s="987"/>
      <c r="S200" s="987"/>
      <c r="T200" s="987"/>
      <c r="U200" s="987"/>
      <c r="V200" s="987"/>
      <c r="W200" s="987"/>
      <c r="X200" s="987"/>
      <c r="Y200" s="987"/>
      <c r="Z200" s="987"/>
    </row>
    <row r="201">
      <c r="A201" s="987"/>
      <c r="B201" s="987"/>
      <c r="C201" s="987"/>
      <c r="D201" s="987"/>
      <c r="E201" s="987"/>
      <c r="F201" s="987"/>
      <c r="G201" s="987"/>
      <c r="H201" s="987"/>
      <c r="I201" s="987"/>
      <c r="J201" s="987"/>
      <c r="K201" s="987"/>
      <c r="L201" s="987"/>
      <c r="M201" s="987"/>
      <c r="N201" s="987"/>
      <c r="O201" s="987"/>
      <c r="P201" s="987"/>
      <c r="Q201" s="987"/>
      <c r="R201" s="987"/>
      <c r="S201" s="987"/>
      <c r="T201" s="987"/>
      <c r="U201" s="987"/>
      <c r="V201" s="987"/>
      <c r="W201" s="987"/>
      <c r="X201" s="987"/>
      <c r="Y201" s="987"/>
      <c r="Z201" s="987"/>
    </row>
    <row r="202">
      <c r="A202" s="987"/>
      <c r="B202" s="987"/>
      <c r="C202" s="987"/>
      <c r="D202" s="987"/>
      <c r="E202" s="987"/>
      <c r="F202" s="987"/>
      <c r="G202" s="987"/>
      <c r="H202" s="987"/>
      <c r="I202" s="987"/>
      <c r="J202" s="987"/>
      <c r="K202" s="987"/>
      <c r="L202" s="987"/>
      <c r="M202" s="987"/>
      <c r="N202" s="987"/>
      <c r="O202" s="987"/>
      <c r="P202" s="987"/>
      <c r="Q202" s="987"/>
      <c r="R202" s="987"/>
      <c r="S202" s="987"/>
      <c r="T202" s="987"/>
      <c r="U202" s="987"/>
      <c r="V202" s="987"/>
      <c r="W202" s="987"/>
      <c r="X202" s="987"/>
      <c r="Y202" s="987"/>
      <c r="Z202" s="987"/>
    </row>
    <row r="203">
      <c r="A203" s="987"/>
      <c r="B203" s="987"/>
      <c r="C203" s="987"/>
      <c r="D203" s="987"/>
      <c r="E203" s="987"/>
      <c r="F203" s="987"/>
      <c r="G203" s="987"/>
      <c r="H203" s="987"/>
      <c r="I203" s="987"/>
      <c r="J203" s="987"/>
      <c r="K203" s="987"/>
      <c r="L203" s="987"/>
      <c r="M203" s="987"/>
      <c r="N203" s="987"/>
      <c r="O203" s="987"/>
      <c r="P203" s="987"/>
      <c r="Q203" s="987"/>
      <c r="R203" s="987"/>
      <c r="S203" s="987"/>
      <c r="T203" s="987"/>
      <c r="U203" s="987"/>
      <c r="V203" s="987"/>
      <c r="W203" s="987"/>
      <c r="X203" s="987"/>
      <c r="Y203" s="987"/>
      <c r="Z203" s="987"/>
    </row>
    <row r="204">
      <c r="A204" s="987"/>
      <c r="B204" s="987"/>
      <c r="C204" s="987"/>
      <c r="D204" s="987"/>
      <c r="E204" s="987"/>
      <c r="F204" s="987"/>
      <c r="G204" s="987"/>
      <c r="H204" s="987"/>
      <c r="I204" s="987"/>
      <c r="J204" s="987"/>
      <c r="K204" s="987"/>
      <c r="L204" s="987"/>
      <c r="M204" s="987"/>
      <c r="N204" s="987"/>
      <c r="O204" s="987"/>
      <c r="P204" s="987"/>
      <c r="Q204" s="987"/>
      <c r="R204" s="987"/>
      <c r="S204" s="987"/>
      <c r="T204" s="987"/>
      <c r="U204" s="987"/>
      <c r="V204" s="987"/>
      <c r="W204" s="987"/>
      <c r="X204" s="987"/>
      <c r="Y204" s="987"/>
      <c r="Z204" s="987"/>
    </row>
    <row r="205">
      <c r="A205" s="987"/>
      <c r="B205" s="987"/>
      <c r="C205" s="987"/>
      <c r="D205" s="987"/>
      <c r="E205" s="987"/>
      <c r="F205" s="987"/>
      <c r="G205" s="987"/>
      <c r="H205" s="987"/>
      <c r="I205" s="987"/>
      <c r="J205" s="987"/>
      <c r="K205" s="987"/>
      <c r="L205" s="987"/>
      <c r="M205" s="987"/>
      <c r="N205" s="987"/>
      <c r="O205" s="987"/>
      <c r="P205" s="987"/>
      <c r="Q205" s="987"/>
      <c r="R205" s="987"/>
      <c r="S205" s="987"/>
      <c r="T205" s="987"/>
      <c r="U205" s="987"/>
      <c r="V205" s="987"/>
      <c r="W205" s="987"/>
      <c r="X205" s="987"/>
      <c r="Y205" s="987"/>
      <c r="Z205" s="987"/>
    </row>
    <row r="206">
      <c r="A206" s="987"/>
      <c r="B206" s="987"/>
      <c r="C206" s="987"/>
      <c r="D206" s="987"/>
      <c r="E206" s="987"/>
      <c r="F206" s="987"/>
      <c r="G206" s="987"/>
      <c r="H206" s="987"/>
      <c r="I206" s="987"/>
      <c r="J206" s="987"/>
      <c r="K206" s="987"/>
      <c r="L206" s="987"/>
      <c r="M206" s="987"/>
      <c r="N206" s="987"/>
      <c r="O206" s="987"/>
      <c r="P206" s="987"/>
      <c r="Q206" s="987"/>
      <c r="R206" s="987"/>
      <c r="S206" s="987"/>
      <c r="T206" s="987"/>
      <c r="U206" s="987"/>
      <c r="V206" s="987"/>
      <c r="W206" s="987"/>
      <c r="X206" s="987"/>
      <c r="Y206" s="987"/>
      <c r="Z206" s="987"/>
    </row>
    <row r="207">
      <c r="A207" s="987"/>
      <c r="B207" s="987"/>
      <c r="C207" s="987"/>
      <c r="D207" s="987"/>
      <c r="E207" s="987"/>
      <c r="F207" s="987"/>
      <c r="G207" s="987"/>
      <c r="H207" s="987"/>
      <c r="I207" s="987"/>
      <c r="J207" s="987"/>
      <c r="K207" s="987"/>
      <c r="L207" s="987"/>
      <c r="M207" s="987"/>
      <c r="N207" s="987"/>
      <c r="O207" s="987"/>
      <c r="P207" s="987"/>
      <c r="Q207" s="987"/>
      <c r="R207" s="987"/>
      <c r="S207" s="987"/>
      <c r="T207" s="987"/>
      <c r="U207" s="987"/>
      <c r="V207" s="987"/>
      <c r="W207" s="987"/>
      <c r="X207" s="987"/>
      <c r="Y207" s="987"/>
      <c r="Z207" s="987"/>
    </row>
    <row r="208">
      <c r="A208" s="987"/>
      <c r="B208" s="987"/>
      <c r="C208" s="987"/>
      <c r="D208" s="987"/>
      <c r="E208" s="987"/>
      <c r="F208" s="987"/>
      <c r="G208" s="987"/>
      <c r="H208" s="987"/>
      <c r="I208" s="987"/>
      <c r="J208" s="987"/>
      <c r="K208" s="987"/>
      <c r="L208" s="987"/>
      <c r="M208" s="987"/>
      <c r="N208" s="987"/>
      <c r="O208" s="987"/>
      <c r="P208" s="987"/>
      <c r="Q208" s="987"/>
      <c r="R208" s="987"/>
      <c r="S208" s="987"/>
      <c r="T208" s="987"/>
      <c r="U208" s="987"/>
      <c r="V208" s="987"/>
      <c r="W208" s="987"/>
      <c r="X208" s="987"/>
      <c r="Y208" s="987"/>
      <c r="Z208" s="987"/>
    </row>
    <row r="209">
      <c r="A209" s="987"/>
      <c r="B209" s="987"/>
      <c r="C209" s="987"/>
      <c r="D209" s="987"/>
      <c r="E209" s="987"/>
      <c r="F209" s="987"/>
      <c r="G209" s="987"/>
      <c r="H209" s="987"/>
      <c r="I209" s="987"/>
      <c r="J209" s="987"/>
      <c r="K209" s="987"/>
      <c r="L209" s="987"/>
      <c r="M209" s="987"/>
      <c r="N209" s="987"/>
      <c r="O209" s="987"/>
      <c r="P209" s="987"/>
      <c r="Q209" s="987"/>
      <c r="R209" s="987"/>
      <c r="S209" s="987"/>
      <c r="T209" s="987"/>
      <c r="U209" s="987"/>
      <c r="V209" s="987"/>
      <c r="W209" s="987"/>
      <c r="X209" s="987"/>
      <c r="Y209" s="987"/>
      <c r="Z209" s="987"/>
    </row>
    <row r="210">
      <c r="A210" s="987"/>
      <c r="B210" s="987"/>
      <c r="C210" s="987"/>
      <c r="D210" s="987"/>
      <c r="E210" s="987"/>
      <c r="F210" s="987"/>
      <c r="G210" s="987"/>
      <c r="H210" s="987"/>
      <c r="I210" s="987"/>
      <c r="J210" s="987"/>
      <c r="K210" s="987"/>
      <c r="L210" s="987"/>
      <c r="M210" s="987"/>
      <c r="N210" s="987"/>
      <c r="O210" s="987"/>
      <c r="P210" s="987"/>
      <c r="Q210" s="987"/>
      <c r="R210" s="987"/>
      <c r="S210" s="987"/>
      <c r="T210" s="987"/>
      <c r="U210" s="987"/>
      <c r="V210" s="987"/>
      <c r="W210" s="987"/>
      <c r="X210" s="987"/>
      <c r="Y210" s="987"/>
      <c r="Z210" s="987"/>
    </row>
    <row r="211">
      <c r="A211" s="987"/>
      <c r="B211" s="987"/>
      <c r="C211" s="987"/>
      <c r="D211" s="987"/>
      <c r="E211" s="987"/>
      <c r="F211" s="987"/>
      <c r="G211" s="987"/>
      <c r="H211" s="987"/>
      <c r="I211" s="987"/>
      <c r="J211" s="987"/>
      <c r="K211" s="987"/>
      <c r="L211" s="987"/>
      <c r="M211" s="987"/>
      <c r="N211" s="987"/>
      <c r="O211" s="987"/>
      <c r="P211" s="987"/>
      <c r="Q211" s="987"/>
      <c r="R211" s="987"/>
      <c r="S211" s="987"/>
      <c r="T211" s="987"/>
      <c r="U211" s="987"/>
      <c r="V211" s="987"/>
      <c r="W211" s="987"/>
      <c r="X211" s="987"/>
      <c r="Y211" s="987"/>
      <c r="Z211" s="987"/>
    </row>
    <row r="212">
      <c r="A212" s="987"/>
      <c r="B212" s="987"/>
      <c r="C212" s="987"/>
      <c r="D212" s="987"/>
      <c r="E212" s="987"/>
      <c r="F212" s="987"/>
      <c r="G212" s="987"/>
      <c r="H212" s="987"/>
      <c r="I212" s="987"/>
      <c r="J212" s="987"/>
      <c r="K212" s="987"/>
      <c r="L212" s="987"/>
      <c r="M212" s="987"/>
      <c r="N212" s="987"/>
      <c r="O212" s="987"/>
      <c r="P212" s="987"/>
      <c r="Q212" s="987"/>
      <c r="R212" s="987"/>
      <c r="S212" s="987"/>
      <c r="T212" s="987"/>
      <c r="U212" s="987"/>
      <c r="V212" s="987"/>
      <c r="W212" s="987"/>
      <c r="X212" s="987"/>
      <c r="Y212" s="987"/>
      <c r="Z212" s="987"/>
    </row>
    <row r="213">
      <c r="A213" s="987"/>
      <c r="B213" s="987"/>
      <c r="C213" s="987"/>
      <c r="D213" s="987"/>
      <c r="E213" s="987"/>
      <c r="F213" s="987"/>
      <c r="G213" s="987"/>
      <c r="H213" s="987"/>
      <c r="I213" s="987"/>
      <c r="J213" s="987"/>
      <c r="K213" s="987"/>
      <c r="L213" s="987"/>
      <c r="M213" s="987"/>
      <c r="N213" s="987"/>
      <c r="O213" s="987"/>
      <c r="P213" s="987"/>
      <c r="Q213" s="987"/>
      <c r="R213" s="987"/>
      <c r="S213" s="987"/>
      <c r="T213" s="987"/>
      <c r="U213" s="987"/>
      <c r="V213" s="987"/>
      <c r="W213" s="987"/>
      <c r="X213" s="987"/>
      <c r="Y213" s="987"/>
      <c r="Z213" s="987"/>
    </row>
    <row r="214">
      <c r="A214" s="987"/>
      <c r="B214" s="987"/>
      <c r="C214" s="987"/>
      <c r="D214" s="987"/>
      <c r="E214" s="987"/>
      <c r="F214" s="987"/>
      <c r="G214" s="987"/>
      <c r="H214" s="987"/>
      <c r="I214" s="987"/>
      <c r="J214" s="987"/>
      <c r="K214" s="987"/>
      <c r="L214" s="987"/>
      <c r="M214" s="987"/>
      <c r="N214" s="987"/>
      <c r="O214" s="987"/>
      <c r="P214" s="987"/>
      <c r="Q214" s="987"/>
      <c r="R214" s="987"/>
      <c r="S214" s="987"/>
      <c r="T214" s="987"/>
      <c r="U214" s="987"/>
      <c r="V214" s="987"/>
      <c r="W214" s="987"/>
      <c r="X214" s="987"/>
      <c r="Y214" s="987"/>
      <c r="Z214" s="987"/>
    </row>
    <row r="215">
      <c r="A215" s="987"/>
      <c r="B215" s="987"/>
      <c r="C215" s="987"/>
      <c r="D215" s="987"/>
      <c r="E215" s="987"/>
      <c r="F215" s="987"/>
      <c r="G215" s="987"/>
      <c r="H215" s="987"/>
      <c r="I215" s="987"/>
      <c r="J215" s="987"/>
      <c r="K215" s="987"/>
      <c r="L215" s="987"/>
      <c r="M215" s="987"/>
      <c r="N215" s="987"/>
      <c r="O215" s="987"/>
      <c r="P215" s="987"/>
      <c r="Q215" s="987"/>
      <c r="R215" s="987"/>
      <c r="S215" s="987"/>
      <c r="T215" s="987"/>
      <c r="U215" s="987"/>
      <c r="V215" s="987"/>
      <c r="W215" s="987"/>
      <c r="X215" s="987"/>
      <c r="Y215" s="987"/>
      <c r="Z215" s="987"/>
    </row>
    <row r="216">
      <c r="A216" s="987"/>
      <c r="B216" s="987"/>
      <c r="C216" s="987"/>
      <c r="D216" s="987"/>
      <c r="E216" s="987"/>
      <c r="F216" s="987"/>
      <c r="G216" s="987"/>
      <c r="H216" s="987"/>
      <c r="I216" s="987"/>
      <c r="J216" s="987"/>
      <c r="K216" s="987"/>
      <c r="L216" s="987"/>
      <c r="M216" s="987"/>
      <c r="N216" s="987"/>
      <c r="O216" s="987"/>
      <c r="P216" s="987"/>
      <c r="Q216" s="987"/>
      <c r="R216" s="987"/>
      <c r="S216" s="987"/>
      <c r="T216" s="987"/>
      <c r="U216" s="987"/>
      <c r="V216" s="987"/>
      <c r="W216" s="987"/>
      <c r="X216" s="987"/>
      <c r="Y216" s="987"/>
      <c r="Z216" s="987"/>
    </row>
    <row r="217">
      <c r="A217" s="987"/>
      <c r="B217" s="987"/>
      <c r="C217" s="987"/>
      <c r="D217" s="987"/>
      <c r="E217" s="987"/>
      <c r="F217" s="987"/>
      <c r="G217" s="987"/>
      <c r="H217" s="987"/>
      <c r="I217" s="987"/>
      <c r="J217" s="987"/>
      <c r="K217" s="987"/>
      <c r="L217" s="987"/>
      <c r="M217" s="987"/>
      <c r="N217" s="987"/>
      <c r="O217" s="987"/>
      <c r="P217" s="987"/>
      <c r="Q217" s="987"/>
      <c r="R217" s="987"/>
      <c r="S217" s="987"/>
      <c r="T217" s="987"/>
      <c r="U217" s="987"/>
      <c r="V217" s="987"/>
      <c r="W217" s="987"/>
      <c r="X217" s="987"/>
      <c r="Y217" s="987"/>
      <c r="Z217" s="987"/>
    </row>
    <row r="218">
      <c r="A218" s="987"/>
      <c r="B218" s="987"/>
      <c r="C218" s="987"/>
      <c r="D218" s="987"/>
      <c r="E218" s="987"/>
      <c r="F218" s="987"/>
      <c r="G218" s="987"/>
      <c r="H218" s="987"/>
      <c r="I218" s="987"/>
      <c r="J218" s="987"/>
      <c r="K218" s="987"/>
      <c r="L218" s="987"/>
      <c r="M218" s="987"/>
      <c r="N218" s="987"/>
      <c r="O218" s="987"/>
      <c r="P218" s="987"/>
      <c r="Q218" s="987"/>
      <c r="R218" s="987"/>
      <c r="S218" s="987"/>
      <c r="T218" s="987"/>
      <c r="U218" s="987"/>
      <c r="V218" s="987"/>
      <c r="W218" s="987"/>
      <c r="X218" s="987"/>
      <c r="Y218" s="987"/>
      <c r="Z218" s="987"/>
    </row>
    <row r="219">
      <c r="A219" s="987"/>
      <c r="B219" s="987"/>
      <c r="C219" s="987"/>
      <c r="D219" s="987"/>
      <c r="E219" s="987"/>
      <c r="F219" s="987"/>
      <c r="G219" s="987"/>
      <c r="H219" s="987"/>
      <c r="I219" s="987"/>
      <c r="J219" s="987"/>
      <c r="K219" s="987"/>
      <c r="L219" s="987"/>
      <c r="M219" s="987"/>
      <c r="N219" s="987"/>
      <c r="O219" s="987"/>
      <c r="P219" s="987"/>
      <c r="Q219" s="987"/>
      <c r="R219" s="987"/>
      <c r="S219" s="987"/>
      <c r="T219" s="987"/>
      <c r="U219" s="987"/>
      <c r="V219" s="987"/>
      <c r="W219" s="987"/>
      <c r="X219" s="987"/>
      <c r="Y219" s="987"/>
      <c r="Z219" s="987"/>
    </row>
    <row r="220">
      <c r="A220" s="987"/>
      <c r="B220" s="987"/>
      <c r="C220" s="987"/>
      <c r="D220" s="987"/>
      <c r="E220" s="987"/>
      <c r="F220" s="987"/>
      <c r="G220" s="987"/>
      <c r="H220" s="987"/>
      <c r="I220" s="987"/>
      <c r="J220" s="987"/>
      <c r="K220" s="987"/>
      <c r="L220" s="987"/>
      <c r="M220" s="987"/>
      <c r="N220" s="987"/>
      <c r="O220" s="987"/>
      <c r="P220" s="987"/>
      <c r="Q220" s="987"/>
      <c r="R220" s="987"/>
      <c r="S220" s="987"/>
      <c r="T220" s="987"/>
      <c r="U220" s="987"/>
      <c r="V220" s="987"/>
      <c r="W220" s="987"/>
      <c r="X220" s="987"/>
      <c r="Y220" s="987"/>
      <c r="Z220" s="987"/>
    </row>
    <row r="221">
      <c r="A221" s="987"/>
      <c r="B221" s="987"/>
      <c r="C221" s="987"/>
      <c r="D221" s="987"/>
      <c r="E221" s="987"/>
      <c r="F221" s="987"/>
      <c r="G221" s="987"/>
      <c r="H221" s="987"/>
      <c r="I221" s="987"/>
      <c r="J221" s="987"/>
      <c r="K221" s="987"/>
      <c r="L221" s="987"/>
      <c r="M221" s="987"/>
      <c r="N221" s="987"/>
      <c r="O221" s="987"/>
      <c r="P221" s="987"/>
      <c r="Q221" s="987"/>
      <c r="R221" s="987"/>
      <c r="S221" s="987"/>
      <c r="T221" s="987"/>
      <c r="U221" s="987"/>
      <c r="V221" s="987"/>
      <c r="W221" s="987"/>
      <c r="X221" s="987"/>
      <c r="Y221" s="987"/>
      <c r="Z221" s="987"/>
    </row>
    <row r="222">
      <c r="A222" s="987"/>
      <c r="B222" s="987"/>
      <c r="C222" s="987"/>
      <c r="D222" s="987"/>
      <c r="E222" s="987"/>
      <c r="F222" s="987"/>
      <c r="G222" s="987"/>
      <c r="H222" s="987"/>
      <c r="I222" s="987"/>
      <c r="J222" s="987"/>
      <c r="K222" s="987"/>
      <c r="L222" s="987"/>
      <c r="M222" s="987"/>
      <c r="N222" s="987"/>
      <c r="O222" s="987"/>
      <c r="P222" s="987"/>
      <c r="Q222" s="987"/>
      <c r="R222" s="987"/>
      <c r="S222" s="987"/>
      <c r="T222" s="987"/>
      <c r="U222" s="987"/>
      <c r="V222" s="987"/>
      <c r="W222" s="987"/>
      <c r="X222" s="987"/>
      <c r="Y222" s="987"/>
      <c r="Z222" s="987"/>
    </row>
    <row r="223">
      <c r="A223" s="987"/>
      <c r="B223" s="987"/>
      <c r="C223" s="987"/>
      <c r="D223" s="987"/>
      <c r="E223" s="987"/>
      <c r="F223" s="987"/>
      <c r="G223" s="987"/>
      <c r="H223" s="987"/>
      <c r="I223" s="987"/>
      <c r="J223" s="987"/>
      <c r="K223" s="987"/>
      <c r="L223" s="987"/>
      <c r="M223" s="987"/>
      <c r="N223" s="987"/>
      <c r="O223" s="987"/>
      <c r="P223" s="987"/>
      <c r="Q223" s="987"/>
      <c r="R223" s="987"/>
      <c r="S223" s="987"/>
      <c r="T223" s="987"/>
      <c r="U223" s="987"/>
      <c r="V223" s="987"/>
      <c r="W223" s="987"/>
      <c r="X223" s="987"/>
      <c r="Y223" s="987"/>
      <c r="Z223" s="987"/>
    </row>
    <row r="224">
      <c r="A224" s="987"/>
      <c r="B224" s="987"/>
      <c r="C224" s="987"/>
      <c r="D224" s="987"/>
      <c r="E224" s="987"/>
      <c r="F224" s="987"/>
      <c r="G224" s="987"/>
      <c r="H224" s="987"/>
      <c r="I224" s="987"/>
      <c r="J224" s="987"/>
      <c r="K224" s="987"/>
      <c r="L224" s="987"/>
      <c r="M224" s="987"/>
      <c r="N224" s="987"/>
      <c r="O224" s="987"/>
      <c r="P224" s="987"/>
      <c r="Q224" s="987"/>
      <c r="R224" s="987"/>
      <c r="S224" s="987"/>
      <c r="T224" s="987"/>
      <c r="U224" s="987"/>
      <c r="V224" s="987"/>
      <c r="W224" s="987"/>
      <c r="X224" s="987"/>
      <c r="Y224" s="987"/>
      <c r="Z224" s="987"/>
    </row>
    <row r="225">
      <c r="A225" s="987"/>
      <c r="B225" s="987"/>
      <c r="C225" s="987"/>
      <c r="D225" s="987"/>
      <c r="E225" s="987"/>
      <c r="F225" s="987"/>
      <c r="G225" s="987"/>
      <c r="H225" s="987"/>
      <c r="I225" s="987"/>
      <c r="J225" s="987"/>
      <c r="K225" s="987"/>
      <c r="L225" s="987"/>
      <c r="M225" s="987"/>
      <c r="N225" s="987"/>
      <c r="O225" s="987"/>
      <c r="P225" s="987"/>
      <c r="Q225" s="987"/>
      <c r="R225" s="987"/>
      <c r="S225" s="987"/>
      <c r="T225" s="987"/>
      <c r="U225" s="987"/>
      <c r="V225" s="987"/>
      <c r="W225" s="987"/>
      <c r="X225" s="987"/>
      <c r="Y225" s="987"/>
      <c r="Z225" s="987"/>
    </row>
    <row r="226">
      <c r="A226" s="987"/>
      <c r="B226" s="987"/>
      <c r="C226" s="987"/>
      <c r="D226" s="987"/>
      <c r="E226" s="987"/>
      <c r="F226" s="987"/>
      <c r="G226" s="987"/>
      <c r="H226" s="987"/>
      <c r="I226" s="987"/>
      <c r="J226" s="987"/>
      <c r="K226" s="987"/>
      <c r="L226" s="987"/>
      <c r="M226" s="987"/>
      <c r="N226" s="987"/>
      <c r="O226" s="987"/>
      <c r="P226" s="987"/>
      <c r="Q226" s="987"/>
      <c r="R226" s="987"/>
      <c r="S226" s="987"/>
      <c r="T226" s="987"/>
      <c r="U226" s="987"/>
      <c r="V226" s="987"/>
      <c r="W226" s="987"/>
      <c r="X226" s="987"/>
      <c r="Y226" s="987"/>
      <c r="Z226" s="987"/>
    </row>
    <row r="227">
      <c r="A227" s="987"/>
      <c r="B227" s="987"/>
      <c r="C227" s="987"/>
      <c r="D227" s="987"/>
      <c r="E227" s="987"/>
      <c r="F227" s="987"/>
      <c r="G227" s="987"/>
      <c r="H227" s="987"/>
      <c r="I227" s="987"/>
      <c r="J227" s="987"/>
      <c r="K227" s="987"/>
      <c r="L227" s="987"/>
      <c r="M227" s="987"/>
      <c r="N227" s="987"/>
      <c r="O227" s="987"/>
      <c r="P227" s="987"/>
      <c r="Q227" s="987"/>
      <c r="R227" s="987"/>
      <c r="S227" s="987"/>
      <c r="T227" s="987"/>
      <c r="U227" s="987"/>
      <c r="V227" s="987"/>
      <c r="W227" s="987"/>
      <c r="X227" s="987"/>
      <c r="Y227" s="987"/>
      <c r="Z227" s="987"/>
    </row>
    <row r="228">
      <c r="A228" s="987"/>
      <c r="B228" s="987"/>
      <c r="C228" s="987"/>
      <c r="D228" s="987"/>
      <c r="E228" s="987"/>
      <c r="F228" s="987"/>
      <c r="G228" s="987"/>
      <c r="H228" s="987"/>
      <c r="I228" s="987"/>
      <c r="J228" s="987"/>
      <c r="K228" s="987"/>
      <c r="L228" s="987"/>
      <c r="M228" s="987"/>
      <c r="N228" s="987"/>
      <c r="O228" s="987"/>
      <c r="P228" s="987"/>
      <c r="Q228" s="987"/>
      <c r="R228" s="987"/>
      <c r="S228" s="987"/>
      <c r="T228" s="987"/>
      <c r="U228" s="987"/>
      <c r="V228" s="987"/>
      <c r="W228" s="987"/>
      <c r="X228" s="987"/>
      <c r="Y228" s="987"/>
      <c r="Z228" s="987"/>
    </row>
    <row r="229">
      <c r="A229" s="987"/>
      <c r="B229" s="987"/>
      <c r="C229" s="987"/>
      <c r="D229" s="987"/>
      <c r="E229" s="987"/>
      <c r="F229" s="987"/>
      <c r="G229" s="987"/>
      <c r="H229" s="987"/>
      <c r="I229" s="987"/>
      <c r="J229" s="987"/>
      <c r="K229" s="987"/>
      <c r="L229" s="987"/>
      <c r="M229" s="987"/>
      <c r="N229" s="987"/>
      <c r="O229" s="987"/>
      <c r="P229" s="987"/>
      <c r="Q229" s="987"/>
      <c r="R229" s="987"/>
      <c r="S229" s="987"/>
      <c r="T229" s="987"/>
      <c r="U229" s="987"/>
      <c r="V229" s="987"/>
      <c r="W229" s="987"/>
      <c r="X229" s="987"/>
      <c r="Y229" s="987"/>
      <c r="Z229" s="987"/>
    </row>
    <row r="230">
      <c r="A230" s="987"/>
      <c r="B230" s="987"/>
      <c r="C230" s="987"/>
      <c r="D230" s="987"/>
      <c r="E230" s="987"/>
      <c r="F230" s="987"/>
      <c r="G230" s="987"/>
      <c r="H230" s="987"/>
      <c r="I230" s="987"/>
      <c r="J230" s="987"/>
      <c r="K230" s="987"/>
      <c r="L230" s="987"/>
      <c r="M230" s="987"/>
      <c r="N230" s="987"/>
      <c r="O230" s="987"/>
      <c r="P230" s="987"/>
      <c r="Q230" s="987"/>
      <c r="R230" s="987"/>
      <c r="S230" s="987"/>
      <c r="T230" s="987"/>
      <c r="U230" s="987"/>
      <c r="V230" s="987"/>
      <c r="W230" s="987"/>
      <c r="X230" s="987"/>
      <c r="Y230" s="987"/>
      <c r="Z230" s="987"/>
    </row>
    <row r="231">
      <c r="A231" s="987"/>
      <c r="B231" s="987"/>
      <c r="C231" s="987"/>
      <c r="D231" s="987"/>
      <c r="E231" s="987"/>
      <c r="F231" s="987"/>
      <c r="G231" s="987"/>
      <c r="H231" s="987"/>
      <c r="I231" s="987"/>
      <c r="J231" s="987"/>
      <c r="K231" s="987"/>
      <c r="L231" s="987"/>
      <c r="M231" s="987"/>
      <c r="N231" s="987"/>
      <c r="O231" s="987"/>
      <c r="P231" s="987"/>
      <c r="Q231" s="987"/>
      <c r="R231" s="987"/>
      <c r="S231" s="987"/>
      <c r="T231" s="987"/>
      <c r="U231" s="987"/>
      <c r="V231" s="987"/>
      <c r="W231" s="987"/>
      <c r="X231" s="987"/>
      <c r="Y231" s="987"/>
      <c r="Z231" s="987"/>
    </row>
    <row r="232">
      <c r="A232" s="987"/>
      <c r="B232" s="987"/>
      <c r="C232" s="987"/>
      <c r="D232" s="987"/>
      <c r="E232" s="987"/>
      <c r="F232" s="987"/>
      <c r="G232" s="987"/>
      <c r="H232" s="987"/>
      <c r="I232" s="987"/>
      <c r="J232" s="987"/>
      <c r="K232" s="987"/>
      <c r="L232" s="987"/>
      <c r="M232" s="987"/>
      <c r="N232" s="987"/>
      <c r="O232" s="987"/>
      <c r="P232" s="987"/>
      <c r="Q232" s="987"/>
      <c r="R232" s="987"/>
      <c r="S232" s="987"/>
      <c r="T232" s="987"/>
      <c r="U232" s="987"/>
      <c r="V232" s="987"/>
      <c r="W232" s="987"/>
      <c r="X232" s="987"/>
      <c r="Y232" s="987"/>
      <c r="Z232" s="987"/>
    </row>
    <row r="233">
      <c r="A233" s="987"/>
      <c r="B233" s="987"/>
      <c r="C233" s="987"/>
      <c r="D233" s="987"/>
      <c r="E233" s="987"/>
      <c r="F233" s="987"/>
      <c r="G233" s="987"/>
      <c r="H233" s="987"/>
      <c r="I233" s="987"/>
      <c r="J233" s="987"/>
      <c r="K233" s="987"/>
      <c r="L233" s="987"/>
      <c r="M233" s="987"/>
      <c r="N233" s="987"/>
      <c r="O233" s="987"/>
      <c r="P233" s="987"/>
      <c r="Q233" s="987"/>
      <c r="R233" s="987"/>
      <c r="S233" s="987"/>
      <c r="T233" s="987"/>
      <c r="U233" s="987"/>
      <c r="V233" s="987"/>
      <c r="W233" s="987"/>
      <c r="X233" s="987"/>
      <c r="Y233" s="987"/>
      <c r="Z233" s="987"/>
    </row>
    <row r="234">
      <c r="A234" s="987"/>
      <c r="B234" s="987"/>
      <c r="C234" s="987"/>
      <c r="D234" s="987"/>
      <c r="E234" s="987"/>
      <c r="F234" s="987"/>
      <c r="G234" s="987"/>
      <c r="H234" s="987"/>
      <c r="I234" s="987"/>
      <c r="J234" s="987"/>
      <c r="K234" s="987"/>
      <c r="L234" s="987"/>
      <c r="M234" s="987"/>
      <c r="N234" s="987"/>
      <c r="O234" s="987"/>
      <c r="P234" s="987"/>
      <c r="Q234" s="987"/>
      <c r="R234" s="987"/>
      <c r="S234" s="987"/>
      <c r="T234" s="987"/>
      <c r="U234" s="987"/>
      <c r="V234" s="987"/>
      <c r="W234" s="987"/>
      <c r="X234" s="987"/>
      <c r="Y234" s="987"/>
      <c r="Z234" s="987"/>
    </row>
    <row r="235">
      <c r="A235" s="987"/>
      <c r="B235" s="987"/>
      <c r="C235" s="987"/>
      <c r="D235" s="987"/>
      <c r="E235" s="987"/>
      <c r="F235" s="987"/>
      <c r="G235" s="987"/>
      <c r="H235" s="987"/>
      <c r="I235" s="987"/>
      <c r="J235" s="987"/>
      <c r="K235" s="987"/>
      <c r="L235" s="987"/>
      <c r="M235" s="987"/>
      <c r="N235" s="987"/>
      <c r="O235" s="987"/>
      <c r="P235" s="987"/>
      <c r="Q235" s="987"/>
      <c r="R235" s="987"/>
      <c r="S235" s="987"/>
      <c r="T235" s="987"/>
      <c r="U235" s="987"/>
      <c r="V235" s="987"/>
      <c r="W235" s="987"/>
      <c r="X235" s="987"/>
      <c r="Y235" s="987"/>
      <c r="Z235" s="987"/>
    </row>
    <row r="236">
      <c r="A236" s="987"/>
      <c r="B236" s="987"/>
      <c r="C236" s="987"/>
      <c r="D236" s="987"/>
      <c r="E236" s="987"/>
      <c r="F236" s="987"/>
      <c r="G236" s="987"/>
      <c r="H236" s="987"/>
      <c r="I236" s="987"/>
      <c r="J236" s="987"/>
      <c r="K236" s="987"/>
      <c r="L236" s="987"/>
      <c r="M236" s="987"/>
      <c r="N236" s="987"/>
      <c r="O236" s="987"/>
      <c r="P236" s="987"/>
      <c r="Q236" s="987"/>
      <c r="R236" s="987"/>
      <c r="S236" s="987"/>
      <c r="T236" s="987"/>
      <c r="U236" s="987"/>
      <c r="V236" s="987"/>
      <c r="W236" s="987"/>
      <c r="X236" s="987"/>
      <c r="Y236" s="987"/>
      <c r="Z236" s="987"/>
    </row>
    <row r="237">
      <c r="A237" s="987"/>
      <c r="B237" s="987"/>
      <c r="C237" s="987"/>
      <c r="D237" s="987"/>
      <c r="E237" s="987"/>
      <c r="F237" s="987"/>
      <c r="G237" s="987"/>
      <c r="H237" s="987"/>
      <c r="I237" s="987"/>
      <c r="J237" s="987"/>
      <c r="K237" s="987"/>
      <c r="L237" s="987"/>
      <c r="M237" s="987"/>
      <c r="N237" s="987"/>
      <c r="O237" s="987"/>
      <c r="P237" s="987"/>
      <c r="Q237" s="987"/>
      <c r="R237" s="987"/>
      <c r="S237" s="987"/>
      <c r="T237" s="987"/>
      <c r="U237" s="987"/>
      <c r="V237" s="987"/>
      <c r="W237" s="987"/>
      <c r="X237" s="987"/>
      <c r="Y237" s="987"/>
      <c r="Z237" s="987"/>
    </row>
    <row r="238">
      <c r="A238" s="987"/>
      <c r="B238" s="987"/>
      <c r="C238" s="987"/>
      <c r="D238" s="987"/>
      <c r="E238" s="987"/>
      <c r="F238" s="987"/>
      <c r="G238" s="987"/>
      <c r="H238" s="987"/>
      <c r="I238" s="987"/>
      <c r="J238" s="987"/>
      <c r="K238" s="987"/>
      <c r="L238" s="987"/>
      <c r="M238" s="987"/>
      <c r="N238" s="987"/>
      <c r="O238" s="987"/>
      <c r="P238" s="987"/>
      <c r="Q238" s="987"/>
      <c r="R238" s="987"/>
      <c r="S238" s="987"/>
      <c r="T238" s="987"/>
      <c r="U238" s="987"/>
      <c r="V238" s="987"/>
      <c r="W238" s="987"/>
      <c r="X238" s="987"/>
      <c r="Y238" s="987"/>
      <c r="Z238" s="987"/>
    </row>
    <row r="239">
      <c r="A239" s="987"/>
      <c r="B239" s="987"/>
      <c r="C239" s="987"/>
      <c r="D239" s="987"/>
      <c r="E239" s="987"/>
      <c r="F239" s="987"/>
      <c r="G239" s="987"/>
      <c r="H239" s="987"/>
      <c r="I239" s="987"/>
      <c r="J239" s="987"/>
      <c r="K239" s="987"/>
      <c r="L239" s="987"/>
      <c r="M239" s="987"/>
      <c r="N239" s="987"/>
      <c r="O239" s="987"/>
      <c r="P239" s="987"/>
      <c r="Q239" s="987"/>
      <c r="R239" s="987"/>
      <c r="S239" s="987"/>
      <c r="T239" s="987"/>
      <c r="U239" s="987"/>
      <c r="V239" s="987"/>
      <c r="W239" s="987"/>
      <c r="X239" s="987"/>
      <c r="Y239" s="987"/>
      <c r="Z239" s="987"/>
    </row>
    <row r="240">
      <c r="A240" s="987"/>
      <c r="B240" s="987"/>
      <c r="C240" s="987"/>
      <c r="D240" s="987"/>
      <c r="E240" s="987"/>
      <c r="F240" s="987"/>
      <c r="G240" s="987"/>
      <c r="H240" s="987"/>
      <c r="I240" s="987"/>
      <c r="J240" s="987"/>
      <c r="K240" s="987"/>
      <c r="L240" s="987"/>
      <c r="M240" s="987"/>
      <c r="N240" s="987"/>
      <c r="O240" s="987"/>
      <c r="P240" s="987"/>
      <c r="Q240" s="987"/>
      <c r="R240" s="987"/>
      <c r="S240" s="987"/>
      <c r="T240" s="987"/>
      <c r="U240" s="987"/>
      <c r="V240" s="987"/>
      <c r="W240" s="987"/>
      <c r="X240" s="987"/>
      <c r="Y240" s="987"/>
      <c r="Z240" s="987"/>
    </row>
    <row r="241">
      <c r="A241" s="987"/>
      <c r="B241" s="987"/>
      <c r="C241" s="987"/>
      <c r="D241" s="987"/>
      <c r="E241" s="987"/>
      <c r="F241" s="987"/>
      <c r="G241" s="987"/>
      <c r="H241" s="987"/>
      <c r="I241" s="987"/>
      <c r="J241" s="987"/>
      <c r="K241" s="987"/>
      <c r="L241" s="987"/>
      <c r="M241" s="987"/>
      <c r="N241" s="987"/>
      <c r="O241" s="987"/>
      <c r="P241" s="987"/>
      <c r="Q241" s="987"/>
      <c r="R241" s="987"/>
      <c r="S241" s="987"/>
      <c r="T241" s="987"/>
      <c r="U241" s="987"/>
      <c r="V241" s="987"/>
      <c r="W241" s="987"/>
      <c r="X241" s="987"/>
      <c r="Y241" s="987"/>
      <c r="Z241" s="987"/>
    </row>
    <row r="242">
      <c r="A242" s="987"/>
      <c r="B242" s="987"/>
      <c r="C242" s="987"/>
      <c r="D242" s="987"/>
      <c r="E242" s="987"/>
      <c r="F242" s="987"/>
      <c r="G242" s="987"/>
      <c r="H242" s="987"/>
      <c r="I242" s="987"/>
      <c r="J242" s="987"/>
      <c r="K242" s="987"/>
      <c r="L242" s="987"/>
      <c r="M242" s="987"/>
      <c r="N242" s="987"/>
      <c r="O242" s="987"/>
      <c r="P242" s="987"/>
      <c r="Q242" s="987"/>
      <c r="R242" s="987"/>
      <c r="S242" s="987"/>
      <c r="T242" s="987"/>
      <c r="U242" s="987"/>
      <c r="V242" s="987"/>
      <c r="W242" s="987"/>
      <c r="X242" s="987"/>
      <c r="Y242" s="987"/>
      <c r="Z242" s="987"/>
    </row>
    <row r="243">
      <c r="A243" s="987"/>
      <c r="B243" s="987"/>
      <c r="C243" s="987"/>
      <c r="D243" s="987"/>
      <c r="E243" s="987"/>
      <c r="F243" s="987"/>
      <c r="G243" s="987"/>
      <c r="H243" s="987"/>
      <c r="I243" s="987"/>
      <c r="J243" s="987"/>
      <c r="K243" s="987"/>
      <c r="L243" s="987"/>
      <c r="M243" s="987"/>
      <c r="N243" s="987"/>
      <c r="O243" s="987"/>
      <c r="P243" s="987"/>
      <c r="Q243" s="987"/>
      <c r="R243" s="987"/>
      <c r="S243" s="987"/>
      <c r="T243" s="987"/>
      <c r="U243" s="987"/>
      <c r="V243" s="987"/>
      <c r="W243" s="987"/>
      <c r="X243" s="987"/>
      <c r="Y243" s="987"/>
      <c r="Z243" s="987"/>
    </row>
    <row r="244">
      <c r="A244" s="987"/>
      <c r="B244" s="987"/>
      <c r="C244" s="987"/>
      <c r="D244" s="987"/>
      <c r="E244" s="987"/>
      <c r="F244" s="987"/>
      <c r="G244" s="987"/>
      <c r="H244" s="987"/>
      <c r="I244" s="987"/>
      <c r="J244" s="987"/>
      <c r="K244" s="987"/>
      <c r="L244" s="987"/>
      <c r="M244" s="987"/>
      <c r="N244" s="987"/>
      <c r="O244" s="987"/>
      <c r="P244" s="987"/>
      <c r="Q244" s="987"/>
      <c r="R244" s="987"/>
      <c r="S244" s="987"/>
      <c r="T244" s="987"/>
      <c r="U244" s="987"/>
      <c r="V244" s="987"/>
      <c r="W244" s="987"/>
      <c r="X244" s="987"/>
      <c r="Y244" s="987"/>
      <c r="Z244" s="987"/>
    </row>
    <row r="245">
      <c r="A245" s="987"/>
      <c r="B245" s="987"/>
      <c r="C245" s="987"/>
      <c r="D245" s="987"/>
      <c r="E245" s="987"/>
      <c r="F245" s="987"/>
      <c r="G245" s="987"/>
      <c r="H245" s="987"/>
      <c r="I245" s="987"/>
      <c r="J245" s="987"/>
      <c r="K245" s="987"/>
      <c r="L245" s="987"/>
      <c r="M245" s="987"/>
      <c r="N245" s="987"/>
      <c r="O245" s="987"/>
      <c r="P245" s="987"/>
      <c r="Q245" s="987"/>
      <c r="R245" s="987"/>
      <c r="S245" s="987"/>
      <c r="T245" s="987"/>
      <c r="U245" s="987"/>
      <c r="V245" s="987"/>
      <c r="W245" s="987"/>
      <c r="X245" s="987"/>
      <c r="Y245" s="987"/>
      <c r="Z245" s="987"/>
    </row>
    <row r="246">
      <c r="A246" s="987"/>
      <c r="B246" s="987"/>
      <c r="C246" s="987"/>
      <c r="D246" s="987"/>
      <c r="E246" s="987"/>
      <c r="F246" s="987"/>
      <c r="G246" s="987"/>
      <c r="H246" s="987"/>
      <c r="I246" s="987"/>
      <c r="J246" s="987"/>
      <c r="K246" s="987"/>
      <c r="L246" s="987"/>
      <c r="M246" s="987"/>
      <c r="N246" s="987"/>
      <c r="O246" s="987"/>
      <c r="P246" s="987"/>
      <c r="Q246" s="987"/>
      <c r="R246" s="987"/>
      <c r="S246" s="987"/>
      <c r="T246" s="987"/>
      <c r="U246" s="987"/>
      <c r="V246" s="987"/>
      <c r="W246" s="987"/>
      <c r="X246" s="987"/>
      <c r="Y246" s="987"/>
      <c r="Z246" s="987"/>
    </row>
    <row r="247">
      <c r="A247" s="987"/>
      <c r="B247" s="987"/>
      <c r="C247" s="987"/>
      <c r="D247" s="987"/>
      <c r="E247" s="987"/>
      <c r="F247" s="987"/>
      <c r="G247" s="987"/>
      <c r="H247" s="987"/>
      <c r="I247" s="987"/>
      <c r="J247" s="987"/>
      <c r="K247" s="987"/>
      <c r="L247" s="987"/>
      <c r="M247" s="987"/>
      <c r="N247" s="987"/>
      <c r="O247" s="987"/>
      <c r="P247" s="987"/>
      <c r="Q247" s="987"/>
      <c r="R247" s="987"/>
      <c r="S247" s="987"/>
      <c r="T247" s="987"/>
      <c r="U247" s="987"/>
      <c r="V247" s="987"/>
      <c r="W247" s="987"/>
      <c r="X247" s="987"/>
      <c r="Y247" s="987"/>
      <c r="Z247" s="987"/>
    </row>
    <row r="248">
      <c r="A248" s="987"/>
      <c r="B248" s="987"/>
      <c r="C248" s="987"/>
      <c r="D248" s="987"/>
      <c r="E248" s="987"/>
      <c r="F248" s="987"/>
      <c r="G248" s="987"/>
      <c r="H248" s="987"/>
      <c r="I248" s="987"/>
      <c r="J248" s="987"/>
      <c r="K248" s="987"/>
      <c r="L248" s="987"/>
      <c r="M248" s="987"/>
      <c r="N248" s="987"/>
      <c r="O248" s="987"/>
      <c r="P248" s="987"/>
      <c r="Q248" s="987"/>
      <c r="R248" s="987"/>
      <c r="S248" s="987"/>
      <c r="T248" s="987"/>
      <c r="U248" s="987"/>
      <c r="V248" s="987"/>
      <c r="W248" s="987"/>
      <c r="X248" s="987"/>
      <c r="Y248" s="987"/>
      <c r="Z248" s="987"/>
    </row>
    <row r="249">
      <c r="A249" s="987"/>
      <c r="B249" s="987"/>
      <c r="C249" s="987"/>
      <c r="D249" s="987"/>
      <c r="E249" s="987"/>
      <c r="F249" s="987"/>
      <c r="G249" s="987"/>
      <c r="H249" s="987"/>
      <c r="I249" s="987"/>
      <c r="J249" s="987"/>
      <c r="K249" s="987"/>
      <c r="L249" s="987"/>
      <c r="M249" s="987"/>
      <c r="N249" s="987"/>
      <c r="O249" s="987"/>
      <c r="P249" s="987"/>
      <c r="Q249" s="987"/>
      <c r="R249" s="987"/>
      <c r="S249" s="987"/>
      <c r="T249" s="987"/>
      <c r="U249" s="987"/>
      <c r="V249" s="987"/>
      <c r="W249" s="987"/>
      <c r="X249" s="987"/>
      <c r="Y249" s="987"/>
      <c r="Z249" s="987"/>
    </row>
    <row r="250">
      <c r="A250" s="987"/>
      <c r="B250" s="987"/>
      <c r="C250" s="987"/>
      <c r="D250" s="987"/>
      <c r="E250" s="987"/>
      <c r="F250" s="987"/>
      <c r="G250" s="987"/>
      <c r="H250" s="987"/>
      <c r="I250" s="987"/>
      <c r="J250" s="987"/>
      <c r="K250" s="987"/>
      <c r="L250" s="987"/>
      <c r="M250" s="987"/>
      <c r="N250" s="987"/>
      <c r="O250" s="987"/>
      <c r="P250" s="987"/>
      <c r="Q250" s="987"/>
      <c r="R250" s="987"/>
      <c r="S250" s="987"/>
      <c r="T250" s="987"/>
      <c r="U250" s="987"/>
      <c r="V250" s="987"/>
      <c r="W250" s="987"/>
      <c r="X250" s="987"/>
      <c r="Y250" s="987"/>
      <c r="Z250" s="987"/>
    </row>
    <row r="251">
      <c r="A251" s="987"/>
      <c r="B251" s="987"/>
      <c r="C251" s="987"/>
      <c r="D251" s="987"/>
      <c r="E251" s="987"/>
      <c r="F251" s="987"/>
      <c r="G251" s="987"/>
      <c r="H251" s="987"/>
      <c r="I251" s="987"/>
      <c r="J251" s="987"/>
      <c r="K251" s="987"/>
      <c r="L251" s="987"/>
      <c r="M251" s="987"/>
      <c r="N251" s="987"/>
      <c r="O251" s="987"/>
      <c r="P251" s="987"/>
      <c r="Q251" s="987"/>
      <c r="R251" s="987"/>
      <c r="S251" s="987"/>
      <c r="T251" s="987"/>
      <c r="U251" s="987"/>
      <c r="V251" s="987"/>
      <c r="W251" s="987"/>
      <c r="X251" s="987"/>
      <c r="Y251" s="987"/>
      <c r="Z251" s="987"/>
    </row>
    <row r="252">
      <c r="A252" s="987"/>
      <c r="B252" s="987"/>
      <c r="C252" s="987"/>
      <c r="D252" s="987"/>
      <c r="E252" s="987"/>
      <c r="F252" s="987"/>
      <c r="G252" s="987"/>
      <c r="H252" s="987"/>
      <c r="I252" s="987"/>
      <c r="J252" s="987"/>
      <c r="K252" s="987"/>
      <c r="L252" s="987"/>
      <c r="M252" s="987"/>
      <c r="N252" s="987"/>
      <c r="O252" s="987"/>
      <c r="P252" s="987"/>
      <c r="Q252" s="987"/>
      <c r="R252" s="987"/>
      <c r="S252" s="987"/>
      <c r="T252" s="987"/>
      <c r="U252" s="987"/>
      <c r="V252" s="987"/>
      <c r="W252" s="987"/>
      <c r="X252" s="987"/>
      <c r="Y252" s="987"/>
      <c r="Z252" s="987"/>
    </row>
    <row r="253">
      <c r="A253" s="987"/>
      <c r="B253" s="987"/>
      <c r="C253" s="987"/>
      <c r="D253" s="987"/>
      <c r="E253" s="987"/>
      <c r="F253" s="987"/>
      <c r="G253" s="987"/>
      <c r="H253" s="987"/>
      <c r="I253" s="987"/>
      <c r="J253" s="987"/>
      <c r="K253" s="987"/>
      <c r="L253" s="987"/>
      <c r="M253" s="987"/>
      <c r="N253" s="987"/>
      <c r="O253" s="987"/>
      <c r="P253" s="987"/>
      <c r="Q253" s="987"/>
      <c r="R253" s="987"/>
      <c r="S253" s="987"/>
      <c r="T253" s="987"/>
      <c r="U253" s="987"/>
      <c r="V253" s="987"/>
      <c r="W253" s="987"/>
      <c r="X253" s="987"/>
      <c r="Y253" s="987"/>
      <c r="Z253" s="987"/>
    </row>
    <row r="254">
      <c r="A254" s="987"/>
      <c r="B254" s="987"/>
      <c r="C254" s="987"/>
      <c r="D254" s="987"/>
      <c r="E254" s="987"/>
      <c r="F254" s="987"/>
      <c r="G254" s="987"/>
      <c r="H254" s="987"/>
      <c r="I254" s="987"/>
      <c r="J254" s="987"/>
      <c r="K254" s="987"/>
      <c r="L254" s="987"/>
      <c r="M254" s="987"/>
      <c r="N254" s="987"/>
      <c r="O254" s="987"/>
      <c r="P254" s="987"/>
      <c r="Q254" s="987"/>
      <c r="R254" s="987"/>
      <c r="S254" s="987"/>
      <c r="T254" s="987"/>
      <c r="U254" s="987"/>
      <c r="V254" s="987"/>
      <c r="W254" s="987"/>
      <c r="X254" s="987"/>
      <c r="Y254" s="987"/>
      <c r="Z254" s="987"/>
    </row>
    <row r="255">
      <c r="A255" s="987"/>
      <c r="B255" s="987"/>
      <c r="C255" s="987"/>
      <c r="D255" s="987"/>
      <c r="E255" s="987"/>
      <c r="F255" s="987"/>
      <c r="G255" s="987"/>
      <c r="H255" s="987"/>
      <c r="I255" s="987"/>
      <c r="J255" s="987"/>
      <c r="K255" s="987"/>
      <c r="L255" s="987"/>
      <c r="M255" s="987"/>
      <c r="N255" s="987"/>
      <c r="O255" s="987"/>
      <c r="P255" s="987"/>
      <c r="Q255" s="987"/>
      <c r="R255" s="987"/>
      <c r="S255" s="987"/>
      <c r="T255" s="987"/>
      <c r="U255" s="987"/>
      <c r="V255" s="987"/>
      <c r="W255" s="987"/>
      <c r="X255" s="987"/>
      <c r="Y255" s="987"/>
      <c r="Z255" s="987"/>
    </row>
    <row r="256">
      <c r="A256" s="987"/>
      <c r="B256" s="987"/>
      <c r="C256" s="987"/>
      <c r="D256" s="987"/>
      <c r="E256" s="987"/>
      <c r="F256" s="987"/>
      <c r="G256" s="987"/>
      <c r="H256" s="987"/>
      <c r="I256" s="987"/>
      <c r="J256" s="987"/>
      <c r="K256" s="987"/>
      <c r="L256" s="987"/>
      <c r="M256" s="987"/>
      <c r="N256" s="987"/>
      <c r="O256" s="987"/>
      <c r="P256" s="987"/>
      <c r="Q256" s="987"/>
      <c r="R256" s="987"/>
      <c r="S256" s="987"/>
      <c r="T256" s="987"/>
      <c r="U256" s="987"/>
      <c r="V256" s="987"/>
      <c r="W256" s="987"/>
      <c r="X256" s="987"/>
      <c r="Y256" s="987"/>
      <c r="Z256" s="987"/>
    </row>
    <row r="257">
      <c r="A257" s="987"/>
      <c r="B257" s="987"/>
      <c r="C257" s="987"/>
      <c r="D257" s="987"/>
      <c r="E257" s="987"/>
      <c r="F257" s="987"/>
      <c r="G257" s="987"/>
      <c r="H257" s="987"/>
      <c r="I257" s="987"/>
      <c r="J257" s="987"/>
      <c r="K257" s="987"/>
      <c r="L257" s="987"/>
      <c r="M257" s="987"/>
      <c r="N257" s="987"/>
      <c r="O257" s="987"/>
      <c r="P257" s="987"/>
      <c r="Q257" s="987"/>
      <c r="R257" s="987"/>
      <c r="S257" s="987"/>
      <c r="T257" s="987"/>
      <c r="U257" s="987"/>
      <c r="V257" s="987"/>
      <c r="W257" s="987"/>
      <c r="X257" s="987"/>
      <c r="Y257" s="987"/>
      <c r="Z257" s="987"/>
    </row>
    <row r="258">
      <c r="A258" s="987"/>
      <c r="B258" s="987"/>
      <c r="C258" s="987"/>
      <c r="D258" s="987"/>
      <c r="E258" s="987"/>
      <c r="F258" s="987"/>
      <c r="G258" s="987"/>
      <c r="H258" s="987"/>
      <c r="I258" s="987"/>
      <c r="J258" s="987"/>
      <c r="K258" s="987"/>
      <c r="L258" s="987"/>
      <c r="M258" s="987"/>
      <c r="N258" s="987"/>
      <c r="O258" s="987"/>
      <c r="P258" s="987"/>
      <c r="Q258" s="987"/>
      <c r="R258" s="987"/>
      <c r="S258" s="987"/>
      <c r="T258" s="987"/>
      <c r="U258" s="987"/>
      <c r="V258" s="987"/>
      <c r="W258" s="987"/>
      <c r="X258" s="987"/>
      <c r="Y258" s="987"/>
      <c r="Z258" s="987"/>
    </row>
    <row r="259">
      <c r="A259" s="987"/>
      <c r="B259" s="987"/>
      <c r="C259" s="987"/>
      <c r="D259" s="987"/>
      <c r="E259" s="987"/>
      <c r="F259" s="987"/>
      <c r="G259" s="987"/>
      <c r="H259" s="987"/>
      <c r="I259" s="987"/>
      <c r="J259" s="987"/>
      <c r="K259" s="987"/>
      <c r="L259" s="987"/>
      <c r="M259" s="987"/>
      <c r="N259" s="987"/>
      <c r="O259" s="987"/>
      <c r="P259" s="987"/>
      <c r="Q259" s="987"/>
      <c r="R259" s="987"/>
      <c r="S259" s="987"/>
      <c r="T259" s="987"/>
      <c r="U259" s="987"/>
      <c r="V259" s="987"/>
      <c r="W259" s="987"/>
      <c r="X259" s="987"/>
      <c r="Y259" s="987"/>
      <c r="Z259" s="987"/>
    </row>
    <row r="260">
      <c r="A260" s="987"/>
      <c r="B260" s="987"/>
      <c r="C260" s="987"/>
      <c r="D260" s="987"/>
      <c r="E260" s="987"/>
      <c r="F260" s="987"/>
      <c r="G260" s="987"/>
      <c r="H260" s="987"/>
      <c r="I260" s="987"/>
      <c r="J260" s="987"/>
      <c r="K260" s="987"/>
      <c r="L260" s="987"/>
      <c r="M260" s="987"/>
      <c r="N260" s="987"/>
      <c r="O260" s="987"/>
      <c r="P260" s="987"/>
      <c r="Q260" s="987"/>
      <c r="R260" s="987"/>
      <c r="S260" s="987"/>
      <c r="T260" s="987"/>
      <c r="U260" s="987"/>
      <c r="V260" s="987"/>
      <c r="W260" s="987"/>
      <c r="X260" s="987"/>
      <c r="Y260" s="987"/>
      <c r="Z260" s="987"/>
    </row>
    <row r="261">
      <c r="A261" s="987"/>
      <c r="B261" s="987"/>
      <c r="C261" s="987"/>
      <c r="D261" s="987"/>
      <c r="E261" s="987"/>
      <c r="F261" s="987"/>
      <c r="G261" s="987"/>
      <c r="H261" s="987"/>
      <c r="I261" s="987"/>
      <c r="J261" s="987"/>
      <c r="K261" s="987"/>
      <c r="L261" s="987"/>
      <c r="M261" s="987"/>
      <c r="N261" s="987"/>
      <c r="O261" s="987"/>
      <c r="P261" s="987"/>
      <c r="Q261" s="987"/>
      <c r="R261" s="987"/>
      <c r="S261" s="987"/>
      <c r="T261" s="987"/>
      <c r="U261" s="987"/>
      <c r="V261" s="987"/>
      <c r="W261" s="987"/>
      <c r="X261" s="987"/>
      <c r="Y261" s="987"/>
      <c r="Z261" s="987"/>
    </row>
    <row r="262">
      <c r="A262" s="987"/>
      <c r="B262" s="987"/>
      <c r="C262" s="987"/>
      <c r="D262" s="987"/>
      <c r="E262" s="987"/>
      <c r="F262" s="987"/>
      <c r="G262" s="987"/>
      <c r="H262" s="987"/>
      <c r="I262" s="987"/>
      <c r="J262" s="987"/>
      <c r="K262" s="987"/>
      <c r="L262" s="987"/>
      <c r="M262" s="987"/>
      <c r="N262" s="987"/>
      <c r="O262" s="987"/>
      <c r="P262" s="987"/>
      <c r="Q262" s="987"/>
      <c r="R262" s="987"/>
      <c r="S262" s="987"/>
      <c r="T262" s="987"/>
      <c r="U262" s="987"/>
      <c r="V262" s="987"/>
      <c r="W262" s="987"/>
      <c r="X262" s="987"/>
      <c r="Y262" s="987"/>
      <c r="Z262" s="987"/>
    </row>
    <row r="263">
      <c r="A263" s="987"/>
      <c r="B263" s="987"/>
      <c r="C263" s="987"/>
      <c r="D263" s="987"/>
      <c r="E263" s="987"/>
      <c r="F263" s="987"/>
      <c r="G263" s="987"/>
      <c r="H263" s="987"/>
      <c r="I263" s="987"/>
      <c r="J263" s="987"/>
      <c r="K263" s="987"/>
      <c r="L263" s="987"/>
      <c r="M263" s="987"/>
      <c r="N263" s="987"/>
      <c r="O263" s="987"/>
      <c r="P263" s="987"/>
      <c r="Q263" s="987"/>
      <c r="R263" s="987"/>
      <c r="S263" s="987"/>
      <c r="T263" s="987"/>
      <c r="U263" s="987"/>
      <c r="V263" s="987"/>
      <c r="W263" s="987"/>
      <c r="X263" s="987"/>
      <c r="Y263" s="987"/>
      <c r="Z263" s="987"/>
    </row>
    <row r="264">
      <c r="A264" s="987"/>
      <c r="B264" s="987"/>
      <c r="C264" s="987"/>
      <c r="D264" s="987"/>
      <c r="E264" s="987"/>
      <c r="F264" s="987"/>
      <c r="G264" s="987"/>
      <c r="H264" s="987"/>
      <c r="I264" s="987"/>
      <c r="J264" s="987"/>
      <c r="K264" s="987"/>
      <c r="L264" s="987"/>
      <c r="M264" s="987"/>
      <c r="N264" s="987"/>
      <c r="O264" s="987"/>
      <c r="P264" s="987"/>
      <c r="Q264" s="987"/>
      <c r="R264" s="987"/>
      <c r="S264" s="987"/>
      <c r="T264" s="987"/>
      <c r="U264" s="987"/>
      <c r="V264" s="987"/>
      <c r="W264" s="987"/>
      <c r="X264" s="987"/>
      <c r="Y264" s="987"/>
      <c r="Z264" s="987"/>
    </row>
    <row r="265">
      <c r="A265" s="987"/>
      <c r="B265" s="987"/>
      <c r="C265" s="987"/>
      <c r="D265" s="987"/>
      <c r="E265" s="987"/>
      <c r="F265" s="987"/>
      <c r="G265" s="987"/>
      <c r="H265" s="987"/>
      <c r="I265" s="987"/>
      <c r="J265" s="987"/>
      <c r="K265" s="987"/>
      <c r="L265" s="987"/>
      <c r="M265" s="987"/>
      <c r="N265" s="987"/>
      <c r="O265" s="987"/>
      <c r="P265" s="987"/>
      <c r="Q265" s="987"/>
      <c r="R265" s="987"/>
      <c r="S265" s="987"/>
      <c r="T265" s="987"/>
      <c r="U265" s="987"/>
      <c r="V265" s="987"/>
      <c r="W265" s="987"/>
      <c r="X265" s="987"/>
      <c r="Y265" s="987"/>
      <c r="Z265" s="987"/>
    </row>
    <row r="266">
      <c r="A266" s="987"/>
      <c r="B266" s="987"/>
      <c r="C266" s="987"/>
      <c r="D266" s="987"/>
      <c r="E266" s="987"/>
      <c r="F266" s="987"/>
      <c r="G266" s="987"/>
      <c r="H266" s="987"/>
      <c r="I266" s="987"/>
      <c r="J266" s="987"/>
      <c r="K266" s="987"/>
      <c r="L266" s="987"/>
      <c r="M266" s="987"/>
      <c r="N266" s="987"/>
      <c r="O266" s="987"/>
      <c r="P266" s="987"/>
      <c r="Q266" s="987"/>
      <c r="R266" s="987"/>
      <c r="S266" s="987"/>
      <c r="T266" s="987"/>
      <c r="U266" s="987"/>
      <c r="V266" s="987"/>
      <c r="W266" s="987"/>
      <c r="X266" s="987"/>
      <c r="Y266" s="987"/>
      <c r="Z266" s="987"/>
    </row>
    <row r="267">
      <c r="A267" s="987"/>
      <c r="B267" s="987"/>
      <c r="C267" s="987"/>
      <c r="D267" s="987"/>
      <c r="E267" s="987"/>
      <c r="F267" s="987"/>
      <c r="G267" s="987"/>
      <c r="H267" s="987"/>
      <c r="I267" s="987"/>
      <c r="J267" s="987"/>
      <c r="K267" s="987"/>
      <c r="L267" s="987"/>
      <c r="M267" s="987"/>
      <c r="N267" s="987"/>
      <c r="O267" s="987"/>
      <c r="P267" s="987"/>
      <c r="Q267" s="987"/>
      <c r="R267" s="987"/>
      <c r="S267" s="987"/>
      <c r="T267" s="987"/>
      <c r="U267" s="987"/>
      <c r="V267" s="987"/>
      <c r="W267" s="987"/>
      <c r="X267" s="987"/>
      <c r="Y267" s="987"/>
      <c r="Z267" s="987"/>
    </row>
    <row r="268">
      <c r="A268" s="987"/>
      <c r="B268" s="987"/>
      <c r="C268" s="987"/>
      <c r="D268" s="987"/>
      <c r="E268" s="987"/>
      <c r="F268" s="987"/>
      <c r="G268" s="987"/>
      <c r="H268" s="987"/>
      <c r="I268" s="987"/>
      <c r="J268" s="987"/>
      <c r="K268" s="987"/>
      <c r="L268" s="987"/>
      <c r="M268" s="987"/>
      <c r="N268" s="987"/>
      <c r="O268" s="987"/>
      <c r="P268" s="987"/>
      <c r="Q268" s="987"/>
      <c r="R268" s="987"/>
      <c r="S268" s="987"/>
      <c r="T268" s="987"/>
      <c r="U268" s="987"/>
      <c r="V268" s="987"/>
      <c r="W268" s="987"/>
      <c r="X268" s="987"/>
      <c r="Y268" s="987"/>
      <c r="Z268" s="987"/>
    </row>
    <row r="269">
      <c r="A269" s="987"/>
      <c r="B269" s="987"/>
      <c r="C269" s="987"/>
      <c r="D269" s="987"/>
      <c r="E269" s="987"/>
      <c r="F269" s="987"/>
      <c r="G269" s="987"/>
      <c r="H269" s="987"/>
      <c r="I269" s="987"/>
      <c r="J269" s="987"/>
      <c r="K269" s="987"/>
      <c r="L269" s="987"/>
      <c r="M269" s="987"/>
      <c r="N269" s="987"/>
      <c r="O269" s="987"/>
      <c r="P269" s="987"/>
      <c r="Q269" s="987"/>
      <c r="R269" s="987"/>
      <c r="S269" s="987"/>
      <c r="T269" s="987"/>
      <c r="U269" s="987"/>
      <c r="V269" s="987"/>
      <c r="W269" s="987"/>
      <c r="X269" s="987"/>
      <c r="Y269" s="987"/>
      <c r="Z269" s="987"/>
    </row>
    <row r="270">
      <c r="A270" s="987"/>
      <c r="B270" s="987"/>
      <c r="C270" s="987"/>
      <c r="D270" s="987"/>
      <c r="E270" s="987"/>
      <c r="F270" s="987"/>
      <c r="G270" s="987"/>
      <c r="H270" s="987"/>
      <c r="I270" s="987"/>
      <c r="J270" s="987"/>
      <c r="K270" s="987"/>
      <c r="L270" s="987"/>
      <c r="M270" s="987"/>
      <c r="N270" s="987"/>
      <c r="O270" s="987"/>
      <c r="P270" s="987"/>
      <c r="Q270" s="987"/>
      <c r="R270" s="987"/>
      <c r="S270" s="987"/>
      <c r="T270" s="987"/>
      <c r="U270" s="987"/>
      <c r="V270" s="987"/>
      <c r="W270" s="987"/>
      <c r="X270" s="987"/>
      <c r="Y270" s="987"/>
      <c r="Z270" s="987"/>
    </row>
    <row r="271">
      <c r="A271" s="987"/>
      <c r="B271" s="987"/>
      <c r="C271" s="987"/>
      <c r="D271" s="987"/>
      <c r="E271" s="987"/>
      <c r="F271" s="987"/>
      <c r="G271" s="987"/>
      <c r="H271" s="987"/>
      <c r="I271" s="987"/>
      <c r="J271" s="987"/>
      <c r="K271" s="987"/>
      <c r="L271" s="987"/>
      <c r="M271" s="987"/>
      <c r="N271" s="987"/>
      <c r="O271" s="987"/>
      <c r="P271" s="987"/>
      <c r="Q271" s="987"/>
      <c r="R271" s="987"/>
      <c r="S271" s="987"/>
      <c r="T271" s="987"/>
      <c r="U271" s="987"/>
      <c r="V271" s="987"/>
      <c r="W271" s="987"/>
      <c r="X271" s="987"/>
      <c r="Y271" s="987"/>
      <c r="Z271" s="987"/>
    </row>
    <row r="272">
      <c r="A272" s="987"/>
      <c r="B272" s="987"/>
      <c r="C272" s="987"/>
      <c r="D272" s="987"/>
      <c r="E272" s="987"/>
      <c r="F272" s="987"/>
      <c r="G272" s="987"/>
      <c r="H272" s="987"/>
      <c r="I272" s="987"/>
      <c r="J272" s="987"/>
      <c r="K272" s="987"/>
      <c r="L272" s="987"/>
      <c r="M272" s="987"/>
      <c r="N272" s="987"/>
      <c r="O272" s="987"/>
      <c r="P272" s="987"/>
      <c r="Q272" s="987"/>
      <c r="R272" s="987"/>
      <c r="S272" s="987"/>
      <c r="T272" s="987"/>
      <c r="U272" s="987"/>
      <c r="V272" s="987"/>
      <c r="W272" s="987"/>
      <c r="X272" s="987"/>
      <c r="Y272" s="987"/>
      <c r="Z272" s="987"/>
    </row>
    <row r="273">
      <c r="A273" s="987"/>
      <c r="B273" s="987"/>
      <c r="C273" s="987"/>
      <c r="D273" s="987"/>
      <c r="E273" s="987"/>
      <c r="F273" s="987"/>
      <c r="G273" s="987"/>
      <c r="H273" s="987"/>
      <c r="I273" s="987"/>
      <c r="J273" s="987"/>
      <c r="K273" s="987"/>
      <c r="L273" s="987"/>
      <c r="M273" s="987"/>
      <c r="N273" s="987"/>
      <c r="O273" s="987"/>
      <c r="P273" s="987"/>
      <c r="Q273" s="987"/>
      <c r="R273" s="987"/>
      <c r="S273" s="987"/>
      <c r="T273" s="987"/>
      <c r="U273" s="987"/>
      <c r="V273" s="987"/>
      <c r="W273" s="987"/>
      <c r="X273" s="987"/>
      <c r="Y273" s="987"/>
      <c r="Z273" s="987"/>
    </row>
    <row r="274">
      <c r="A274" s="987"/>
      <c r="B274" s="987"/>
      <c r="C274" s="987"/>
      <c r="D274" s="987"/>
      <c r="E274" s="987"/>
      <c r="F274" s="987"/>
      <c r="G274" s="987"/>
      <c r="H274" s="987"/>
      <c r="I274" s="987"/>
      <c r="J274" s="987"/>
      <c r="K274" s="987"/>
      <c r="L274" s="987"/>
      <c r="M274" s="987"/>
      <c r="N274" s="987"/>
      <c r="O274" s="987"/>
      <c r="P274" s="987"/>
      <c r="Q274" s="987"/>
      <c r="R274" s="987"/>
      <c r="S274" s="987"/>
      <c r="T274" s="987"/>
      <c r="U274" s="987"/>
      <c r="V274" s="987"/>
      <c r="W274" s="987"/>
      <c r="X274" s="987"/>
      <c r="Y274" s="987"/>
      <c r="Z274" s="987"/>
    </row>
    <row r="275">
      <c r="A275" s="987"/>
      <c r="B275" s="987"/>
      <c r="C275" s="987"/>
      <c r="D275" s="987"/>
      <c r="E275" s="987"/>
      <c r="F275" s="987"/>
      <c r="G275" s="987"/>
      <c r="H275" s="987"/>
      <c r="I275" s="987"/>
      <c r="J275" s="987"/>
      <c r="K275" s="987"/>
      <c r="L275" s="987"/>
      <c r="M275" s="987"/>
      <c r="N275" s="987"/>
      <c r="O275" s="987"/>
      <c r="P275" s="987"/>
      <c r="Q275" s="987"/>
      <c r="R275" s="987"/>
      <c r="S275" s="987"/>
      <c r="T275" s="987"/>
      <c r="U275" s="987"/>
      <c r="V275" s="987"/>
      <c r="W275" s="987"/>
      <c r="X275" s="987"/>
      <c r="Y275" s="987"/>
      <c r="Z275" s="987"/>
    </row>
    <row r="276">
      <c r="A276" s="987"/>
      <c r="B276" s="987"/>
      <c r="C276" s="987"/>
      <c r="D276" s="987"/>
      <c r="E276" s="987"/>
      <c r="F276" s="987"/>
      <c r="G276" s="987"/>
      <c r="H276" s="987"/>
      <c r="I276" s="987"/>
      <c r="J276" s="987"/>
      <c r="K276" s="987"/>
      <c r="L276" s="987"/>
      <c r="M276" s="987"/>
      <c r="N276" s="987"/>
      <c r="O276" s="987"/>
      <c r="P276" s="987"/>
      <c r="Q276" s="987"/>
      <c r="R276" s="987"/>
      <c r="S276" s="987"/>
      <c r="T276" s="987"/>
      <c r="U276" s="987"/>
      <c r="V276" s="987"/>
      <c r="W276" s="987"/>
      <c r="X276" s="987"/>
      <c r="Y276" s="987"/>
      <c r="Z276" s="987"/>
    </row>
    <row r="277">
      <c r="A277" s="987"/>
      <c r="B277" s="987"/>
      <c r="C277" s="987"/>
      <c r="D277" s="987"/>
      <c r="E277" s="987"/>
      <c r="F277" s="987"/>
      <c r="G277" s="987"/>
      <c r="H277" s="987"/>
      <c r="I277" s="987"/>
      <c r="J277" s="987"/>
      <c r="K277" s="987"/>
      <c r="L277" s="987"/>
      <c r="M277" s="987"/>
      <c r="N277" s="987"/>
      <c r="O277" s="987"/>
      <c r="P277" s="987"/>
      <c r="Q277" s="987"/>
      <c r="R277" s="987"/>
      <c r="S277" s="987"/>
      <c r="T277" s="987"/>
      <c r="U277" s="987"/>
      <c r="V277" s="987"/>
      <c r="W277" s="987"/>
      <c r="X277" s="987"/>
      <c r="Y277" s="987"/>
      <c r="Z277" s="987"/>
    </row>
    <row r="278">
      <c r="A278" s="987"/>
      <c r="B278" s="987"/>
      <c r="C278" s="987"/>
      <c r="D278" s="987"/>
      <c r="E278" s="987"/>
      <c r="F278" s="987"/>
      <c r="G278" s="987"/>
      <c r="H278" s="987"/>
      <c r="I278" s="987"/>
      <c r="J278" s="987"/>
      <c r="K278" s="987"/>
      <c r="L278" s="987"/>
      <c r="M278" s="987"/>
      <c r="N278" s="987"/>
      <c r="O278" s="987"/>
      <c r="P278" s="987"/>
      <c r="Q278" s="987"/>
      <c r="R278" s="987"/>
      <c r="S278" s="987"/>
      <c r="T278" s="987"/>
      <c r="U278" s="987"/>
      <c r="V278" s="987"/>
      <c r="W278" s="987"/>
      <c r="X278" s="987"/>
      <c r="Y278" s="987"/>
      <c r="Z278" s="987"/>
    </row>
    <row r="279">
      <c r="A279" s="987"/>
      <c r="B279" s="987"/>
      <c r="C279" s="987"/>
      <c r="D279" s="987"/>
      <c r="E279" s="987"/>
      <c r="F279" s="987"/>
      <c r="G279" s="987"/>
      <c r="H279" s="987"/>
      <c r="I279" s="987"/>
      <c r="J279" s="987"/>
      <c r="K279" s="987"/>
      <c r="L279" s="987"/>
      <c r="M279" s="987"/>
      <c r="N279" s="987"/>
      <c r="O279" s="987"/>
      <c r="P279" s="987"/>
      <c r="Q279" s="987"/>
      <c r="R279" s="987"/>
      <c r="S279" s="987"/>
      <c r="T279" s="987"/>
      <c r="U279" s="987"/>
      <c r="V279" s="987"/>
      <c r="W279" s="987"/>
      <c r="X279" s="987"/>
      <c r="Y279" s="987"/>
      <c r="Z279" s="987"/>
    </row>
    <row r="280">
      <c r="A280" s="987"/>
      <c r="B280" s="987"/>
      <c r="C280" s="987"/>
      <c r="D280" s="987"/>
      <c r="E280" s="987"/>
      <c r="F280" s="987"/>
      <c r="G280" s="987"/>
      <c r="H280" s="987"/>
      <c r="I280" s="987"/>
      <c r="J280" s="987"/>
      <c r="K280" s="987"/>
      <c r="L280" s="987"/>
      <c r="M280" s="987"/>
      <c r="N280" s="987"/>
      <c r="O280" s="987"/>
      <c r="P280" s="987"/>
      <c r="Q280" s="987"/>
      <c r="R280" s="987"/>
      <c r="S280" s="987"/>
      <c r="T280" s="987"/>
      <c r="U280" s="987"/>
      <c r="V280" s="987"/>
      <c r="W280" s="987"/>
      <c r="X280" s="987"/>
      <c r="Y280" s="987"/>
      <c r="Z280" s="987"/>
    </row>
    <row r="281">
      <c r="A281" s="987"/>
      <c r="B281" s="987"/>
      <c r="C281" s="987"/>
      <c r="D281" s="987"/>
      <c r="E281" s="987"/>
      <c r="F281" s="987"/>
      <c r="G281" s="987"/>
      <c r="H281" s="987"/>
      <c r="I281" s="987"/>
      <c r="J281" s="987"/>
      <c r="K281" s="987"/>
      <c r="L281" s="987"/>
      <c r="M281" s="987"/>
      <c r="N281" s="987"/>
      <c r="O281" s="987"/>
      <c r="P281" s="987"/>
      <c r="Q281" s="987"/>
      <c r="R281" s="987"/>
      <c r="S281" s="987"/>
      <c r="T281" s="987"/>
      <c r="U281" s="987"/>
      <c r="V281" s="987"/>
      <c r="W281" s="987"/>
      <c r="X281" s="987"/>
      <c r="Y281" s="987"/>
      <c r="Z281" s="987"/>
    </row>
    <row r="282">
      <c r="A282" s="987"/>
      <c r="B282" s="987"/>
      <c r="C282" s="987"/>
      <c r="D282" s="987"/>
      <c r="E282" s="987"/>
      <c r="F282" s="987"/>
      <c r="G282" s="987"/>
      <c r="H282" s="987"/>
      <c r="I282" s="987"/>
      <c r="J282" s="987"/>
      <c r="K282" s="987"/>
      <c r="L282" s="987"/>
      <c r="M282" s="987"/>
      <c r="N282" s="987"/>
      <c r="O282" s="987"/>
      <c r="P282" s="987"/>
      <c r="Q282" s="987"/>
      <c r="R282" s="987"/>
      <c r="S282" s="987"/>
      <c r="T282" s="987"/>
      <c r="U282" s="987"/>
      <c r="V282" s="987"/>
      <c r="W282" s="987"/>
      <c r="X282" s="987"/>
      <c r="Y282" s="987"/>
      <c r="Z282" s="987"/>
    </row>
    <row r="283">
      <c r="A283" s="987"/>
      <c r="B283" s="987"/>
      <c r="C283" s="987"/>
      <c r="D283" s="987"/>
      <c r="E283" s="987"/>
      <c r="F283" s="987"/>
      <c r="G283" s="987"/>
      <c r="H283" s="987"/>
      <c r="I283" s="987"/>
      <c r="J283" s="987"/>
      <c r="K283" s="987"/>
      <c r="L283" s="987"/>
      <c r="M283" s="987"/>
      <c r="N283" s="987"/>
      <c r="O283" s="987"/>
      <c r="P283" s="987"/>
      <c r="Q283" s="987"/>
      <c r="R283" s="987"/>
      <c r="S283" s="987"/>
      <c r="T283" s="987"/>
      <c r="U283" s="987"/>
      <c r="V283" s="987"/>
      <c r="W283" s="987"/>
      <c r="X283" s="987"/>
      <c r="Y283" s="987"/>
      <c r="Z283" s="987"/>
    </row>
    <row r="284">
      <c r="A284" s="987"/>
      <c r="B284" s="987"/>
      <c r="C284" s="987"/>
      <c r="D284" s="987"/>
      <c r="E284" s="987"/>
      <c r="F284" s="987"/>
      <c r="G284" s="987"/>
      <c r="H284" s="987"/>
      <c r="I284" s="987"/>
      <c r="J284" s="987"/>
      <c r="K284" s="987"/>
      <c r="L284" s="987"/>
      <c r="M284" s="987"/>
      <c r="N284" s="987"/>
      <c r="O284" s="987"/>
      <c r="P284" s="987"/>
      <c r="Q284" s="987"/>
      <c r="R284" s="987"/>
      <c r="S284" s="987"/>
      <c r="T284" s="987"/>
      <c r="U284" s="987"/>
      <c r="V284" s="987"/>
      <c r="W284" s="987"/>
      <c r="X284" s="987"/>
      <c r="Y284" s="987"/>
      <c r="Z284" s="987"/>
    </row>
    <row r="285">
      <c r="A285" s="987"/>
      <c r="B285" s="987"/>
      <c r="C285" s="987"/>
      <c r="D285" s="987"/>
      <c r="E285" s="987"/>
      <c r="F285" s="987"/>
      <c r="G285" s="987"/>
      <c r="H285" s="987"/>
      <c r="I285" s="987"/>
      <c r="J285" s="987"/>
      <c r="K285" s="987"/>
      <c r="L285" s="987"/>
      <c r="M285" s="987"/>
      <c r="N285" s="987"/>
      <c r="O285" s="987"/>
      <c r="P285" s="987"/>
      <c r="Q285" s="987"/>
      <c r="R285" s="987"/>
      <c r="S285" s="987"/>
      <c r="T285" s="987"/>
      <c r="U285" s="987"/>
      <c r="V285" s="987"/>
      <c r="W285" s="987"/>
      <c r="X285" s="987"/>
      <c r="Y285" s="987"/>
      <c r="Z285" s="987"/>
    </row>
    <row r="286">
      <c r="A286" s="987"/>
      <c r="B286" s="987"/>
      <c r="C286" s="987"/>
      <c r="D286" s="987"/>
      <c r="E286" s="987"/>
      <c r="F286" s="987"/>
      <c r="G286" s="987"/>
      <c r="H286" s="987"/>
      <c r="I286" s="987"/>
      <c r="J286" s="987"/>
      <c r="K286" s="987"/>
      <c r="L286" s="987"/>
      <c r="M286" s="987"/>
      <c r="N286" s="987"/>
      <c r="O286" s="987"/>
      <c r="P286" s="987"/>
      <c r="Q286" s="987"/>
      <c r="R286" s="987"/>
      <c r="S286" s="987"/>
      <c r="T286" s="987"/>
      <c r="U286" s="987"/>
      <c r="V286" s="987"/>
      <c r="W286" s="987"/>
      <c r="X286" s="987"/>
      <c r="Y286" s="987"/>
      <c r="Z286" s="987"/>
    </row>
    <row r="287">
      <c r="A287" s="987"/>
      <c r="B287" s="987"/>
      <c r="C287" s="987"/>
      <c r="D287" s="987"/>
      <c r="E287" s="987"/>
      <c r="F287" s="987"/>
      <c r="G287" s="987"/>
      <c r="H287" s="987"/>
      <c r="I287" s="987"/>
      <c r="J287" s="987"/>
      <c r="K287" s="987"/>
      <c r="L287" s="987"/>
      <c r="M287" s="987"/>
      <c r="N287" s="987"/>
      <c r="O287" s="987"/>
      <c r="P287" s="987"/>
      <c r="Q287" s="987"/>
      <c r="R287" s="987"/>
      <c r="S287" s="987"/>
      <c r="T287" s="987"/>
      <c r="U287" s="987"/>
      <c r="V287" s="987"/>
      <c r="W287" s="987"/>
      <c r="X287" s="987"/>
      <c r="Y287" s="987"/>
      <c r="Z287" s="987"/>
    </row>
    <row r="288">
      <c r="A288" s="987"/>
      <c r="B288" s="987"/>
      <c r="C288" s="987"/>
      <c r="D288" s="987"/>
      <c r="E288" s="987"/>
      <c r="F288" s="987"/>
      <c r="G288" s="987"/>
      <c r="H288" s="987"/>
      <c r="I288" s="987"/>
      <c r="J288" s="987"/>
      <c r="K288" s="987"/>
      <c r="L288" s="987"/>
      <c r="M288" s="987"/>
      <c r="N288" s="987"/>
      <c r="O288" s="987"/>
      <c r="P288" s="987"/>
      <c r="Q288" s="987"/>
      <c r="R288" s="987"/>
      <c r="S288" s="987"/>
      <c r="T288" s="987"/>
      <c r="U288" s="987"/>
      <c r="V288" s="987"/>
      <c r="W288" s="987"/>
      <c r="X288" s="987"/>
      <c r="Y288" s="987"/>
      <c r="Z288" s="987"/>
    </row>
    <row r="289">
      <c r="A289" s="987"/>
      <c r="B289" s="987"/>
      <c r="C289" s="987"/>
      <c r="D289" s="987"/>
      <c r="E289" s="987"/>
      <c r="F289" s="987"/>
      <c r="G289" s="987"/>
      <c r="H289" s="987"/>
      <c r="I289" s="987"/>
      <c r="J289" s="987"/>
      <c r="K289" s="987"/>
      <c r="L289" s="987"/>
      <c r="M289" s="987"/>
      <c r="N289" s="987"/>
      <c r="O289" s="987"/>
      <c r="P289" s="987"/>
      <c r="Q289" s="987"/>
      <c r="R289" s="987"/>
      <c r="S289" s="987"/>
      <c r="T289" s="987"/>
      <c r="U289" s="987"/>
      <c r="V289" s="987"/>
      <c r="W289" s="987"/>
      <c r="X289" s="987"/>
      <c r="Y289" s="987"/>
      <c r="Z289" s="987"/>
    </row>
    <row r="290">
      <c r="A290" s="987"/>
      <c r="B290" s="987"/>
      <c r="C290" s="987"/>
      <c r="D290" s="987"/>
      <c r="E290" s="987"/>
      <c r="F290" s="987"/>
      <c r="G290" s="987"/>
      <c r="H290" s="987"/>
      <c r="I290" s="987"/>
      <c r="J290" s="987"/>
      <c r="K290" s="987"/>
      <c r="L290" s="987"/>
      <c r="M290" s="987"/>
      <c r="N290" s="987"/>
      <c r="O290" s="987"/>
      <c r="P290" s="987"/>
      <c r="Q290" s="987"/>
      <c r="R290" s="987"/>
      <c r="S290" s="987"/>
      <c r="T290" s="987"/>
      <c r="U290" s="987"/>
      <c r="V290" s="987"/>
      <c r="W290" s="987"/>
      <c r="X290" s="987"/>
      <c r="Y290" s="987"/>
      <c r="Z290" s="987"/>
    </row>
    <row r="291">
      <c r="A291" s="987"/>
      <c r="B291" s="987"/>
      <c r="C291" s="987"/>
      <c r="D291" s="987"/>
      <c r="E291" s="987"/>
      <c r="F291" s="987"/>
      <c r="G291" s="987"/>
      <c r="H291" s="987"/>
      <c r="I291" s="987"/>
      <c r="J291" s="987"/>
      <c r="K291" s="987"/>
      <c r="L291" s="987"/>
      <c r="M291" s="987"/>
      <c r="N291" s="987"/>
      <c r="O291" s="987"/>
      <c r="P291" s="987"/>
      <c r="Q291" s="987"/>
      <c r="R291" s="987"/>
      <c r="S291" s="987"/>
      <c r="T291" s="987"/>
      <c r="U291" s="987"/>
      <c r="V291" s="987"/>
      <c r="W291" s="987"/>
      <c r="X291" s="987"/>
      <c r="Y291" s="987"/>
      <c r="Z291" s="987"/>
    </row>
    <row r="292">
      <c r="A292" s="987"/>
      <c r="B292" s="987"/>
      <c r="C292" s="987"/>
      <c r="D292" s="987"/>
      <c r="E292" s="987"/>
      <c r="F292" s="987"/>
      <c r="G292" s="987"/>
      <c r="H292" s="987"/>
      <c r="I292" s="987"/>
      <c r="J292" s="987"/>
      <c r="K292" s="987"/>
      <c r="L292" s="987"/>
      <c r="M292" s="987"/>
      <c r="N292" s="987"/>
      <c r="O292" s="987"/>
      <c r="P292" s="987"/>
      <c r="Q292" s="987"/>
      <c r="R292" s="987"/>
      <c r="S292" s="987"/>
      <c r="T292" s="987"/>
      <c r="U292" s="987"/>
      <c r="V292" s="987"/>
      <c r="W292" s="987"/>
      <c r="X292" s="987"/>
      <c r="Y292" s="987"/>
      <c r="Z292" s="987"/>
    </row>
    <row r="293">
      <c r="A293" s="987"/>
      <c r="B293" s="987"/>
      <c r="C293" s="987"/>
      <c r="D293" s="987"/>
      <c r="E293" s="987"/>
      <c r="F293" s="987"/>
      <c r="G293" s="987"/>
      <c r="H293" s="987"/>
      <c r="I293" s="987"/>
      <c r="J293" s="987"/>
      <c r="K293" s="987"/>
      <c r="L293" s="987"/>
      <c r="M293" s="987"/>
      <c r="N293" s="987"/>
      <c r="O293" s="987"/>
      <c r="P293" s="987"/>
      <c r="Q293" s="987"/>
      <c r="R293" s="987"/>
      <c r="S293" s="987"/>
      <c r="T293" s="987"/>
      <c r="U293" s="987"/>
      <c r="V293" s="987"/>
      <c r="W293" s="987"/>
      <c r="X293" s="987"/>
      <c r="Y293" s="987"/>
      <c r="Z293" s="987"/>
    </row>
    <row r="294">
      <c r="A294" s="987"/>
      <c r="B294" s="987"/>
      <c r="C294" s="987"/>
      <c r="D294" s="987"/>
      <c r="E294" s="987"/>
      <c r="F294" s="987"/>
      <c r="G294" s="987"/>
      <c r="H294" s="987"/>
      <c r="I294" s="987"/>
      <c r="J294" s="987"/>
      <c r="K294" s="987"/>
      <c r="L294" s="987"/>
      <c r="M294" s="987"/>
      <c r="N294" s="987"/>
      <c r="O294" s="987"/>
      <c r="P294" s="987"/>
      <c r="Q294" s="987"/>
      <c r="R294" s="987"/>
      <c r="S294" s="987"/>
      <c r="T294" s="987"/>
      <c r="U294" s="987"/>
      <c r="V294" s="987"/>
      <c r="W294" s="987"/>
      <c r="X294" s="987"/>
      <c r="Y294" s="987"/>
      <c r="Z294" s="987"/>
    </row>
    <row r="295">
      <c r="A295" s="987"/>
      <c r="B295" s="987"/>
      <c r="C295" s="987"/>
      <c r="D295" s="987"/>
      <c r="E295" s="987"/>
      <c r="F295" s="987"/>
      <c r="G295" s="987"/>
      <c r="H295" s="987"/>
      <c r="I295" s="987"/>
      <c r="J295" s="987"/>
      <c r="K295" s="987"/>
      <c r="L295" s="987"/>
      <c r="M295" s="987"/>
      <c r="N295" s="987"/>
      <c r="O295" s="987"/>
      <c r="P295" s="987"/>
      <c r="Q295" s="987"/>
      <c r="R295" s="987"/>
      <c r="S295" s="987"/>
      <c r="T295" s="987"/>
      <c r="U295" s="987"/>
      <c r="V295" s="987"/>
      <c r="W295" s="987"/>
      <c r="X295" s="987"/>
      <c r="Y295" s="987"/>
      <c r="Z295" s="987"/>
    </row>
    <row r="296">
      <c r="A296" s="987"/>
      <c r="B296" s="987"/>
      <c r="C296" s="987"/>
      <c r="D296" s="987"/>
      <c r="E296" s="987"/>
      <c r="F296" s="987"/>
      <c r="G296" s="987"/>
      <c r="H296" s="987"/>
      <c r="I296" s="987"/>
      <c r="J296" s="987"/>
      <c r="K296" s="987"/>
      <c r="L296" s="987"/>
      <c r="M296" s="987"/>
      <c r="N296" s="987"/>
      <c r="O296" s="987"/>
      <c r="P296" s="987"/>
      <c r="Q296" s="987"/>
      <c r="R296" s="987"/>
      <c r="S296" s="987"/>
      <c r="T296" s="987"/>
      <c r="U296" s="987"/>
      <c r="V296" s="987"/>
      <c r="W296" s="987"/>
      <c r="X296" s="987"/>
      <c r="Y296" s="987"/>
      <c r="Z296" s="987"/>
    </row>
    <row r="297">
      <c r="A297" s="987"/>
      <c r="B297" s="987"/>
      <c r="C297" s="987"/>
      <c r="D297" s="987"/>
      <c r="E297" s="987"/>
      <c r="F297" s="987"/>
      <c r="G297" s="987"/>
      <c r="H297" s="987"/>
      <c r="I297" s="987"/>
      <c r="J297" s="987"/>
      <c r="K297" s="987"/>
      <c r="L297" s="987"/>
      <c r="M297" s="987"/>
      <c r="N297" s="987"/>
      <c r="O297" s="987"/>
      <c r="P297" s="987"/>
      <c r="Q297" s="987"/>
      <c r="R297" s="987"/>
      <c r="S297" s="987"/>
      <c r="T297" s="987"/>
      <c r="U297" s="987"/>
      <c r="V297" s="987"/>
      <c r="W297" s="987"/>
      <c r="X297" s="987"/>
      <c r="Y297" s="987"/>
      <c r="Z297" s="987"/>
    </row>
    <row r="298">
      <c r="A298" s="987"/>
      <c r="B298" s="987"/>
      <c r="C298" s="987"/>
      <c r="D298" s="987"/>
      <c r="E298" s="987"/>
      <c r="F298" s="987"/>
      <c r="G298" s="987"/>
      <c r="H298" s="987"/>
      <c r="I298" s="987"/>
      <c r="J298" s="987"/>
      <c r="K298" s="987"/>
      <c r="L298" s="987"/>
      <c r="M298" s="987"/>
      <c r="N298" s="987"/>
      <c r="O298" s="987"/>
      <c r="P298" s="987"/>
      <c r="Q298" s="987"/>
      <c r="R298" s="987"/>
      <c r="S298" s="987"/>
      <c r="T298" s="987"/>
      <c r="U298" s="987"/>
      <c r="V298" s="987"/>
      <c r="W298" s="987"/>
      <c r="X298" s="987"/>
      <c r="Y298" s="987"/>
      <c r="Z298" s="987"/>
    </row>
    <row r="299">
      <c r="A299" s="987"/>
      <c r="B299" s="987"/>
      <c r="C299" s="987"/>
      <c r="D299" s="987"/>
      <c r="E299" s="987"/>
      <c r="F299" s="987"/>
      <c r="G299" s="987"/>
      <c r="H299" s="987"/>
      <c r="I299" s="987"/>
      <c r="J299" s="987"/>
      <c r="K299" s="987"/>
      <c r="L299" s="987"/>
      <c r="M299" s="987"/>
      <c r="N299" s="987"/>
      <c r="O299" s="987"/>
      <c r="P299" s="987"/>
      <c r="Q299" s="987"/>
      <c r="R299" s="987"/>
      <c r="S299" s="987"/>
      <c r="T299" s="987"/>
      <c r="U299" s="987"/>
      <c r="V299" s="987"/>
      <c r="W299" s="987"/>
      <c r="X299" s="987"/>
      <c r="Y299" s="987"/>
      <c r="Z299" s="987"/>
    </row>
    <row r="300">
      <c r="A300" s="987"/>
      <c r="B300" s="987"/>
      <c r="C300" s="987"/>
      <c r="D300" s="987"/>
      <c r="E300" s="987"/>
      <c r="F300" s="987"/>
      <c r="G300" s="987"/>
      <c r="H300" s="987"/>
      <c r="I300" s="987"/>
      <c r="J300" s="987"/>
      <c r="K300" s="987"/>
      <c r="L300" s="987"/>
      <c r="M300" s="987"/>
      <c r="N300" s="987"/>
      <c r="O300" s="987"/>
      <c r="P300" s="987"/>
      <c r="Q300" s="987"/>
      <c r="R300" s="987"/>
      <c r="S300" s="987"/>
      <c r="T300" s="987"/>
      <c r="U300" s="987"/>
      <c r="V300" s="987"/>
      <c r="W300" s="987"/>
      <c r="X300" s="987"/>
      <c r="Y300" s="987"/>
      <c r="Z300" s="987"/>
    </row>
    <row r="301">
      <c r="A301" s="987"/>
      <c r="B301" s="987"/>
      <c r="C301" s="987"/>
      <c r="D301" s="987"/>
      <c r="E301" s="987"/>
      <c r="F301" s="987"/>
      <c r="G301" s="987"/>
      <c r="H301" s="987"/>
      <c r="I301" s="987"/>
      <c r="J301" s="987"/>
      <c r="K301" s="987"/>
      <c r="L301" s="987"/>
      <c r="M301" s="987"/>
      <c r="N301" s="987"/>
      <c r="O301" s="987"/>
      <c r="P301" s="987"/>
      <c r="Q301" s="987"/>
      <c r="R301" s="987"/>
      <c r="S301" s="987"/>
      <c r="T301" s="987"/>
      <c r="U301" s="987"/>
      <c r="V301" s="987"/>
      <c r="W301" s="987"/>
      <c r="X301" s="987"/>
      <c r="Y301" s="987"/>
      <c r="Z301" s="987"/>
    </row>
    <row r="302">
      <c r="A302" s="987"/>
      <c r="B302" s="987"/>
      <c r="C302" s="987"/>
      <c r="D302" s="987"/>
      <c r="E302" s="987"/>
      <c r="F302" s="987"/>
      <c r="G302" s="987"/>
      <c r="H302" s="987"/>
      <c r="I302" s="987"/>
      <c r="J302" s="987"/>
      <c r="K302" s="987"/>
      <c r="L302" s="987"/>
      <c r="M302" s="987"/>
      <c r="N302" s="987"/>
      <c r="O302" s="987"/>
      <c r="P302" s="987"/>
      <c r="Q302" s="987"/>
      <c r="R302" s="987"/>
      <c r="S302" s="987"/>
      <c r="T302" s="987"/>
      <c r="U302" s="987"/>
      <c r="V302" s="987"/>
      <c r="W302" s="987"/>
      <c r="X302" s="987"/>
      <c r="Y302" s="987"/>
      <c r="Z302" s="987"/>
    </row>
    <row r="303">
      <c r="A303" s="987"/>
      <c r="B303" s="987"/>
      <c r="C303" s="987"/>
      <c r="D303" s="987"/>
      <c r="E303" s="987"/>
      <c r="F303" s="987"/>
      <c r="G303" s="987"/>
      <c r="H303" s="987"/>
      <c r="I303" s="987"/>
      <c r="J303" s="987"/>
      <c r="K303" s="987"/>
      <c r="L303" s="987"/>
      <c r="M303" s="987"/>
      <c r="N303" s="987"/>
      <c r="O303" s="987"/>
      <c r="P303" s="987"/>
      <c r="Q303" s="987"/>
      <c r="R303" s="987"/>
      <c r="S303" s="987"/>
      <c r="T303" s="987"/>
      <c r="U303" s="987"/>
      <c r="V303" s="987"/>
      <c r="W303" s="987"/>
      <c r="X303" s="987"/>
      <c r="Y303" s="987"/>
      <c r="Z303" s="987"/>
    </row>
    <row r="304">
      <c r="A304" s="987"/>
      <c r="B304" s="987"/>
      <c r="C304" s="987"/>
      <c r="D304" s="987"/>
      <c r="E304" s="987"/>
      <c r="F304" s="987"/>
      <c r="G304" s="987"/>
      <c r="H304" s="987"/>
      <c r="I304" s="987"/>
      <c r="J304" s="987"/>
      <c r="K304" s="987"/>
      <c r="L304" s="987"/>
      <c r="M304" s="987"/>
      <c r="N304" s="987"/>
      <c r="O304" s="987"/>
      <c r="P304" s="987"/>
      <c r="Q304" s="987"/>
      <c r="R304" s="987"/>
      <c r="S304" s="987"/>
      <c r="T304" s="987"/>
      <c r="U304" s="987"/>
      <c r="V304" s="987"/>
      <c r="W304" s="987"/>
      <c r="X304" s="987"/>
      <c r="Y304" s="987"/>
      <c r="Z304" s="987"/>
    </row>
    <row r="305">
      <c r="A305" s="987"/>
      <c r="B305" s="987"/>
      <c r="C305" s="987"/>
      <c r="D305" s="987"/>
      <c r="E305" s="987"/>
      <c r="F305" s="987"/>
      <c r="G305" s="987"/>
      <c r="H305" s="987"/>
      <c r="I305" s="987"/>
      <c r="J305" s="987"/>
      <c r="K305" s="987"/>
      <c r="L305" s="987"/>
      <c r="M305" s="987"/>
      <c r="N305" s="987"/>
      <c r="O305" s="987"/>
      <c r="P305" s="987"/>
      <c r="Q305" s="987"/>
      <c r="R305" s="987"/>
      <c r="S305" s="987"/>
      <c r="T305" s="987"/>
      <c r="U305" s="987"/>
      <c r="V305" s="987"/>
      <c r="W305" s="987"/>
      <c r="X305" s="987"/>
      <c r="Y305" s="987"/>
      <c r="Z305" s="987"/>
    </row>
    <row r="306">
      <c r="A306" s="987"/>
      <c r="B306" s="987"/>
      <c r="C306" s="987"/>
      <c r="D306" s="987"/>
      <c r="E306" s="987"/>
      <c r="F306" s="987"/>
      <c r="G306" s="987"/>
      <c r="H306" s="987"/>
      <c r="I306" s="987"/>
      <c r="J306" s="987"/>
      <c r="K306" s="987"/>
      <c r="L306" s="987"/>
      <c r="M306" s="987"/>
      <c r="N306" s="987"/>
      <c r="O306" s="987"/>
      <c r="P306" s="987"/>
      <c r="Q306" s="987"/>
      <c r="R306" s="987"/>
      <c r="S306" s="987"/>
      <c r="T306" s="987"/>
      <c r="U306" s="987"/>
      <c r="V306" s="987"/>
      <c r="W306" s="987"/>
      <c r="X306" s="987"/>
      <c r="Y306" s="987"/>
      <c r="Z306" s="987"/>
    </row>
    <row r="307">
      <c r="A307" s="987"/>
      <c r="B307" s="987"/>
      <c r="C307" s="987"/>
      <c r="D307" s="987"/>
      <c r="E307" s="987"/>
      <c r="F307" s="987"/>
      <c r="G307" s="987"/>
      <c r="H307" s="987"/>
      <c r="I307" s="987"/>
      <c r="J307" s="987"/>
      <c r="K307" s="987"/>
      <c r="L307" s="987"/>
      <c r="M307" s="987"/>
      <c r="N307" s="987"/>
      <c r="O307" s="987"/>
      <c r="P307" s="987"/>
      <c r="Q307" s="987"/>
      <c r="R307" s="987"/>
      <c r="S307" s="987"/>
      <c r="T307" s="987"/>
      <c r="U307" s="987"/>
      <c r="V307" s="987"/>
      <c r="W307" s="987"/>
      <c r="X307" s="987"/>
      <c r="Y307" s="987"/>
      <c r="Z307" s="987"/>
    </row>
    <row r="308">
      <c r="A308" s="987"/>
      <c r="B308" s="987"/>
      <c r="C308" s="987"/>
      <c r="D308" s="987"/>
      <c r="E308" s="987"/>
      <c r="F308" s="987"/>
      <c r="G308" s="987"/>
      <c r="H308" s="987"/>
      <c r="I308" s="987"/>
      <c r="J308" s="987"/>
      <c r="K308" s="987"/>
      <c r="L308" s="987"/>
      <c r="M308" s="987"/>
      <c r="N308" s="987"/>
      <c r="O308" s="987"/>
      <c r="P308" s="987"/>
      <c r="Q308" s="987"/>
      <c r="R308" s="987"/>
      <c r="S308" s="987"/>
      <c r="T308" s="987"/>
      <c r="U308" s="987"/>
      <c r="V308" s="987"/>
      <c r="W308" s="987"/>
      <c r="X308" s="987"/>
      <c r="Y308" s="987"/>
      <c r="Z308" s="987"/>
    </row>
    <row r="309">
      <c r="A309" s="987"/>
      <c r="B309" s="987"/>
      <c r="C309" s="987"/>
      <c r="D309" s="987"/>
      <c r="E309" s="987"/>
      <c r="F309" s="987"/>
      <c r="G309" s="987"/>
      <c r="H309" s="987"/>
      <c r="I309" s="987"/>
      <c r="J309" s="987"/>
      <c r="K309" s="987"/>
      <c r="L309" s="987"/>
      <c r="M309" s="987"/>
      <c r="N309" s="987"/>
      <c r="O309" s="987"/>
      <c r="P309" s="987"/>
      <c r="Q309" s="987"/>
      <c r="R309" s="987"/>
      <c r="S309" s="987"/>
      <c r="T309" s="987"/>
      <c r="U309" s="987"/>
      <c r="V309" s="987"/>
      <c r="W309" s="987"/>
      <c r="X309" s="987"/>
      <c r="Y309" s="987"/>
      <c r="Z309" s="987"/>
    </row>
    <row r="310">
      <c r="A310" s="987"/>
      <c r="B310" s="987"/>
      <c r="C310" s="987"/>
      <c r="D310" s="987"/>
      <c r="E310" s="987"/>
      <c r="F310" s="987"/>
      <c r="G310" s="987"/>
      <c r="H310" s="987"/>
      <c r="I310" s="987"/>
      <c r="J310" s="987"/>
      <c r="K310" s="987"/>
      <c r="L310" s="987"/>
      <c r="M310" s="987"/>
      <c r="N310" s="987"/>
      <c r="O310" s="987"/>
      <c r="P310" s="987"/>
      <c r="Q310" s="987"/>
      <c r="R310" s="987"/>
      <c r="S310" s="987"/>
      <c r="T310" s="987"/>
      <c r="U310" s="987"/>
      <c r="V310" s="987"/>
      <c r="W310" s="987"/>
      <c r="X310" s="987"/>
      <c r="Y310" s="987"/>
      <c r="Z310" s="987"/>
    </row>
    <row r="311">
      <c r="A311" s="987"/>
      <c r="B311" s="987"/>
      <c r="C311" s="987"/>
      <c r="D311" s="987"/>
      <c r="E311" s="987"/>
      <c r="F311" s="987"/>
      <c r="G311" s="987"/>
      <c r="H311" s="987"/>
      <c r="I311" s="987"/>
      <c r="J311" s="987"/>
      <c r="K311" s="987"/>
      <c r="L311" s="987"/>
      <c r="M311" s="987"/>
      <c r="N311" s="987"/>
      <c r="O311" s="987"/>
      <c r="P311" s="987"/>
      <c r="Q311" s="987"/>
      <c r="R311" s="987"/>
      <c r="S311" s="987"/>
      <c r="T311" s="987"/>
      <c r="U311" s="987"/>
      <c r="V311" s="987"/>
      <c r="W311" s="987"/>
      <c r="X311" s="987"/>
      <c r="Y311" s="987"/>
      <c r="Z311" s="987"/>
    </row>
    <row r="312">
      <c r="A312" s="987"/>
      <c r="B312" s="987"/>
      <c r="C312" s="987"/>
      <c r="D312" s="987"/>
      <c r="E312" s="987"/>
      <c r="F312" s="987"/>
      <c r="G312" s="987"/>
      <c r="H312" s="987"/>
      <c r="I312" s="987"/>
      <c r="J312" s="987"/>
      <c r="K312" s="987"/>
      <c r="L312" s="987"/>
      <c r="M312" s="987"/>
      <c r="N312" s="987"/>
      <c r="O312" s="987"/>
      <c r="P312" s="987"/>
      <c r="Q312" s="987"/>
      <c r="R312" s="987"/>
      <c r="S312" s="987"/>
      <c r="T312" s="987"/>
      <c r="U312" s="987"/>
      <c r="V312" s="987"/>
      <c r="W312" s="987"/>
      <c r="X312" s="987"/>
      <c r="Y312" s="987"/>
      <c r="Z312" s="987"/>
    </row>
    <row r="313">
      <c r="A313" s="987"/>
      <c r="B313" s="987"/>
      <c r="C313" s="987"/>
      <c r="D313" s="987"/>
      <c r="E313" s="987"/>
      <c r="F313" s="987"/>
      <c r="G313" s="987"/>
      <c r="H313" s="987"/>
      <c r="I313" s="987"/>
      <c r="J313" s="987"/>
      <c r="K313" s="987"/>
      <c r="L313" s="987"/>
      <c r="M313" s="987"/>
      <c r="N313" s="987"/>
      <c r="O313" s="987"/>
      <c r="P313" s="987"/>
      <c r="Q313" s="987"/>
      <c r="R313" s="987"/>
      <c r="S313" s="987"/>
      <c r="T313" s="987"/>
      <c r="U313" s="987"/>
      <c r="V313" s="987"/>
      <c r="W313" s="987"/>
      <c r="X313" s="987"/>
      <c r="Y313" s="987"/>
      <c r="Z313" s="987"/>
    </row>
    <row r="314">
      <c r="A314" s="987"/>
      <c r="B314" s="987"/>
      <c r="C314" s="987"/>
      <c r="D314" s="987"/>
      <c r="E314" s="987"/>
      <c r="F314" s="987"/>
      <c r="G314" s="987"/>
      <c r="H314" s="987"/>
      <c r="I314" s="987"/>
      <c r="J314" s="987"/>
      <c r="K314" s="987"/>
      <c r="L314" s="987"/>
      <c r="M314" s="987"/>
      <c r="N314" s="987"/>
      <c r="O314" s="987"/>
      <c r="P314" s="987"/>
      <c r="Q314" s="987"/>
      <c r="R314" s="987"/>
      <c r="S314" s="987"/>
      <c r="T314" s="987"/>
      <c r="U314" s="987"/>
      <c r="V314" s="987"/>
      <c r="W314" s="987"/>
      <c r="X314" s="987"/>
      <c r="Y314" s="987"/>
      <c r="Z314" s="987"/>
    </row>
    <row r="315">
      <c r="A315" s="987"/>
      <c r="B315" s="987"/>
      <c r="C315" s="987"/>
      <c r="D315" s="987"/>
      <c r="E315" s="987"/>
      <c r="F315" s="987"/>
      <c r="G315" s="987"/>
      <c r="H315" s="987"/>
      <c r="I315" s="987"/>
      <c r="J315" s="987"/>
      <c r="K315" s="987"/>
      <c r="L315" s="987"/>
      <c r="M315" s="987"/>
      <c r="N315" s="987"/>
      <c r="O315" s="987"/>
      <c r="P315" s="987"/>
      <c r="Q315" s="987"/>
      <c r="R315" s="987"/>
      <c r="S315" s="987"/>
      <c r="T315" s="987"/>
      <c r="U315" s="987"/>
      <c r="V315" s="987"/>
      <c r="W315" s="987"/>
      <c r="X315" s="987"/>
      <c r="Y315" s="987"/>
      <c r="Z315" s="987"/>
    </row>
    <row r="316">
      <c r="A316" s="987"/>
      <c r="B316" s="987"/>
      <c r="C316" s="987"/>
      <c r="D316" s="987"/>
      <c r="E316" s="987"/>
      <c r="F316" s="987"/>
      <c r="G316" s="987"/>
      <c r="H316" s="987"/>
      <c r="I316" s="987"/>
      <c r="J316" s="987"/>
      <c r="K316" s="987"/>
      <c r="L316" s="987"/>
      <c r="M316" s="987"/>
      <c r="N316" s="987"/>
      <c r="O316" s="987"/>
      <c r="P316" s="987"/>
      <c r="Q316" s="987"/>
      <c r="R316" s="987"/>
      <c r="S316" s="987"/>
      <c r="T316" s="987"/>
      <c r="U316" s="987"/>
      <c r="V316" s="987"/>
      <c r="W316" s="987"/>
      <c r="X316" s="987"/>
      <c r="Y316" s="987"/>
      <c r="Z316" s="987"/>
    </row>
    <row r="317">
      <c r="A317" s="987"/>
      <c r="B317" s="987"/>
      <c r="C317" s="987"/>
      <c r="D317" s="987"/>
      <c r="E317" s="987"/>
      <c r="F317" s="987"/>
      <c r="G317" s="987"/>
      <c r="H317" s="987"/>
      <c r="I317" s="987"/>
      <c r="J317" s="987"/>
      <c r="K317" s="987"/>
      <c r="L317" s="987"/>
      <c r="M317" s="987"/>
      <c r="N317" s="987"/>
      <c r="O317" s="987"/>
      <c r="P317" s="987"/>
      <c r="Q317" s="987"/>
      <c r="R317" s="987"/>
      <c r="S317" s="987"/>
      <c r="T317" s="987"/>
      <c r="U317" s="987"/>
      <c r="V317" s="987"/>
      <c r="W317" s="987"/>
      <c r="X317" s="987"/>
      <c r="Y317" s="987"/>
      <c r="Z317" s="987"/>
    </row>
    <row r="318">
      <c r="A318" s="987"/>
      <c r="B318" s="987"/>
      <c r="C318" s="987"/>
      <c r="D318" s="987"/>
      <c r="E318" s="987"/>
      <c r="F318" s="987"/>
      <c r="G318" s="987"/>
      <c r="H318" s="987"/>
      <c r="I318" s="987"/>
      <c r="J318" s="987"/>
      <c r="K318" s="987"/>
      <c r="L318" s="987"/>
      <c r="M318" s="987"/>
      <c r="N318" s="987"/>
      <c r="O318" s="987"/>
      <c r="P318" s="987"/>
      <c r="Q318" s="987"/>
      <c r="R318" s="987"/>
      <c r="S318" s="987"/>
      <c r="T318" s="987"/>
      <c r="U318" s="987"/>
      <c r="V318" s="987"/>
      <c r="W318" s="987"/>
      <c r="X318" s="987"/>
      <c r="Y318" s="987"/>
      <c r="Z318" s="987"/>
    </row>
    <row r="319">
      <c r="A319" s="987"/>
      <c r="B319" s="987"/>
      <c r="C319" s="987"/>
      <c r="D319" s="987"/>
      <c r="E319" s="987"/>
      <c r="F319" s="987"/>
      <c r="G319" s="987"/>
      <c r="H319" s="987"/>
      <c r="I319" s="987"/>
      <c r="J319" s="987"/>
      <c r="K319" s="987"/>
      <c r="L319" s="987"/>
      <c r="M319" s="987"/>
      <c r="N319" s="987"/>
      <c r="O319" s="987"/>
      <c r="P319" s="987"/>
      <c r="Q319" s="987"/>
      <c r="R319" s="987"/>
      <c r="S319" s="987"/>
      <c r="T319" s="987"/>
      <c r="U319" s="987"/>
      <c r="V319" s="987"/>
      <c r="W319" s="987"/>
      <c r="X319" s="987"/>
      <c r="Y319" s="987"/>
      <c r="Z319" s="987"/>
    </row>
    <row r="320">
      <c r="A320" s="987"/>
      <c r="B320" s="987"/>
      <c r="C320" s="987"/>
      <c r="D320" s="987"/>
      <c r="E320" s="987"/>
      <c r="F320" s="987"/>
      <c r="G320" s="987"/>
      <c r="H320" s="987"/>
      <c r="I320" s="987"/>
      <c r="J320" s="987"/>
      <c r="K320" s="987"/>
      <c r="L320" s="987"/>
      <c r="M320" s="987"/>
      <c r="N320" s="987"/>
      <c r="O320" s="987"/>
      <c r="P320" s="987"/>
      <c r="Q320" s="987"/>
      <c r="R320" s="987"/>
      <c r="S320" s="987"/>
      <c r="T320" s="987"/>
      <c r="U320" s="987"/>
      <c r="V320" s="987"/>
      <c r="W320" s="987"/>
      <c r="X320" s="987"/>
      <c r="Y320" s="987"/>
      <c r="Z320" s="987"/>
    </row>
    <row r="321">
      <c r="A321" s="987"/>
      <c r="B321" s="987"/>
      <c r="C321" s="987"/>
      <c r="D321" s="987"/>
      <c r="E321" s="987"/>
      <c r="F321" s="987"/>
      <c r="G321" s="987"/>
      <c r="H321" s="987"/>
      <c r="I321" s="987"/>
      <c r="J321" s="987"/>
      <c r="K321" s="987"/>
      <c r="L321" s="987"/>
      <c r="M321" s="987"/>
      <c r="N321" s="987"/>
      <c r="O321" s="987"/>
      <c r="P321" s="987"/>
      <c r="Q321" s="987"/>
      <c r="R321" s="987"/>
      <c r="S321" s="987"/>
      <c r="T321" s="987"/>
      <c r="U321" s="987"/>
      <c r="V321" s="987"/>
      <c r="W321" s="987"/>
      <c r="X321" s="987"/>
      <c r="Y321" s="987"/>
      <c r="Z321" s="987"/>
    </row>
    <row r="322">
      <c r="A322" s="987"/>
      <c r="B322" s="987"/>
      <c r="C322" s="987"/>
      <c r="D322" s="987"/>
      <c r="E322" s="987"/>
      <c r="F322" s="987"/>
      <c r="G322" s="987"/>
      <c r="H322" s="987"/>
      <c r="I322" s="987"/>
      <c r="J322" s="987"/>
      <c r="K322" s="987"/>
      <c r="L322" s="987"/>
      <c r="M322" s="987"/>
      <c r="N322" s="987"/>
      <c r="O322" s="987"/>
      <c r="P322" s="987"/>
      <c r="Q322" s="987"/>
      <c r="R322" s="987"/>
      <c r="S322" s="987"/>
      <c r="T322" s="987"/>
      <c r="U322" s="987"/>
      <c r="V322" s="987"/>
      <c r="W322" s="987"/>
      <c r="X322" s="987"/>
      <c r="Y322" s="987"/>
      <c r="Z322" s="987"/>
    </row>
    <row r="323">
      <c r="A323" s="987"/>
      <c r="B323" s="987"/>
      <c r="C323" s="987"/>
      <c r="D323" s="987"/>
      <c r="E323" s="987"/>
      <c r="F323" s="987"/>
      <c r="G323" s="987"/>
      <c r="H323" s="987"/>
      <c r="I323" s="987"/>
      <c r="J323" s="987"/>
      <c r="K323" s="987"/>
      <c r="L323" s="987"/>
      <c r="M323" s="987"/>
      <c r="N323" s="987"/>
      <c r="O323" s="987"/>
      <c r="P323" s="987"/>
      <c r="Q323" s="987"/>
      <c r="R323" s="987"/>
      <c r="S323" s="987"/>
      <c r="T323" s="987"/>
      <c r="U323" s="987"/>
      <c r="V323" s="987"/>
      <c r="W323" s="987"/>
      <c r="X323" s="987"/>
      <c r="Y323" s="987"/>
      <c r="Z323" s="987"/>
    </row>
    <row r="324">
      <c r="A324" s="987"/>
      <c r="B324" s="987"/>
      <c r="C324" s="987"/>
      <c r="D324" s="987"/>
      <c r="E324" s="987"/>
      <c r="F324" s="987"/>
      <c r="G324" s="987"/>
      <c r="H324" s="987"/>
      <c r="I324" s="987"/>
      <c r="J324" s="987"/>
      <c r="K324" s="987"/>
      <c r="L324" s="987"/>
      <c r="M324" s="987"/>
      <c r="N324" s="987"/>
      <c r="O324" s="987"/>
      <c r="P324" s="987"/>
      <c r="Q324" s="987"/>
      <c r="R324" s="987"/>
      <c r="S324" s="987"/>
      <c r="T324" s="987"/>
      <c r="U324" s="987"/>
      <c r="V324" s="987"/>
      <c r="W324" s="987"/>
      <c r="X324" s="987"/>
      <c r="Y324" s="987"/>
      <c r="Z324" s="987"/>
    </row>
    <row r="325">
      <c r="A325" s="987"/>
      <c r="B325" s="987"/>
      <c r="C325" s="987"/>
      <c r="D325" s="987"/>
      <c r="E325" s="987"/>
      <c r="F325" s="987"/>
      <c r="G325" s="987"/>
      <c r="H325" s="987"/>
      <c r="I325" s="987"/>
      <c r="J325" s="987"/>
      <c r="K325" s="987"/>
      <c r="L325" s="987"/>
      <c r="M325" s="987"/>
      <c r="N325" s="987"/>
      <c r="O325" s="987"/>
      <c r="P325" s="987"/>
      <c r="Q325" s="987"/>
      <c r="R325" s="987"/>
      <c r="S325" s="987"/>
      <c r="T325" s="987"/>
      <c r="U325" s="987"/>
      <c r="V325" s="987"/>
      <c r="W325" s="987"/>
      <c r="X325" s="987"/>
      <c r="Y325" s="987"/>
      <c r="Z325" s="987"/>
    </row>
    <row r="326">
      <c r="A326" s="987"/>
      <c r="B326" s="987"/>
      <c r="C326" s="987"/>
      <c r="D326" s="987"/>
      <c r="E326" s="987"/>
      <c r="F326" s="987"/>
      <c r="G326" s="987"/>
      <c r="H326" s="987"/>
      <c r="I326" s="987"/>
      <c r="J326" s="987"/>
      <c r="K326" s="987"/>
      <c r="L326" s="987"/>
      <c r="M326" s="987"/>
      <c r="N326" s="987"/>
      <c r="O326" s="987"/>
      <c r="P326" s="987"/>
      <c r="Q326" s="987"/>
      <c r="R326" s="987"/>
      <c r="S326" s="987"/>
      <c r="T326" s="987"/>
      <c r="U326" s="987"/>
      <c r="V326" s="987"/>
      <c r="W326" s="987"/>
      <c r="X326" s="987"/>
      <c r="Y326" s="987"/>
      <c r="Z326" s="987"/>
    </row>
    <row r="327">
      <c r="A327" s="987"/>
      <c r="B327" s="987"/>
      <c r="C327" s="987"/>
      <c r="D327" s="987"/>
      <c r="E327" s="987"/>
      <c r="F327" s="987"/>
      <c r="G327" s="987"/>
      <c r="H327" s="987"/>
      <c r="I327" s="987"/>
      <c r="J327" s="987"/>
      <c r="K327" s="987"/>
      <c r="L327" s="987"/>
      <c r="M327" s="987"/>
      <c r="N327" s="987"/>
      <c r="O327" s="987"/>
      <c r="P327" s="987"/>
      <c r="Q327" s="987"/>
      <c r="R327" s="987"/>
      <c r="S327" s="987"/>
      <c r="T327" s="987"/>
      <c r="U327" s="987"/>
      <c r="V327" s="987"/>
      <c r="W327" s="987"/>
      <c r="X327" s="987"/>
      <c r="Y327" s="987"/>
      <c r="Z327" s="987"/>
    </row>
    <row r="328">
      <c r="A328" s="987"/>
      <c r="B328" s="987"/>
      <c r="C328" s="987"/>
      <c r="D328" s="987"/>
      <c r="E328" s="987"/>
      <c r="F328" s="987"/>
      <c r="G328" s="987"/>
      <c r="H328" s="987"/>
      <c r="I328" s="987"/>
      <c r="J328" s="987"/>
      <c r="K328" s="987"/>
      <c r="L328" s="987"/>
      <c r="M328" s="987"/>
      <c r="N328" s="987"/>
      <c r="O328" s="987"/>
      <c r="P328" s="987"/>
      <c r="Q328" s="987"/>
      <c r="R328" s="987"/>
      <c r="S328" s="987"/>
      <c r="T328" s="987"/>
      <c r="U328" s="987"/>
      <c r="V328" s="987"/>
      <c r="W328" s="987"/>
      <c r="X328" s="987"/>
      <c r="Y328" s="987"/>
      <c r="Z328" s="987"/>
    </row>
    <row r="329">
      <c r="A329" s="987"/>
      <c r="B329" s="987"/>
      <c r="C329" s="987"/>
      <c r="D329" s="987"/>
      <c r="E329" s="987"/>
      <c r="F329" s="987"/>
      <c r="G329" s="987"/>
      <c r="H329" s="987"/>
      <c r="I329" s="987"/>
      <c r="J329" s="987"/>
      <c r="K329" s="987"/>
      <c r="L329" s="987"/>
      <c r="M329" s="987"/>
      <c r="N329" s="987"/>
      <c r="O329" s="987"/>
      <c r="P329" s="987"/>
      <c r="Q329" s="987"/>
      <c r="R329" s="987"/>
      <c r="S329" s="987"/>
      <c r="T329" s="987"/>
      <c r="U329" s="987"/>
      <c r="V329" s="987"/>
      <c r="W329" s="987"/>
      <c r="X329" s="987"/>
      <c r="Y329" s="987"/>
      <c r="Z329" s="987"/>
    </row>
    <row r="330">
      <c r="A330" s="987"/>
      <c r="B330" s="987"/>
      <c r="C330" s="987"/>
      <c r="D330" s="987"/>
      <c r="E330" s="987"/>
      <c r="F330" s="987"/>
      <c r="G330" s="987"/>
      <c r="H330" s="987"/>
      <c r="I330" s="987"/>
      <c r="J330" s="987"/>
      <c r="K330" s="987"/>
      <c r="L330" s="987"/>
      <c r="M330" s="987"/>
      <c r="N330" s="987"/>
      <c r="O330" s="987"/>
      <c r="P330" s="987"/>
      <c r="Q330" s="987"/>
      <c r="R330" s="987"/>
      <c r="S330" s="987"/>
      <c r="T330" s="987"/>
      <c r="U330" s="987"/>
      <c r="V330" s="987"/>
      <c r="W330" s="987"/>
      <c r="X330" s="987"/>
      <c r="Y330" s="987"/>
      <c r="Z330" s="987"/>
    </row>
    <row r="331">
      <c r="A331" s="987"/>
      <c r="B331" s="987"/>
      <c r="C331" s="987"/>
      <c r="D331" s="987"/>
      <c r="E331" s="987"/>
      <c r="F331" s="987"/>
      <c r="G331" s="987"/>
      <c r="H331" s="987"/>
      <c r="I331" s="987"/>
      <c r="J331" s="987"/>
      <c r="K331" s="987"/>
      <c r="L331" s="987"/>
      <c r="M331" s="987"/>
      <c r="N331" s="987"/>
      <c r="O331" s="987"/>
      <c r="P331" s="987"/>
      <c r="Q331" s="987"/>
      <c r="R331" s="987"/>
      <c r="S331" s="987"/>
      <c r="T331" s="987"/>
      <c r="U331" s="987"/>
      <c r="V331" s="987"/>
      <c r="W331" s="987"/>
      <c r="X331" s="987"/>
      <c r="Y331" s="987"/>
      <c r="Z331" s="987"/>
    </row>
    <row r="332">
      <c r="A332" s="987"/>
      <c r="B332" s="987"/>
      <c r="C332" s="987"/>
      <c r="D332" s="987"/>
      <c r="E332" s="987"/>
      <c r="F332" s="987"/>
      <c r="G332" s="987"/>
      <c r="H332" s="987"/>
      <c r="I332" s="987"/>
      <c r="J332" s="987"/>
      <c r="K332" s="987"/>
      <c r="L332" s="987"/>
      <c r="M332" s="987"/>
      <c r="N332" s="987"/>
      <c r="O332" s="987"/>
      <c r="P332" s="987"/>
      <c r="Q332" s="987"/>
      <c r="R332" s="987"/>
      <c r="S332" s="987"/>
      <c r="T332" s="987"/>
      <c r="U332" s="987"/>
      <c r="V332" s="987"/>
      <c r="W332" s="987"/>
      <c r="X332" s="987"/>
      <c r="Y332" s="987"/>
      <c r="Z332" s="987"/>
    </row>
    <row r="333">
      <c r="A333" s="987"/>
      <c r="B333" s="987"/>
      <c r="C333" s="987"/>
      <c r="D333" s="987"/>
      <c r="E333" s="987"/>
      <c r="F333" s="987"/>
      <c r="G333" s="987"/>
      <c r="H333" s="987"/>
      <c r="I333" s="987"/>
      <c r="J333" s="987"/>
      <c r="K333" s="987"/>
      <c r="L333" s="987"/>
      <c r="M333" s="987"/>
      <c r="N333" s="987"/>
      <c r="O333" s="987"/>
      <c r="P333" s="987"/>
      <c r="Q333" s="987"/>
      <c r="R333" s="987"/>
      <c r="S333" s="987"/>
      <c r="T333" s="987"/>
      <c r="U333" s="987"/>
      <c r="V333" s="987"/>
      <c r="W333" s="987"/>
      <c r="X333" s="987"/>
      <c r="Y333" s="987"/>
      <c r="Z333" s="987"/>
    </row>
    <row r="334">
      <c r="A334" s="987"/>
      <c r="B334" s="987"/>
      <c r="C334" s="987"/>
      <c r="D334" s="987"/>
      <c r="E334" s="987"/>
      <c r="F334" s="987"/>
      <c r="G334" s="987"/>
      <c r="H334" s="987"/>
      <c r="I334" s="987"/>
      <c r="J334" s="987"/>
      <c r="K334" s="987"/>
      <c r="L334" s="987"/>
      <c r="M334" s="987"/>
      <c r="N334" s="987"/>
      <c r="O334" s="987"/>
      <c r="P334" s="987"/>
      <c r="Q334" s="987"/>
      <c r="R334" s="987"/>
      <c r="S334" s="987"/>
      <c r="T334" s="987"/>
      <c r="U334" s="987"/>
      <c r="V334" s="987"/>
      <c r="W334" s="987"/>
      <c r="X334" s="987"/>
      <c r="Y334" s="987"/>
      <c r="Z334" s="987"/>
    </row>
    <row r="335">
      <c r="A335" s="987"/>
      <c r="B335" s="987"/>
      <c r="C335" s="987"/>
      <c r="D335" s="987"/>
      <c r="E335" s="987"/>
      <c r="F335" s="987"/>
      <c r="G335" s="987"/>
      <c r="H335" s="987"/>
      <c r="I335" s="987"/>
      <c r="J335" s="987"/>
      <c r="K335" s="987"/>
      <c r="L335" s="987"/>
      <c r="M335" s="987"/>
      <c r="N335" s="987"/>
      <c r="O335" s="987"/>
      <c r="P335" s="987"/>
      <c r="Q335" s="987"/>
      <c r="R335" s="987"/>
      <c r="S335" s="987"/>
      <c r="T335" s="987"/>
      <c r="U335" s="987"/>
      <c r="V335" s="987"/>
      <c r="W335" s="987"/>
      <c r="X335" s="987"/>
      <c r="Y335" s="987"/>
      <c r="Z335" s="987"/>
    </row>
    <row r="336">
      <c r="A336" s="987"/>
      <c r="B336" s="987"/>
      <c r="C336" s="987"/>
      <c r="D336" s="987"/>
      <c r="E336" s="987"/>
      <c r="F336" s="987"/>
      <c r="G336" s="987"/>
      <c r="H336" s="987"/>
      <c r="I336" s="987"/>
      <c r="J336" s="987"/>
      <c r="K336" s="987"/>
      <c r="L336" s="987"/>
      <c r="M336" s="987"/>
      <c r="N336" s="987"/>
      <c r="O336" s="987"/>
      <c r="P336" s="987"/>
      <c r="Q336" s="987"/>
      <c r="R336" s="987"/>
      <c r="S336" s="987"/>
      <c r="T336" s="987"/>
      <c r="U336" s="987"/>
      <c r="V336" s="987"/>
      <c r="W336" s="987"/>
      <c r="X336" s="987"/>
      <c r="Y336" s="987"/>
      <c r="Z336" s="987"/>
    </row>
    <row r="337">
      <c r="A337" s="987"/>
      <c r="B337" s="987"/>
      <c r="C337" s="987"/>
      <c r="D337" s="987"/>
      <c r="E337" s="987"/>
      <c r="F337" s="987"/>
      <c r="G337" s="987"/>
      <c r="H337" s="987"/>
      <c r="I337" s="987"/>
      <c r="J337" s="987"/>
      <c r="K337" s="987"/>
      <c r="L337" s="987"/>
      <c r="M337" s="987"/>
      <c r="N337" s="987"/>
      <c r="O337" s="987"/>
      <c r="P337" s="987"/>
      <c r="Q337" s="987"/>
      <c r="R337" s="987"/>
      <c r="S337" s="987"/>
      <c r="T337" s="987"/>
      <c r="U337" s="987"/>
      <c r="V337" s="987"/>
      <c r="W337" s="987"/>
      <c r="X337" s="987"/>
      <c r="Y337" s="987"/>
      <c r="Z337" s="987"/>
    </row>
    <row r="338">
      <c r="A338" s="987"/>
      <c r="B338" s="987"/>
      <c r="C338" s="987"/>
      <c r="D338" s="987"/>
      <c r="E338" s="987"/>
      <c r="F338" s="987"/>
      <c r="G338" s="987"/>
      <c r="H338" s="987"/>
      <c r="I338" s="987"/>
      <c r="J338" s="987"/>
      <c r="K338" s="987"/>
      <c r="L338" s="987"/>
      <c r="M338" s="987"/>
      <c r="N338" s="987"/>
      <c r="O338" s="987"/>
      <c r="P338" s="987"/>
      <c r="Q338" s="987"/>
      <c r="R338" s="987"/>
      <c r="S338" s="987"/>
      <c r="T338" s="987"/>
      <c r="U338" s="987"/>
      <c r="V338" s="987"/>
      <c r="W338" s="987"/>
      <c r="X338" s="987"/>
      <c r="Y338" s="987"/>
      <c r="Z338" s="987"/>
    </row>
    <row r="339">
      <c r="A339" s="987"/>
      <c r="B339" s="987"/>
      <c r="C339" s="987"/>
      <c r="D339" s="987"/>
      <c r="E339" s="987"/>
      <c r="F339" s="987"/>
      <c r="G339" s="987"/>
      <c r="H339" s="987"/>
      <c r="I339" s="987"/>
      <c r="J339" s="987"/>
      <c r="K339" s="987"/>
      <c r="L339" s="987"/>
      <c r="M339" s="987"/>
      <c r="N339" s="987"/>
      <c r="O339" s="987"/>
      <c r="P339" s="987"/>
      <c r="Q339" s="987"/>
      <c r="R339" s="987"/>
      <c r="S339" s="987"/>
      <c r="T339" s="987"/>
      <c r="U339" s="987"/>
      <c r="V339" s="987"/>
      <c r="W339" s="987"/>
      <c r="X339" s="987"/>
      <c r="Y339" s="987"/>
      <c r="Z339" s="987"/>
    </row>
    <row r="340">
      <c r="A340" s="987"/>
      <c r="B340" s="987"/>
      <c r="C340" s="987"/>
      <c r="D340" s="987"/>
      <c r="E340" s="987"/>
      <c r="F340" s="987"/>
      <c r="G340" s="987"/>
      <c r="H340" s="987"/>
      <c r="I340" s="987"/>
      <c r="J340" s="987"/>
      <c r="K340" s="987"/>
      <c r="L340" s="987"/>
      <c r="M340" s="987"/>
      <c r="N340" s="987"/>
      <c r="O340" s="987"/>
      <c r="P340" s="987"/>
      <c r="Q340" s="987"/>
      <c r="R340" s="987"/>
      <c r="S340" s="987"/>
      <c r="T340" s="987"/>
      <c r="U340" s="987"/>
      <c r="V340" s="987"/>
      <c r="W340" s="987"/>
      <c r="X340" s="987"/>
      <c r="Y340" s="987"/>
      <c r="Z340" s="987"/>
    </row>
    <row r="341">
      <c r="A341" s="987"/>
      <c r="B341" s="987"/>
      <c r="C341" s="987"/>
      <c r="D341" s="987"/>
      <c r="E341" s="987"/>
      <c r="F341" s="987"/>
      <c r="G341" s="987"/>
      <c r="H341" s="987"/>
      <c r="I341" s="987"/>
      <c r="J341" s="987"/>
      <c r="K341" s="987"/>
      <c r="L341" s="987"/>
      <c r="M341" s="987"/>
      <c r="N341" s="987"/>
      <c r="O341" s="987"/>
      <c r="P341" s="987"/>
      <c r="Q341" s="987"/>
      <c r="R341" s="987"/>
      <c r="S341" s="987"/>
      <c r="T341" s="987"/>
      <c r="U341" s="987"/>
      <c r="V341" s="987"/>
      <c r="W341" s="987"/>
      <c r="X341" s="987"/>
      <c r="Y341" s="987"/>
      <c r="Z341" s="987"/>
    </row>
    <row r="342">
      <c r="A342" s="987"/>
      <c r="B342" s="987"/>
      <c r="C342" s="987"/>
      <c r="D342" s="987"/>
      <c r="E342" s="987"/>
      <c r="F342" s="987"/>
      <c r="G342" s="987"/>
      <c r="H342" s="987"/>
      <c r="I342" s="987"/>
      <c r="J342" s="987"/>
      <c r="K342" s="987"/>
      <c r="L342" s="987"/>
      <c r="M342" s="987"/>
      <c r="N342" s="987"/>
      <c r="O342" s="987"/>
      <c r="P342" s="987"/>
      <c r="Q342" s="987"/>
      <c r="R342" s="987"/>
      <c r="S342" s="987"/>
      <c r="T342" s="987"/>
      <c r="U342" s="987"/>
      <c r="V342" s="987"/>
      <c r="W342" s="987"/>
      <c r="X342" s="987"/>
      <c r="Y342" s="987"/>
      <c r="Z342" s="987"/>
    </row>
    <row r="343">
      <c r="A343" s="987"/>
      <c r="B343" s="987"/>
      <c r="C343" s="987"/>
      <c r="D343" s="987"/>
      <c r="E343" s="987"/>
      <c r="F343" s="987"/>
      <c r="G343" s="987"/>
      <c r="H343" s="987"/>
      <c r="I343" s="987"/>
      <c r="J343" s="987"/>
      <c r="K343" s="987"/>
      <c r="L343" s="987"/>
      <c r="M343" s="987"/>
      <c r="N343" s="987"/>
      <c r="O343" s="987"/>
      <c r="P343" s="987"/>
      <c r="Q343" s="987"/>
      <c r="R343" s="987"/>
      <c r="S343" s="987"/>
      <c r="T343" s="987"/>
      <c r="U343" s="987"/>
      <c r="V343" s="987"/>
      <c r="W343" s="987"/>
      <c r="X343" s="987"/>
      <c r="Y343" s="987"/>
      <c r="Z343" s="987"/>
    </row>
    <row r="344">
      <c r="A344" s="987"/>
      <c r="B344" s="987"/>
      <c r="C344" s="987"/>
      <c r="D344" s="987"/>
      <c r="E344" s="987"/>
      <c r="F344" s="987"/>
      <c r="G344" s="987"/>
      <c r="H344" s="987"/>
      <c r="I344" s="987"/>
      <c r="J344" s="987"/>
      <c r="K344" s="987"/>
      <c r="L344" s="987"/>
      <c r="M344" s="987"/>
      <c r="N344" s="987"/>
      <c r="O344" s="987"/>
      <c r="P344" s="987"/>
      <c r="Q344" s="987"/>
      <c r="R344" s="987"/>
      <c r="S344" s="987"/>
      <c r="T344" s="987"/>
      <c r="U344" s="987"/>
      <c r="V344" s="987"/>
      <c r="W344" s="987"/>
      <c r="X344" s="987"/>
      <c r="Y344" s="987"/>
      <c r="Z344" s="987"/>
    </row>
    <row r="345">
      <c r="A345" s="987"/>
      <c r="B345" s="987"/>
      <c r="C345" s="987"/>
      <c r="D345" s="987"/>
      <c r="E345" s="987"/>
      <c r="F345" s="987"/>
      <c r="G345" s="987"/>
      <c r="H345" s="987"/>
      <c r="I345" s="987"/>
      <c r="J345" s="987"/>
      <c r="K345" s="987"/>
      <c r="L345" s="987"/>
      <c r="M345" s="987"/>
      <c r="N345" s="987"/>
      <c r="O345" s="987"/>
      <c r="P345" s="987"/>
      <c r="Q345" s="987"/>
      <c r="R345" s="987"/>
      <c r="S345" s="987"/>
      <c r="T345" s="987"/>
      <c r="U345" s="987"/>
      <c r="V345" s="987"/>
      <c r="W345" s="987"/>
      <c r="X345" s="987"/>
      <c r="Y345" s="987"/>
      <c r="Z345" s="987"/>
    </row>
    <row r="346">
      <c r="A346" s="987"/>
      <c r="B346" s="987"/>
      <c r="C346" s="987"/>
      <c r="D346" s="987"/>
      <c r="E346" s="987"/>
      <c r="F346" s="987"/>
      <c r="G346" s="987"/>
      <c r="H346" s="987"/>
      <c r="I346" s="987"/>
      <c r="J346" s="987"/>
      <c r="K346" s="987"/>
      <c r="L346" s="987"/>
      <c r="M346" s="987"/>
      <c r="N346" s="987"/>
      <c r="O346" s="987"/>
      <c r="P346" s="987"/>
      <c r="Q346" s="987"/>
      <c r="R346" s="987"/>
      <c r="S346" s="987"/>
      <c r="T346" s="987"/>
      <c r="U346" s="987"/>
      <c r="V346" s="987"/>
      <c r="W346" s="987"/>
      <c r="X346" s="987"/>
      <c r="Y346" s="987"/>
      <c r="Z346" s="987"/>
    </row>
    <row r="347">
      <c r="A347" s="987"/>
      <c r="B347" s="987"/>
      <c r="C347" s="987"/>
      <c r="D347" s="987"/>
      <c r="E347" s="987"/>
      <c r="F347" s="987"/>
      <c r="G347" s="987"/>
      <c r="H347" s="987"/>
      <c r="I347" s="987"/>
      <c r="J347" s="987"/>
      <c r="K347" s="987"/>
      <c r="L347" s="987"/>
      <c r="M347" s="987"/>
      <c r="N347" s="987"/>
      <c r="O347" s="987"/>
      <c r="P347" s="987"/>
      <c r="Q347" s="987"/>
      <c r="R347" s="987"/>
      <c r="S347" s="987"/>
      <c r="T347" s="987"/>
      <c r="U347" s="987"/>
      <c r="V347" s="987"/>
      <c r="W347" s="987"/>
      <c r="X347" s="987"/>
      <c r="Y347" s="987"/>
      <c r="Z347" s="987"/>
    </row>
    <row r="348">
      <c r="A348" s="987"/>
      <c r="B348" s="987"/>
      <c r="C348" s="987"/>
      <c r="D348" s="987"/>
      <c r="E348" s="987"/>
      <c r="F348" s="987"/>
      <c r="G348" s="987"/>
      <c r="H348" s="987"/>
      <c r="I348" s="987"/>
      <c r="J348" s="987"/>
      <c r="K348" s="987"/>
      <c r="L348" s="987"/>
      <c r="M348" s="987"/>
      <c r="N348" s="987"/>
      <c r="O348" s="987"/>
      <c r="P348" s="987"/>
      <c r="Q348" s="987"/>
      <c r="R348" s="987"/>
      <c r="S348" s="987"/>
      <c r="T348" s="987"/>
      <c r="U348" s="987"/>
      <c r="V348" s="987"/>
      <c r="W348" s="987"/>
      <c r="X348" s="987"/>
      <c r="Y348" s="987"/>
      <c r="Z348" s="987"/>
    </row>
    <row r="349">
      <c r="A349" s="987"/>
      <c r="B349" s="987"/>
      <c r="C349" s="987"/>
      <c r="D349" s="987"/>
      <c r="E349" s="987"/>
      <c r="F349" s="987"/>
      <c r="G349" s="987"/>
      <c r="H349" s="987"/>
      <c r="I349" s="987"/>
      <c r="J349" s="987"/>
      <c r="K349" s="987"/>
      <c r="L349" s="987"/>
      <c r="M349" s="987"/>
      <c r="N349" s="987"/>
      <c r="O349" s="987"/>
      <c r="P349" s="987"/>
      <c r="Q349" s="987"/>
      <c r="R349" s="987"/>
      <c r="S349" s="987"/>
      <c r="T349" s="987"/>
      <c r="U349" s="987"/>
      <c r="V349" s="987"/>
      <c r="W349" s="987"/>
      <c r="X349" s="987"/>
      <c r="Y349" s="987"/>
      <c r="Z349" s="987"/>
    </row>
    <row r="350">
      <c r="A350" s="987"/>
      <c r="B350" s="987"/>
      <c r="C350" s="987"/>
      <c r="D350" s="987"/>
      <c r="E350" s="987"/>
      <c r="F350" s="987"/>
      <c r="G350" s="987"/>
      <c r="H350" s="987"/>
      <c r="I350" s="987"/>
      <c r="J350" s="987"/>
      <c r="K350" s="987"/>
      <c r="L350" s="987"/>
      <c r="M350" s="987"/>
      <c r="N350" s="987"/>
      <c r="O350" s="987"/>
      <c r="P350" s="987"/>
      <c r="Q350" s="987"/>
      <c r="R350" s="987"/>
      <c r="S350" s="987"/>
      <c r="T350" s="987"/>
      <c r="U350" s="987"/>
      <c r="V350" s="987"/>
      <c r="W350" s="987"/>
      <c r="X350" s="987"/>
      <c r="Y350" s="987"/>
      <c r="Z350" s="987"/>
    </row>
    <row r="351">
      <c r="A351" s="987"/>
      <c r="B351" s="987"/>
      <c r="C351" s="987"/>
      <c r="D351" s="987"/>
      <c r="E351" s="987"/>
      <c r="F351" s="987"/>
      <c r="G351" s="987"/>
      <c r="H351" s="987"/>
      <c r="I351" s="987"/>
      <c r="J351" s="987"/>
      <c r="K351" s="987"/>
      <c r="L351" s="987"/>
      <c r="M351" s="987"/>
      <c r="N351" s="987"/>
      <c r="O351" s="987"/>
      <c r="P351" s="987"/>
      <c r="Q351" s="987"/>
      <c r="R351" s="987"/>
      <c r="S351" s="987"/>
      <c r="T351" s="987"/>
      <c r="U351" s="987"/>
      <c r="V351" s="987"/>
      <c r="W351" s="987"/>
      <c r="X351" s="987"/>
      <c r="Y351" s="987"/>
      <c r="Z351" s="987"/>
    </row>
    <row r="352">
      <c r="A352" s="987"/>
      <c r="B352" s="987"/>
      <c r="C352" s="987"/>
      <c r="D352" s="987"/>
      <c r="E352" s="987"/>
      <c r="F352" s="987"/>
      <c r="G352" s="987"/>
      <c r="H352" s="987"/>
      <c r="I352" s="987"/>
      <c r="J352" s="987"/>
      <c r="K352" s="987"/>
      <c r="L352" s="987"/>
      <c r="M352" s="987"/>
      <c r="N352" s="987"/>
      <c r="O352" s="987"/>
      <c r="P352" s="987"/>
      <c r="Q352" s="987"/>
      <c r="R352" s="987"/>
      <c r="S352" s="987"/>
      <c r="T352" s="987"/>
      <c r="U352" s="987"/>
      <c r="V352" s="987"/>
      <c r="W352" s="987"/>
      <c r="X352" s="987"/>
      <c r="Y352" s="987"/>
      <c r="Z352" s="987"/>
    </row>
    <row r="353">
      <c r="A353" s="987"/>
      <c r="B353" s="987"/>
      <c r="C353" s="987"/>
      <c r="D353" s="987"/>
      <c r="E353" s="987"/>
      <c r="F353" s="987"/>
      <c r="G353" s="987"/>
      <c r="H353" s="987"/>
      <c r="I353" s="987"/>
      <c r="J353" s="987"/>
      <c r="K353" s="987"/>
      <c r="L353" s="987"/>
      <c r="M353" s="987"/>
      <c r="N353" s="987"/>
      <c r="O353" s="987"/>
      <c r="P353" s="987"/>
      <c r="Q353" s="987"/>
      <c r="R353" s="987"/>
      <c r="S353" s="987"/>
      <c r="T353" s="987"/>
      <c r="U353" s="987"/>
      <c r="V353" s="987"/>
      <c r="W353" s="987"/>
      <c r="X353" s="987"/>
      <c r="Y353" s="987"/>
      <c r="Z353" s="987"/>
    </row>
    <row r="354">
      <c r="A354" s="987"/>
      <c r="B354" s="987"/>
      <c r="C354" s="987"/>
      <c r="D354" s="987"/>
      <c r="E354" s="987"/>
      <c r="F354" s="987"/>
      <c r="G354" s="987"/>
      <c r="H354" s="987"/>
      <c r="I354" s="987"/>
      <c r="J354" s="987"/>
      <c r="K354" s="987"/>
      <c r="L354" s="987"/>
      <c r="M354" s="987"/>
      <c r="N354" s="987"/>
      <c r="O354" s="987"/>
      <c r="P354" s="987"/>
      <c r="Q354" s="987"/>
      <c r="R354" s="987"/>
      <c r="S354" s="987"/>
      <c r="T354" s="987"/>
      <c r="U354" s="987"/>
      <c r="V354" s="987"/>
      <c r="W354" s="987"/>
      <c r="X354" s="987"/>
      <c r="Y354" s="987"/>
      <c r="Z354" s="987"/>
    </row>
    <row r="355">
      <c r="A355" s="987"/>
      <c r="B355" s="987"/>
      <c r="C355" s="987"/>
      <c r="D355" s="987"/>
      <c r="E355" s="987"/>
      <c r="F355" s="987"/>
      <c r="G355" s="987"/>
      <c r="H355" s="987"/>
      <c r="I355" s="987"/>
      <c r="J355" s="987"/>
      <c r="K355" s="987"/>
      <c r="L355" s="987"/>
      <c r="M355" s="987"/>
      <c r="N355" s="987"/>
      <c r="O355" s="987"/>
      <c r="P355" s="987"/>
      <c r="Q355" s="987"/>
      <c r="R355" s="987"/>
      <c r="S355" s="987"/>
      <c r="T355" s="987"/>
      <c r="U355" s="987"/>
      <c r="V355" s="987"/>
      <c r="W355" s="987"/>
      <c r="X355" s="987"/>
      <c r="Y355" s="987"/>
      <c r="Z355" s="987"/>
    </row>
    <row r="356">
      <c r="A356" s="987"/>
      <c r="B356" s="987"/>
      <c r="C356" s="987"/>
      <c r="D356" s="987"/>
      <c r="E356" s="987"/>
      <c r="F356" s="987"/>
      <c r="G356" s="987"/>
      <c r="H356" s="987"/>
      <c r="I356" s="987"/>
      <c r="J356" s="987"/>
      <c r="K356" s="987"/>
      <c r="L356" s="987"/>
      <c r="M356" s="987"/>
      <c r="N356" s="987"/>
      <c r="O356" s="987"/>
      <c r="P356" s="987"/>
      <c r="Q356" s="987"/>
      <c r="R356" s="987"/>
      <c r="S356" s="987"/>
      <c r="T356" s="987"/>
      <c r="U356" s="987"/>
      <c r="V356" s="987"/>
      <c r="W356" s="987"/>
      <c r="X356" s="987"/>
      <c r="Y356" s="987"/>
      <c r="Z356" s="987"/>
    </row>
    <row r="357">
      <c r="A357" s="987"/>
      <c r="B357" s="987"/>
      <c r="C357" s="987"/>
      <c r="D357" s="987"/>
      <c r="E357" s="987"/>
      <c r="F357" s="987"/>
      <c r="G357" s="987"/>
      <c r="H357" s="987"/>
      <c r="I357" s="987"/>
      <c r="J357" s="987"/>
      <c r="K357" s="987"/>
      <c r="L357" s="987"/>
      <c r="M357" s="987"/>
      <c r="N357" s="987"/>
      <c r="O357" s="987"/>
      <c r="P357" s="987"/>
      <c r="Q357" s="987"/>
      <c r="R357" s="987"/>
      <c r="S357" s="987"/>
      <c r="T357" s="987"/>
      <c r="U357" s="987"/>
      <c r="V357" s="987"/>
      <c r="W357" s="987"/>
      <c r="X357" s="987"/>
      <c r="Y357" s="987"/>
      <c r="Z357" s="987"/>
    </row>
    <row r="358">
      <c r="A358" s="987"/>
      <c r="B358" s="987"/>
      <c r="C358" s="987"/>
      <c r="D358" s="987"/>
      <c r="E358" s="987"/>
      <c r="F358" s="987"/>
      <c r="G358" s="987"/>
      <c r="H358" s="987"/>
      <c r="I358" s="987"/>
      <c r="J358" s="987"/>
      <c r="K358" s="987"/>
      <c r="L358" s="987"/>
      <c r="M358" s="987"/>
      <c r="N358" s="987"/>
      <c r="O358" s="987"/>
      <c r="P358" s="987"/>
      <c r="Q358" s="987"/>
      <c r="R358" s="987"/>
      <c r="S358" s="987"/>
      <c r="T358" s="987"/>
      <c r="U358" s="987"/>
      <c r="V358" s="987"/>
      <c r="W358" s="987"/>
      <c r="X358" s="987"/>
      <c r="Y358" s="987"/>
      <c r="Z358" s="987"/>
    </row>
    <row r="359">
      <c r="A359" s="987"/>
      <c r="B359" s="987"/>
      <c r="C359" s="987"/>
      <c r="D359" s="987"/>
      <c r="E359" s="987"/>
      <c r="F359" s="987"/>
      <c r="G359" s="987"/>
      <c r="H359" s="987"/>
      <c r="I359" s="987"/>
      <c r="J359" s="987"/>
      <c r="K359" s="987"/>
      <c r="L359" s="987"/>
      <c r="M359" s="987"/>
      <c r="N359" s="987"/>
      <c r="O359" s="987"/>
      <c r="P359" s="987"/>
      <c r="Q359" s="987"/>
      <c r="R359" s="987"/>
      <c r="S359" s="987"/>
      <c r="T359" s="987"/>
      <c r="U359" s="987"/>
      <c r="V359" s="987"/>
      <c r="W359" s="987"/>
      <c r="X359" s="987"/>
      <c r="Y359" s="987"/>
      <c r="Z359" s="987"/>
    </row>
    <row r="360">
      <c r="A360" s="987"/>
      <c r="B360" s="987"/>
      <c r="C360" s="987"/>
      <c r="D360" s="987"/>
      <c r="E360" s="987"/>
      <c r="F360" s="987"/>
      <c r="G360" s="987"/>
      <c r="H360" s="987"/>
      <c r="I360" s="987"/>
      <c r="J360" s="987"/>
      <c r="K360" s="987"/>
      <c r="L360" s="987"/>
      <c r="M360" s="987"/>
      <c r="N360" s="987"/>
      <c r="O360" s="987"/>
      <c r="P360" s="987"/>
      <c r="Q360" s="987"/>
      <c r="R360" s="987"/>
      <c r="S360" s="987"/>
      <c r="T360" s="987"/>
      <c r="U360" s="987"/>
      <c r="V360" s="987"/>
      <c r="W360" s="987"/>
      <c r="X360" s="987"/>
      <c r="Y360" s="987"/>
      <c r="Z360" s="987"/>
    </row>
    <row r="361">
      <c r="A361" s="987"/>
      <c r="B361" s="987"/>
      <c r="C361" s="987"/>
      <c r="D361" s="987"/>
      <c r="E361" s="987"/>
      <c r="F361" s="987"/>
      <c r="G361" s="987"/>
      <c r="H361" s="987"/>
      <c r="I361" s="987"/>
      <c r="J361" s="987"/>
      <c r="K361" s="987"/>
      <c r="L361" s="987"/>
      <c r="M361" s="987"/>
      <c r="N361" s="987"/>
      <c r="O361" s="987"/>
      <c r="P361" s="987"/>
      <c r="Q361" s="987"/>
      <c r="R361" s="987"/>
      <c r="S361" s="987"/>
      <c r="T361" s="987"/>
      <c r="U361" s="987"/>
      <c r="V361" s="987"/>
      <c r="W361" s="987"/>
      <c r="X361" s="987"/>
      <c r="Y361" s="987"/>
      <c r="Z361" s="987"/>
    </row>
    <row r="362">
      <c r="A362" s="987"/>
      <c r="B362" s="987"/>
      <c r="C362" s="987"/>
      <c r="D362" s="987"/>
      <c r="E362" s="987"/>
      <c r="F362" s="987"/>
      <c r="G362" s="987"/>
      <c r="H362" s="987"/>
      <c r="I362" s="987"/>
      <c r="J362" s="987"/>
      <c r="K362" s="987"/>
      <c r="L362" s="987"/>
      <c r="M362" s="987"/>
      <c r="N362" s="987"/>
      <c r="O362" s="987"/>
      <c r="P362" s="987"/>
      <c r="Q362" s="987"/>
      <c r="R362" s="987"/>
      <c r="S362" s="987"/>
      <c r="T362" s="987"/>
      <c r="U362" s="987"/>
      <c r="V362" s="987"/>
      <c r="W362" s="987"/>
      <c r="X362" s="987"/>
      <c r="Y362" s="987"/>
      <c r="Z362" s="987"/>
    </row>
    <row r="363">
      <c r="A363" s="987"/>
      <c r="B363" s="987"/>
      <c r="C363" s="987"/>
      <c r="D363" s="987"/>
      <c r="E363" s="987"/>
      <c r="F363" s="987"/>
      <c r="G363" s="987"/>
      <c r="H363" s="987"/>
      <c r="I363" s="987"/>
      <c r="J363" s="987"/>
      <c r="K363" s="987"/>
      <c r="L363" s="987"/>
      <c r="M363" s="987"/>
      <c r="N363" s="987"/>
      <c r="O363" s="987"/>
      <c r="P363" s="987"/>
      <c r="Q363" s="987"/>
      <c r="R363" s="987"/>
      <c r="S363" s="987"/>
      <c r="T363" s="987"/>
      <c r="U363" s="987"/>
      <c r="V363" s="987"/>
      <c r="W363" s="987"/>
      <c r="X363" s="987"/>
      <c r="Y363" s="987"/>
      <c r="Z363" s="987"/>
    </row>
    <row r="364">
      <c r="A364" s="987"/>
      <c r="B364" s="987"/>
      <c r="C364" s="987"/>
      <c r="D364" s="987"/>
      <c r="E364" s="987"/>
      <c r="F364" s="987"/>
      <c r="G364" s="987"/>
      <c r="H364" s="987"/>
      <c r="I364" s="987"/>
      <c r="J364" s="987"/>
      <c r="K364" s="987"/>
      <c r="L364" s="987"/>
      <c r="M364" s="987"/>
      <c r="N364" s="987"/>
      <c r="O364" s="987"/>
      <c r="P364" s="987"/>
      <c r="Q364" s="987"/>
      <c r="R364" s="987"/>
      <c r="S364" s="987"/>
      <c r="T364" s="987"/>
      <c r="U364" s="987"/>
      <c r="V364" s="987"/>
      <c r="W364" s="987"/>
      <c r="X364" s="987"/>
      <c r="Y364" s="987"/>
      <c r="Z364" s="987"/>
    </row>
    <row r="365">
      <c r="A365" s="987"/>
      <c r="B365" s="987"/>
      <c r="C365" s="987"/>
      <c r="D365" s="987"/>
      <c r="E365" s="987"/>
      <c r="F365" s="987"/>
      <c r="G365" s="987"/>
      <c r="H365" s="987"/>
      <c r="I365" s="987"/>
      <c r="J365" s="987"/>
      <c r="K365" s="987"/>
      <c r="L365" s="987"/>
      <c r="M365" s="987"/>
      <c r="N365" s="987"/>
      <c r="O365" s="987"/>
      <c r="P365" s="987"/>
      <c r="Q365" s="987"/>
      <c r="R365" s="987"/>
      <c r="S365" s="987"/>
      <c r="T365" s="987"/>
      <c r="U365" s="987"/>
      <c r="V365" s="987"/>
      <c r="W365" s="987"/>
      <c r="X365" s="987"/>
      <c r="Y365" s="987"/>
      <c r="Z365" s="987"/>
    </row>
    <row r="366">
      <c r="A366" s="987"/>
      <c r="B366" s="987"/>
      <c r="C366" s="987"/>
      <c r="D366" s="987"/>
      <c r="E366" s="987"/>
      <c r="F366" s="987"/>
      <c r="G366" s="987"/>
      <c r="H366" s="987"/>
      <c r="I366" s="987"/>
      <c r="J366" s="987"/>
      <c r="K366" s="987"/>
      <c r="L366" s="987"/>
      <c r="M366" s="987"/>
      <c r="N366" s="987"/>
      <c r="O366" s="987"/>
      <c r="P366" s="987"/>
      <c r="Q366" s="987"/>
      <c r="R366" s="987"/>
      <c r="S366" s="987"/>
      <c r="T366" s="987"/>
      <c r="U366" s="987"/>
      <c r="V366" s="987"/>
      <c r="W366" s="987"/>
      <c r="X366" s="987"/>
      <c r="Y366" s="987"/>
      <c r="Z366" s="987"/>
    </row>
    <row r="367">
      <c r="A367" s="987"/>
      <c r="B367" s="987"/>
      <c r="C367" s="987"/>
      <c r="D367" s="987"/>
      <c r="E367" s="987"/>
      <c r="F367" s="987"/>
      <c r="G367" s="987"/>
      <c r="H367" s="987"/>
      <c r="I367" s="987"/>
      <c r="J367" s="987"/>
      <c r="K367" s="987"/>
      <c r="L367" s="987"/>
      <c r="M367" s="987"/>
      <c r="N367" s="987"/>
      <c r="O367" s="987"/>
      <c r="P367" s="987"/>
      <c r="Q367" s="987"/>
      <c r="R367" s="987"/>
      <c r="S367" s="987"/>
      <c r="T367" s="987"/>
      <c r="U367" s="987"/>
      <c r="V367" s="987"/>
      <c r="W367" s="987"/>
      <c r="X367" s="987"/>
      <c r="Y367" s="987"/>
      <c r="Z367" s="987"/>
    </row>
    <row r="368">
      <c r="A368" s="987"/>
      <c r="B368" s="987"/>
      <c r="C368" s="987"/>
      <c r="D368" s="987"/>
      <c r="E368" s="987"/>
      <c r="F368" s="987"/>
      <c r="G368" s="987"/>
      <c r="H368" s="987"/>
      <c r="I368" s="987"/>
      <c r="J368" s="987"/>
      <c r="K368" s="987"/>
      <c r="L368" s="987"/>
      <c r="M368" s="987"/>
      <c r="N368" s="987"/>
      <c r="O368" s="987"/>
      <c r="P368" s="987"/>
      <c r="Q368" s="987"/>
      <c r="R368" s="987"/>
      <c r="S368" s="987"/>
      <c r="T368" s="987"/>
      <c r="U368" s="987"/>
      <c r="V368" s="987"/>
      <c r="W368" s="987"/>
      <c r="X368" s="987"/>
      <c r="Y368" s="987"/>
      <c r="Z368" s="987"/>
    </row>
    <row r="369">
      <c r="A369" s="987"/>
      <c r="B369" s="987"/>
      <c r="C369" s="987"/>
      <c r="D369" s="987"/>
      <c r="E369" s="987"/>
      <c r="F369" s="987"/>
      <c r="G369" s="987"/>
      <c r="H369" s="987"/>
      <c r="I369" s="987"/>
      <c r="J369" s="987"/>
      <c r="K369" s="987"/>
      <c r="L369" s="987"/>
      <c r="M369" s="987"/>
      <c r="N369" s="987"/>
      <c r="O369" s="987"/>
      <c r="P369" s="987"/>
      <c r="Q369" s="987"/>
      <c r="R369" s="987"/>
      <c r="S369" s="987"/>
      <c r="T369" s="987"/>
      <c r="U369" s="987"/>
      <c r="V369" s="987"/>
      <c r="W369" s="987"/>
      <c r="X369" s="987"/>
      <c r="Y369" s="987"/>
      <c r="Z369" s="987"/>
    </row>
    <row r="370">
      <c r="A370" s="987"/>
      <c r="B370" s="987"/>
      <c r="C370" s="987"/>
      <c r="D370" s="987"/>
      <c r="E370" s="987"/>
      <c r="F370" s="987"/>
      <c r="G370" s="987"/>
      <c r="H370" s="987"/>
      <c r="I370" s="987"/>
      <c r="J370" s="987"/>
      <c r="K370" s="987"/>
      <c r="L370" s="987"/>
      <c r="M370" s="987"/>
      <c r="N370" s="987"/>
      <c r="O370" s="987"/>
      <c r="P370" s="987"/>
      <c r="Q370" s="987"/>
      <c r="R370" s="987"/>
      <c r="S370" s="987"/>
      <c r="T370" s="987"/>
      <c r="U370" s="987"/>
      <c r="V370" s="987"/>
      <c r="W370" s="987"/>
      <c r="X370" s="987"/>
      <c r="Y370" s="987"/>
      <c r="Z370" s="987"/>
    </row>
    <row r="371">
      <c r="A371" s="987"/>
      <c r="B371" s="987"/>
      <c r="C371" s="987"/>
      <c r="D371" s="987"/>
      <c r="E371" s="987"/>
      <c r="F371" s="987"/>
      <c r="G371" s="987"/>
      <c r="H371" s="987"/>
      <c r="I371" s="987"/>
      <c r="J371" s="987"/>
      <c r="K371" s="987"/>
      <c r="L371" s="987"/>
      <c r="M371" s="987"/>
      <c r="N371" s="987"/>
      <c r="O371" s="987"/>
      <c r="P371" s="987"/>
      <c r="Q371" s="987"/>
      <c r="R371" s="987"/>
      <c r="S371" s="987"/>
      <c r="T371" s="987"/>
      <c r="U371" s="987"/>
      <c r="V371" s="987"/>
      <c r="W371" s="987"/>
      <c r="X371" s="987"/>
      <c r="Y371" s="987"/>
      <c r="Z371" s="987"/>
    </row>
    <row r="372">
      <c r="A372" s="987"/>
      <c r="B372" s="987"/>
      <c r="C372" s="987"/>
      <c r="D372" s="987"/>
      <c r="E372" s="987"/>
      <c r="F372" s="987"/>
      <c r="G372" s="987"/>
      <c r="H372" s="987"/>
      <c r="I372" s="987"/>
      <c r="J372" s="987"/>
      <c r="K372" s="987"/>
      <c r="L372" s="987"/>
      <c r="M372" s="987"/>
      <c r="N372" s="987"/>
      <c r="O372" s="987"/>
      <c r="P372" s="987"/>
      <c r="Q372" s="987"/>
      <c r="R372" s="987"/>
      <c r="S372" s="987"/>
      <c r="T372" s="987"/>
      <c r="U372" s="987"/>
      <c r="V372" s="987"/>
      <c r="W372" s="987"/>
      <c r="X372" s="987"/>
      <c r="Y372" s="987"/>
      <c r="Z372" s="987"/>
    </row>
    <row r="373">
      <c r="A373" s="987"/>
      <c r="B373" s="987"/>
      <c r="C373" s="987"/>
      <c r="D373" s="987"/>
      <c r="E373" s="987"/>
      <c r="F373" s="987"/>
      <c r="G373" s="987"/>
      <c r="H373" s="987"/>
      <c r="I373" s="987"/>
      <c r="J373" s="987"/>
      <c r="K373" s="987"/>
      <c r="L373" s="987"/>
      <c r="M373" s="987"/>
      <c r="N373" s="987"/>
      <c r="O373" s="987"/>
      <c r="P373" s="987"/>
      <c r="Q373" s="987"/>
      <c r="R373" s="987"/>
      <c r="S373" s="987"/>
      <c r="T373" s="987"/>
      <c r="U373" s="987"/>
      <c r="V373" s="987"/>
      <c r="W373" s="987"/>
      <c r="X373" s="987"/>
      <c r="Y373" s="987"/>
      <c r="Z373" s="987"/>
    </row>
    <row r="374">
      <c r="A374" s="987"/>
      <c r="B374" s="987"/>
      <c r="C374" s="987"/>
      <c r="D374" s="987"/>
      <c r="E374" s="987"/>
      <c r="F374" s="987"/>
      <c r="G374" s="987"/>
      <c r="H374" s="987"/>
      <c r="I374" s="987"/>
      <c r="J374" s="987"/>
      <c r="K374" s="987"/>
      <c r="L374" s="987"/>
      <c r="M374" s="987"/>
      <c r="N374" s="987"/>
      <c r="O374" s="987"/>
      <c r="P374" s="987"/>
      <c r="Q374" s="987"/>
      <c r="R374" s="987"/>
      <c r="S374" s="987"/>
      <c r="T374" s="987"/>
      <c r="U374" s="987"/>
      <c r="V374" s="987"/>
      <c r="W374" s="987"/>
      <c r="X374" s="987"/>
      <c r="Y374" s="987"/>
      <c r="Z374" s="987"/>
    </row>
    <row r="375">
      <c r="A375" s="987"/>
      <c r="B375" s="987"/>
      <c r="C375" s="987"/>
      <c r="D375" s="987"/>
      <c r="E375" s="987"/>
      <c r="F375" s="987"/>
      <c r="G375" s="987"/>
      <c r="H375" s="987"/>
      <c r="I375" s="987"/>
      <c r="J375" s="987"/>
      <c r="K375" s="987"/>
      <c r="L375" s="987"/>
      <c r="M375" s="987"/>
      <c r="N375" s="987"/>
      <c r="O375" s="987"/>
      <c r="P375" s="987"/>
      <c r="Q375" s="987"/>
      <c r="R375" s="987"/>
      <c r="S375" s="987"/>
      <c r="T375" s="987"/>
      <c r="U375" s="987"/>
      <c r="V375" s="987"/>
      <c r="W375" s="987"/>
      <c r="X375" s="987"/>
      <c r="Y375" s="987"/>
      <c r="Z375" s="987"/>
    </row>
    <row r="376">
      <c r="A376" s="987"/>
      <c r="B376" s="987"/>
      <c r="C376" s="987"/>
      <c r="D376" s="987"/>
      <c r="E376" s="987"/>
      <c r="F376" s="987"/>
      <c r="G376" s="987"/>
      <c r="H376" s="987"/>
      <c r="I376" s="987"/>
      <c r="J376" s="987"/>
      <c r="K376" s="987"/>
      <c r="L376" s="987"/>
      <c r="M376" s="987"/>
      <c r="N376" s="987"/>
      <c r="O376" s="987"/>
      <c r="P376" s="987"/>
      <c r="Q376" s="987"/>
      <c r="R376" s="987"/>
      <c r="S376" s="987"/>
      <c r="T376" s="987"/>
      <c r="U376" s="987"/>
      <c r="V376" s="987"/>
      <c r="W376" s="987"/>
      <c r="X376" s="987"/>
      <c r="Y376" s="987"/>
      <c r="Z376" s="987"/>
    </row>
    <row r="377">
      <c r="A377" s="987"/>
      <c r="B377" s="987"/>
      <c r="C377" s="987"/>
      <c r="D377" s="987"/>
      <c r="E377" s="987"/>
      <c r="F377" s="987"/>
      <c r="G377" s="987"/>
      <c r="H377" s="987"/>
      <c r="I377" s="987"/>
      <c r="J377" s="987"/>
      <c r="K377" s="987"/>
      <c r="L377" s="987"/>
      <c r="M377" s="987"/>
      <c r="N377" s="987"/>
      <c r="O377" s="987"/>
      <c r="P377" s="987"/>
      <c r="Q377" s="987"/>
      <c r="R377" s="987"/>
      <c r="S377" s="987"/>
      <c r="T377" s="987"/>
      <c r="U377" s="987"/>
      <c r="V377" s="987"/>
      <c r="W377" s="987"/>
      <c r="X377" s="987"/>
      <c r="Y377" s="987"/>
      <c r="Z377" s="987"/>
    </row>
    <row r="378">
      <c r="A378" s="987"/>
      <c r="B378" s="987"/>
      <c r="C378" s="987"/>
      <c r="D378" s="987"/>
      <c r="E378" s="987"/>
      <c r="F378" s="987"/>
      <c r="G378" s="987"/>
      <c r="H378" s="987"/>
      <c r="I378" s="987"/>
      <c r="J378" s="987"/>
      <c r="K378" s="987"/>
      <c r="L378" s="987"/>
      <c r="M378" s="987"/>
      <c r="N378" s="987"/>
      <c r="O378" s="987"/>
      <c r="P378" s="987"/>
      <c r="Q378" s="987"/>
      <c r="R378" s="987"/>
      <c r="S378" s="987"/>
      <c r="T378" s="987"/>
      <c r="U378" s="987"/>
      <c r="V378" s="987"/>
      <c r="W378" s="987"/>
      <c r="X378" s="987"/>
      <c r="Y378" s="987"/>
      <c r="Z378" s="987"/>
    </row>
    <row r="379">
      <c r="A379" s="987"/>
      <c r="B379" s="987"/>
      <c r="C379" s="987"/>
      <c r="D379" s="987"/>
      <c r="E379" s="987"/>
      <c r="F379" s="987"/>
      <c r="G379" s="987"/>
      <c r="H379" s="987"/>
      <c r="I379" s="987"/>
      <c r="J379" s="987"/>
      <c r="K379" s="987"/>
      <c r="L379" s="987"/>
      <c r="M379" s="987"/>
      <c r="N379" s="987"/>
      <c r="O379" s="987"/>
      <c r="P379" s="987"/>
      <c r="Q379" s="987"/>
      <c r="R379" s="987"/>
      <c r="S379" s="987"/>
      <c r="T379" s="987"/>
      <c r="U379" s="987"/>
      <c r="V379" s="987"/>
      <c r="W379" s="987"/>
      <c r="X379" s="987"/>
      <c r="Y379" s="987"/>
      <c r="Z379" s="987"/>
    </row>
    <row r="380">
      <c r="A380" s="987"/>
      <c r="B380" s="987"/>
      <c r="C380" s="987"/>
      <c r="D380" s="987"/>
      <c r="E380" s="987"/>
      <c r="F380" s="987"/>
      <c r="G380" s="987"/>
      <c r="H380" s="987"/>
      <c r="I380" s="987"/>
      <c r="J380" s="987"/>
      <c r="K380" s="987"/>
      <c r="L380" s="987"/>
      <c r="M380" s="987"/>
      <c r="N380" s="987"/>
      <c r="O380" s="987"/>
      <c r="P380" s="987"/>
      <c r="Q380" s="987"/>
      <c r="R380" s="987"/>
      <c r="S380" s="987"/>
      <c r="T380" s="987"/>
      <c r="U380" s="987"/>
      <c r="V380" s="987"/>
      <c r="W380" s="987"/>
      <c r="X380" s="987"/>
      <c r="Y380" s="987"/>
      <c r="Z380" s="987"/>
    </row>
    <row r="381">
      <c r="A381" s="987"/>
      <c r="B381" s="987"/>
      <c r="C381" s="987"/>
      <c r="D381" s="987"/>
      <c r="E381" s="987"/>
      <c r="F381" s="987"/>
      <c r="G381" s="987"/>
      <c r="H381" s="987"/>
      <c r="I381" s="987"/>
      <c r="J381" s="987"/>
      <c r="K381" s="987"/>
      <c r="L381" s="987"/>
      <c r="M381" s="987"/>
      <c r="N381" s="987"/>
      <c r="O381" s="987"/>
      <c r="P381" s="987"/>
      <c r="Q381" s="987"/>
      <c r="R381" s="987"/>
      <c r="S381" s="987"/>
      <c r="T381" s="987"/>
      <c r="U381" s="987"/>
      <c r="V381" s="987"/>
      <c r="W381" s="987"/>
      <c r="X381" s="987"/>
      <c r="Y381" s="987"/>
      <c r="Z381" s="987"/>
    </row>
    <row r="382">
      <c r="A382" s="987"/>
      <c r="B382" s="987"/>
      <c r="C382" s="987"/>
      <c r="D382" s="987"/>
      <c r="E382" s="987"/>
      <c r="F382" s="987"/>
      <c r="G382" s="987"/>
      <c r="H382" s="987"/>
      <c r="I382" s="987"/>
      <c r="J382" s="987"/>
      <c r="K382" s="987"/>
      <c r="L382" s="987"/>
      <c r="M382" s="987"/>
      <c r="N382" s="987"/>
      <c r="O382" s="987"/>
      <c r="P382" s="987"/>
      <c r="Q382" s="987"/>
      <c r="R382" s="987"/>
      <c r="S382" s="987"/>
      <c r="T382" s="987"/>
      <c r="U382" s="987"/>
      <c r="V382" s="987"/>
      <c r="W382" s="987"/>
      <c r="X382" s="987"/>
      <c r="Y382" s="987"/>
      <c r="Z382" s="987"/>
    </row>
    <row r="383">
      <c r="A383" s="987"/>
      <c r="B383" s="987"/>
      <c r="C383" s="987"/>
      <c r="D383" s="987"/>
      <c r="E383" s="987"/>
      <c r="F383" s="987"/>
      <c r="G383" s="987"/>
      <c r="H383" s="987"/>
      <c r="I383" s="987"/>
      <c r="J383" s="987"/>
      <c r="K383" s="987"/>
      <c r="L383" s="987"/>
      <c r="M383" s="987"/>
      <c r="N383" s="987"/>
      <c r="O383" s="987"/>
      <c r="P383" s="987"/>
      <c r="Q383" s="987"/>
      <c r="R383" s="987"/>
      <c r="S383" s="987"/>
      <c r="T383" s="987"/>
      <c r="U383" s="987"/>
      <c r="V383" s="987"/>
      <c r="W383" s="987"/>
      <c r="X383" s="987"/>
      <c r="Y383" s="987"/>
      <c r="Z383" s="987"/>
    </row>
    <row r="384">
      <c r="A384" s="987"/>
      <c r="B384" s="987"/>
      <c r="C384" s="987"/>
      <c r="D384" s="987"/>
      <c r="E384" s="987"/>
      <c r="F384" s="987"/>
      <c r="G384" s="987"/>
      <c r="H384" s="987"/>
      <c r="I384" s="987"/>
      <c r="J384" s="987"/>
      <c r="K384" s="987"/>
      <c r="L384" s="987"/>
      <c r="M384" s="987"/>
      <c r="N384" s="987"/>
      <c r="O384" s="987"/>
      <c r="P384" s="987"/>
      <c r="Q384" s="987"/>
      <c r="R384" s="987"/>
      <c r="S384" s="987"/>
      <c r="T384" s="987"/>
      <c r="U384" s="987"/>
      <c r="V384" s="987"/>
      <c r="W384" s="987"/>
      <c r="X384" s="987"/>
      <c r="Y384" s="987"/>
      <c r="Z384" s="987"/>
    </row>
    <row r="385">
      <c r="A385" s="987"/>
      <c r="B385" s="987"/>
      <c r="C385" s="987"/>
      <c r="D385" s="987"/>
      <c r="E385" s="987"/>
      <c r="F385" s="987"/>
      <c r="G385" s="987"/>
      <c r="H385" s="987"/>
      <c r="I385" s="987"/>
      <c r="J385" s="987"/>
      <c r="K385" s="987"/>
      <c r="L385" s="987"/>
      <c r="M385" s="987"/>
      <c r="N385" s="987"/>
      <c r="O385" s="987"/>
      <c r="P385" s="987"/>
      <c r="Q385" s="987"/>
      <c r="R385" s="987"/>
      <c r="S385" s="987"/>
      <c r="T385" s="987"/>
      <c r="U385" s="987"/>
      <c r="V385" s="987"/>
      <c r="W385" s="987"/>
      <c r="X385" s="987"/>
      <c r="Y385" s="987"/>
      <c r="Z385" s="987"/>
    </row>
    <row r="386">
      <c r="A386" s="987"/>
      <c r="B386" s="987"/>
      <c r="C386" s="987"/>
      <c r="D386" s="987"/>
      <c r="E386" s="987"/>
      <c r="F386" s="987"/>
      <c r="G386" s="987"/>
      <c r="H386" s="987"/>
      <c r="I386" s="987"/>
      <c r="J386" s="987"/>
      <c r="K386" s="987"/>
      <c r="L386" s="987"/>
      <c r="M386" s="987"/>
      <c r="N386" s="987"/>
      <c r="O386" s="987"/>
      <c r="P386" s="987"/>
      <c r="Q386" s="987"/>
      <c r="R386" s="987"/>
      <c r="S386" s="987"/>
      <c r="T386" s="987"/>
      <c r="U386" s="987"/>
      <c r="V386" s="987"/>
      <c r="W386" s="987"/>
      <c r="X386" s="987"/>
      <c r="Y386" s="987"/>
      <c r="Z386" s="987"/>
    </row>
    <row r="387">
      <c r="A387" s="987"/>
      <c r="B387" s="987"/>
      <c r="C387" s="987"/>
      <c r="D387" s="987"/>
      <c r="E387" s="987"/>
      <c r="F387" s="987"/>
      <c r="G387" s="987"/>
      <c r="H387" s="987"/>
      <c r="I387" s="987"/>
      <c r="J387" s="987"/>
      <c r="K387" s="987"/>
      <c r="L387" s="987"/>
      <c r="M387" s="987"/>
      <c r="N387" s="987"/>
      <c r="O387" s="987"/>
      <c r="P387" s="987"/>
      <c r="Q387" s="987"/>
      <c r="R387" s="987"/>
      <c r="S387" s="987"/>
      <c r="T387" s="987"/>
      <c r="U387" s="987"/>
      <c r="V387" s="987"/>
      <c r="W387" s="987"/>
      <c r="X387" s="987"/>
      <c r="Y387" s="987"/>
      <c r="Z387" s="987"/>
    </row>
    <row r="388">
      <c r="A388" s="987"/>
      <c r="B388" s="987"/>
      <c r="C388" s="987"/>
      <c r="D388" s="987"/>
      <c r="E388" s="987"/>
      <c r="F388" s="987"/>
      <c r="G388" s="987"/>
      <c r="H388" s="987"/>
      <c r="I388" s="987"/>
      <c r="J388" s="987"/>
      <c r="K388" s="987"/>
      <c r="L388" s="987"/>
      <c r="M388" s="987"/>
      <c r="N388" s="987"/>
      <c r="O388" s="987"/>
      <c r="P388" s="987"/>
      <c r="Q388" s="987"/>
      <c r="R388" s="987"/>
      <c r="S388" s="987"/>
      <c r="T388" s="987"/>
      <c r="U388" s="987"/>
      <c r="V388" s="987"/>
      <c r="W388" s="987"/>
      <c r="X388" s="987"/>
      <c r="Y388" s="987"/>
      <c r="Z388" s="987"/>
    </row>
    <row r="389">
      <c r="A389" s="987"/>
      <c r="B389" s="987"/>
      <c r="C389" s="987"/>
      <c r="D389" s="987"/>
      <c r="E389" s="987"/>
      <c r="F389" s="987"/>
      <c r="G389" s="987"/>
      <c r="H389" s="987"/>
      <c r="I389" s="987"/>
      <c r="J389" s="987"/>
      <c r="K389" s="987"/>
      <c r="L389" s="987"/>
      <c r="M389" s="987"/>
      <c r="N389" s="987"/>
      <c r="O389" s="987"/>
      <c r="P389" s="987"/>
      <c r="Q389" s="987"/>
      <c r="R389" s="987"/>
      <c r="S389" s="987"/>
      <c r="T389" s="987"/>
      <c r="U389" s="987"/>
      <c r="V389" s="987"/>
      <c r="W389" s="987"/>
      <c r="X389" s="987"/>
      <c r="Y389" s="987"/>
      <c r="Z389" s="987"/>
    </row>
    <row r="390">
      <c r="A390" s="987"/>
      <c r="B390" s="987"/>
      <c r="C390" s="987"/>
      <c r="D390" s="987"/>
      <c r="E390" s="987"/>
      <c r="F390" s="987"/>
      <c r="G390" s="987"/>
      <c r="H390" s="987"/>
      <c r="I390" s="987"/>
      <c r="J390" s="987"/>
      <c r="K390" s="987"/>
      <c r="L390" s="987"/>
      <c r="M390" s="987"/>
      <c r="N390" s="987"/>
      <c r="O390" s="987"/>
      <c r="P390" s="987"/>
      <c r="Q390" s="987"/>
      <c r="R390" s="987"/>
      <c r="S390" s="987"/>
      <c r="T390" s="987"/>
      <c r="U390" s="987"/>
      <c r="V390" s="987"/>
      <c r="W390" s="987"/>
      <c r="X390" s="987"/>
      <c r="Y390" s="987"/>
      <c r="Z390" s="987"/>
    </row>
    <row r="391">
      <c r="A391" s="987"/>
      <c r="B391" s="987"/>
      <c r="C391" s="987"/>
      <c r="D391" s="987"/>
      <c r="E391" s="987"/>
      <c r="F391" s="987"/>
      <c r="G391" s="987"/>
      <c r="H391" s="987"/>
      <c r="I391" s="987"/>
      <c r="J391" s="987"/>
      <c r="K391" s="987"/>
      <c r="L391" s="987"/>
      <c r="M391" s="987"/>
      <c r="N391" s="987"/>
      <c r="O391" s="987"/>
      <c r="P391" s="987"/>
      <c r="Q391" s="987"/>
      <c r="R391" s="987"/>
      <c r="S391" s="987"/>
      <c r="T391" s="987"/>
      <c r="U391" s="987"/>
      <c r="V391" s="987"/>
      <c r="W391" s="987"/>
      <c r="X391" s="987"/>
      <c r="Y391" s="987"/>
      <c r="Z391" s="987"/>
    </row>
    <row r="392">
      <c r="A392" s="987"/>
      <c r="B392" s="987"/>
      <c r="C392" s="987"/>
      <c r="D392" s="987"/>
      <c r="E392" s="987"/>
      <c r="F392" s="987"/>
      <c r="G392" s="987"/>
      <c r="H392" s="987"/>
      <c r="I392" s="987"/>
      <c r="J392" s="987"/>
      <c r="K392" s="987"/>
      <c r="L392" s="987"/>
      <c r="M392" s="987"/>
      <c r="N392" s="987"/>
      <c r="O392" s="987"/>
      <c r="P392" s="987"/>
      <c r="Q392" s="987"/>
      <c r="R392" s="987"/>
      <c r="S392" s="987"/>
      <c r="T392" s="987"/>
      <c r="U392" s="987"/>
      <c r="V392" s="987"/>
      <c r="W392" s="987"/>
      <c r="X392" s="987"/>
      <c r="Y392" s="987"/>
      <c r="Z392" s="987"/>
    </row>
    <row r="393">
      <c r="A393" s="987"/>
      <c r="B393" s="987"/>
      <c r="C393" s="987"/>
      <c r="D393" s="987"/>
      <c r="E393" s="987"/>
      <c r="F393" s="987"/>
      <c r="G393" s="987"/>
      <c r="H393" s="987"/>
      <c r="I393" s="987"/>
      <c r="J393" s="987"/>
      <c r="K393" s="987"/>
      <c r="L393" s="987"/>
      <c r="M393" s="987"/>
      <c r="N393" s="987"/>
      <c r="O393" s="987"/>
      <c r="P393" s="987"/>
      <c r="Q393" s="987"/>
      <c r="R393" s="987"/>
      <c r="S393" s="987"/>
      <c r="T393" s="987"/>
      <c r="U393" s="987"/>
      <c r="V393" s="987"/>
      <c r="W393" s="987"/>
      <c r="X393" s="987"/>
      <c r="Y393" s="987"/>
      <c r="Z393" s="987"/>
    </row>
    <row r="394">
      <c r="A394" s="987"/>
      <c r="B394" s="987"/>
      <c r="C394" s="987"/>
      <c r="D394" s="987"/>
      <c r="E394" s="987"/>
      <c r="F394" s="987"/>
      <c r="G394" s="987"/>
      <c r="H394" s="987"/>
      <c r="I394" s="987"/>
      <c r="J394" s="987"/>
      <c r="K394" s="987"/>
      <c r="L394" s="987"/>
      <c r="M394" s="987"/>
      <c r="N394" s="987"/>
      <c r="O394" s="987"/>
      <c r="P394" s="987"/>
      <c r="Q394" s="987"/>
      <c r="R394" s="987"/>
      <c r="S394" s="987"/>
      <c r="T394" s="987"/>
      <c r="U394" s="987"/>
      <c r="V394" s="987"/>
      <c r="W394" s="987"/>
      <c r="X394" s="987"/>
      <c r="Y394" s="987"/>
      <c r="Z394" s="987"/>
    </row>
    <row r="395">
      <c r="A395" s="987"/>
      <c r="B395" s="987"/>
      <c r="C395" s="987"/>
      <c r="D395" s="987"/>
      <c r="E395" s="987"/>
      <c r="F395" s="987"/>
      <c r="G395" s="987"/>
      <c r="H395" s="987"/>
      <c r="I395" s="987"/>
      <c r="J395" s="987"/>
      <c r="K395" s="987"/>
      <c r="L395" s="987"/>
      <c r="M395" s="987"/>
      <c r="N395" s="987"/>
      <c r="O395" s="987"/>
      <c r="P395" s="987"/>
      <c r="Q395" s="987"/>
      <c r="R395" s="987"/>
      <c r="S395" s="987"/>
      <c r="T395" s="987"/>
      <c r="U395" s="987"/>
      <c r="V395" s="987"/>
      <c r="W395" s="987"/>
      <c r="X395" s="987"/>
      <c r="Y395" s="987"/>
      <c r="Z395" s="987"/>
    </row>
    <row r="396">
      <c r="A396" s="987"/>
      <c r="B396" s="987"/>
      <c r="C396" s="987"/>
      <c r="D396" s="987"/>
      <c r="E396" s="987"/>
      <c r="F396" s="987"/>
      <c r="G396" s="987"/>
      <c r="H396" s="987"/>
      <c r="I396" s="987"/>
      <c r="J396" s="987"/>
      <c r="K396" s="987"/>
      <c r="L396" s="987"/>
      <c r="M396" s="987"/>
      <c r="N396" s="987"/>
      <c r="O396" s="987"/>
      <c r="P396" s="987"/>
      <c r="Q396" s="987"/>
      <c r="R396" s="987"/>
      <c r="S396" s="987"/>
      <c r="T396" s="987"/>
      <c r="U396" s="987"/>
      <c r="V396" s="987"/>
      <c r="W396" s="987"/>
      <c r="X396" s="987"/>
      <c r="Y396" s="987"/>
      <c r="Z396" s="987"/>
    </row>
    <row r="397">
      <c r="A397" s="987"/>
      <c r="B397" s="987"/>
      <c r="C397" s="987"/>
      <c r="D397" s="987"/>
      <c r="E397" s="987"/>
      <c r="F397" s="987"/>
      <c r="G397" s="987"/>
      <c r="H397" s="987"/>
      <c r="I397" s="987"/>
      <c r="J397" s="987"/>
      <c r="K397" s="987"/>
      <c r="L397" s="987"/>
      <c r="M397" s="987"/>
      <c r="N397" s="987"/>
      <c r="O397" s="987"/>
      <c r="P397" s="987"/>
      <c r="Q397" s="987"/>
      <c r="R397" s="987"/>
      <c r="S397" s="987"/>
      <c r="T397" s="987"/>
      <c r="U397" s="987"/>
      <c r="V397" s="987"/>
      <c r="W397" s="987"/>
      <c r="X397" s="987"/>
      <c r="Y397" s="987"/>
      <c r="Z397" s="987"/>
    </row>
    <row r="398">
      <c r="A398" s="987"/>
      <c r="B398" s="987"/>
      <c r="C398" s="987"/>
      <c r="D398" s="987"/>
      <c r="E398" s="987"/>
      <c r="F398" s="987"/>
      <c r="G398" s="987"/>
      <c r="H398" s="987"/>
      <c r="I398" s="987"/>
      <c r="J398" s="987"/>
      <c r="K398" s="987"/>
      <c r="L398" s="987"/>
      <c r="M398" s="987"/>
      <c r="N398" s="987"/>
      <c r="O398" s="987"/>
      <c r="P398" s="987"/>
      <c r="Q398" s="987"/>
      <c r="R398" s="987"/>
      <c r="S398" s="987"/>
      <c r="T398" s="987"/>
      <c r="U398" s="987"/>
      <c r="V398" s="987"/>
      <c r="W398" s="987"/>
      <c r="X398" s="987"/>
      <c r="Y398" s="987"/>
      <c r="Z398" s="987"/>
    </row>
    <row r="399">
      <c r="A399" s="987"/>
      <c r="B399" s="987"/>
      <c r="C399" s="987"/>
      <c r="D399" s="987"/>
      <c r="E399" s="987"/>
      <c r="F399" s="987"/>
      <c r="G399" s="987"/>
      <c r="H399" s="987"/>
      <c r="I399" s="987"/>
      <c r="J399" s="987"/>
      <c r="K399" s="987"/>
      <c r="L399" s="987"/>
      <c r="M399" s="987"/>
      <c r="N399" s="987"/>
      <c r="O399" s="987"/>
      <c r="P399" s="987"/>
      <c r="Q399" s="987"/>
      <c r="R399" s="987"/>
      <c r="S399" s="987"/>
      <c r="T399" s="987"/>
      <c r="U399" s="987"/>
      <c r="V399" s="987"/>
      <c r="W399" s="987"/>
      <c r="X399" s="987"/>
      <c r="Y399" s="987"/>
      <c r="Z399" s="987"/>
    </row>
    <row r="400">
      <c r="A400" s="987"/>
      <c r="B400" s="987"/>
      <c r="C400" s="987"/>
      <c r="D400" s="987"/>
      <c r="E400" s="987"/>
      <c r="F400" s="987"/>
      <c r="G400" s="987"/>
      <c r="H400" s="987"/>
      <c r="I400" s="987"/>
      <c r="J400" s="987"/>
      <c r="K400" s="987"/>
      <c r="L400" s="987"/>
      <c r="M400" s="987"/>
      <c r="N400" s="987"/>
      <c r="O400" s="987"/>
      <c r="P400" s="987"/>
      <c r="Q400" s="987"/>
      <c r="R400" s="987"/>
      <c r="S400" s="987"/>
      <c r="T400" s="987"/>
      <c r="U400" s="987"/>
      <c r="V400" s="987"/>
      <c r="W400" s="987"/>
      <c r="X400" s="987"/>
      <c r="Y400" s="987"/>
      <c r="Z400" s="987"/>
    </row>
    <row r="401">
      <c r="A401" s="987"/>
      <c r="B401" s="987"/>
      <c r="C401" s="987"/>
      <c r="D401" s="987"/>
      <c r="E401" s="987"/>
      <c r="F401" s="987"/>
      <c r="G401" s="987"/>
      <c r="H401" s="987"/>
      <c r="I401" s="987"/>
      <c r="J401" s="987"/>
      <c r="K401" s="987"/>
      <c r="L401" s="987"/>
      <c r="M401" s="987"/>
      <c r="N401" s="987"/>
      <c r="O401" s="987"/>
      <c r="P401" s="987"/>
      <c r="Q401" s="987"/>
      <c r="R401" s="987"/>
      <c r="S401" s="987"/>
      <c r="T401" s="987"/>
      <c r="U401" s="987"/>
      <c r="V401" s="987"/>
      <c r="W401" s="987"/>
      <c r="X401" s="987"/>
      <c r="Y401" s="987"/>
      <c r="Z401" s="987"/>
    </row>
    <row r="402">
      <c r="A402" s="987"/>
      <c r="B402" s="987"/>
      <c r="C402" s="987"/>
      <c r="D402" s="987"/>
      <c r="E402" s="987"/>
      <c r="F402" s="987"/>
      <c r="G402" s="987"/>
      <c r="H402" s="987"/>
      <c r="I402" s="987"/>
      <c r="J402" s="987"/>
      <c r="K402" s="987"/>
      <c r="L402" s="987"/>
      <c r="M402" s="987"/>
      <c r="N402" s="987"/>
      <c r="O402" s="987"/>
      <c r="P402" s="987"/>
      <c r="Q402" s="987"/>
      <c r="R402" s="987"/>
      <c r="S402" s="987"/>
      <c r="T402" s="987"/>
      <c r="U402" s="987"/>
      <c r="V402" s="987"/>
      <c r="W402" s="987"/>
      <c r="X402" s="987"/>
      <c r="Y402" s="987"/>
      <c r="Z402" s="987"/>
    </row>
    <row r="403">
      <c r="A403" s="987"/>
      <c r="B403" s="987"/>
      <c r="C403" s="987"/>
      <c r="D403" s="987"/>
      <c r="E403" s="987"/>
      <c r="F403" s="987"/>
      <c r="G403" s="987"/>
      <c r="H403" s="987"/>
      <c r="I403" s="987"/>
      <c r="J403" s="987"/>
      <c r="K403" s="987"/>
      <c r="L403" s="987"/>
      <c r="M403" s="987"/>
      <c r="N403" s="987"/>
      <c r="O403" s="987"/>
      <c r="P403" s="987"/>
      <c r="Q403" s="987"/>
      <c r="R403" s="987"/>
      <c r="S403" s="987"/>
      <c r="T403" s="987"/>
      <c r="U403" s="987"/>
      <c r="V403" s="987"/>
      <c r="W403" s="987"/>
      <c r="X403" s="987"/>
      <c r="Y403" s="987"/>
      <c r="Z403" s="987"/>
    </row>
    <row r="404">
      <c r="A404" s="987"/>
      <c r="B404" s="987"/>
      <c r="C404" s="987"/>
      <c r="D404" s="987"/>
      <c r="E404" s="987"/>
      <c r="F404" s="987"/>
      <c r="G404" s="987"/>
      <c r="H404" s="987"/>
      <c r="I404" s="987"/>
      <c r="J404" s="987"/>
      <c r="K404" s="987"/>
      <c r="L404" s="987"/>
      <c r="M404" s="987"/>
      <c r="N404" s="987"/>
      <c r="O404" s="987"/>
      <c r="P404" s="987"/>
      <c r="Q404" s="987"/>
      <c r="R404" s="987"/>
      <c r="S404" s="987"/>
      <c r="T404" s="987"/>
      <c r="U404" s="987"/>
      <c r="V404" s="987"/>
      <c r="W404" s="987"/>
      <c r="X404" s="987"/>
      <c r="Y404" s="987"/>
      <c r="Z404" s="987"/>
    </row>
    <row r="405">
      <c r="A405" s="987"/>
      <c r="B405" s="987"/>
      <c r="C405" s="987"/>
      <c r="D405" s="987"/>
      <c r="E405" s="987"/>
      <c r="F405" s="987"/>
      <c r="G405" s="987"/>
      <c r="H405" s="987"/>
      <c r="I405" s="987"/>
      <c r="J405" s="987"/>
      <c r="K405" s="987"/>
      <c r="L405" s="987"/>
      <c r="M405" s="987"/>
      <c r="N405" s="987"/>
      <c r="O405" s="987"/>
      <c r="P405" s="987"/>
      <c r="Q405" s="987"/>
      <c r="R405" s="987"/>
      <c r="S405" s="987"/>
      <c r="T405" s="987"/>
      <c r="U405" s="987"/>
      <c r="V405" s="987"/>
      <c r="W405" s="987"/>
      <c r="X405" s="987"/>
      <c r="Y405" s="987"/>
      <c r="Z405" s="987"/>
    </row>
    <row r="406">
      <c r="A406" s="987"/>
      <c r="B406" s="987"/>
      <c r="C406" s="987"/>
      <c r="D406" s="987"/>
      <c r="E406" s="987"/>
      <c r="F406" s="987"/>
      <c r="G406" s="987"/>
      <c r="H406" s="987"/>
      <c r="I406" s="987"/>
      <c r="J406" s="987"/>
      <c r="K406" s="987"/>
      <c r="L406" s="987"/>
      <c r="M406" s="987"/>
      <c r="N406" s="987"/>
      <c r="O406" s="987"/>
      <c r="P406" s="987"/>
      <c r="Q406" s="987"/>
      <c r="R406" s="987"/>
      <c r="S406" s="987"/>
      <c r="T406" s="987"/>
      <c r="U406" s="987"/>
      <c r="V406" s="987"/>
      <c r="W406" s="987"/>
      <c r="X406" s="987"/>
      <c r="Y406" s="987"/>
      <c r="Z406" s="987"/>
    </row>
    <row r="407">
      <c r="A407" s="987"/>
      <c r="B407" s="987"/>
      <c r="C407" s="987"/>
      <c r="D407" s="987"/>
      <c r="E407" s="987"/>
      <c r="F407" s="987"/>
      <c r="G407" s="987"/>
      <c r="H407" s="987"/>
      <c r="I407" s="987"/>
      <c r="J407" s="987"/>
      <c r="K407" s="987"/>
      <c r="L407" s="987"/>
      <c r="M407" s="987"/>
      <c r="N407" s="987"/>
      <c r="O407" s="987"/>
      <c r="P407" s="987"/>
      <c r="Q407" s="987"/>
      <c r="R407" s="987"/>
      <c r="S407" s="987"/>
      <c r="T407" s="987"/>
      <c r="U407" s="987"/>
      <c r="V407" s="987"/>
      <c r="W407" s="987"/>
      <c r="X407" s="987"/>
      <c r="Y407" s="987"/>
      <c r="Z407" s="987"/>
    </row>
    <row r="408">
      <c r="A408" s="987"/>
      <c r="B408" s="987"/>
      <c r="C408" s="987"/>
      <c r="D408" s="987"/>
      <c r="E408" s="987"/>
      <c r="F408" s="987"/>
      <c r="G408" s="987"/>
      <c r="H408" s="987"/>
      <c r="I408" s="987"/>
      <c r="J408" s="987"/>
      <c r="K408" s="987"/>
      <c r="L408" s="987"/>
      <c r="M408" s="987"/>
      <c r="N408" s="987"/>
      <c r="O408" s="987"/>
      <c r="P408" s="987"/>
      <c r="Q408" s="987"/>
      <c r="R408" s="987"/>
      <c r="S408" s="987"/>
      <c r="T408" s="987"/>
      <c r="U408" s="987"/>
      <c r="V408" s="987"/>
      <c r="W408" s="987"/>
      <c r="X408" s="987"/>
      <c r="Y408" s="987"/>
      <c r="Z408" s="987"/>
    </row>
    <row r="409">
      <c r="A409" s="987"/>
      <c r="B409" s="987"/>
      <c r="C409" s="987"/>
      <c r="D409" s="987"/>
      <c r="E409" s="987"/>
      <c r="F409" s="987"/>
      <c r="G409" s="987"/>
      <c r="H409" s="987"/>
      <c r="I409" s="987"/>
      <c r="J409" s="987"/>
      <c r="K409" s="987"/>
      <c r="L409" s="987"/>
      <c r="M409" s="987"/>
      <c r="N409" s="987"/>
      <c r="O409" s="987"/>
      <c r="P409" s="987"/>
      <c r="Q409" s="987"/>
      <c r="R409" s="987"/>
      <c r="S409" s="987"/>
      <c r="T409" s="987"/>
      <c r="U409" s="987"/>
      <c r="V409" s="987"/>
      <c r="W409" s="987"/>
      <c r="X409" s="987"/>
      <c r="Y409" s="987"/>
      <c r="Z409" s="987"/>
    </row>
    <row r="410">
      <c r="A410" s="987"/>
      <c r="B410" s="987"/>
      <c r="C410" s="987"/>
      <c r="D410" s="987"/>
      <c r="E410" s="987"/>
      <c r="F410" s="987"/>
      <c r="G410" s="987"/>
      <c r="H410" s="987"/>
      <c r="I410" s="987"/>
      <c r="J410" s="987"/>
      <c r="K410" s="987"/>
      <c r="L410" s="987"/>
      <c r="M410" s="987"/>
      <c r="N410" s="987"/>
      <c r="O410" s="987"/>
      <c r="P410" s="987"/>
      <c r="Q410" s="987"/>
      <c r="R410" s="987"/>
      <c r="S410" s="987"/>
      <c r="T410" s="987"/>
      <c r="U410" s="987"/>
      <c r="V410" s="987"/>
      <c r="W410" s="987"/>
      <c r="X410" s="987"/>
      <c r="Y410" s="987"/>
      <c r="Z410" s="987"/>
    </row>
    <row r="411">
      <c r="A411" s="987"/>
      <c r="B411" s="987"/>
      <c r="C411" s="987"/>
      <c r="D411" s="987"/>
      <c r="E411" s="987"/>
      <c r="F411" s="987"/>
      <c r="G411" s="987"/>
      <c r="H411" s="987"/>
      <c r="I411" s="987"/>
      <c r="J411" s="987"/>
      <c r="K411" s="987"/>
      <c r="L411" s="987"/>
      <c r="M411" s="987"/>
      <c r="N411" s="987"/>
      <c r="O411" s="987"/>
      <c r="P411" s="987"/>
      <c r="Q411" s="987"/>
      <c r="R411" s="987"/>
      <c r="S411" s="987"/>
      <c r="T411" s="987"/>
      <c r="U411" s="987"/>
      <c r="V411" s="987"/>
      <c r="W411" s="987"/>
      <c r="X411" s="987"/>
      <c r="Y411" s="987"/>
      <c r="Z411" s="987"/>
    </row>
    <row r="412">
      <c r="A412" s="987"/>
      <c r="B412" s="987"/>
      <c r="C412" s="987"/>
      <c r="D412" s="987"/>
      <c r="E412" s="987"/>
      <c r="F412" s="987"/>
      <c r="G412" s="987"/>
      <c r="H412" s="987"/>
      <c r="I412" s="987"/>
      <c r="J412" s="987"/>
      <c r="K412" s="987"/>
      <c r="L412" s="987"/>
      <c r="M412" s="987"/>
      <c r="N412" s="987"/>
      <c r="O412" s="987"/>
      <c r="P412" s="987"/>
      <c r="Q412" s="987"/>
      <c r="R412" s="987"/>
      <c r="S412" s="987"/>
      <c r="T412" s="987"/>
      <c r="U412" s="987"/>
      <c r="V412" s="987"/>
      <c r="W412" s="987"/>
      <c r="X412" s="987"/>
      <c r="Y412" s="987"/>
      <c r="Z412" s="987"/>
    </row>
    <row r="413">
      <c r="A413" s="987"/>
      <c r="B413" s="987"/>
      <c r="C413" s="987"/>
      <c r="D413" s="987"/>
      <c r="E413" s="987"/>
      <c r="F413" s="987"/>
      <c r="G413" s="987"/>
      <c r="H413" s="987"/>
      <c r="I413" s="987"/>
      <c r="J413" s="987"/>
      <c r="K413" s="987"/>
      <c r="L413" s="987"/>
      <c r="M413" s="987"/>
      <c r="N413" s="987"/>
      <c r="O413" s="987"/>
      <c r="P413" s="987"/>
      <c r="Q413" s="987"/>
      <c r="R413" s="987"/>
      <c r="S413" s="987"/>
      <c r="T413" s="987"/>
      <c r="U413" s="987"/>
      <c r="V413" s="987"/>
      <c r="W413" s="987"/>
      <c r="X413" s="987"/>
      <c r="Y413" s="987"/>
      <c r="Z413" s="987"/>
    </row>
    <row r="414">
      <c r="A414" s="987"/>
      <c r="B414" s="987"/>
      <c r="C414" s="987"/>
      <c r="D414" s="987"/>
      <c r="E414" s="987"/>
      <c r="F414" s="987"/>
      <c r="G414" s="987"/>
      <c r="H414" s="987"/>
      <c r="I414" s="987"/>
      <c r="J414" s="987"/>
      <c r="K414" s="987"/>
      <c r="L414" s="987"/>
      <c r="M414" s="987"/>
      <c r="N414" s="987"/>
      <c r="O414" s="987"/>
      <c r="P414" s="987"/>
      <c r="Q414" s="987"/>
      <c r="R414" s="987"/>
      <c r="S414" s="987"/>
      <c r="T414" s="987"/>
      <c r="U414" s="987"/>
      <c r="V414" s="987"/>
      <c r="W414" s="987"/>
      <c r="X414" s="987"/>
      <c r="Y414" s="987"/>
      <c r="Z414" s="987"/>
    </row>
    <row r="415">
      <c r="A415" s="987"/>
      <c r="B415" s="987"/>
      <c r="C415" s="987"/>
      <c r="D415" s="987"/>
      <c r="E415" s="987"/>
      <c r="F415" s="987"/>
      <c r="G415" s="987"/>
      <c r="H415" s="987"/>
      <c r="I415" s="987"/>
      <c r="J415" s="987"/>
      <c r="K415" s="987"/>
      <c r="L415" s="987"/>
      <c r="M415" s="987"/>
      <c r="N415" s="987"/>
      <c r="O415" s="987"/>
      <c r="P415" s="987"/>
      <c r="Q415" s="987"/>
      <c r="R415" s="987"/>
      <c r="S415" s="987"/>
      <c r="T415" s="987"/>
      <c r="U415" s="987"/>
      <c r="V415" s="987"/>
      <c r="W415" s="987"/>
      <c r="X415" s="987"/>
      <c r="Y415" s="987"/>
      <c r="Z415" s="987"/>
    </row>
    <row r="416">
      <c r="A416" s="987"/>
      <c r="B416" s="987"/>
      <c r="C416" s="987"/>
      <c r="D416" s="987"/>
      <c r="E416" s="987"/>
      <c r="F416" s="987"/>
      <c r="G416" s="987"/>
      <c r="H416" s="987"/>
      <c r="I416" s="987"/>
      <c r="J416" s="987"/>
      <c r="K416" s="987"/>
      <c r="L416" s="987"/>
      <c r="M416" s="987"/>
      <c r="N416" s="987"/>
      <c r="O416" s="987"/>
      <c r="P416" s="987"/>
      <c r="Q416" s="987"/>
      <c r="R416" s="987"/>
      <c r="S416" s="987"/>
      <c r="T416" s="987"/>
      <c r="U416" s="987"/>
      <c r="V416" s="987"/>
      <c r="W416" s="987"/>
      <c r="X416" s="987"/>
      <c r="Y416" s="987"/>
      <c r="Z416" s="987"/>
    </row>
    <row r="417">
      <c r="A417" s="987"/>
      <c r="B417" s="987"/>
      <c r="C417" s="987"/>
      <c r="D417" s="987"/>
      <c r="E417" s="987"/>
      <c r="F417" s="987"/>
      <c r="G417" s="987"/>
      <c r="H417" s="987"/>
      <c r="I417" s="987"/>
      <c r="J417" s="987"/>
      <c r="K417" s="987"/>
      <c r="L417" s="987"/>
      <c r="M417" s="987"/>
      <c r="N417" s="987"/>
      <c r="O417" s="987"/>
      <c r="P417" s="987"/>
      <c r="Q417" s="987"/>
      <c r="R417" s="987"/>
      <c r="S417" s="987"/>
      <c r="T417" s="987"/>
      <c r="U417" s="987"/>
      <c r="V417" s="987"/>
      <c r="W417" s="987"/>
      <c r="X417" s="987"/>
      <c r="Y417" s="987"/>
      <c r="Z417" s="987"/>
    </row>
    <row r="418">
      <c r="A418" s="987"/>
      <c r="B418" s="987"/>
      <c r="C418" s="987"/>
      <c r="D418" s="987"/>
      <c r="E418" s="987"/>
      <c r="F418" s="987"/>
      <c r="G418" s="987"/>
      <c r="H418" s="987"/>
      <c r="I418" s="987"/>
      <c r="J418" s="987"/>
      <c r="K418" s="987"/>
      <c r="L418" s="987"/>
      <c r="M418" s="987"/>
      <c r="N418" s="987"/>
      <c r="O418" s="987"/>
      <c r="P418" s="987"/>
      <c r="Q418" s="987"/>
      <c r="R418" s="987"/>
      <c r="S418" s="987"/>
      <c r="T418" s="987"/>
      <c r="U418" s="987"/>
      <c r="V418" s="987"/>
      <c r="W418" s="987"/>
      <c r="X418" s="987"/>
      <c r="Y418" s="987"/>
      <c r="Z418" s="987"/>
    </row>
    <row r="419">
      <c r="A419" s="987"/>
      <c r="B419" s="987"/>
      <c r="C419" s="987"/>
      <c r="D419" s="987"/>
      <c r="E419" s="987"/>
      <c r="F419" s="987"/>
      <c r="G419" s="987"/>
      <c r="H419" s="987"/>
      <c r="I419" s="987"/>
      <c r="J419" s="987"/>
      <c r="K419" s="987"/>
      <c r="L419" s="987"/>
      <c r="M419" s="987"/>
      <c r="N419" s="987"/>
      <c r="O419" s="987"/>
      <c r="P419" s="987"/>
      <c r="Q419" s="987"/>
      <c r="R419" s="987"/>
      <c r="S419" s="987"/>
      <c r="T419" s="987"/>
      <c r="U419" s="987"/>
      <c r="V419" s="987"/>
      <c r="W419" s="987"/>
      <c r="X419" s="987"/>
      <c r="Y419" s="987"/>
      <c r="Z419" s="987"/>
    </row>
    <row r="420">
      <c r="A420" s="987"/>
      <c r="B420" s="987"/>
      <c r="C420" s="987"/>
      <c r="D420" s="987"/>
      <c r="E420" s="987"/>
      <c r="F420" s="987"/>
      <c r="G420" s="987"/>
      <c r="H420" s="987"/>
      <c r="I420" s="987"/>
      <c r="J420" s="987"/>
      <c r="K420" s="987"/>
      <c r="L420" s="987"/>
      <c r="M420" s="987"/>
      <c r="N420" s="987"/>
      <c r="O420" s="987"/>
      <c r="P420" s="987"/>
      <c r="Q420" s="987"/>
      <c r="R420" s="987"/>
      <c r="S420" s="987"/>
      <c r="T420" s="987"/>
      <c r="U420" s="987"/>
      <c r="V420" s="987"/>
      <c r="W420" s="987"/>
      <c r="X420" s="987"/>
      <c r="Y420" s="987"/>
      <c r="Z420" s="987"/>
    </row>
    <row r="421">
      <c r="A421" s="987"/>
      <c r="B421" s="987"/>
      <c r="C421" s="987"/>
      <c r="D421" s="987"/>
      <c r="E421" s="987"/>
      <c r="F421" s="987"/>
      <c r="G421" s="987"/>
      <c r="H421" s="987"/>
      <c r="I421" s="987"/>
      <c r="J421" s="987"/>
      <c r="K421" s="987"/>
      <c r="L421" s="987"/>
      <c r="M421" s="987"/>
      <c r="N421" s="987"/>
      <c r="O421" s="987"/>
      <c r="P421" s="987"/>
      <c r="Q421" s="987"/>
      <c r="R421" s="987"/>
      <c r="S421" s="987"/>
      <c r="T421" s="987"/>
      <c r="U421" s="987"/>
      <c r="V421" s="987"/>
      <c r="W421" s="987"/>
      <c r="X421" s="987"/>
      <c r="Y421" s="987"/>
      <c r="Z421" s="987"/>
    </row>
    <row r="422">
      <c r="A422" s="987"/>
      <c r="B422" s="987"/>
      <c r="C422" s="987"/>
      <c r="D422" s="987"/>
      <c r="E422" s="987"/>
      <c r="F422" s="987"/>
      <c r="G422" s="987"/>
      <c r="H422" s="987"/>
      <c r="I422" s="987"/>
      <c r="J422" s="987"/>
      <c r="K422" s="987"/>
      <c r="L422" s="987"/>
      <c r="M422" s="987"/>
      <c r="N422" s="987"/>
      <c r="O422" s="987"/>
      <c r="P422" s="987"/>
      <c r="Q422" s="987"/>
      <c r="R422" s="987"/>
      <c r="S422" s="987"/>
      <c r="T422" s="987"/>
      <c r="U422" s="987"/>
      <c r="V422" s="987"/>
      <c r="W422" s="987"/>
      <c r="X422" s="987"/>
      <c r="Y422" s="987"/>
      <c r="Z422" s="987"/>
    </row>
    <row r="423">
      <c r="A423" s="987"/>
      <c r="B423" s="987"/>
      <c r="C423" s="987"/>
      <c r="D423" s="987"/>
      <c r="E423" s="987"/>
      <c r="F423" s="987"/>
      <c r="G423" s="987"/>
      <c r="H423" s="987"/>
      <c r="I423" s="987"/>
      <c r="J423" s="987"/>
      <c r="K423" s="987"/>
      <c r="L423" s="987"/>
      <c r="M423" s="987"/>
      <c r="N423" s="987"/>
      <c r="O423" s="987"/>
      <c r="P423" s="987"/>
      <c r="Q423" s="987"/>
      <c r="R423" s="987"/>
      <c r="S423" s="987"/>
      <c r="T423" s="987"/>
      <c r="U423" s="987"/>
      <c r="V423" s="987"/>
      <c r="W423" s="987"/>
      <c r="X423" s="987"/>
      <c r="Y423" s="987"/>
      <c r="Z423" s="987"/>
    </row>
    <row r="424">
      <c r="A424" s="987"/>
      <c r="B424" s="987"/>
      <c r="C424" s="987"/>
      <c r="D424" s="987"/>
      <c r="E424" s="987"/>
      <c r="F424" s="987"/>
      <c r="G424" s="987"/>
      <c r="H424" s="987"/>
      <c r="I424" s="987"/>
      <c r="J424" s="987"/>
      <c r="K424" s="987"/>
      <c r="L424" s="987"/>
      <c r="M424" s="987"/>
      <c r="N424" s="987"/>
      <c r="O424" s="987"/>
      <c r="P424" s="987"/>
      <c r="Q424" s="987"/>
      <c r="R424" s="987"/>
      <c r="S424" s="987"/>
      <c r="T424" s="987"/>
      <c r="U424" s="987"/>
      <c r="V424" s="987"/>
      <c r="W424" s="987"/>
      <c r="X424" s="987"/>
      <c r="Y424" s="987"/>
      <c r="Z424" s="987"/>
    </row>
    <row r="425">
      <c r="A425" s="987"/>
      <c r="B425" s="987"/>
      <c r="C425" s="987"/>
      <c r="D425" s="987"/>
      <c r="E425" s="987"/>
      <c r="F425" s="987"/>
      <c r="G425" s="987"/>
      <c r="H425" s="987"/>
      <c r="I425" s="987"/>
      <c r="J425" s="987"/>
      <c r="K425" s="987"/>
      <c r="L425" s="987"/>
      <c r="M425" s="987"/>
      <c r="N425" s="987"/>
      <c r="O425" s="987"/>
      <c r="P425" s="987"/>
      <c r="Q425" s="987"/>
      <c r="R425" s="987"/>
      <c r="S425" s="987"/>
      <c r="T425" s="987"/>
      <c r="U425" s="987"/>
      <c r="V425" s="987"/>
      <c r="W425" s="987"/>
      <c r="X425" s="987"/>
      <c r="Y425" s="987"/>
      <c r="Z425" s="987"/>
    </row>
    <row r="426">
      <c r="A426" s="987"/>
      <c r="B426" s="987"/>
      <c r="C426" s="987"/>
      <c r="D426" s="987"/>
      <c r="E426" s="987"/>
      <c r="F426" s="987"/>
      <c r="G426" s="987"/>
      <c r="H426" s="987"/>
      <c r="I426" s="987"/>
      <c r="J426" s="987"/>
      <c r="K426" s="987"/>
      <c r="L426" s="987"/>
      <c r="M426" s="987"/>
      <c r="N426" s="987"/>
      <c r="O426" s="987"/>
      <c r="P426" s="987"/>
      <c r="Q426" s="987"/>
      <c r="R426" s="987"/>
      <c r="S426" s="987"/>
      <c r="T426" s="987"/>
      <c r="U426" s="987"/>
      <c r="V426" s="987"/>
      <c r="W426" s="987"/>
      <c r="X426" s="987"/>
      <c r="Y426" s="987"/>
      <c r="Z426" s="987"/>
    </row>
    <row r="427">
      <c r="A427" s="987"/>
      <c r="B427" s="987"/>
      <c r="C427" s="987"/>
      <c r="D427" s="987"/>
      <c r="E427" s="987"/>
      <c r="F427" s="987"/>
      <c r="G427" s="987"/>
      <c r="H427" s="987"/>
      <c r="I427" s="987"/>
      <c r="J427" s="987"/>
      <c r="K427" s="987"/>
      <c r="L427" s="987"/>
      <c r="M427" s="987"/>
      <c r="N427" s="987"/>
      <c r="O427" s="987"/>
      <c r="P427" s="987"/>
      <c r="Q427" s="987"/>
      <c r="R427" s="987"/>
      <c r="S427" s="987"/>
      <c r="T427" s="987"/>
      <c r="U427" s="987"/>
      <c r="V427" s="987"/>
      <c r="W427" s="987"/>
      <c r="X427" s="987"/>
      <c r="Y427" s="987"/>
      <c r="Z427" s="987"/>
    </row>
    <row r="428">
      <c r="A428" s="987"/>
      <c r="B428" s="987"/>
      <c r="C428" s="987"/>
      <c r="D428" s="987"/>
      <c r="E428" s="987"/>
      <c r="F428" s="987"/>
      <c r="G428" s="987"/>
      <c r="H428" s="987"/>
      <c r="I428" s="987"/>
      <c r="J428" s="987"/>
      <c r="K428" s="987"/>
      <c r="L428" s="987"/>
      <c r="M428" s="987"/>
      <c r="N428" s="987"/>
      <c r="O428" s="987"/>
      <c r="P428" s="987"/>
      <c r="Q428" s="987"/>
      <c r="R428" s="987"/>
      <c r="S428" s="987"/>
      <c r="T428" s="987"/>
      <c r="U428" s="987"/>
      <c r="V428" s="987"/>
      <c r="W428" s="987"/>
      <c r="X428" s="987"/>
      <c r="Y428" s="987"/>
      <c r="Z428" s="987"/>
    </row>
    <row r="429">
      <c r="A429" s="987"/>
      <c r="B429" s="987"/>
      <c r="C429" s="987"/>
      <c r="D429" s="987"/>
      <c r="E429" s="987"/>
      <c r="F429" s="987"/>
      <c r="G429" s="987"/>
      <c r="H429" s="987"/>
      <c r="I429" s="987"/>
      <c r="J429" s="987"/>
      <c r="K429" s="987"/>
      <c r="L429" s="987"/>
      <c r="M429" s="987"/>
      <c r="N429" s="987"/>
      <c r="O429" s="987"/>
      <c r="P429" s="987"/>
      <c r="Q429" s="987"/>
      <c r="R429" s="987"/>
      <c r="S429" s="987"/>
      <c r="T429" s="987"/>
      <c r="U429" s="987"/>
      <c r="V429" s="987"/>
      <c r="W429" s="987"/>
      <c r="X429" s="987"/>
      <c r="Y429" s="987"/>
      <c r="Z429" s="987"/>
    </row>
    <row r="430">
      <c r="A430" s="987"/>
      <c r="B430" s="987"/>
      <c r="C430" s="987"/>
      <c r="D430" s="987"/>
      <c r="E430" s="987"/>
      <c r="F430" s="987"/>
      <c r="G430" s="987"/>
      <c r="H430" s="987"/>
      <c r="I430" s="987"/>
      <c r="J430" s="987"/>
      <c r="K430" s="987"/>
      <c r="L430" s="987"/>
      <c r="M430" s="987"/>
      <c r="N430" s="987"/>
      <c r="O430" s="987"/>
      <c r="P430" s="987"/>
      <c r="Q430" s="987"/>
      <c r="R430" s="987"/>
      <c r="S430" s="987"/>
      <c r="T430" s="987"/>
      <c r="U430" s="987"/>
      <c r="V430" s="987"/>
      <c r="W430" s="987"/>
      <c r="X430" s="987"/>
      <c r="Y430" s="987"/>
      <c r="Z430" s="987"/>
    </row>
    <row r="431">
      <c r="A431" s="987"/>
      <c r="B431" s="987"/>
      <c r="C431" s="987"/>
      <c r="D431" s="987"/>
      <c r="E431" s="987"/>
      <c r="F431" s="987"/>
      <c r="G431" s="987"/>
      <c r="H431" s="987"/>
      <c r="I431" s="987"/>
      <c r="J431" s="987"/>
      <c r="K431" s="987"/>
      <c r="L431" s="987"/>
      <c r="M431" s="987"/>
      <c r="N431" s="987"/>
      <c r="O431" s="987"/>
      <c r="P431" s="987"/>
      <c r="Q431" s="987"/>
      <c r="R431" s="987"/>
      <c r="S431" s="987"/>
      <c r="T431" s="987"/>
      <c r="U431" s="987"/>
      <c r="V431" s="987"/>
      <c r="W431" s="987"/>
      <c r="X431" s="987"/>
      <c r="Y431" s="987"/>
      <c r="Z431" s="987"/>
    </row>
    <row r="432">
      <c r="A432" s="987"/>
      <c r="B432" s="987"/>
      <c r="C432" s="987"/>
      <c r="D432" s="987"/>
      <c r="E432" s="987"/>
      <c r="F432" s="987"/>
      <c r="G432" s="987"/>
      <c r="H432" s="987"/>
      <c r="I432" s="987"/>
      <c r="J432" s="987"/>
      <c r="K432" s="987"/>
      <c r="L432" s="987"/>
      <c r="M432" s="987"/>
      <c r="N432" s="987"/>
      <c r="O432" s="987"/>
      <c r="P432" s="987"/>
      <c r="Q432" s="987"/>
      <c r="R432" s="987"/>
      <c r="S432" s="987"/>
      <c r="T432" s="987"/>
      <c r="U432" s="987"/>
      <c r="V432" s="987"/>
      <c r="W432" s="987"/>
      <c r="X432" s="987"/>
      <c r="Y432" s="987"/>
      <c r="Z432" s="987"/>
    </row>
    <row r="433">
      <c r="A433" s="987"/>
      <c r="B433" s="987"/>
      <c r="C433" s="987"/>
      <c r="D433" s="987"/>
      <c r="E433" s="987"/>
      <c r="F433" s="987"/>
      <c r="G433" s="987"/>
      <c r="H433" s="987"/>
      <c r="I433" s="987"/>
      <c r="J433" s="987"/>
      <c r="K433" s="987"/>
      <c r="L433" s="987"/>
      <c r="M433" s="987"/>
      <c r="N433" s="987"/>
      <c r="O433" s="987"/>
      <c r="P433" s="987"/>
      <c r="Q433" s="987"/>
      <c r="R433" s="987"/>
      <c r="S433" s="987"/>
      <c r="T433" s="987"/>
      <c r="U433" s="987"/>
      <c r="V433" s="987"/>
      <c r="W433" s="987"/>
      <c r="X433" s="987"/>
      <c r="Y433" s="987"/>
      <c r="Z433" s="987"/>
    </row>
    <row r="434">
      <c r="A434" s="987"/>
      <c r="B434" s="987"/>
      <c r="C434" s="987"/>
      <c r="D434" s="987"/>
      <c r="E434" s="987"/>
      <c r="F434" s="987"/>
      <c r="G434" s="987"/>
      <c r="H434" s="987"/>
      <c r="I434" s="987"/>
      <c r="J434" s="987"/>
      <c r="K434" s="987"/>
      <c r="L434" s="987"/>
      <c r="M434" s="987"/>
      <c r="N434" s="987"/>
      <c r="O434" s="987"/>
      <c r="P434" s="987"/>
      <c r="Q434" s="987"/>
      <c r="R434" s="987"/>
      <c r="S434" s="987"/>
      <c r="T434" s="987"/>
      <c r="U434" s="987"/>
      <c r="V434" s="987"/>
      <c r="W434" s="987"/>
      <c r="X434" s="987"/>
      <c r="Y434" s="987"/>
      <c r="Z434" s="987"/>
    </row>
    <row r="435">
      <c r="A435" s="987"/>
      <c r="B435" s="987"/>
      <c r="C435" s="987"/>
      <c r="D435" s="987"/>
      <c r="E435" s="987"/>
      <c r="F435" s="987"/>
      <c r="G435" s="987"/>
      <c r="H435" s="987"/>
      <c r="I435" s="987"/>
      <c r="J435" s="987"/>
      <c r="K435" s="987"/>
      <c r="L435" s="987"/>
      <c r="M435" s="987"/>
      <c r="N435" s="987"/>
      <c r="O435" s="987"/>
      <c r="P435" s="987"/>
      <c r="Q435" s="987"/>
      <c r="R435" s="987"/>
      <c r="S435" s="987"/>
      <c r="T435" s="987"/>
      <c r="U435" s="987"/>
      <c r="V435" s="987"/>
      <c r="W435" s="987"/>
      <c r="X435" s="987"/>
      <c r="Y435" s="987"/>
      <c r="Z435" s="987"/>
    </row>
    <row r="436">
      <c r="A436" s="987"/>
      <c r="B436" s="987"/>
      <c r="C436" s="987"/>
      <c r="D436" s="987"/>
      <c r="E436" s="987"/>
      <c r="F436" s="987"/>
      <c r="G436" s="987"/>
      <c r="H436" s="987"/>
      <c r="I436" s="987"/>
      <c r="J436" s="987"/>
      <c r="K436" s="987"/>
      <c r="L436" s="987"/>
      <c r="M436" s="987"/>
      <c r="N436" s="987"/>
      <c r="O436" s="987"/>
      <c r="P436" s="987"/>
      <c r="Q436" s="987"/>
      <c r="R436" s="987"/>
      <c r="S436" s="987"/>
      <c r="T436" s="987"/>
      <c r="U436" s="987"/>
      <c r="V436" s="987"/>
      <c r="W436" s="987"/>
      <c r="X436" s="987"/>
      <c r="Y436" s="987"/>
      <c r="Z436" s="987"/>
    </row>
    <row r="437">
      <c r="A437" s="987"/>
      <c r="B437" s="987"/>
      <c r="C437" s="987"/>
      <c r="D437" s="987"/>
      <c r="E437" s="987"/>
      <c r="F437" s="987"/>
      <c r="G437" s="987"/>
      <c r="H437" s="987"/>
      <c r="I437" s="987"/>
      <c r="J437" s="987"/>
      <c r="K437" s="987"/>
      <c r="L437" s="987"/>
      <c r="M437" s="987"/>
      <c r="N437" s="987"/>
      <c r="O437" s="987"/>
      <c r="P437" s="987"/>
      <c r="Q437" s="987"/>
      <c r="R437" s="987"/>
      <c r="S437" s="987"/>
      <c r="T437" s="987"/>
      <c r="U437" s="987"/>
      <c r="V437" s="987"/>
      <c r="W437" s="987"/>
      <c r="X437" s="987"/>
      <c r="Y437" s="987"/>
      <c r="Z437" s="987"/>
    </row>
    <row r="438">
      <c r="A438" s="987"/>
      <c r="B438" s="987"/>
      <c r="C438" s="987"/>
      <c r="D438" s="987"/>
      <c r="E438" s="987"/>
      <c r="F438" s="987"/>
      <c r="G438" s="987"/>
      <c r="H438" s="987"/>
      <c r="I438" s="987"/>
      <c r="J438" s="987"/>
      <c r="K438" s="987"/>
      <c r="L438" s="987"/>
      <c r="M438" s="987"/>
      <c r="N438" s="987"/>
      <c r="O438" s="987"/>
      <c r="P438" s="987"/>
      <c r="Q438" s="987"/>
      <c r="R438" s="987"/>
      <c r="S438" s="987"/>
      <c r="T438" s="987"/>
      <c r="U438" s="987"/>
      <c r="V438" s="987"/>
      <c r="W438" s="987"/>
      <c r="X438" s="987"/>
      <c r="Y438" s="987"/>
      <c r="Z438" s="987"/>
    </row>
    <row r="439">
      <c r="A439" s="987"/>
      <c r="B439" s="987"/>
      <c r="C439" s="987"/>
      <c r="D439" s="987"/>
      <c r="E439" s="987"/>
      <c r="F439" s="987"/>
      <c r="G439" s="987"/>
      <c r="H439" s="987"/>
      <c r="I439" s="987"/>
      <c r="J439" s="987"/>
      <c r="K439" s="987"/>
      <c r="L439" s="987"/>
      <c r="M439" s="987"/>
      <c r="N439" s="987"/>
      <c r="O439" s="987"/>
      <c r="P439" s="987"/>
      <c r="Q439" s="987"/>
      <c r="R439" s="987"/>
      <c r="S439" s="987"/>
      <c r="T439" s="987"/>
      <c r="U439" s="987"/>
      <c r="V439" s="987"/>
      <c r="W439" s="987"/>
      <c r="X439" s="987"/>
      <c r="Y439" s="987"/>
      <c r="Z439" s="987"/>
    </row>
    <row r="440">
      <c r="A440" s="987"/>
      <c r="B440" s="987"/>
      <c r="C440" s="987"/>
      <c r="D440" s="987"/>
      <c r="E440" s="987"/>
      <c r="F440" s="987"/>
      <c r="G440" s="987"/>
      <c r="H440" s="987"/>
      <c r="I440" s="987"/>
      <c r="J440" s="987"/>
      <c r="K440" s="987"/>
      <c r="L440" s="987"/>
      <c r="M440" s="987"/>
      <c r="N440" s="987"/>
      <c r="O440" s="987"/>
      <c r="P440" s="987"/>
      <c r="Q440" s="987"/>
      <c r="R440" s="987"/>
      <c r="S440" s="987"/>
      <c r="T440" s="987"/>
      <c r="U440" s="987"/>
      <c r="V440" s="987"/>
      <c r="W440" s="987"/>
      <c r="X440" s="987"/>
      <c r="Y440" s="987"/>
      <c r="Z440" s="987"/>
    </row>
    <row r="441">
      <c r="A441" s="987"/>
      <c r="B441" s="987"/>
      <c r="C441" s="987"/>
      <c r="D441" s="987"/>
      <c r="E441" s="987"/>
      <c r="F441" s="987"/>
      <c r="G441" s="987"/>
      <c r="H441" s="987"/>
      <c r="I441" s="987"/>
      <c r="J441" s="987"/>
      <c r="K441" s="987"/>
      <c r="L441" s="987"/>
      <c r="M441" s="987"/>
      <c r="N441" s="987"/>
      <c r="O441" s="987"/>
      <c r="P441" s="987"/>
      <c r="Q441" s="987"/>
      <c r="R441" s="987"/>
      <c r="S441" s="987"/>
      <c r="T441" s="987"/>
      <c r="U441" s="987"/>
      <c r="V441" s="987"/>
      <c r="W441" s="987"/>
      <c r="X441" s="987"/>
      <c r="Y441" s="987"/>
      <c r="Z441" s="987"/>
    </row>
    <row r="442">
      <c r="A442" s="987"/>
      <c r="B442" s="987"/>
      <c r="C442" s="987"/>
      <c r="D442" s="987"/>
      <c r="E442" s="987"/>
      <c r="F442" s="987"/>
      <c r="G442" s="987"/>
      <c r="H442" s="987"/>
      <c r="I442" s="987"/>
      <c r="J442" s="987"/>
      <c r="K442" s="987"/>
      <c r="L442" s="987"/>
      <c r="M442" s="987"/>
      <c r="N442" s="987"/>
      <c r="O442" s="987"/>
      <c r="P442" s="987"/>
      <c r="Q442" s="987"/>
      <c r="R442" s="987"/>
      <c r="S442" s="987"/>
      <c r="T442" s="987"/>
      <c r="U442" s="987"/>
      <c r="V442" s="987"/>
      <c r="W442" s="987"/>
      <c r="X442" s="987"/>
      <c r="Y442" s="987"/>
      <c r="Z442" s="987"/>
    </row>
    <row r="443">
      <c r="A443" s="987"/>
      <c r="B443" s="987"/>
      <c r="C443" s="987"/>
      <c r="D443" s="987"/>
      <c r="E443" s="987"/>
      <c r="F443" s="987"/>
      <c r="G443" s="987"/>
      <c r="H443" s="987"/>
      <c r="I443" s="987"/>
      <c r="J443" s="987"/>
      <c r="K443" s="987"/>
      <c r="L443" s="987"/>
      <c r="M443" s="987"/>
      <c r="N443" s="987"/>
      <c r="O443" s="987"/>
      <c r="P443" s="987"/>
      <c r="Q443" s="987"/>
      <c r="R443" s="987"/>
      <c r="S443" s="987"/>
      <c r="T443" s="987"/>
      <c r="U443" s="987"/>
      <c r="V443" s="987"/>
      <c r="W443" s="987"/>
      <c r="X443" s="987"/>
      <c r="Y443" s="987"/>
      <c r="Z443" s="987"/>
    </row>
    <row r="444">
      <c r="A444" s="987"/>
      <c r="B444" s="987"/>
      <c r="C444" s="987"/>
      <c r="D444" s="987"/>
      <c r="E444" s="987"/>
      <c r="F444" s="987"/>
      <c r="G444" s="987"/>
      <c r="H444" s="987"/>
      <c r="I444" s="987"/>
      <c r="J444" s="987"/>
      <c r="K444" s="987"/>
      <c r="L444" s="987"/>
      <c r="M444" s="987"/>
      <c r="N444" s="987"/>
      <c r="O444" s="987"/>
      <c r="P444" s="987"/>
      <c r="Q444" s="987"/>
      <c r="R444" s="987"/>
      <c r="S444" s="987"/>
      <c r="T444" s="987"/>
      <c r="U444" s="987"/>
      <c r="V444" s="987"/>
      <c r="W444" s="987"/>
      <c r="X444" s="987"/>
      <c r="Y444" s="987"/>
      <c r="Z444" s="987"/>
    </row>
    <row r="445">
      <c r="A445" s="987"/>
      <c r="B445" s="987"/>
      <c r="C445" s="987"/>
      <c r="D445" s="987"/>
      <c r="E445" s="987"/>
      <c r="F445" s="987"/>
      <c r="G445" s="987"/>
      <c r="H445" s="987"/>
      <c r="I445" s="987"/>
      <c r="J445" s="987"/>
      <c r="K445" s="987"/>
      <c r="L445" s="987"/>
      <c r="M445" s="987"/>
      <c r="N445" s="987"/>
      <c r="O445" s="987"/>
      <c r="P445" s="987"/>
      <c r="Q445" s="987"/>
      <c r="R445" s="987"/>
      <c r="S445" s="987"/>
      <c r="T445" s="987"/>
      <c r="U445" s="987"/>
      <c r="V445" s="987"/>
      <c r="W445" s="987"/>
      <c r="X445" s="987"/>
      <c r="Y445" s="987"/>
      <c r="Z445" s="987"/>
    </row>
    <row r="446">
      <c r="A446" s="987"/>
      <c r="B446" s="987"/>
      <c r="C446" s="987"/>
      <c r="D446" s="987"/>
      <c r="E446" s="987"/>
      <c r="F446" s="987"/>
      <c r="G446" s="987"/>
      <c r="H446" s="987"/>
      <c r="I446" s="987"/>
      <c r="J446" s="987"/>
      <c r="K446" s="987"/>
      <c r="L446" s="987"/>
      <c r="M446" s="987"/>
      <c r="N446" s="987"/>
      <c r="O446" s="987"/>
      <c r="P446" s="987"/>
      <c r="Q446" s="987"/>
      <c r="R446" s="987"/>
      <c r="S446" s="987"/>
      <c r="T446" s="987"/>
      <c r="U446" s="987"/>
      <c r="V446" s="987"/>
      <c r="W446" s="987"/>
      <c r="X446" s="987"/>
      <c r="Y446" s="987"/>
      <c r="Z446" s="987"/>
    </row>
    <row r="447">
      <c r="A447" s="987"/>
      <c r="B447" s="987"/>
      <c r="C447" s="987"/>
      <c r="D447" s="987"/>
      <c r="E447" s="987"/>
      <c r="F447" s="987"/>
      <c r="G447" s="987"/>
      <c r="H447" s="987"/>
      <c r="I447" s="987"/>
      <c r="J447" s="987"/>
      <c r="K447" s="987"/>
      <c r="L447" s="987"/>
      <c r="M447" s="987"/>
      <c r="N447" s="987"/>
      <c r="O447" s="987"/>
      <c r="P447" s="987"/>
      <c r="Q447" s="987"/>
      <c r="R447" s="987"/>
      <c r="S447" s="987"/>
      <c r="T447" s="987"/>
      <c r="U447" s="987"/>
      <c r="V447" s="987"/>
      <c r="W447" s="987"/>
      <c r="X447" s="987"/>
      <c r="Y447" s="987"/>
      <c r="Z447" s="987"/>
    </row>
    <row r="448">
      <c r="A448" s="987"/>
      <c r="B448" s="987"/>
      <c r="C448" s="987"/>
      <c r="D448" s="987"/>
      <c r="E448" s="987"/>
      <c r="F448" s="987"/>
      <c r="G448" s="987"/>
      <c r="H448" s="987"/>
      <c r="I448" s="987"/>
      <c r="J448" s="987"/>
      <c r="K448" s="987"/>
      <c r="L448" s="987"/>
      <c r="M448" s="987"/>
      <c r="N448" s="987"/>
      <c r="O448" s="987"/>
      <c r="P448" s="987"/>
      <c r="Q448" s="987"/>
      <c r="R448" s="987"/>
      <c r="S448" s="987"/>
      <c r="T448" s="987"/>
      <c r="U448" s="987"/>
      <c r="V448" s="987"/>
      <c r="W448" s="987"/>
      <c r="X448" s="987"/>
      <c r="Y448" s="987"/>
      <c r="Z448" s="987"/>
    </row>
    <row r="449">
      <c r="A449" s="987"/>
      <c r="B449" s="987"/>
      <c r="C449" s="987"/>
      <c r="D449" s="987"/>
      <c r="E449" s="987"/>
      <c r="F449" s="987"/>
      <c r="G449" s="987"/>
      <c r="H449" s="987"/>
      <c r="I449" s="987"/>
      <c r="J449" s="987"/>
      <c r="K449" s="987"/>
      <c r="L449" s="987"/>
      <c r="M449" s="987"/>
      <c r="N449" s="987"/>
      <c r="O449" s="987"/>
      <c r="P449" s="987"/>
      <c r="Q449" s="987"/>
      <c r="R449" s="987"/>
      <c r="S449" s="987"/>
      <c r="T449" s="987"/>
      <c r="U449" s="987"/>
      <c r="V449" s="987"/>
      <c r="W449" s="987"/>
      <c r="X449" s="987"/>
      <c r="Y449" s="987"/>
      <c r="Z449" s="987"/>
    </row>
    <row r="450">
      <c r="A450" s="987"/>
      <c r="B450" s="987"/>
      <c r="C450" s="987"/>
      <c r="D450" s="987"/>
      <c r="E450" s="987"/>
      <c r="F450" s="987"/>
      <c r="G450" s="987"/>
      <c r="H450" s="987"/>
      <c r="I450" s="987"/>
      <c r="J450" s="987"/>
      <c r="K450" s="987"/>
      <c r="L450" s="987"/>
      <c r="M450" s="987"/>
      <c r="N450" s="987"/>
      <c r="O450" s="987"/>
      <c r="P450" s="987"/>
      <c r="Q450" s="987"/>
      <c r="R450" s="987"/>
      <c r="S450" s="987"/>
      <c r="T450" s="987"/>
      <c r="U450" s="987"/>
      <c r="V450" s="987"/>
      <c r="W450" s="987"/>
      <c r="X450" s="987"/>
      <c r="Y450" s="987"/>
      <c r="Z450" s="987"/>
    </row>
    <row r="451">
      <c r="A451" s="987"/>
      <c r="B451" s="987"/>
      <c r="C451" s="987"/>
      <c r="D451" s="987"/>
      <c r="E451" s="987"/>
      <c r="F451" s="987"/>
      <c r="G451" s="987"/>
      <c r="H451" s="987"/>
      <c r="I451" s="987"/>
      <c r="J451" s="987"/>
      <c r="K451" s="987"/>
      <c r="L451" s="987"/>
      <c r="M451" s="987"/>
      <c r="N451" s="987"/>
      <c r="O451" s="987"/>
      <c r="P451" s="987"/>
      <c r="Q451" s="987"/>
      <c r="R451" s="987"/>
      <c r="S451" s="987"/>
      <c r="T451" s="987"/>
      <c r="U451" s="987"/>
      <c r="V451" s="987"/>
      <c r="W451" s="987"/>
      <c r="X451" s="987"/>
      <c r="Y451" s="987"/>
      <c r="Z451" s="987"/>
    </row>
    <row r="452">
      <c r="A452" s="987"/>
      <c r="B452" s="987"/>
      <c r="C452" s="987"/>
      <c r="D452" s="987"/>
      <c r="E452" s="987"/>
      <c r="F452" s="987"/>
      <c r="G452" s="987"/>
      <c r="H452" s="987"/>
      <c r="I452" s="987"/>
      <c r="J452" s="987"/>
      <c r="K452" s="987"/>
      <c r="L452" s="987"/>
      <c r="M452" s="987"/>
      <c r="N452" s="987"/>
      <c r="O452" s="987"/>
      <c r="P452" s="987"/>
      <c r="Q452" s="987"/>
      <c r="R452" s="987"/>
      <c r="S452" s="987"/>
      <c r="T452" s="987"/>
      <c r="U452" s="987"/>
      <c r="V452" s="987"/>
      <c r="W452" s="987"/>
      <c r="X452" s="987"/>
      <c r="Y452" s="987"/>
      <c r="Z452" s="987"/>
    </row>
    <row r="453">
      <c r="A453" s="987"/>
      <c r="B453" s="987"/>
      <c r="C453" s="987"/>
      <c r="D453" s="987"/>
      <c r="E453" s="987"/>
      <c r="F453" s="987"/>
      <c r="G453" s="987"/>
      <c r="H453" s="987"/>
      <c r="I453" s="987"/>
      <c r="J453" s="987"/>
      <c r="K453" s="987"/>
      <c r="L453" s="987"/>
      <c r="M453" s="987"/>
      <c r="N453" s="987"/>
      <c r="O453" s="987"/>
      <c r="P453" s="987"/>
      <c r="Q453" s="987"/>
      <c r="R453" s="987"/>
      <c r="S453" s="987"/>
      <c r="T453" s="987"/>
      <c r="U453" s="987"/>
      <c r="V453" s="987"/>
      <c r="W453" s="987"/>
      <c r="X453" s="987"/>
      <c r="Y453" s="987"/>
      <c r="Z453" s="987"/>
    </row>
    <row r="454">
      <c r="A454" s="987"/>
      <c r="B454" s="987"/>
      <c r="C454" s="987"/>
      <c r="D454" s="987"/>
      <c r="E454" s="987"/>
      <c r="F454" s="987"/>
      <c r="G454" s="987"/>
      <c r="H454" s="987"/>
      <c r="I454" s="987"/>
      <c r="J454" s="987"/>
      <c r="K454" s="987"/>
      <c r="L454" s="987"/>
      <c r="M454" s="987"/>
      <c r="N454" s="987"/>
      <c r="O454" s="987"/>
      <c r="P454" s="987"/>
      <c r="Q454" s="987"/>
      <c r="R454" s="987"/>
      <c r="S454" s="987"/>
      <c r="T454" s="987"/>
      <c r="U454" s="987"/>
      <c r="V454" s="987"/>
      <c r="W454" s="987"/>
      <c r="X454" s="987"/>
      <c r="Y454" s="987"/>
      <c r="Z454" s="987"/>
    </row>
    <row r="455">
      <c r="A455" s="987"/>
      <c r="B455" s="987"/>
      <c r="C455" s="987"/>
      <c r="D455" s="987"/>
      <c r="E455" s="987"/>
      <c r="F455" s="987"/>
      <c r="G455" s="987"/>
      <c r="H455" s="987"/>
      <c r="I455" s="987"/>
      <c r="J455" s="987"/>
      <c r="K455" s="987"/>
      <c r="L455" s="987"/>
      <c r="M455" s="987"/>
      <c r="N455" s="987"/>
      <c r="O455" s="987"/>
      <c r="P455" s="987"/>
      <c r="Q455" s="987"/>
      <c r="R455" s="987"/>
      <c r="S455" s="987"/>
      <c r="T455" s="987"/>
      <c r="U455" s="987"/>
      <c r="V455" s="987"/>
      <c r="W455" s="987"/>
      <c r="X455" s="987"/>
      <c r="Y455" s="987"/>
      <c r="Z455" s="987"/>
    </row>
    <row r="456">
      <c r="A456" s="987"/>
      <c r="B456" s="987"/>
      <c r="C456" s="987"/>
      <c r="D456" s="987"/>
      <c r="E456" s="987"/>
      <c r="F456" s="987"/>
      <c r="G456" s="987"/>
      <c r="H456" s="987"/>
      <c r="I456" s="987"/>
      <c r="J456" s="987"/>
      <c r="K456" s="987"/>
      <c r="L456" s="987"/>
      <c r="M456" s="987"/>
      <c r="N456" s="987"/>
      <c r="O456" s="987"/>
      <c r="P456" s="987"/>
      <c r="Q456" s="987"/>
      <c r="R456" s="987"/>
      <c r="S456" s="987"/>
      <c r="T456" s="987"/>
      <c r="U456" s="987"/>
      <c r="V456" s="987"/>
      <c r="W456" s="987"/>
      <c r="X456" s="987"/>
      <c r="Y456" s="987"/>
      <c r="Z456" s="987"/>
    </row>
    <row r="457">
      <c r="A457" s="987"/>
      <c r="B457" s="987"/>
      <c r="C457" s="987"/>
      <c r="D457" s="987"/>
      <c r="E457" s="987"/>
      <c r="F457" s="987"/>
      <c r="G457" s="987"/>
      <c r="H457" s="987"/>
      <c r="I457" s="987"/>
      <c r="J457" s="987"/>
      <c r="K457" s="987"/>
      <c r="L457" s="987"/>
      <c r="M457" s="987"/>
      <c r="N457" s="987"/>
      <c r="O457" s="987"/>
      <c r="P457" s="987"/>
      <c r="Q457" s="987"/>
      <c r="R457" s="987"/>
      <c r="S457" s="987"/>
      <c r="T457" s="987"/>
      <c r="U457" s="987"/>
      <c r="V457" s="987"/>
      <c r="W457" s="987"/>
      <c r="X457" s="987"/>
      <c r="Y457" s="987"/>
      <c r="Z457" s="987"/>
    </row>
    <row r="458">
      <c r="A458" s="987"/>
      <c r="B458" s="987"/>
      <c r="C458" s="987"/>
      <c r="D458" s="987"/>
      <c r="E458" s="987"/>
      <c r="F458" s="987"/>
      <c r="G458" s="987"/>
      <c r="H458" s="987"/>
      <c r="I458" s="987"/>
      <c r="J458" s="987"/>
      <c r="K458" s="987"/>
      <c r="L458" s="987"/>
      <c r="M458" s="987"/>
      <c r="N458" s="987"/>
      <c r="O458" s="987"/>
      <c r="P458" s="987"/>
      <c r="Q458" s="987"/>
      <c r="R458" s="987"/>
      <c r="S458" s="987"/>
      <c r="T458" s="987"/>
      <c r="U458" s="987"/>
      <c r="V458" s="987"/>
      <c r="W458" s="987"/>
      <c r="X458" s="987"/>
      <c r="Y458" s="987"/>
      <c r="Z458" s="987"/>
    </row>
    <row r="459">
      <c r="A459" s="987"/>
      <c r="B459" s="987"/>
      <c r="C459" s="987"/>
      <c r="D459" s="987"/>
      <c r="E459" s="987"/>
      <c r="F459" s="987"/>
      <c r="G459" s="987"/>
      <c r="H459" s="987"/>
      <c r="I459" s="987"/>
      <c r="J459" s="987"/>
      <c r="K459" s="987"/>
      <c r="L459" s="987"/>
      <c r="M459" s="987"/>
      <c r="N459" s="987"/>
      <c r="O459" s="987"/>
      <c r="P459" s="987"/>
      <c r="Q459" s="987"/>
      <c r="R459" s="987"/>
      <c r="S459" s="987"/>
      <c r="T459" s="987"/>
      <c r="U459" s="987"/>
      <c r="V459" s="987"/>
      <c r="W459" s="987"/>
      <c r="X459" s="987"/>
      <c r="Y459" s="987"/>
      <c r="Z459" s="987"/>
    </row>
    <row r="460">
      <c r="A460" s="987"/>
      <c r="B460" s="987"/>
      <c r="C460" s="987"/>
      <c r="D460" s="987"/>
      <c r="E460" s="987"/>
      <c r="F460" s="987"/>
      <c r="G460" s="987"/>
      <c r="H460" s="987"/>
      <c r="I460" s="987"/>
      <c r="J460" s="987"/>
      <c r="K460" s="987"/>
      <c r="L460" s="987"/>
      <c r="M460" s="987"/>
      <c r="N460" s="987"/>
      <c r="O460" s="987"/>
      <c r="P460" s="987"/>
      <c r="Q460" s="987"/>
      <c r="R460" s="987"/>
      <c r="S460" s="987"/>
      <c r="T460" s="987"/>
      <c r="U460" s="987"/>
      <c r="V460" s="987"/>
      <c r="W460" s="987"/>
      <c r="X460" s="987"/>
      <c r="Y460" s="987"/>
      <c r="Z460" s="987"/>
    </row>
    <row r="461">
      <c r="A461" s="987"/>
      <c r="B461" s="987"/>
      <c r="C461" s="987"/>
      <c r="D461" s="987"/>
      <c r="E461" s="987"/>
      <c r="F461" s="987"/>
      <c r="G461" s="987"/>
      <c r="H461" s="987"/>
      <c r="I461" s="987"/>
      <c r="J461" s="987"/>
      <c r="K461" s="987"/>
      <c r="L461" s="987"/>
      <c r="M461" s="987"/>
      <c r="N461" s="987"/>
      <c r="O461" s="987"/>
      <c r="P461" s="987"/>
      <c r="Q461" s="987"/>
      <c r="R461" s="987"/>
      <c r="S461" s="987"/>
      <c r="T461" s="987"/>
      <c r="U461" s="987"/>
      <c r="V461" s="987"/>
      <c r="W461" s="987"/>
      <c r="X461" s="987"/>
      <c r="Y461" s="987"/>
      <c r="Z461" s="987"/>
    </row>
    <row r="462">
      <c r="A462" s="987"/>
      <c r="B462" s="987"/>
      <c r="C462" s="987"/>
      <c r="D462" s="987"/>
      <c r="E462" s="987"/>
      <c r="F462" s="987"/>
      <c r="G462" s="987"/>
      <c r="H462" s="987"/>
      <c r="I462" s="987"/>
      <c r="J462" s="987"/>
      <c r="K462" s="987"/>
      <c r="L462" s="987"/>
      <c r="M462" s="987"/>
      <c r="N462" s="987"/>
      <c r="O462" s="987"/>
      <c r="P462" s="987"/>
      <c r="Q462" s="987"/>
      <c r="R462" s="987"/>
      <c r="S462" s="987"/>
      <c r="T462" s="987"/>
      <c r="U462" s="987"/>
      <c r="V462" s="987"/>
      <c r="W462" s="987"/>
      <c r="X462" s="987"/>
      <c r="Y462" s="987"/>
      <c r="Z462" s="987"/>
    </row>
    <row r="463">
      <c r="A463" s="987"/>
      <c r="B463" s="987"/>
      <c r="C463" s="987"/>
      <c r="D463" s="987"/>
      <c r="E463" s="987"/>
      <c r="F463" s="987"/>
      <c r="G463" s="987"/>
      <c r="H463" s="987"/>
      <c r="I463" s="987"/>
      <c r="J463" s="987"/>
      <c r="K463" s="987"/>
      <c r="L463" s="987"/>
      <c r="M463" s="987"/>
      <c r="N463" s="987"/>
      <c r="O463" s="987"/>
      <c r="P463" s="987"/>
      <c r="Q463" s="987"/>
      <c r="R463" s="987"/>
      <c r="S463" s="987"/>
      <c r="T463" s="987"/>
      <c r="U463" s="987"/>
      <c r="V463" s="987"/>
      <c r="W463" s="987"/>
      <c r="X463" s="987"/>
      <c r="Y463" s="987"/>
      <c r="Z463" s="987"/>
    </row>
    <row r="464">
      <c r="A464" s="987"/>
      <c r="B464" s="987"/>
      <c r="C464" s="987"/>
      <c r="D464" s="987"/>
      <c r="E464" s="987"/>
      <c r="F464" s="987"/>
      <c r="G464" s="987"/>
      <c r="H464" s="987"/>
      <c r="I464" s="987"/>
      <c r="J464" s="987"/>
      <c r="K464" s="987"/>
      <c r="L464" s="987"/>
      <c r="M464" s="987"/>
      <c r="N464" s="987"/>
      <c r="O464" s="987"/>
      <c r="P464" s="987"/>
      <c r="Q464" s="987"/>
      <c r="R464" s="987"/>
      <c r="S464" s="987"/>
      <c r="T464" s="987"/>
      <c r="U464" s="987"/>
      <c r="V464" s="987"/>
      <c r="W464" s="987"/>
      <c r="X464" s="987"/>
      <c r="Y464" s="987"/>
      <c r="Z464" s="987"/>
    </row>
    <row r="465">
      <c r="A465" s="987"/>
      <c r="B465" s="987"/>
      <c r="C465" s="987"/>
      <c r="D465" s="987"/>
      <c r="E465" s="987"/>
      <c r="F465" s="987"/>
      <c r="G465" s="987"/>
      <c r="H465" s="987"/>
      <c r="I465" s="987"/>
      <c r="J465" s="987"/>
      <c r="K465" s="987"/>
      <c r="L465" s="987"/>
      <c r="M465" s="987"/>
      <c r="N465" s="987"/>
      <c r="O465" s="987"/>
      <c r="P465" s="987"/>
      <c r="Q465" s="987"/>
      <c r="R465" s="987"/>
      <c r="S465" s="987"/>
      <c r="T465" s="987"/>
      <c r="U465" s="987"/>
      <c r="V465" s="987"/>
      <c r="W465" s="987"/>
      <c r="X465" s="987"/>
      <c r="Y465" s="987"/>
      <c r="Z465" s="987"/>
    </row>
    <row r="466">
      <c r="A466" s="987"/>
      <c r="B466" s="987"/>
      <c r="C466" s="987"/>
      <c r="D466" s="987"/>
      <c r="E466" s="987"/>
      <c r="F466" s="987"/>
      <c r="G466" s="987"/>
      <c r="H466" s="987"/>
      <c r="I466" s="987"/>
      <c r="J466" s="987"/>
      <c r="K466" s="987"/>
      <c r="L466" s="987"/>
      <c r="M466" s="987"/>
      <c r="N466" s="987"/>
      <c r="O466" s="987"/>
      <c r="P466" s="987"/>
      <c r="Q466" s="987"/>
      <c r="R466" s="987"/>
      <c r="S466" s="987"/>
      <c r="T466" s="987"/>
      <c r="U466" s="987"/>
      <c r="V466" s="987"/>
      <c r="W466" s="987"/>
      <c r="X466" s="987"/>
      <c r="Y466" s="987"/>
      <c r="Z466" s="987"/>
    </row>
    <row r="467">
      <c r="A467" s="987"/>
      <c r="B467" s="987"/>
      <c r="C467" s="987"/>
      <c r="D467" s="987"/>
      <c r="E467" s="987"/>
      <c r="F467" s="987"/>
      <c r="G467" s="987"/>
      <c r="H467" s="987"/>
      <c r="I467" s="987"/>
      <c r="J467" s="987"/>
      <c r="K467" s="987"/>
      <c r="L467" s="987"/>
      <c r="M467" s="987"/>
      <c r="N467" s="987"/>
      <c r="O467" s="987"/>
      <c r="P467" s="987"/>
      <c r="Q467" s="987"/>
      <c r="R467" s="987"/>
      <c r="S467" s="987"/>
      <c r="T467" s="987"/>
      <c r="U467" s="987"/>
      <c r="V467" s="987"/>
      <c r="W467" s="987"/>
      <c r="X467" s="987"/>
      <c r="Y467" s="987"/>
      <c r="Z467" s="987"/>
    </row>
    <row r="468">
      <c r="A468" s="987"/>
      <c r="B468" s="987"/>
      <c r="C468" s="987"/>
      <c r="D468" s="987"/>
      <c r="E468" s="987"/>
      <c r="F468" s="987"/>
      <c r="G468" s="987"/>
      <c r="H468" s="987"/>
      <c r="I468" s="987"/>
      <c r="J468" s="987"/>
      <c r="K468" s="987"/>
      <c r="L468" s="987"/>
      <c r="M468" s="987"/>
      <c r="N468" s="987"/>
      <c r="O468" s="987"/>
      <c r="P468" s="987"/>
      <c r="Q468" s="987"/>
      <c r="R468" s="987"/>
      <c r="S468" s="987"/>
      <c r="T468" s="987"/>
      <c r="U468" s="987"/>
      <c r="V468" s="987"/>
      <c r="W468" s="987"/>
      <c r="X468" s="987"/>
      <c r="Y468" s="987"/>
      <c r="Z468" s="987"/>
    </row>
    <row r="469">
      <c r="A469" s="987"/>
      <c r="B469" s="987"/>
      <c r="C469" s="987"/>
      <c r="D469" s="987"/>
      <c r="E469" s="987"/>
      <c r="F469" s="987"/>
      <c r="G469" s="987"/>
      <c r="H469" s="987"/>
      <c r="I469" s="987"/>
      <c r="J469" s="987"/>
      <c r="K469" s="987"/>
      <c r="L469" s="987"/>
      <c r="M469" s="987"/>
      <c r="N469" s="987"/>
      <c r="O469" s="987"/>
      <c r="P469" s="987"/>
      <c r="Q469" s="987"/>
      <c r="R469" s="987"/>
      <c r="S469" s="987"/>
      <c r="T469" s="987"/>
      <c r="U469" s="987"/>
      <c r="V469" s="987"/>
      <c r="W469" s="987"/>
      <c r="X469" s="987"/>
      <c r="Y469" s="987"/>
      <c r="Z469" s="987"/>
    </row>
    <row r="470">
      <c r="A470" s="987"/>
      <c r="B470" s="987"/>
      <c r="C470" s="987"/>
      <c r="D470" s="987"/>
      <c r="E470" s="987"/>
      <c r="F470" s="987"/>
      <c r="G470" s="987"/>
      <c r="H470" s="987"/>
      <c r="I470" s="987"/>
      <c r="J470" s="987"/>
      <c r="K470" s="987"/>
      <c r="L470" s="987"/>
      <c r="M470" s="987"/>
      <c r="N470" s="987"/>
      <c r="O470" s="987"/>
      <c r="P470" s="987"/>
      <c r="Q470" s="987"/>
      <c r="R470" s="987"/>
      <c r="S470" s="987"/>
      <c r="T470" s="987"/>
      <c r="U470" s="987"/>
      <c r="V470" s="987"/>
      <c r="W470" s="987"/>
      <c r="X470" s="987"/>
      <c r="Y470" s="987"/>
      <c r="Z470" s="987"/>
    </row>
    <row r="471">
      <c r="A471" s="987"/>
      <c r="B471" s="987"/>
      <c r="C471" s="987"/>
      <c r="D471" s="987"/>
      <c r="E471" s="987"/>
      <c r="F471" s="987"/>
      <c r="G471" s="987"/>
      <c r="H471" s="987"/>
      <c r="I471" s="987"/>
      <c r="J471" s="987"/>
      <c r="K471" s="987"/>
      <c r="L471" s="987"/>
      <c r="M471" s="987"/>
      <c r="N471" s="987"/>
      <c r="O471" s="987"/>
      <c r="P471" s="987"/>
      <c r="Q471" s="987"/>
      <c r="R471" s="987"/>
      <c r="S471" s="987"/>
      <c r="T471" s="987"/>
      <c r="U471" s="987"/>
      <c r="V471" s="987"/>
      <c r="W471" s="987"/>
      <c r="X471" s="987"/>
      <c r="Y471" s="987"/>
      <c r="Z471" s="987"/>
    </row>
    <row r="472">
      <c r="A472" s="987"/>
      <c r="B472" s="987"/>
      <c r="C472" s="987"/>
      <c r="D472" s="987"/>
      <c r="E472" s="987"/>
      <c r="F472" s="987"/>
      <c r="G472" s="987"/>
      <c r="H472" s="987"/>
      <c r="I472" s="987"/>
      <c r="J472" s="987"/>
      <c r="K472" s="987"/>
      <c r="L472" s="987"/>
      <c r="M472" s="987"/>
      <c r="N472" s="987"/>
      <c r="O472" s="987"/>
      <c r="P472" s="987"/>
      <c r="Q472" s="987"/>
      <c r="R472" s="987"/>
      <c r="S472" s="987"/>
      <c r="T472" s="987"/>
      <c r="U472" s="987"/>
      <c r="V472" s="987"/>
      <c r="W472" s="987"/>
      <c r="X472" s="987"/>
      <c r="Y472" s="987"/>
      <c r="Z472" s="987"/>
    </row>
    <row r="473">
      <c r="A473" s="987"/>
      <c r="B473" s="987"/>
      <c r="C473" s="987"/>
      <c r="D473" s="987"/>
      <c r="E473" s="987"/>
      <c r="F473" s="987"/>
      <c r="G473" s="987"/>
      <c r="H473" s="987"/>
      <c r="I473" s="987"/>
      <c r="J473" s="987"/>
      <c r="K473" s="987"/>
      <c r="L473" s="987"/>
      <c r="M473" s="987"/>
      <c r="N473" s="987"/>
      <c r="O473" s="987"/>
      <c r="P473" s="987"/>
      <c r="Q473" s="987"/>
      <c r="R473" s="987"/>
      <c r="S473" s="987"/>
      <c r="T473" s="987"/>
      <c r="U473" s="987"/>
      <c r="V473" s="987"/>
      <c r="W473" s="987"/>
      <c r="X473" s="987"/>
      <c r="Y473" s="987"/>
      <c r="Z473" s="987"/>
    </row>
    <row r="474">
      <c r="A474" s="987"/>
      <c r="B474" s="987"/>
      <c r="C474" s="987"/>
      <c r="D474" s="987"/>
      <c r="E474" s="987"/>
      <c r="F474" s="987"/>
      <c r="G474" s="987"/>
      <c r="H474" s="987"/>
      <c r="I474" s="987"/>
      <c r="J474" s="987"/>
      <c r="K474" s="987"/>
      <c r="L474" s="987"/>
      <c r="M474" s="987"/>
      <c r="N474" s="987"/>
      <c r="O474" s="987"/>
      <c r="P474" s="987"/>
      <c r="Q474" s="987"/>
      <c r="R474" s="987"/>
      <c r="S474" s="987"/>
      <c r="T474" s="987"/>
      <c r="U474" s="987"/>
      <c r="V474" s="987"/>
      <c r="W474" s="987"/>
      <c r="X474" s="987"/>
      <c r="Y474" s="987"/>
      <c r="Z474" s="987"/>
    </row>
    <row r="475">
      <c r="A475" s="987"/>
      <c r="B475" s="987"/>
      <c r="C475" s="987"/>
      <c r="D475" s="987"/>
      <c r="E475" s="987"/>
      <c r="F475" s="987"/>
      <c r="G475" s="987"/>
      <c r="H475" s="987"/>
      <c r="I475" s="987"/>
      <c r="J475" s="987"/>
      <c r="K475" s="987"/>
      <c r="L475" s="987"/>
      <c r="M475" s="987"/>
      <c r="N475" s="987"/>
      <c r="O475" s="987"/>
      <c r="P475" s="987"/>
      <c r="Q475" s="987"/>
      <c r="R475" s="987"/>
      <c r="S475" s="987"/>
      <c r="T475" s="987"/>
      <c r="U475" s="987"/>
      <c r="V475" s="987"/>
      <c r="W475" s="987"/>
      <c r="X475" s="987"/>
      <c r="Y475" s="987"/>
      <c r="Z475" s="987"/>
    </row>
    <row r="476">
      <c r="A476" s="987"/>
      <c r="B476" s="987"/>
      <c r="C476" s="987"/>
      <c r="D476" s="987"/>
      <c r="E476" s="987"/>
      <c r="F476" s="987"/>
      <c r="G476" s="987"/>
      <c r="H476" s="987"/>
      <c r="I476" s="987"/>
      <c r="J476" s="987"/>
      <c r="K476" s="987"/>
      <c r="L476" s="987"/>
      <c r="M476" s="987"/>
      <c r="N476" s="987"/>
      <c r="O476" s="987"/>
      <c r="P476" s="987"/>
      <c r="Q476" s="987"/>
      <c r="R476" s="987"/>
      <c r="S476" s="987"/>
      <c r="T476" s="987"/>
      <c r="U476" s="987"/>
      <c r="V476" s="987"/>
      <c r="W476" s="987"/>
      <c r="X476" s="987"/>
      <c r="Y476" s="987"/>
      <c r="Z476" s="987"/>
    </row>
    <row r="477">
      <c r="A477" s="987"/>
      <c r="B477" s="987"/>
      <c r="C477" s="987"/>
      <c r="D477" s="987"/>
      <c r="E477" s="987"/>
      <c r="F477" s="987"/>
      <c r="G477" s="987"/>
      <c r="H477" s="987"/>
      <c r="I477" s="987"/>
      <c r="J477" s="987"/>
      <c r="K477" s="987"/>
      <c r="L477" s="987"/>
      <c r="M477" s="987"/>
      <c r="N477" s="987"/>
      <c r="O477" s="987"/>
      <c r="P477" s="987"/>
      <c r="Q477" s="987"/>
      <c r="R477" s="987"/>
      <c r="S477" s="987"/>
      <c r="T477" s="987"/>
      <c r="U477" s="987"/>
      <c r="V477" s="987"/>
      <c r="W477" s="987"/>
      <c r="X477" s="987"/>
      <c r="Y477" s="987"/>
      <c r="Z477" s="987"/>
    </row>
    <row r="478">
      <c r="A478" s="987"/>
      <c r="B478" s="987"/>
      <c r="C478" s="987"/>
      <c r="D478" s="987"/>
      <c r="E478" s="987"/>
      <c r="F478" s="987"/>
      <c r="G478" s="987"/>
      <c r="H478" s="987"/>
      <c r="I478" s="987"/>
      <c r="J478" s="987"/>
      <c r="K478" s="987"/>
      <c r="L478" s="987"/>
      <c r="M478" s="987"/>
      <c r="N478" s="987"/>
      <c r="O478" s="987"/>
      <c r="P478" s="987"/>
      <c r="Q478" s="987"/>
      <c r="R478" s="987"/>
      <c r="S478" s="987"/>
      <c r="T478" s="987"/>
      <c r="U478" s="987"/>
      <c r="V478" s="987"/>
      <c r="W478" s="987"/>
      <c r="X478" s="987"/>
      <c r="Y478" s="987"/>
      <c r="Z478" s="987"/>
    </row>
    <row r="479">
      <c r="A479" s="987"/>
      <c r="B479" s="987"/>
      <c r="C479" s="987"/>
      <c r="D479" s="987"/>
      <c r="E479" s="987"/>
      <c r="F479" s="987"/>
      <c r="G479" s="987"/>
      <c r="H479" s="987"/>
      <c r="I479" s="987"/>
      <c r="J479" s="987"/>
      <c r="K479" s="987"/>
      <c r="L479" s="987"/>
      <c r="M479" s="987"/>
      <c r="N479" s="987"/>
      <c r="O479" s="987"/>
      <c r="P479" s="987"/>
      <c r="Q479" s="987"/>
      <c r="R479" s="987"/>
      <c r="S479" s="987"/>
      <c r="T479" s="987"/>
      <c r="U479" s="987"/>
      <c r="V479" s="987"/>
      <c r="W479" s="987"/>
      <c r="X479" s="987"/>
      <c r="Y479" s="987"/>
      <c r="Z479" s="987"/>
    </row>
    <row r="480">
      <c r="A480" s="987"/>
      <c r="B480" s="987"/>
      <c r="C480" s="987"/>
      <c r="D480" s="987"/>
      <c r="E480" s="987"/>
      <c r="F480" s="987"/>
      <c r="G480" s="987"/>
      <c r="H480" s="987"/>
      <c r="I480" s="987"/>
      <c r="J480" s="987"/>
      <c r="K480" s="987"/>
      <c r="L480" s="987"/>
      <c r="M480" s="987"/>
      <c r="N480" s="987"/>
      <c r="O480" s="987"/>
      <c r="P480" s="987"/>
      <c r="Q480" s="987"/>
      <c r="R480" s="987"/>
      <c r="S480" s="987"/>
      <c r="T480" s="987"/>
      <c r="U480" s="987"/>
      <c r="V480" s="987"/>
      <c r="W480" s="987"/>
      <c r="X480" s="987"/>
      <c r="Y480" s="987"/>
      <c r="Z480" s="987"/>
    </row>
    <row r="481">
      <c r="A481" s="987"/>
      <c r="B481" s="987"/>
      <c r="C481" s="987"/>
      <c r="D481" s="987"/>
      <c r="E481" s="987"/>
      <c r="F481" s="987"/>
      <c r="G481" s="987"/>
      <c r="H481" s="987"/>
      <c r="I481" s="987"/>
      <c r="J481" s="987"/>
      <c r="K481" s="987"/>
      <c r="L481" s="987"/>
      <c r="M481" s="987"/>
      <c r="N481" s="987"/>
      <c r="O481" s="987"/>
      <c r="P481" s="987"/>
      <c r="Q481" s="987"/>
      <c r="R481" s="987"/>
      <c r="S481" s="987"/>
      <c r="T481" s="987"/>
      <c r="U481" s="987"/>
      <c r="V481" s="987"/>
      <c r="W481" s="987"/>
      <c r="X481" s="987"/>
      <c r="Y481" s="987"/>
      <c r="Z481" s="987"/>
    </row>
    <row r="482">
      <c r="A482" s="987"/>
      <c r="B482" s="987"/>
      <c r="C482" s="987"/>
      <c r="D482" s="987"/>
      <c r="E482" s="987"/>
      <c r="F482" s="987"/>
      <c r="G482" s="987"/>
      <c r="H482" s="987"/>
      <c r="I482" s="987"/>
      <c r="J482" s="987"/>
      <c r="K482" s="987"/>
      <c r="L482" s="987"/>
      <c r="M482" s="987"/>
      <c r="N482" s="987"/>
      <c r="O482" s="987"/>
      <c r="P482" s="987"/>
      <c r="Q482" s="987"/>
      <c r="R482" s="987"/>
      <c r="S482" s="987"/>
      <c r="T482" s="987"/>
      <c r="U482" s="987"/>
      <c r="V482" s="987"/>
      <c r="W482" s="987"/>
      <c r="X482" s="987"/>
      <c r="Y482" s="987"/>
      <c r="Z482" s="987"/>
    </row>
    <row r="483">
      <c r="A483" s="987"/>
      <c r="B483" s="987"/>
      <c r="C483" s="987"/>
      <c r="D483" s="987"/>
      <c r="E483" s="987"/>
      <c r="F483" s="987"/>
      <c r="G483" s="987"/>
      <c r="H483" s="987"/>
      <c r="I483" s="987"/>
      <c r="J483" s="987"/>
      <c r="K483" s="987"/>
      <c r="L483" s="987"/>
      <c r="M483" s="987"/>
      <c r="N483" s="987"/>
      <c r="O483" s="987"/>
      <c r="P483" s="987"/>
      <c r="Q483" s="987"/>
      <c r="R483" s="987"/>
      <c r="S483" s="987"/>
      <c r="T483" s="987"/>
      <c r="U483" s="987"/>
      <c r="V483" s="987"/>
      <c r="W483" s="987"/>
      <c r="X483" s="987"/>
      <c r="Y483" s="987"/>
      <c r="Z483" s="987"/>
    </row>
    <row r="484">
      <c r="A484" s="987"/>
      <c r="B484" s="987"/>
      <c r="C484" s="987"/>
      <c r="D484" s="987"/>
      <c r="E484" s="987"/>
      <c r="F484" s="987"/>
      <c r="G484" s="987"/>
      <c r="H484" s="987"/>
      <c r="I484" s="987"/>
      <c r="J484" s="987"/>
      <c r="K484" s="987"/>
      <c r="L484" s="987"/>
      <c r="M484" s="987"/>
      <c r="N484" s="987"/>
      <c r="O484" s="987"/>
      <c r="P484" s="987"/>
      <c r="Q484" s="987"/>
      <c r="R484" s="987"/>
      <c r="S484" s="987"/>
      <c r="T484" s="987"/>
      <c r="U484" s="987"/>
      <c r="V484" s="987"/>
      <c r="W484" s="987"/>
      <c r="X484" s="987"/>
      <c r="Y484" s="987"/>
      <c r="Z484" s="987"/>
    </row>
    <row r="485">
      <c r="A485" s="987"/>
      <c r="B485" s="987"/>
      <c r="C485" s="987"/>
      <c r="D485" s="987"/>
      <c r="E485" s="987"/>
      <c r="F485" s="987"/>
      <c r="G485" s="987"/>
      <c r="H485" s="987"/>
      <c r="I485" s="987"/>
      <c r="J485" s="987"/>
      <c r="K485" s="987"/>
      <c r="L485" s="987"/>
      <c r="M485" s="987"/>
      <c r="N485" s="987"/>
      <c r="O485" s="987"/>
      <c r="P485" s="987"/>
      <c r="Q485" s="987"/>
      <c r="R485" s="987"/>
      <c r="S485" s="987"/>
      <c r="T485" s="987"/>
      <c r="U485" s="987"/>
      <c r="V485" s="987"/>
      <c r="W485" s="987"/>
      <c r="X485" s="987"/>
      <c r="Y485" s="987"/>
      <c r="Z485" s="987"/>
    </row>
    <row r="486">
      <c r="A486" s="987"/>
      <c r="B486" s="987"/>
      <c r="C486" s="987"/>
      <c r="D486" s="987"/>
      <c r="E486" s="987"/>
      <c r="F486" s="987"/>
      <c r="G486" s="987"/>
      <c r="H486" s="987"/>
      <c r="I486" s="987"/>
      <c r="J486" s="987"/>
      <c r="K486" s="987"/>
      <c r="L486" s="987"/>
      <c r="M486" s="987"/>
      <c r="N486" s="987"/>
      <c r="O486" s="987"/>
      <c r="P486" s="987"/>
      <c r="Q486" s="987"/>
      <c r="R486" s="987"/>
      <c r="S486" s="987"/>
      <c r="T486" s="987"/>
      <c r="U486" s="987"/>
      <c r="V486" s="987"/>
      <c r="W486" s="987"/>
      <c r="X486" s="987"/>
      <c r="Y486" s="987"/>
      <c r="Z486" s="987"/>
    </row>
    <row r="487">
      <c r="A487" s="987"/>
      <c r="B487" s="987"/>
      <c r="C487" s="987"/>
      <c r="D487" s="987"/>
      <c r="E487" s="987"/>
      <c r="F487" s="987"/>
      <c r="G487" s="987"/>
      <c r="H487" s="987"/>
      <c r="I487" s="987"/>
      <c r="J487" s="987"/>
      <c r="K487" s="987"/>
      <c r="L487" s="987"/>
      <c r="M487" s="987"/>
      <c r="N487" s="987"/>
      <c r="O487" s="987"/>
      <c r="P487" s="987"/>
      <c r="Q487" s="987"/>
      <c r="R487" s="987"/>
      <c r="S487" s="987"/>
      <c r="T487" s="987"/>
      <c r="U487" s="987"/>
      <c r="V487" s="987"/>
      <c r="W487" s="987"/>
      <c r="X487" s="987"/>
      <c r="Y487" s="987"/>
      <c r="Z487" s="987"/>
    </row>
    <row r="488">
      <c r="A488" s="987"/>
      <c r="B488" s="987"/>
      <c r="C488" s="987"/>
      <c r="D488" s="987"/>
      <c r="E488" s="987"/>
      <c r="F488" s="987"/>
      <c r="G488" s="987"/>
      <c r="H488" s="987"/>
      <c r="I488" s="987"/>
      <c r="J488" s="987"/>
      <c r="K488" s="987"/>
      <c r="L488" s="987"/>
      <c r="M488" s="987"/>
      <c r="N488" s="987"/>
      <c r="O488" s="987"/>
      <c r="P488" s="987"/>
      <c r="Q488" s="987"/>
      <c r="R488" s="987"/>
      <c r="S488" s="987"/>
      <c r="T488" s="987"/>
      <c r="U488" s="987"/>
      <c r="V488" s="987"/>
      <c r="W488" s="987"/>
      <c r="X488" s="987"/>
      <c r="Y488" s="987"/>
      <c r="Z488" s="987"/>
    </row>
    <row r="489">
      <c r="A489" s="987"/>
      <c r="B489" s="987"/>
      <c r="C489" s="987"/>
      <c r="D489" s="987"/>
      <c r="E489" s="987"/>
      <c r="F489" s="987"/>
      <c r="G489" s="987"/>
      <c r="H489" s="987"/>
      <c r="I489" s="987"/>
      <c r="J489" s="987"/>
      <c r="K489" s="987"/>
      <c r="L489" s="987"/>
      <c r="M489" s="987"/>
      <c r="N489" s="987"/>
      <c r="O489" s="987"/>
      <c r="P489" s="987"/>
      <c r="Q489" s="987"/>
      <c r="R489" s="987"/>
      <c r="S489" s="987"/>
      <c r="T489" s="987"/>
      <c r="U489" s="987"/>
      <c r="V489" s="987"/>
      <c r="W489" s="987"/>
      <c r="X489" s="987"/>
      <c r="Y489" s="987"/>
      <c r="Z489" s="987"/>
    </row>
    <row r="490">
      <c r="A490" s="987"/>
      <c r="B490" s="987"/>
      <c r="C490" s="987"/>
      <c r="D490" s="987"/>
      <c r="E490" s="987"/>
      <c r="F490" s="987"/>
      <c r="G490" s="987"/>
      <c r="H490" s="987"/>
      <c r="I490" s="987"/>
      <c r="J490" s="987"/>
      <c r="K490" s="987"/>
      <c r="L490" s="987"/>
      <c r="M490" s="987"/>
      <c r="N490" s="987"/>
      <c r="O490" s="987"/>
      <c r="P490" s="987"/>
      <c r="Q490" s="987"/>
      <c r="R490" s="987"/>
      <c r="S490" s="987"/>
      <c r="T490" s="987"/>
      <c r="U490" s="987"/>
      <c r="V490" s="987"/>
      <c r="W490" s="987"/>
      <c r="X490" s="987"/>
      <c r="Y490" s="987"/>
      <c r="Z490" s="987"/>
    </row>
    <row r="491">
      <c r="A491" s="987"/>
      <c r="B491" s="987"/>
      <c r="C491" s="987"/>
      <c r="D491" s="987"/>
      <c r="E491" s="987"/>
      <c r="F491" s="987"/>
      <c r="G491" s="987"/>
      <c r="H491" s="987"/>
      <c r="I491" s="987"/>
      <c r="J491" s="987"/>
      <c r="K491" s="987"/>
      <c r="L491" s="987"/>
      <c r="M491" s="987"/>
      <c r="N491" s="987"/>
      <c r="O491" s="987"/>
      <c r="P491" s="987"/>
      <c r="Q491" s="987"/>
      <c r="R491" s="987"/>
      <c r="S491" s="987"/>
      <c r="T491" s="987"/>
      <c r="U491" s="987"/>
      <c r="V491" s="987"/>
      <c r="W491" s="987"/>
      <c r="X491" s="987"/>
      <c r="Y491" s="987"/>
      <c r="Z491" s="987"/>
    </row>
    <row r="492">
      <c r="A492" s="987"/>
      <c r="B492" s="987"/>
      <c r="C492" s="987"/>
      <c r="D492" s="987"/>
      <c r="E492" s="987"/>
      <c r="F492" s="987"/>
      <c r="G492" s="987"/>
      <c r="H492" s="987"/>
      <c r="I492" s="987"/>
      <c r="J492" s="987"/>
      <c r="K492" s="987"/>
      <c r="L492" s="987"/>
      <c r="M492" s="987"/>
      <c r="N492" s="987"/>
      <c r="O492" s="987"/>
      <c r="P492" s="987"/>
      <c r="Q492" s="987"/>
      <c r="R492" s="987"/>
      <c r="S492" s="987"/>
      <c r="T492" s="987"/>
      <c r="U492" s="987"/>
      <c r="V492" s="987"/>
      <c r="W492" s="987"/>
      <c r="X492" s="987"/>
      <c r="Y492" s="987"/>
      <c r="Z492" s="987"/>
    </row>
    <row r="493">
      <c r="A493" s="987"/>
      <c r="B493" s="987"/>
      <c r="C493" s="987"/>
      <c r="D493" s="987"/>
      <c r="E493" s="987"/>
      <c r="F493" s="987"/>
      <c r="G493" s="987"/>
      <c r="H493" s="987"/>
      <c r="I493" s="987"/>
      <c r="J493" s="987"/>
      <c r="K493" s="987"/>
      <c r="L493" s="987"/>
      <c r="M493" s="987"/>
      <c r="N493" s="987"/>
      <c r="O493" s="987"/>
      <c r="P493" s="987"/>
      <c r="Q493" s="987"/>
      <c r="R493" s="987"/>
      <c r="S493" s="987"/>
      <c r="T493" s="987"/>
      <c r="U493" s="987"/>
      <c r="V493" s="987"/>
      <c r="W493" s="987"/>
      <c r="X493" s="987"/>
      <c r="Y493" s="987"/>
      <c r="Z493" s="987"/>
    </row>
    <row r="494">
      <c r="A494" s="987"/>
      <c r="B494" s="987"/>
      <c r="C494" s="987"/>
      <c r="D494" s="987"/>
      <c r="E494" s="987"/>
      <c r="F494" s="987"/>
      <c r="G494" s="987"/>
      <c r="H494" s="987"/>
      <c r="I494" s="987"/>
      <c r="J494" s="987"/>
      <c r="K494" s="987"/>
      <c r="L494" s="987"/>
      <c r="M494" s="987"/>
      <c r="N494" s="987"/>
      <c r="O494" s="987"/>
      <c r="P494" s="987"/>
      <c r="Q494" s="987"/>
      <c r="R494" s="987"/>
      <c r="S494" s="987"/>
      <c r="T494" s="987"/>
      <c r="U494" s="987"/>
      <c r="V494" s="987"/>
      <c r="W494" s="987"/>
      <c r="X494" s="987"/>
      <c r="Y494" s="987"/>
      <c r="Z494" s="987"/>
    </row>
    <row r="495">
      <c r="A495" s="987"/>
      <c r="B495" s="987"/>
      <c r="C495" s="987"/>
      <c r="D495" s="987"/>
      <c r="E495" s="987"/>
      <c r="F495" s="987"/>
      <c r="G495" s="987"/>
      <c r="H495" s="987"/>
      <c r="I495" s="987"/>
      <c r="J495" s="987"/>
      <c r="K495" s="987"/>
      <c r="L495" s="987"/>
      <c r="M495" s="987"/>
      <c r="N495" s="987"/>
      <c r="O495" s="987"/>
      <c r="P495" s="987"/>
      <c r="Q495" s="987"/>
      <c r="R495" s="987"/>
      <c r="S495" s="987"/>
      <c r="T495" s="987"/>
      <c r="U495" s="987"/>
      <c r="V495" s="987"/>
      <c r="W495" s="987"/>
      <c r="X495" s="987"/>
      <c r="Y495" s="987"/>
      <c r="Z495" s="987"/>
    </row>
    <row r="496">
      <c r="A496" s="987"/>
      <c r="B496" s="987"/>
      <c r="C496" s="987"/>
      <c r="D496" s="987"/>
      <c r="E496" s="987"/>
      <c r="F496" s="987"/>
      <c r="G496" s="987"/>
      <c r="H496" s="987"/>
      <c r="I496" s="987"/>
      <c r="J496" s="987"/>
      <c r="K496" s="987"/>
      <c r="L496" s="987"/>
      <c r="M496" s="987"/>
      <c r="N496" s="987"/>
      <c r="O496" s="987"/>
      <c r="P496" s="987"/>
      <c r="Q496" s="987"/>
      <c r="R496" s="987"/>
      <c r="S496" s="987"/>
      <c r="T496" s="987"/>
      <c r="U496" s="987"/>
      <c r="V496" s="987"/>
      <c r="W496" s="987"/>
      <c r="X496" s="987"/>
      <c r="Y496" s="987"/>
      <c r="Z496" s="987"/>
    </row>
    <row r="497">
      <c r="A497" s="987"/>
      <c r="B497" s="987"/>
      <c r="C497" s="987"/>
      <c r="D497" s="987"/>
      <c r="E497" s="987"/>
      <c r="F497" s="987"/>
      <c r="G497" s="987"/>
      <c r="H497" s="987"/>
      <c r="I497" s="987"/>
      <c r="J497" s="987"/>
      <c r="K497" s="987"/>
      <c r="L497" s="987"/>
      <c r="M497" s="987"/>
      <c r="N497" s="987"/>
      <c r="O497" s="987"/>
      <c r="P497" s="987"/>
      <c r="Q497" s="987"/>
      <c r="R497" s="987"/>
      <c r="S497" s="987"/>
      <c r="T497" s="987"/>
      <c r="U497" s="987"/>
      <c r="V497" s="987"/>
      <c r="W497" s="987"/>
      <c r="X497" s="987"/>
      <c r="Y497" s="987"/>
      <c r="Z497" s="987"/>
    </row>
    <row r="498">
      <c r="A498" s="987"/>
      <c r="B498" s="987"/>
      <c r="C498" s="987"/>
      <c r="D498" s="987"/>
      <c r="E498" s="987"/>
      <c r="F498" s="987"/>
      <c r="G498" s="987"/>
      <c r="H498" s="987"/>
      <c r="I498" s="987"/>
      <c r="J498" s="987"/>
      <c r="K498" s="987"/>
      <c r="L498" s="987"/>
      <c r="M498" s="987"/>
      <c r="N498" s="987"/>
      <c r="O498" s="987"/>
      <c r="P498" s="987"/>
      <c r="Q498" s="987"/>
      <c r="R498" s="987"/>
      <c r="S498" s="987"/>
      <c r="T498" s="987"/>
      <c r="U498" s="987"/>
      <c r="V498" s="987"/>
      <c r="W498" s="987"/>
      <c r="X498" s="987"/>
      <c r="Y498" s="987"/>
      <c r="Z498" s="987"/>
    </row>
    <row r="499">
      <c r="A499" s="987"/>
      <c r="B499" s="987"/>
      <c r="C499" s="987"/>
      <c r="D499" s="987"/>
      <c r="E499" s="987"/>
      <c r="F499" s="987"/>
      <c r="G499" s="987"/>
      <c r="H499" s="987"/>
      <c r="I499" s="987"/>
      <c r="J499" s="987"/>
      <c r="K499" s="987"/>
      <c r="L499" s="987"/>
      <c r="M499" s="987"/>
      <c r="N499" s="987"/>
      <c r="O499" s="987"/>
      <c r="P499" s="987"/>
      <c r="Q499" s="987"/>
      <c r="R499" s="987"/>
      <c r="S499" s="987"/>
      <c r="T499" s="987"/>
      <c r="U499" s="987"/>
      <c r="V499" s="987"/>
      <c r="W499" s="987"/>
      <c r="X499" s="987"/>
      <c r="Y499" s="987"/>
      <c r="Z499" s="987"/>
    </row>
    <row r="500">
      <c r="A500" s="987"/>
      <c r="B500" s="987"/>
      <c r="C500" s="987"/>
      <c r="D500" s="987"/>
      <c r="E500" s="987"/>
      <c r="F500" s="987"/>
      <c r="G500" s="987"/>
      <c r="H500" s="987"/>
      <c r="I500" s="987"/>
      <c r="J500" s="987"/>
      <c r="K500" s="987"/>
      <c r="L500" s="987"/>
      <c r="M500" s="987"/>
      <c r="N500" s="987"/>
      <c r="O500" s="987"/>
      <c r="P500" s="987"/>
      <c r="Q500" s="987"/>
      <c r="R500" s="987"/>
      <c r="S500" s="987"/>
      <c r="T500" s="987"/>
      <c r="U500" s="987"/>
      <c r="V500" s="987"/>
      <c r="W500" s="987"/>
      <c r="X500" s="987"/>
      <c r="Y500" s="987"/>
      <c r="Z500" s="987"/>
    </row>
    <row r="501">
      <c r="A501" s="987"/>
      <c r="B501" s="987"/>
      <c r="C501" s="987"/>
      <c r="D501" s="987"/>
      <c r="E501" s="987"/>
      <c r="F501" s="987"/>
      <c r="G501" s="987"/>
      <c r="H501" s="987"/>
      <c r="I501" s="987"/>
      <c r="J501" s="987"/>
      <c r="K501" s="987"/>
      <c r="L501" s="987"/>
      <c r="M501" s="987"/>
      <c r="N501" s="987"/>
      <c r="O501" s="987"/>
      <c r="P501" s="987"/>
      <c r="Q501" s="987"/>
      <c r="R501" s="987"/>
      <c r="S501" s="987"/>
      <c r="T501" s="987"/>
      <c r="U501" s="987"/>
      <c r="V501" s="987"/>
      <c r="W501" s="987"/>
      <c r="X501" s="987"/>
      <c r="Y501" s="987"/>
      <c r="Z501" s="987"/>
    </row>
    <row r="502">
      <c r="A502" s="987"/>
      <c r="B502" s="987"/>
      <c r="C502" s="987"/>
      <c r="D502" s="987"/>
      <c r="E502" s="987"/>
      <c r="F502" s="987"/>
      <c r="G502" s="987"/>
      <c r="H502" s="987"/>
      <c r="I502" s="987"/>
      <c r="J502" s="987"/>
      <c r="K502" s="987"/>
      <c r="L502" s="987"/>
      <c r="M502" s="987"/>
      <c r="N502" s="987"/>
      <c r="O502" s="987"/>
      <c r="P502" s="987"/>
      <c r="Q502" s="987"/>
      <c r="R502" s="987"/>
      <c r="S502" s="987"/>
      <c r="T502" s="987"/>
      <c r="U502" s="987"/>
      <c r="V502" s="987"/>
      <c r="W502" s="987"/>
      <c r="X502" s="987"/>
      <c r="Y502" s="987"/>
      <c r="Z502" s="987"/>
    </row>
    <row r="503">
      <c r="A503" s="987"/>
      <c r="B503" s="987"/>
      <c r="C503" s="987"/>
      <c r="D503" s="987"/>
      <c r="E503" s="987"/>
      <c r="F503" s="987"/>
      <c r="G503" s="987"/>
      <c r="H503" s="987"/>
      <c r="I503" s="987"/>
      <c r="J503" s="987"/>
      <c r="K503" s="987"/>
      <c r="L503" s="987"/>
      <c r="M503" s="987"/>
      <c r="N503" s="987"/>
      <c r="O503" s="987"/>
      <c r="P503" s="987"/>
      <c r="Q503" s="987"/>
      <c r="R503" s="987"/>
      <c r="S503" s="987"/>
      <c r="T503" s="987"/>
      <c r="U503" s="987"/>
      <c r="V503" s="987"/>
      <c r="W503" s="987"/>
      <c r="X503" s="987"/>
      <c r="Y503" s="987"/>
      <c r="Z503" s="987"/>
    </row>
    <row r="504">
      <c r="A504" s="987"/>
      <c r="B504" s="987"/>
      <c r="C504" s="987"/>
      <c r="D504" s="987"/>
      <c r="E504" s="987"/>
      <c r="F504" s="987"/>
      <c r="G504" s="987"/>
      <c r="H504" s="987"/>
      <c r="I504" s="987"/>
      <c r="J504" s="987"/>
      <c r="K504" s="987"/>
      <c r="L504" s="987"/>
      <c r="M504" s="987"/>
      <c r="N504" s="987"/>
      <c r="O504" s="987"/>
      <c r="P504" s="987"/>
      <c r="Q504" s="987"/>
      <c r="R504" s="987"/>
      <c r="S504" s="987"/>
      <c r="T504" s="987"/>
      <c r="U504" s="987"/>
      <c r="V504" s="987"/>
      <c r="W504" s="987"/>
      <c r="X504" s="987"/>
      <c r="Y504" s="987"/>
      <c r="Z504" s="987"/>
    </row>
    <row r="505">
      <c r="A505" s="987"/>
      <c r="B505" s="987"/>
      <c r="C505" s="987"/>
      <c r="D505" s="987"/>
      <c r="E505" s="987"/>
      <c r="F505" s="987"/>
      <c r="G505" s="987"/>
      <c r="H505" s="987"/>
      <c r="I505" s="987"/>
      <c r="J505" s="987"/>
      <c r="K505" s="987"/>
      <c r="L505" s="987"/>
      <c r="M505" s="987"/>
      <c r="N505" s="987"/>
      <c r="O505" s="987"/>
      <c r="P505" s="987"/>
      <c r="Q505" s="987"/>
      <c r="R505" s="987"/>
      <c r="S505" s="987"/>
      <c r="T505" s="987"/>
      <c r="U505" s="987"/>
      <c r="V505" s="987"/>
      <c r="W505" s="987"/>
      <c r="X505" s="987"/>
      <c r="Y505" s="987"/>
      <c r="Z505" s="987"/>
    </row>
    <row r="506">
      <c r="A506" s="987"/>
      <c r="B506" s="987"/>
      <c r="C506" s="987"/>
      <c r="D506" s="987"/>
      <c r="E506" s="987"/>
      <c r="F506" s="987"/>
      <c r="G506" s="987"/>
      <c r="H506" s="987"/>
      <c r="I506" s="987"/>
      <c r="J506" s="987"/>
      <c r="K506" s="987"/>
      <c r="L506" s="987"/>
      <c r="M506" s="987"/>
      <c r="N506" s="987"/>
      <c r="O506" s="987"/>
      <c r="P506" s="987"/>
      <c r="Q506" s="987"/>
      <c r="R506" s="987"/>
      <c r="S506" s="987"/>
      <c r="T506" s="987"/>
      <c r="U506" s="987"/>
      <c r="V506" s="987"/>
      <c r="W506" s="987"/>
      <c r="X506" s="987"/>
      <c r="Y506" s="987"/>
      <c r="Z506" s="987"/>
    </row>
    <row r="507">
      <c r="A507" s="987"/>
      <c r="B507" s="987"/>
      <c r="C507" s="987"/>
      <c r="D507" s="987"/>
      <c r="E507" s="987"/>
      <c r="F507" s="987"/>
      <c r="G507" s="987"/>
      <c r="H507" s="987"/>
      <c r="I507" s="987"/>
      <c r="J507" s="987"/>
      <c r="K507" s="987"/>
      <c r="L507" s="987"/>
      <c r="M507" s="987"/>
      <c r="N507" s="987"/>
      <c r="O507" s="987"/>
      <c r="P507" s="987"/>
      <c r="Q507" s="987"/>
      <c r="R507" s="987"/>
      <c r="S507" s="987"/>
      <c r="T507" s="987"/>
      <c r="U507" s="987"/>
      <c r="V507" s="987"/>
      <c r="W507" s="987"/>
      <c r="X507" s="987"/>
      <c r="Y507" s="987"/>
      <c r="Z507" s="987"/>
    </row>
    <row r="508">
      <c r="A508" s="987"/>
      <c r="B508" s="987"/>
      <c r="C508" s="987"/>
      <c r="D508" s="987"/>
      <c r="E508" s="987"/>
      <c r="F508" s="987"/>
      <c r="G508" s="987"/>
      <c r="H508" s="987"/>
      <c r="I508" s="987"/>
      <c r="J508" s="987"/>
      <c r="K508" s="987"/>
      <c r="L508" s="987"/>
      <c r="M508" s="987"/>
      <c r="N508" s="987"/>
      <c r="O508" s="987"/>
      <c r="P508" s="987"/>
      <c r="Q508" s="987"/>
      <c r="R508" s="987"/>
      <c r="S508" s="987"/>
      <c r="T508" s="987"/>
      <c r="U508" s="987"/>
      <c r="V508" s="987"/>
      <c r="W508" s="987"/>
      <c r="X508" s="987"/>
      <c r="Y508" s="987"/>
      <c r="Z508" s="987"/>
    </row>
    <row r="509">
      <c r="A509" s="987"/>
      <c r="B509" s="987"/>
      <c r="C509" s="987"/>
      <c r="D509" s="987"/>
      <c r="E509" s="987"/>
      <c r="F509" s="987"/>
      <c r="G509" s="987"/>
      <c r="H509" s="987"/>
      <c r="I509" s="987"/>
      <c r="J509" s="987"/>
      <c r="K509" s="987"/>
      <c r="L509" s="987"/>
      <c r="M509" s="987"/>
      <c r="N509" s="987"/>
      <c r="O509" s="987"/>
      <c r="P509" s="987"/>
      <c r="Q509" s="987"/>
      <c r="R509" s="987"/>
      <c r="S509" s="987"/>
      <c r="T509" s="987"/>
      <c r="U509" s="987"/>
      <c r="V509" s="987"/>
      <c r="W509" s="987"/>
      <c r="X509" s="987"/>
      <c r="Y509" s="987"/>
      <c r="Z509" s="987"/>
    </row>
    <row r="510">
      <c r="A510" s="987"/>
      <c r="B510" s="987"/>
      <c r="C510" s="987"/>
      <c r="D510" s="987"/>
      <c r="E510" s="987"/>
      <c r="F510" s="987"/>
      <c r="G510" s="987"/>
      <c r="H510" s="987"/>
      <c r="I510" s="987"/>
      <c r="J510" s="987"/>
      <c r="K510" s="987"/>
      <c r="L510" s="987"/>
      <c r="M510" s="987"/>
      <c r="N510" s="987"/>
      <c r="O510" s="987"/>
      <c r="P510" s="987"/>
      <c r="Q510" s="987"/>
      <c r="R510" s="987"/>
      <c r="S510" s="987"/>
      <c r="T510" s="987"/>
      <c r="U510" s="987"/>
      <c r="V510" s="987"/>
      <c r="W510" s="987"/>
      <c r="X510" s="987"/>
      <c r="Y510" s="987"/>
      <c r="Z510" s="987"/>
    </row>
    <row r="511">
      <c r="A511" s="987"/>
      <c r="B511" s="987"/>
      <c r="C511" s="987"/>
      <c r="D511" s="987"/>
      <c r="E511" s="987"/>
      <c r="F511" s="987"/>
      <c r="G511" s="987"/>
      <c r="H511" s="987"/>
      <c r="I511" s="987"/>
      <c r="J511" s="987"/>
      <c r="K511" s="987"/>
      <c r="L511" s="987"/>
      <c r="M511" s="987"/>
      <c r="N511" s="987"/>
      <c r="O511" s="987"/>
      <c r="P511" s="987"/>
      <c r="Q511" s="987"/>
      <c r="R511" s="987"/>
      <c r="S511" s="987"/>
      <c r="T511" s="987"/>
      <c r="U511" s="987"/>
      <c r="V511" s="987"/>
      <c r="W511" s="987"/>
      <c r="X511" s="987"/>
      <c r="Y511" s="987"/>
      <c r="Z511" s="987"/>
    </row>
    <row r="512">
      <c r="A512" s="987"/>
      <c r="B512" s="987"/>
      <c r="C512" s="987"/>
      <c r="D512" s="987"/>
      <c r="E512" s="987"/>
      <c r="F512" s="987"/>
      <c r="G512" s="987"/>
      <c r="H512" s="987"/>
      <c r="I512" s="987"/>
      <c r="J512" s="987"/>
      <c r="K512" s="987"/>
      <c r="L512" s="987"/>
      <c r="M512" s="987"/>
      <c r="N512" s="987"/>
      <c r="O512" s="987"/>
      <c r="P512" s="987"/>
      <c r="Q512" s="987"/>
      <c r="R512" s="987"/>
      <c r="S512" s="987"/>
      <c r="T512" s="987"/>
      <c r="U512" s="987"/>
      <c r="V512" s="987"/>
      <c r="W512" s="987"/>
      <c r="X512" s="987"/>
      <c r="Y512" s="987"/>
      <c r="Z512" s="987"/>
    </row>
    <row r="513">
      <c r="A513" s="987"/>
      <c r="B513" s="987"/>
      <c r="C513" s="987"/>
      <c r="D513" s="987"/>
      <c r="E513" s="987"/>
      <c r="F513" s="987"/>
      <c r="G513" s="987"/>
      <c r="H513" s="987"/>
      <c r="I513" s="987"/>
      <c r="J513" s="987"/>
      <c r="K513" s="987"/>
      <c r="L513" s="987"/>
      <c r="M513" s="987"/>
      <c r="N513" s="987"/>
      <c r="O513" s="987"/>
      <c r="P513" s="987"/>
      <c r="Q513" s="987"/>
      <c r="R513" s="987"/>
      <c r="S513" s="987"/>
      <c r="T513" s="987"/>
      <c r="U513" s="987"/>
      <c r="V513" s="987"/>
      <c r="W513" s="987"/>
      <c r="X513" s="987"/>
      <c r="Y513" s="987"/>
      <c r="Z513" s="987"/>
    </row>
    <row r="514">
      <c r="A514" s="987"/>
      <c r="B514" s="987"/>
      <c r="C514" s="987"/>
      <c r="D514" s="987"/>
      <c r="E514" s="987"/>
      <c r="F514" s="987"/>
      <c r="G514" s="987"/>
      <c r="H514" s="987"/>
      <c r="I514" s="987"/>
      <c r="J514" s="987"/>
      <c r="K514" s="987"/>
      <c r="L514" s="987"/>
      <c r="M514" s="987"/>
      <c r="N514" s="987"/>
      <c r="O514" s="987"/>
      <c r="P514" s="987"/>
      <c r="Q514" s="987"/>
      <c r="R514" s="987"/>
      <c r="S514" s="987"/>
      <c r="T514" s="987"/>
      <c r="U514" s="987"/>
      <c r="V514" s="987"/>
      <c r="W514" s="987"/>
      <c r="X514" s="987"/>
      <c r="Y514" s="987"/>
      <c r="Z514" s="987"/>
    </row>
    <row r="515">
      <c r="A515" s="987"/>
      <c r="B515" s="987"/>
      <c r="C515" s="987"/>
      <c r="D515" s="987"/>
      <c r="E515" s="987"/>
      <c r="F515" s="987"/>
      <c r="G515" s="987"/>
      <c r="H515" s="987"/>
      <c r="I515" s="987"/>
      <c r="J515" s="987"/>
      <c r="K515" s="987"/>
      <c r="L515" s="987"/>
      <c r="M515" s="987"/>
      <c r="N515" s="987"/>
      <c r="O515" s="987"/>
      <c r="P515" s="987"/>
      <c r="Q515" s="987"/>
      <c r="R515" s="987"/>
      <c r="S515" s="987"/>
      <c r="T515" s="987"/>
      <c r="U515" s="987"/>
      <c r="V515" s="987"/>
      <c r="W515" s="987"/>
      <c r="X515" s="987"/>
      <c r="Y515" s="987"/>
      <c r="Z515" s="987"/>
    </row>
    <row r="516">
      <c r="A516" s="987"/>
      <c r="B516" s="987"/>
      <c r="C516" s="987"/>
      <c r="D516" s="987"/>
      <c r="E516" s="987"/>
      <c r="F516" s="987"/>
      <c r="G516" s="987"/>
      <c r="H516" s="987"/>
      <c r="I516" s="987"/>
      <c r="J516" s="987"/>
      <c r="K516" s="987"/>
      <c r="L516" s="987"/>
      <c r="M516" s="987"/>
      <c r="N516" s="987"/>
      <c r="O516" s="987"/>
      <c r="P516" s="987"/>
      <c r="Q516" s="987"/>
      <c r="R516" s="987"/>
      <c r="S516" s="987"/>
      <c r="T516" s="987"/>
      <c r="U516" s="987"/>
      <c r="V516" s="987"/>
      <c r="W516" s="987"/>
      <c r="X516" s="987"/>
      <c r="Y516" s="987"/>
      <c r="Z516" s="987"/>
    </row>
    <row r="517">
      <c r="A517" s="987"/>
      <c r="B517" s="987"/>
      <c r="C517" s="987"/>
      <c r="D517" s="987"/>
      <c r="E517" s="987"/>
      <c r="F517" s="987"/>
      <c r="G517" s="987"/>
      <c r="H517" s="987"/>
      <c r="I517" s="987"/>
      <c r="J517" s="987"/>
      <c r="K517" s="987"/>
      <c r="L517" s="987"/>
      <c r="M517" s="987"/>
      <c r="N517" s="987"/>
      <c r="O517" s="987"/>
      <c r="P517" s="987"/>
      <c r="Q517" s="987"/>
      <c r="R517" s="987"/>
      <c r="S517" s="987"/>
      <c r="T517" s="987"/>
      <c r="U517" s="987"/>
      <c r="V517" s="987"/>
      <c r="W517" s="987"/>
      <c r="X517" s="987"/>
      <c r="Y517" s="987"/>
      <c r="Z517" s="987"/>
    </row>
    <row r="518">
      <c r="A518" s="987"/>
      <c r="B518" s="987"/>
      <c r="C518" s="987"/>
      <c r="D518" s="987"/>
      <c r="E518" s="987"/>
      <c r="F518" s="987"/>
      <c r="G518" s="987"/>
      <c r="H518" s="987"/>
      <c r="I518" s="987"/>
      <c r="J518" s="987"/>
      <c r="K518" s="987"/>
      <c r="L518" s="987"/>
      <c r="M518" s="987"/>
      <c r="N518" s="987"/>
      <c r="O518" s="987"/>
      <c r="P518" s="987"/>
      <c r="Q518" s="987"/>
      <c r="R518" s="987"/>
      <c r="S518" s="987"/>
      <c r="T518" s="987"/>
      <c r="U518" s="987"/>
      <c r="V518" s="987"/>
      <c r="W518" s="987"/>
      <c r="X518" s="987"/>
      <c r="Y518" s="987"/>
      <c r="Z518" s="987"/>
    </row>
    <row r="519">
      <c r="A519" s="987"/>
      <c r="B519" s="987"/>
      <c r="C519" s="987"/>
      <c r="D519" s="987"/>
      <c r="E519" s="987"/>
      <c r="F519" s="987"/>
      <c r="G519" s="987"/>
      <c r="H519" s="987"/>
      <c r="I519" s="987"/>
      <c r="J519" s="987"/>
      <c r="K519" s="987"/>
      <c r="L519" s="987"/>
      <c r="M519" s="987"/>
      <c r="N519" s="987"/>
      <c r="O519" s="987"/>
      <c r="P519" s="987"/>
      <c r="Q519" s="987"/>
      <c r="R519" s="987"/>
      <c r="S519" s="987"/>
      <c r="T519" s="987"/>
      <c r="U519" s="987"/>
      <c r="V519" s="987"/>
      <c r="W519" s="987"/>
      <c r="X519" s="987"/>
      <c r="Y519" s="987"/>
      <c r="Z519" s="987"/>
    </row>
    <row r="520">
      <c r="A520" s="987"/>
      <c r="B520" s="987"/>
      <c r="C520" s="987"/>
      <c r="D520" s="987"/>
      <c r="E520" s="987"/>
      <c r="F520" s="987"/>
      <c r="G520" s="987"/>
      <c r="H520" s="987"/>
      <c r="I520" s="987"/>
      <c r="J520" s="987"/>
      <c r="K520" s="987"/>
      <c r="L520" s="987"/>
      <c r="M520" s="987"/>
      <c r="N520" s="987"/>
      <c r="O520" s="987"/>
      <c r="P520" s="987"/>
      <c r="Q520" s="987"/>
      <c r="R520" s="987"/>
      <c r="S520" s="987"/>
      <c r="T520" s="987"/>
      <c r="U520" s="987"/>
      <c r="V520" s="987"/>
      <c r="W520" s="987"/>
      <c r="X520" s="987"/>
      <c r="Y520" s="987"/>
      <c r="Z520" s="987"/>
    </row>
    <row r="521">
      <c r="A521" s="987"/>
      <c r="B521" s="987"/>
      <c r="C521" s="987"/>
      <c r="D521" s="987"/>
      <c r="E521" s="987"/>
      <c r="F521" s="987"/>
      <c r="G521" s="987"/>
      <c r="H521" s="987"/>
      <c r="I521" s="987"/>
      <c r="J521" s="987"/>
      <c r="K521" s="987"/>
      <c r="L521" s="987"/>
      <c r="M521" s="987"/>
      <c r="N521" s="987"/>
      <c r="O521" s="987"/>
      <c r="P521" s="987"/>
      <c r="Q521" s="987"/>
      <c r="R521" s="987"/>
      <c r="S521" s="987"/>
      <c r="T521" s="987"/>
      <c r="U521" s="987"/>
      <c r="V521" s="987"/>
      <c r="W521" s="987"/>
      <c r="X521" s="987"/>
      <c r="Y521" s="987"/>
      <c r="Z521" s="987"/>
    </row>
    <row r="522">
      <c r="A522" s="987"/>
      <c r="B522" s="987"/>
      <c r="C522" s="987"/>
      <c r="D522" s="987"/>
      <c r="E522" s="987"/>
      <c r="F522" s="987"/>
      <c r="G522" s="987"/>
      <c r="H522" s="987"/>
      <c r="I522" s="987"/>
      <c r="J522" s="987"/>
      <c r="K522" s="987"/>
      <c r="L522" s="987"/>
      <c r="M522" s="987"/>
      <c r="N522" s="987"/>
      <c r="O522" s="987"/>
      <c r="P522" s="987"/>
      <c r="Q522" s="987"/>
      <c r="R522" s="987"/>
      <c r="S522" s="987"/>
      <c r="T522" s="987"/>
      <c r="U522" s="987"/>
      <c r="V522" s="987"/>
      <c r="W522" s="987"/>
      <c r="X522" s="987"/>
      <c r="Y522" s="987"/>
      <c r="Z522" s="987"/>
    </row>
    <row r="523">
      <c r="A523" s="987"/>
      <c r="B523" s="987"/>
      <c r="C523" s="987"/>
      <c r="D523" s="987"/>
      <c r="E523" s="987"/>
      <c r="F523" s="987"/>
      <c r="G523" s="987"/>
      <c r="H523" s="987"/>
      <c r="I523" s="987"/>
      <c r="J523" s="987"/>
      <c r="K523" s="987"/>
      <c r="L523" s="987"/>
      <c r="M523" s="987"/>
      <c r="N523" s="987"/>
      <c r="O523" s="987"/>
      <c r="P523" s="987"/>
      <c r="Q523" s="987"/>
      <c r="R523" s="987"/>
      <c r="S523" s="987"/>
      <c r="T523" s="987"/>
      <c r="U523" s="987"/>
      <c r="V523" s="987"/>
      <c r="W523" s="987"/>
      <c r="X523" s="987"/>
      <c r="Y523" s="987"/>
      <c r="Z523" s="987"/>
    </row>
    <row r="524">
      <c r="A524" s="987"/>
      <c r="B524" s="987"/>
      <c r="C524" s="987"/>
      <c r="D524" s="987"/>
      <c r="E524" s="987"/>
      <c r="F524" s="987"/>
      <c r="G524" s="987"/>
      <c r="H524" s="987"/>
      <c r="I524" s="987"/>
      <c r="J524" s="987"/>
      <c r="K524" s="987"/>
      <c r="L524" s="987"/>
      <c r="M524" s="987"/>
      <c r="N524" s="987"/>
      <c r="O524" s="987"/>
      <c r="P524" s="987"/>
      <c r="Q524" s="987"/>
      <c r="R524" s="987"/>
      <c r="S524" s="987"/>
      <c r="T524" s="987"/>
      <c r="U524" s="987"/>
      <c r="V524" s="987"/>
      <c r="W524" s="987"/>
      <c r="X524" s="987"/>
      <c r="Y524" s="987"/>
      <c r="Z524" s="987"/>
    </row>
    <row r="525">
      <c r="A525" s="987"/>
      <c r="B525" s="987"/>
      <c r="C525" s="987"/>
      <c r="D525" s="987"/>
      <c r="E525" s="987"/>
      <c r="F525" s="987"/>
      <c r="G525" s="987"/>
      <c r="H525" s="987"/>
      <c r="I525" s="987"/>
      <c r="J525" s="987"/>
      <c r="K525" s="987"/>
      <c r="L525" s="987"/>
      <c r="M525" s="987"/>
      <c r="N525" s="987"/>
      <c r="O525" s="987"/>
      <c r="P525" s="987"/>
      <c r="Q525" s="987"/>
      <c r="R525" s="987"/>
      <c r="S525" s="987"/>
      <c r="T525" s="987"/>
      <c r="U525" s="987"/>
      <c r="V525" s="987"/>
      <c r="W525" s="987"/>
      <c r="X525" s="987"/>
      <c r="Y525" s="987"/>
      <c r="Z525" s="987"/>
    </row>
    <row r="526">
      <c r="A526" s="987"/>
      <c r="B526" s="987"/>
      <c r="C526" s="987"/>
      <c r="D526" s="987"/>
      <c r="E526" s="987"/>
      <c r="F526" s="987"/>
      <c r="G526" s="987"/>
      <c r="H526" s="987"/>
      <c r="I526" s="987"/>
      <c r="J526" s="987"/>
      <c r="K526" s="987"/>
      <c r="L526" s="987"/>
      <c r="M526" s="987"/>
      <c r="N526" s="987"/>
      <c r="O526" s="987"/>
      <c r="P526" s="987"/>
      <c r="Q526" s="987"/>
      <c r="R526" s="987"/>
      <c r="S526" s="987"/>
      <c r="T526" s="987"/>
      <c r="U526" s="987"/>
      <c r="V526" s="987"/>
      <c r="W526" s="987"/>
      <c r="X526" s="987"/>
      <c r="Y526" s="987"/>
      <c r="Z526" s="987"/>
    </row>
    <row r="527">
      <c r="A527" s="987"/>
      <c r="B527" s="987"/>
      <c r="C527" s="987"/>
      <c r="D527" s="987"/>
      <c r="E527" s="987"/>
      <c r="F527" s="987"/>
      <c r="G527" s="987"/>
      <c r="H527" s="987"/>
      <c r="I527" s="987"/>
      <c r="J527" s="987"/>
      <c r="K527" s="987"/>
      <c r="L527" s="987"/>
      <c r="M527" s="987"/>
      <c r="N527" s="987"/>
      <c r="O527" s="987"/>
      <c r="P527" s="987"/>
      <c r="Q527" s="987"/>
      <c r="R527" s="987"/>
      <c r="S527" s="987"/>
      <c r="T527" s="987"/>
      <c r="U527" s="987"/>
      <c r="V527" s="987"/>
      <c r="W527" s="987"/>
      <c r="X527" s="987"/>
      <c r="Y527" s="987"/>
      <c r="Z527" s="987"/>
    </row>
    <row r="528">
      <c r="A528" s="987"/>
      <c r="B528" s="987"/>
      <c r="C528" s="987"/>
      <c r="D528" s="987"/>
      <c r="E528" s="987"/>
      <c r="F528" s="987"/>
      <c r="G528" s="987"/>
      <c r="H528" s="987"/>
      <c r="I528" s="987"/>
      <c r="J528" s="987"/>
      <c r="K528" s="987"/>
      <c r="L528" s="987"/>
      <c r="M528" s="987"/>
      <c r="N528" s="987"/>
      <c r="O528" s="987"/>
      <c r="P528" s="987"/>
      <c r="Q528" s="987"/>
      <c r="R528" s="987"/>
      <c r="S528" s="987"/>
      <c r="T528" s="987"/>
      <c r="U528" s="987"/>
      <c r="V528" s="987"/>
      <c r="W528" s="987"/>
      <c r="X528" s="987"/>
      <c r="Y528" s="987"/>
      <c r="Z528" s="987"/>
    </row>
    <row r="529">
      <c r="A529" s="987"/>
      <c r="B529" s="987"/>
      <c r="C529" s="987"/>
      <c r="D529" s="987"/>
      <c r="E529" s="987"/>
      <c r="F529" s="987"/>
      <c r="G529" s="987"/>
      <c r="H529" s="987"/>
      <c r="I529" s="987"/>
      <c r="J529" s="987"/>
      <c r="K529" s="987"/>
      <c r="L529" s="987"/>
      <c r="M529" s="987"/>
      <c r="N529" s="987"/>
      <c r="O529" s="987"/>
      <c r="P529" s="987"/>
      <c r="Q529" s="987"/>
      <c r="R529" s="987"/>
      <c r="S529" s="987"/>
      <c r="T529" s="987"/>
      <c r="U529" s="987"/>
      <c r="V529" s="987"/>
      <c r="W529" s="987"/>
      <c r="X529" s="987"/>
      <c r="Y529" s="987"/>
      <c r="Z529" s="987"/>
    </row>
    <row r="530">
      <c r="A530" s="987"/>
      <c r="B530" s="987"/>
      <c r="C530" s="987"/>
      <c r="D530" s="987"/>
      <c r="E530" s="987"/>
      <c r="F530" s="987"/>
      <c r="G530" s="987"/>
      <c r="H530" s="987"/>
      <c r="I530" s="987"/>
      <c r="J530" s="987"/>
      <c r="K530" s="987"/>
      <c r="L530" s="987"/>
      <c r="M530" s="987"/>
      <c r="N530" s="987"/>
      <c r="O530" s="987"/>
      <c r="P530" s="987"/>
      <c r="Q530" s="987"/>
      <c r="R530" s="987"/>
      <c r="S530" s="987"/>
      <c r="T530" s="987"/>
      <c r="U530" s="987"/>
      <c r="V530" s="987"/>
      <c r="W530" s="987"/>
      <c r="X530" s="987"/>
      <c r="Y530" s="987"/>
      <c r="Z530" s="987"/>
    </row>
    <row r="531">
      <c r="A531" s="987"/>
      <c r="B531" s="987"/>
      <c r="C531" s="987"/>
      <c r="D531" s="987"/>
      <c r="E531" s="987"/>
      <c r="F531" s="987"/>
      <c r="G531" s="987"/>
      <c r="H531" s="987"/>
      <c r="I531" s="987"/>
      <c r="J531" s="987"/>
      <c r="K531" s="987"/>
      <c r="L531" s="987"/>
      <c r="M531" s="987"/>
      <c r="N531" s="987"/>
      <c r="O531" s="987"/>
      <c r="P531" s="987"/>
      <c r="Q531" s="987"/>
      <c r="R531" s="987"/>
      <c r="S531" s="987"/>
      <c r="T531" s="987"/>
      <c r="U531" s="987"/>
      <c r="V531" s="987"/>
      <c r="W531" s="987"/>
      <c r="X531" s="987"/>
      <c r="Y531" s="987"/>
      <c r="Z531" s="987"/>
    </row>
    <row r="532">
      <c r="A532" s="987"/>
      <c r="B532" s="987"/>
      <c r="C532" s="987"/>
      <c r="D532" s="987"/>
      <c r="E532" s="987"/>
      <c r="F532" s="987"/>
      <c r="G532" s="987"/>
      <c r="H532" s="987"/>
      <c r="I532" s="987"/>
      <c r="J532" s="987"/>
      <c r="K532" s="987"/>
      <c r="L532" s="987"/>
      <c r="M532" s="987"/>
      <c r="N532" s="987"/>
      <c r="O532" s="987"/>
      <c r="P532" s="987"/>
      <c r="Q532" s="987"/>
      <c r="R532" s="987"/>
      <c r="S532" s="987"/>
      <c r="T532" s="987"/>
      <c r="U532" s="987"/>
      <c r="V532" s="987"/>
      <c r="W532" s="987"/>
      <c r="X532" s="987"/>
      <c r="Y532" s="987"/>
      <c r="Z532" s="987"/>
    </row>
    <row r="533">
      <c r="A533" s="987"/>
      <c r="B533" s="987"/>
      <c r="C533" s="987"/>
      <c r="D533" s="987"/>
      <c r="E533" s="987"/>
      <c r="F533" s="987"/>
      <c r="G533" s="987"/>
      <c r="H533" s="987"/>
      <c r="I533" s="987"/>
      <c r="J533" s="987"/>
      <c r="K533" s="987"/>
      <c r="L533" s="987"/>
      <c r="M533" s="987"/>
      <c r="N533" s="987"/>
      <c r="O533" s="987"/>
      <c r="P533" s="987"/>
      <c r="Q533" s="987"/>
      <c r="R533" s="987"/>
      <c r="S533" s="987"/>
      <c r="T533" s="987"/>
      <c r="U533" s="987"/>
      <c r="V533" s="987"/>
      <c r="W533" s="987"/>
      <c r="X533" s="987"/>
      <c r="Y533" s="987"/>
      <c r="Z533" s="987"/>
    </row>
    <row r="534">
      <c r="A534" s="987"/>
      <c r="B534" s="987"/>
      <c r="C534" s="987"/>
      <c r="D534" s="987"/>
      <c r="E534" s="987"/>
      <c r="F534" s="987"/>
      <c r="G534" s="987"/>
      <c r="H534" s="987"/>
      <c r="I534" s="987"/>
      <c r="J534" s="987"/>
      <c r="K534" s="987"/>
      <c r="L534" s="987"/>
      <c r="M534" s="987"/>
      <c r="N534" s="987"/>
      <c r="O534" s="987"/>
      <c r="P534" s="987"/>
      <c r="Q534" s="987"/>
      <c r="R534" s="987"/>
      <c r="S534" s="987"/>
      <c r="T534" s="987"/>
      <c r="U534" s="987"/>
      <c r="V534" s="987"/>
      <c r="W534" s="987"/>
      <c r="X534" s="987"/>
      <c r="Y534" s="987"/>
      <c r="Z534" s="987"/>
    </row>
    <row r="535">
      <c r="A535" s="987"/>
      <c r="B535" s="987"/>
      <c r="C535" s="987"/>
      <c r="D535" s="987"/>
      <c r="E535" s="987"/>
      <c r="F535" s="987"/>
      <c r="G535" s="987"/>
      <c r="H535" s="987"/>
      <c r="I535" s="987"/>
      <c r="J535" s="987"/>
      <c r="K535" s="987"/>
      <c r="L535" s="987"/>
      <c r="M535" s="987"/>
      <c r="N535" s="987"/>
      <c r="O535" s="987"/>
      <c r="P535" s="987"/>
      <c r="Q535" s="987"/>
      <c r="R535" s="987"/>
      <c r="S535" s="987"/>
      <c r="T535" s="987"/>
      <c r="U535" s="987"/>
      <c r="V535" s="987"/>
      <c r="W535" s="987"/>
      <c r="X535" s="987"/>
      <c r="Y535" s="987"/>
      <c r="Z535" s="987"/>
    </row>
    <row r="536">
      <c r="A536" s="987"/>
      <c r="B536" s="987"/>
      <c r="C536" s="987"/>
      <c r="D536" s="987"/>
      <c r="E536" s="987"/>
      <c r="F536" s="987"/>
      <c r="G536" s="987"/>
      <c r="H536" s="987"/>
      <c r="I536" s="987"/>
      <c r="J536" s="987"/>
      <c r="K536" s="987"/>
      <c r="L536" s="987"/>
      <c r="M536" s="987"/>
      <c r="N536" s="987"/>
      <c r="O536" s="987"/>
      <c r="P536" s="987"/>
      <c r="Q536" s="987"/>
      <c r="R536" s="987"/>
      <c r="S536" s="987"/>
      <c r="T536" s="987"/>
      <c r="U536" s="987"/>
      <c r="V536" s="987"/>
      <c r="W536" s="987"/>
      <c r="X536" s="987"/>
      <c r="Y536" s="987"/>
      <c r="Z536" s="987"/>
    </row>
    <row r="537">
      <c r="A537" s="987"/>
      <c r="B537" s="987"/>
      <c r="C537" s="987"/>
      <c r="D537" s="987"/>
      <c r="E537" s="987"/>
      <c r="F537" s="987"/>
      <c r="G537" s="987"/>
      <c r="H537" s="987"/>
      <c r="I537" s="987"/>
      <c r="J537" s="987"/>
      <c r="K537" s="987"/>
      <c r="L537" s="987"/>
      <c r="M537" s="987"/>
      <c r="N537" s="987"/>
      <c r="O537" s="987"/>
      <c r="P537" s="987"/>
      <c r="Q537" s="987"/>
      <c r="R537" s="987"/>
      <c r="S537" s="987"/>
      <c r="T537" s="987"/>
      <c r="U537" s="987"/>
      <c r="V537" s="987"/>
      <c r="W537" s="987"/>
      <c r="X537" s="987"/>
      <c r="Y537" s="987"/>
      <c r="Z537" s="987"/>
    </row>
    <row r="538">
      <c r="A538" s="987"/>
      <c r="B538" s="987"/>
      <c r="C538" s="987"/>
      <c r="D538" s="987"/>
      <c r="E538" s="987"/>
      <c r="F538" s="987"/>
      <c r="G538" s="987"/>
      <c r="H538" s="987"/>
      <c r="I538" s="987"/>
      <c r="J538" s="987"/>
      <c r="K538" s="987"/>
      <c r="L538" s="987"/>
      <c r="M538" s="987"/>
      <c r="N538" s="987"/>
      <c r="O538" s="987"/>
      <c r="P538" s="987"/>
      <c r="Q538" s="987"/>
      <c r="R538" s="987"/>
      <c r="S538" s="987"/>
      <c r="T538" s="987"/>
      <c r="U538" s="987"/>
      <c r="V538" s="987"/>
      <c r="W538" s="987"/>
      <c r="X538" s="987"/>
      <c r="Y538" s="987"/>
      <c r="Z538" s="987"/>
    </row>
    <row r="539">
      <c r="A539" s="987"/>
      <c r="B539" s="987"/>
      <c r="C539" s="987"/>
      <c r="D539" s="987"/>
      <c r="E539" s="987"/>
      <c r="F539" s="987"/>
      <c r="G539" s="987"/>
      <c r="H539" s="987"/>
      <c r="I539" s="987"/>
      <c r="J539" s="987"/>
      <c r="K539" s="987"/>
      <c r="L539" s="987"/>
      <c r="M539" s="987"/>
      <c r="N539" s="987"/>
      <c r="O539" s="987"/>
      <c r="P539" s="987"/>
      <c r="Q539" s="987"/>
      <c r="R539" s="987"/>
      <c r="S539" s="987"/>
      <c r="T539" s="987"/>
      <c r="U539" s="987"/>
      <c r="V539" s="987"/>
      <c r="W539" s="987"/>
      <c r="X539" s="987"/>
      <c r="Y539" s="987"/>
      <c r="Z539" s="987"/>
    </row>
    <row r="540">
      <c r="A540" s="987"/>
      <c r="B540" s="987"/>
      <c r="C540" s="987"/>
      <c r="D540" s="987"/>
      <c r="E540" s="987"/>
      <c r="F540" s="987"/>
      <c r="G540" s="987"/>
      <c r="H540" s="987"/>
      <c r="I540" s="987"/>
      <c r="J540" s="987"/>
      <c r="K540" s="987"/>
      <c r="L540" s="987"/>
      <c r="M540" s="987"/>
      <c r="N540" s="987"/>
      <c r="O540" s="987"/>
      <c r="P540" s="987"/>
      <c r="Q540" s="987"/>
      <c r="R540" s="987"/>
      <c r="S540" s="987"/>
      <c r="T540" s="987"/>
      <c r="U540" s="987"/>
      <c r="V540" s="987"/>
      <c r="W540" s="987"/>
      <c r="X540" s="987"/>
      <c r="Y540" s="987"/>
      <c r="Z540" s="987"/>
    </row>
    <row r="541">
      <c r="A541" s="987"/>
      <c r="B541" s="987"/>
      <c r="C541" s="987"/>
      <c r="D541" s="987"/>
      <c r="E541" s="987"/>
      <c r="F541" s="987"/>
      <c r="G541" s="987"/>
      <c r="H541" s="987"/>
      <c r="I541" s="987"/>
      <c r="J541" s="987"/>
      <c r="K541" s="987"/>
      <c r="L541" s="987"/>
      <c r="M541" s="987"/>
      <c r="N541" s="987"/>
      <c r="O541" s="987"/>
      <c r="P541" s="987"/>
      <c r="Q541" s="987"/>
      <c r="R541" s="987"/>
      <c r="S541" s="987"/>
      <c r="T541" s="987"/>
      <c r="U541" s="987"/>
      <c r="V541" s="987"/>
      <c r="W541" s="987"/>
      <c r="X541" s="987"/>
      <c r="Y541" s="987"/>
      <c r="Z541" s="987"/>
    </row>
    <row r="542">
      <c r="A542" s="987"/>
      <c r="B542" s="987"/>
      <c r="C542" s="987"/>
      <c r="D542" s="987"/>
      <c r="E542" s="987"/>
      <c r="F542" s="987"/>
      <c r="G542" s="987"/>
      <c r="H542" s="987"/>
      <c r="I542" s="987"/>
      <c r="J542" s="987"/>
      <c r="K542" s="987"/>
      <c r="L542" s="987"/>
      <c r="M542" s="987"/>
      <c r="N542" s="987"/>
      <c r="O542" s="987"/>
      <c r="P542" s="987"/>
      <c r="Q542" s="987"/>
      <c r="R542" s="987"/>
      <c r="S542" s="987"/>
      <c r="T542" s="987"/>
      <c r="U542" s="987"/>
      <c r="V542" s="987"/>
      <c r="W542" s="987"/>
      <c r="X542" s="987"/>
      <c r="Y542" s="987"/>
      <c r="Z542" s="987"/>
    </row>
    <row r="543">
      <c r="A543" s="987"/>
      <c r="B543" s="987"/>
      <c r="C543" s="987"/>
      <c r="D543" s="987"/>
      <c r="E543" s="987"/>
      <c r="F543" s="987"/>
      <c r="G543" s="987"/>
      <c r="H543" s="987"/>
      <c r="I543" s="987"/>
      <c r="J543" s="987"/>
      <c r="K543" s="987"/>
      <c r="L543" s="987"/>
      <c r="M543" s="987"/>
      <c r="N543" s="987"/>
      <c r="O543" s="987"/>
      <c r="P543" s="987"/>
      <c r="Q543" s="987"/>
      <c r="R543" s="987"/>
      <c r="S543" s="987"/>
      <c r="T543" s="987"/>
      <c r="U543" s="987"/>
      <c r="V543" s="987"/>
      <c r="W543" s="987"/>
      <c r="X543" s="987"/>
      <c r="Y543" s="987"/>
      <c r="Z543" s="987"/>
    </row>
    <row r="544">
      <c r="A544" s="987"/>
      <c r="B544" s="987"/>
      <c r="C544" s="987"/>
      <c r="D544" s="987"/>
      <c r="E544" s="987"/>
      <c r="F544" s="987"/>
      <c r="G544" s="987"/>
      <c r="H544" s="987"/>
      <c r="I544" s="987"/>
      <c r="J544" s="987"/>
      <c r="K544" s="987"/>
      <c r="L544" s="987"/>
      <c r="M544" s="987"/>
      <c r="N544" s="987"/>
      <c r="O544" s="987"/>
      <c r="P544" s="987"/>
      <c r="Q544" s="987"/>
      <c r="R544" s="987"/>
      <c r="S544" s="987"/>
      <c r="T544" s="987"/>
      <c r="U544" s="987"/>
      <c r="V544" s="987"/>
      <c r="W544" s="987"/>
      <c r="X544" s="987"/>
      <c r="Y544" s="987"/>
      <c r="Z544" s="987"/>
    </row>
    <row r="545">
      <c r="A545" s="987"/>
      <c r="B545" s="987"/>
      <c r="C545" s="987"/>
      <c r="D545" s="987"/>
      <c r="E545" s="987"/>
      <c r="F545" s="987"/>
      <c r="G545" s="987"/>
      <c r="H545" s="987"/>
      <c r="I545" s="987"/>
      <c r="J545" s="987"/>
      <c r="K545" s="987"/>
      <c r="L545" s="987"/>
      <c r="M545" s="987"/>
      <c r="N545" s="987"/>
      <c r="O545" s="987"/>
      <c r="P545" s="987"/>
      <c r="Q545" s="987"/>
      <c r="R545" s="987"/>
      <c r="S545" s="987"/>
      <c r="T545" s="987"/>
      <c r="U545" s="987"/>
      <c r="V545" s="987"/>
      <c r="W545" s="987"/>
      <c r="X545" s="987"/>
      <c r="Y545" s="987"/>
      <c r="Z545" s="987"/>
    </row>
    <row r="546">
      <c r="A546" s="987"/>
      <c r="B546" s="987"/>
      <c r="C546" s="987"/>
      <c r="D546" s="987"/>
      <c r="E546" s="987"/>
      <c r="F546" s="987"/>
      <c r="G546" s="987"/>
      <c r="H546" s="987"/>
      <c r="I546" s="987"/>
      <c r="J546" s="987"/>
      <c r="K546" s="987"/>
      <c r="L546" s="987"/>
      <c r="M546" s="987"/>
      <c r="N546" s="987"/>
      <c r="O546" s="987"/>
      <c r="P546" s="987"/>
      <c r="Q546" s="987"/>
      <c r="R546" s="987"/>
      <c r="S546" s="987"/>
      <c r="T546" s="987"/>
      <c r="U546" s="987"/>
      <c r="V546" s="987"/>
      <c r="W546" s="987"/>
      <c r="X546" s="987"/>
      <c r="Y546" s="987"/>
      <c r="Z546" s="987"/>
    </row>
    <row r="547">
      <c r="A547" s="987"/>
      <c r="B547" s="987"/>
      <c r="C547" s="987"/>
      <c r="D547" s="987"/>
      <c r="E547" s="987"/>
      <c r="F547" s="987"/>
      <c r="G547" s="987"/>
      <c r="H547" s="987"/>
      <c r="I547" s="987"/>
      <c r="J547" s="987"/>
      <c r="K547" s="987"/>
      <c r="L547" s="987"/>
      <c r="M547" s="987"/>
      <c r="N547" s="987"/>
      <c r="O547" s="987"/>
      <c r="P547" s="987"/>
      <c r="Q547" s="987"/>
      <c r="R547" s="987"/>
      <c r="S547" s="987"/>
      <c r="T547" s="987"/>
      <c r="U547" s="987"/>
      <c r="V547" s="987"/>
      <c r="W547" s="987"/>
      <c r="X547" s="987"/>
      <c r="Y547" s="987"/>
      <c r="Z547" s="987"/>
    </row>
    <row r="548">
      <c r="A548" s="987"/>
      <c r="B548" s="987"/>
      <c r="C548" s="987"/>
      <c r="D548" s="987"/>
      <c r="E548" s="987"/>
      <c r="F548" s="987"/>
      <c r="G548" s="987"/>
      <c r="H548" s="987"/>
      <c r="I548" s="987"/>
      <c r="J548" s="987"/>
      <c r="K548" s="987"/>
      <c r="L548" s="987"/>
      <c r="M548" s="987"/>
      <c r="N548" s="987"/>
      <c r="O548" s="987"/>
      <c r="P548" s="987"/>
      <c r="Q548" s="987"/>
      <c r="R548" s="987"/>
      <c r="S548" s="987"/>
      <c r="T548" s="987"/>
      <c r="U548" s="987"/>
      <c r="V548" s="987"/>
      <c r="W548" s="987"/>
      <c r="X548" s="987"/>
      <c r="Y548" s="987"/>
      <c r="Z548" s="987"/>
    </row>
    <row r="549">
      <c r="A549" s="987"/>
      <c r="B549" s="987"/>
      <c r="C549" s="987"/>
      <c r="D549" s="987"/>
      <c r="E549" s="987"/>
      <c r="F549" s="987"/>
      <c r="G549" s="987"/>
      <c r="H549" s="987"/>
      <c r="I549" s="987"/>
      <c r="J549" s="987"/>
      <c r="K549" s="987"/>
      <c r="L549" s="987"/>
      <c r="M549" s="987"/>
      <c r="N549" s="987"/>
      <c r="O549" s="987"/>
      <c r="P549" s="987"/>
      <c r="Q549" s="987"/>
      <c r="R549" s="987"/>
      <c r="S549" s="987"/>
      <c r="T549" s="987"/>
      <c r="U549" s="987"/>
      <c r="V549" s="987"/>
      <c r="W549" s="987"/>
      <c r="X549" s="987"/>
      <c r="Y549" s="987"/>
      <c r="Z549" s="987"/>
    </row>
    <row r="550">
      <c r="A550" s="987"/>
      <c r="B550" s="987"/>
      <c r="C550" s="987"/>
      <c r="D550" s="987"/>
      <c r="E550" s="987"/>
      <c r="F550" s="987"/>
      <c r="G550" s="987"/>
      <c r="H550" s="987"/>
      <c r="I550" s="987"/>
      <c r="J550" s="987"/>
      <c r="K550" s="987"/>
      <c r="L550" s="987"/>
      <c r="M550" s="987"/>
      <c r="N550" s="987"/>
      <c r="O550" s="987"/>
      <c r="P550" s="987"/>
      <c r="Q550" s="987"/>
      <c r="R550" s="987"/>
      <c r="S550" s="987"/>
      <c r="T550" s="987"/>
      <c r="U550" s="987"/>
      <c r="V550" s="987"/>
      <c r="W550" s="987"/>
      <c r="X550" s="987"/>
      <c r="Y550" s="987"/>
      <c r="Z550" s="987"/>
    </row>
    <row r="551">
      <c r="A551" s="987"/>
      <c r="B551" s="987"/>
      <c r="C551" s="987"/>
      <c r="D551" s="987"/>
      <c r="E551" s="987"/>
      <c r="F551" s="987"/>
      <c r="G551" s="987"/>
      <c r="H551" s="987"/>
      <c r="I551" s="987"/>
      <c r="J551" s="987"/>
      <c r="K551" s="987"/>
      <c r="L551" s="987"/>
      <c r="M551" s="987"/>
      <c r="N551" s="987"/>
      <c r="O551" s="987"/>
      <c r="P551" s="987"/>
      <c r="Q551" s="987"/>
      <c r="R551" s="987"/>
      <c r="S551" s="987"/>
      <c r="T551" s="987"/>
      <c r="U551" s="987"/>
      <c r="V551" s="987"/>
      <c r="W551" s="987"/>
      <c r="X551" s="987"/>
      <c r="Y551" s="987"/>
      <c r="Z551" s="987"/>
    </row>
    <row r="552">
      <c r="A552" s="987"/>
      <c r="B552" s="987"/>
      <c r="C552" s="987"/>
      <c r="D552" s="987"/>
      <c r="E552" s="987"/>
      <c r="F552" s="987"/>
      <c r="G552" s="987"/>
      <c r="H552" s="987"/>
      <c r="I552" s="987"/>
      <c r="J552" s="987"/>
      <c r="K552" s="987"/>
      <c r="L552" s="987"/>
      <c r="M552" s="987"/>
      <c r="N552" s="987"/>
      <c r="O552" s="987"/>
      <c r="P552" s="987"/>
      <c r="Q552" s="987"/>
      <c r="R552" s="987"/>
      <c r="S552" s="987"/>
      <c r="T552" s="987"/>
      <c r="U552" s="987"/>
      <c r="V552" s="987"/>
      <c r="W552" s="987"/>
      <c r="X552" s="987"/>
      <c r="Y552" s="987"/>
      <c r="Z552" s="987"/>
    </row>
    <row r="553">
      <c r="A553" s="987"/>
      <c r="B553" s="987"/>
      <c r="C553" s="987"/>
      <c r="D553" s="987"/>
      <c r="E553" s="987"/>
      <c r="F553" s="987"/>
      <c r="G553" s="987"/>
      <c r="H553" s="987"/>
      <c r="I553" s="987"/>
      <c r="J553" s="987"/>
      <c r="K553" s="987"/>
      <c r="L553" s="987"/>
      <c r="M553" s="987"/>
      <c r="N553" s="987"/>
      <c r="O553" s="987"/>
      <c r="P553" s="987"/>
      <c r="Q553" s="987"/>
      <c r="R553" s="987"/>
      <c r="S553" s="987"/>
      <c r="T553" s="987"/>
      <c r="U553" s="987"/>
      <c r="V553" s="987"/>
      <c r="W553" s="987"/>
      <c r="X553" s="987"/>
      <c r="Y553" s="987"/>
      <c r="Z553" s="987"/>
    </row>
    <row r="554">
      <c r="A554" s="987"/>
      <c r="B554" s="987"/>
      <c r="C554" s="987"/>
      <c r="D554" s="987"/>
      <c r="E554" s="987"/>
      <c r="F554" s="987"/>
      <c r="G554" s="987"/>
      <c r="H554" s="987"/>
      <c r="I554" s="987"/>
      <c r="J554" s="987"/>
      <c r="K554" s="987"/>
      <c r="L554" s="987"/>
      <c r="M554" s="987"/>
      <c r="N554" s="987"/>
      <c r="O554" s="987"/>
      <c r="P554" s="987"/>
      <c r="Q554" s="987"/>
      <c r="R554" s="987"/>
      <c r="S554" s="987"/>
      <c r="T554" s="987"/>
      <c r="U554" s="987"/>
      <c r="V554" s="987"/>
      <c r="W554" s="987"/>
      <c r="X554" s="987"/>
      <c r="Y554" s="987"/>
      <c r="Z554" s="987"/>
    </row>
    <row r="555">
      <c r="A555" s="987"/>
      <c r="B555" s="987"/>
      <c r="C555" s="987"/>
      <c r="D555" s="987"/>
      <c r="E555" s="987"/>
      <c r="F555" s="987"/>
      <c r="G555" s="987"/>
      <c r="H555" s="987"/>
      <c r="I555" s="987"/>
      <c r="J555" s="987"/>
      <c r="K555" s="987"/>
      <c r="L555" s="987"/>
      <c r="M555" s="987"/>
      <c r="N555" s="987"/>
      <c r="O555" s="987"/>
      <c r="P555" s="987"/>
      <c r="Q555" s="987"/>
      <c r="R555" s="987"/>
      <c r="S555" s="987"/>
      <c r="T555" s="987"/>
      <c r="U555" s="987"/>
      <c r="V555" s="987"/>
      <c r="W555" s="987"/>
      <c r="X555" s="987"/>
      <c r="Y555" s="987"/>
      <c r="Z555" s="987"/>
    </row>
    <row r="556">
      <c r="A556" s="987"/>
      <c r="B556" s="987"/>
      <c r="C556" s="987"/>
      <c r="D556" s="987"/>
      <c r="E556" s="987"/>
      <c r="F556" s="987"/>
      <c r="G556" s="987"/>
      <c r="H556" s="987"/>
      <c r="I556" s="987"/>
      <c r="J556" s="987"/>
      <c r="K556" s="987"/>
      <c r="L556" s="987"/>
      <c r="M556" s="987"/>
      <c r="N556" s="987"/>
      <c r="O556" s="987"/>
      <c r="P556" s="987"/>
      <c r="Q556" s="987"/>
      <c r="R556" s="987"/>
      <c r="S556" s="987"/>
      <c r="T556" s="987"/>
      <c r="U556" s="987"/>
      <c r="V556" s="987"/>
      <c r="W556" s="987"/>
      <c r="X556" s="987"/>
      <c r="Y556" s="987"/>
      <c r="Z556" s="987"/>
    </row>
    <row r="557">
      <c r="A557" s="987"/>
      <c r="B557" s="987"/>
      <c r="C557" s="987"/>
      <c r="D557" s="987"/>
      <c r="E557" s="987"/>
      <c r="F557" s="987"/>
      <c r="G557" s="987"/>
      <c r="H557" s="987"/>
      <c r="I557" s="987"/>
      <c r="J557" s="987"/>
      <c r="K557" s="987"/>
      <c r="L557" s="987"/>
      <c r="M557" s="987"/>
      <c r="N557" s="987"/>
      <c r="O557" s="987"/>
      <c r="P557" s="987"/>
      <c r="Q557" s="987"/>
      <c r="R557" s="987"/>
      <c r="S557" s="987"/>
      <c r="T557" s="987"/>
      <c r="U557" s="987"/>
      <c r="V557" s="987"/>
      <c r="W557" s="987"/>
      <c r="X557" s="987"/>
      <c r="Y557" s="987"/>
      <c r="Z557" s="987"/>
    </row>
    <row r="558">
      <c r="A558" s="987"/>
      <c r="B558" s="987"/>
      <c r="C558" s="987"/>
      <c r="D558" s="987"/>
      <c r="E558" s="987"/>
      <c r="F558" s="987"/>
      <c r="G558" s="987"/>
      <c r="H558" s="987"/>
      <c r="I558" s="987"/>
      <c r="J558" s="987"/>
      <c r="K558" s="987"/>
      <c r="L558" s="987"/>
      <c r="M558" s="987"/>
      <c r="N558" s="987"/>
      <c r="O558" s="987"/>
      <c r="P558" s="987"/>
      <c r="Q558" s="987"/>
      <c r="R558" s="987"/>
      <c r="S558" s="987"/>
      <c r="T558" s="987"/>
      <c r="U558" s="987"/>
      <c r="V558" s="987"/>
      <c r="W558" s="987"/>
      <c r="X558" s="987"/>
      <c r="Y558" s="987"/>
      <c r="Z558" s="987"/>
    </row>
    <row r="559">
      <c r="A559" s="987"/>
      <c r="B559" s="987"/>
      <c r="C559" s="987"/>
      <c r="D559" s="987"/>
      <c r="E559" s="987"/>
      <c r="F559" s="987"/>
      <c r="G559" s="987"/>
      <c r="H559" s="987"/>
      <c r="I559" s="987"/>
      <c r="J559" s="987"/>
      <c r="K559" s="987"/>
      <c r="L559" s="987"/>
      <c r="M559" s="987"/>
      <c r="N559" s="987"/>
      <c r="O559" s="987"/>
      <c r="P559" s="987"/>
      <c r="Q559" s="987"/>
      <c r="R559" s="987"/>
      <c r="S559" s="987"/>
      <c r="T559" s="987"/>
      <c r="U559" s="987"/>
      <c r="V559" s="987"/>
      <c r="W559" s="987"/>
      <c r="X559" s="987"/>
      <c r="Y559" s="987"/>
      <c r="Z559" s="987"/>
    </row>
    <row r="560">
      <c r="A560" s="987"/>
      <c r="B560" s="987"/>
      <c r="C560" s="987"/>
      <c r="D560" s="987"/>
      <c r="E560" s="987"/>
      <c r="F560" s="987"/>
      <c r="G560" s="987"/>
      <c r="H560" s="987"/>
      <c r="I560" s="987"/>
      <c r="J560" s="987"/>
      <c r="K560" s="987"/>
      <c r="L560" s="987"/>
      <c r="M560" s="987"/>
      <c r="N560" s="987"/>
      <c r="O560" s="987"/>
      <c r="P560" s="987"/>
      <c r="Q560" s="987"/>
      <c r="R560" s="987"/>
      <c r="S560" s="987"/>
      <c r="T560" s="987"/>
      <c r="U560" s="987"/>
      <c r="V560" s="987"/>
      <c r="W560" s="987"/>
      <c r="X560" s="987"/>
      <c r="Y560" s="987"/>
      <c r="Z560" s="987"/>
    </row>
    <row r="561">
      <c r="A561" s="987"/>
      <c r="B561" s="987"/>
      <c r="C561" s="987"/>
      <c r="D561" s="987"/>
      <c r="E561" s="987"/>
      <c r="F561" s="987"/>
      <c r="G561" s="987"/>
      <c r="H561" s="987"/>
      <c r="I561" s="987"/>
      <c r="J561" s="987"/>
      <c r="K561" s="987"/>
      <c r="L561" s="987"/>
      <c r="M561" s="987"/>
      <c r="N561" s="987"/>
      <c r="O561" s="987"/>
      <c r="P561" s="987"/>
      <c r="Q561" s="987"/>
      <c r="R561" s="987"/>
      <c r="S561" s="987"/>
      <c r="T561" s="987"/>
      <c r="U561" s="987"/>
      <c r="V561" s="987"/>
      <c r="W561" s="987"/>
      <c r="X561" s="987"/>
      <c r="Y561" s="987"/>
      <c r="Z561" s="987"/>
    </row>
    <row r="562">
      <c r="A562" s="987"/>
      <c r="B562" s="987"/>
      <c r="C562" s="987"/>
      <c r="D562" s="987"/>
      <c r="E562" s="987"/>
      <c r="F562" s="987"/>
      <c r="G562" s="987"/>
      <c r="H562" s="987"/>
      <c r="I562" s="987"/>
      <c r="J562" s="987"/>
      <c r="K562" s="987"/>
      <c r="L562" s="987"/>
      <c r="M562" s="987"/>
      <c r="N562" s="987"/>
      <c r="O562" s="987"/>
      <c r="P562" s="987"/>
      <c r="Q562" s="987"/>
      <c r="R562" s="987"/>
      <c r="S562" s="987"/>
      <c r="T562" s="987"/>
      <c r="U562" s="987"/>
      <c r="V562" s="987"/>
      <c r="W562" s="987"/>
      <c r="X562" s="987"/>
      <c r="Y562" s="987"/>
      <c r="Z562" s="987"/>
    </row>
    <row r="563">
      <c r="A563" s="987"/>
      <c r="B563" s="987"/>
      <c r="C563" s="987"/>
      <c r="D563" s="987"/>
      <c r="E563" s="987"/>
      <c r="F563" s="987"/>
      <c r="G563" s="987"/>
      <c r="H563" s="987"/>
      <c r="I563" s="987"/>
      <c r="J563" s="987"/>
      <c r="K563" s="987"/>
      <c r="L563" s="987"/>
      <c r="M563" s="987"/>
      <c r="N563" s="987"/>
      <c r="O563" s="987"/>
      <c r="P563" s="987"/>
      <c r="Q563" s="987"/>
      <c r="R563" s="987"/>
      <c r="S563" s="987"/>
      <c r="T563" s="987"/>
      <c r="U563" s="987"/>
      <c r="V563" s="987"/>
      <c r="W563" s="987"/>
      <c r="X563" s="987"/>
      <c r="Y563" s="987"/>
      <c r="Z563" s="987"/>
    </row>
    <row r="564">
      <c r="A564" s="987"/>
      <c r="B564" s="987"/>
      <c r="C564" s="987"/>
      <c r="D564" s="987"/>
      <c r="E564" s="987"/>
      <c r="F564" s="987"/>
      <c r="G564" s="987"/>
      <c r="H564" s="987"/>
      <c r="I564" s="987"/>
      <c r="J564" s="987"/>
      <c r="K564" s="987"/>
      <c r="L564" s="987"/>
      <c r="M564" s="987"/>
      <c r="N564" s="987"/>
      <c r="O564" s="987"/>
      <c r="P564" s="987"/>
      <c r="Q564" s="987"/>
      <c r="R564" s="987"/>
      <c r="S564" s="987"/>
      <c r="T564" s="987"/>
      <c r="U564" s="987"/>
      <c r="V564" s="987"/>
      <c r="W564" s="987"/>
      <c r="X564" s="987"/>
      <c r="Y564" s="987"/>
      <c r="Z564" s="987"/>
    </row>
    <row r="565">
      <c r="A565" s="987"/>
      <c r="B565" s="987"/>
      <c r="C565" s="987"/>
      <c r="D565" s="987"/>
      <c r="E565" s="987"/>
      <c r="F565" s="987"/>
      <c r="G565" s="987"/>
      <c r="H565" s="987"/>
      <c r="I565" s="987"/>
      <c r="J565" s="987"/>
      <c r="K565" s="987"/>
      <c r="L565" s="987"/>
      <c r="M565" s="987"/>
      <c r="N565" s="987"/>
      <c r="O565" s="987"/>
      <c r="P565" s="987"/>
      <c r="Q565" s="987"/>
      <c r="R565" s="987"/>
      <c r="S565" s="987"/>
      <c r="T565" s="987"/>
      <c r="U565" s="987"/>
      <c r="V565" s="987"/>
      <c r="W565" s="987"/>
      <c r="X565" s="987"/>
      <c r="Y565" s="987"/>
      <c r="Z565" s="987"/>
    </row>
    <row r="566">
      <c r="A566" s="987"/>
      <c r="B566" s="987"/>
      <c r="C566" s="987"/>
      <c r="D566" s="987"/>
      <c r="E566" s="987"/>
      <c r="F566" s="987"/>
      <c r="G566" s="987"/>
      <c r="H566" s="987"/>
      <c r="I566" s="987"/>
      <c r="J566" s="987"/>
      <c r="K566" s="987"/>
      <c r="L566" s="987"/>
      <c r="M566" s="987"/>
      <c r="N566" s="987"/>
      <c r="O566" s="987"/>
      <c r="P566" s="987"/>
      <c r="Q566" s="987"/>
      <c r="R566" s="987"/>
      <c r="S566" s="987"/>
      <c r="T566" s="987"/>
      <c r="U566" s="987"/>
      <c r="V566" s="987"/>
      <c r="W566" s="987"/>
      <c r="X566" s="987"/>
      <c r="Y566" s="987"/>
      <c r="Z566" s="987"/>
    </row>
    <row r="567">
      <c r="A567" s="987"/>
      <c r="B567" s="987"/>
      <c r="C567" s="987"/>
      <c r="D567" s="987"/>
      <c r="E567" s="987"/>
      <c r="F567" s="987"/>
      <c r="G567" s="987"/>
      <c r="H567" s="987"/>
      <c r="I567" s="987"/>
      <c r="J567" s="987"/>
      <c r="K567" s="987"/>
      <c r="L567" s="987"/>
      <c r="M567" s="987"/>
      <c r="N567" s="987"/>
      <c r="O567" s="987"/>
      <c r="P567" s="987"/>
      <c r="Q567" s="987"/>
      <c r="R567" s="987"/>
      <c r="S567" s="987"/>
      <c r="T567" s="987"/>
      <c r="U567" s="987"/>
      <c r="V567" s="987"/>
      <c r="W567" s="987"/>
      <c r="X567" s="987"/>
      <c r="Y567" s="987"/>
      <c r="Z567" s="987"/>
    </row>
    <row r="568">
      <c r="A568" s="987"/>
      <c r="B568" s="987"/>
      <c r="C568" s="987"/>
      <c r="D568" s="987"/>
      <c r="E568" s="987"/>
      <c r="F568" s="987"/>
      <c r="G568" s="987"/>
      <c r="H568" s="987"/>
      <c r="I568" s="987"/>
      <c r="J568" s="987"/>
      <c r="K568" s="987"/>
      <c r="L568" s="987"/>
      <c r="M568" s="987"/>
      <c r="N568" s="987"/>
      <c r="O568" s="987"/>
      <c r="P568" s="987"/>
      <c r="Q568" s="987"/>
      <c r="R568" s="987"/>
      <c r="S568" s="987"/>
      <c r="T568" s="987"/>
      <c r="U568" s="987"/>
      <c r="V568" s="987"/>
      <c r="W568" s="987"/>
      <c r="X568" s="987"/>
      <c r="Y568" s="987"/>
      <c r="Z568" s="987"/>
    </row>
    <row r="569">
      <c r="A569" s="987"/>
      <c r="B569" s="987"/>
      <c r="C569" s="987"/>
      <c r="D569" s="987"/>
      <c r="E569" s="987"/>
      <c r="F569" s="987"/>
      <c r="G569" s="987"/>
      <c r="H569" s="987"/>
      <c r="I569" s="987"/>
      <c r="J569" s="987"/>
      <c r="K569" s="987"/>
      <c r="L569" s="987"/>
      <c r="M569" s="987"/>
      <c r="N569" s="987"/>
      <c r="O569" s="987"/>
      <c r="P569" s="987"/>
      <c r="Q569" s="987"/>
      <c r="R569" s="987"/>
      <c r="S569" s="987"/>
      <c r="T569" s="987"/>
      <c r="U569" s="987"/>
      <c r="V569" s="987"/>
      <c r="W569" s="987"/>
      <c r="X569" s="987"/>
      <c r="Y569" s="987"/>
      <c r="Z569" s="987"/>
    </row>
    <row r="570">
      <c r="A570" s="987"/>
      <c r="B570" s="987"/>
      <c r="C570" s="987"/>
      <c r="D570" s="987"/>
      <c r="E570" s="987"/>
      <c r="F570" s="987"/>
      <c r="G570" s="987"/>
      <c r="H570" s="987"/>
      <c r="I570" s="987"/>
      <c r="J570" s="987"/>
      <c r="K570" s="987"/>
      <c r="L570" s="987"/>
      <c r="M570" s="987"/>
      <c r="N570" s="987"/>
      <c r="O570" s="987"/>
      <c r="P570" s="987"/>
      <c r="Q570" s="987"/>
      <c r="R570" s="987"/>
      <c r="S570" s="987"/>
      <c r="T570" s="987"/>
      <c r="U570" s="987"/>
      <c r="V570" s="987"/>
      <c r="W570" s="987"/>
      <c r="X570" s="987"/>
      <c r="Y570" s="987"/>
      <c r="Z570" s="987"/>
    </row>
    <row r="571">
      <c r="A571" s="987"/>
      <c r="B571" s="987"/>
      <c r="C571" s="987"/>
      <c r="D571" s="987"/>
      <c r="E571" s="987"/>
      <c r="F571" s="987"/>
      <c r="G571" s="987"/>
      <c r="H571" s="987"/>
      <c r="I571" s="987"/>
      <c r="J571" s="987"/>
      <c r="K571" s="987"/>
      <c r="L571" s="987"/>
      <c r="M571" s="987"/>
      <c r="N571" s="987"/>
      <c r="O571" s="987"/>
      <c r="P571" s="987"/>
      <c r="Q571" s="987"/>
      <c r="R571" s="987"/>
      <c r="S571" s="987"/>
      <c r="T571" s="987"/>
      <c r="U571" s="987"/>
      <c r="V571" s="987"/>
      <c r="W571" s="987"/>
      <c r="X571" s="987"/>
      <c r="Y571" s="987"/>
      <c r="Z571" s="987"/>
    </row>
    <row r="572">
      <c r="A572" s="987"/>
      <c r="B572" s="987"/>
      <c r="C572" s="987"/>
      <c r="D572" s="987"/>
      <c r="E572" s="987"/>
      <c r="F572" s="987"/>
      <c r="G572" s="987"/>
      <c r="H572" s="987"/>
      <c r="I572" s="987"/>
      <c r="J572" s="987"/>
      <c r="K572" s="987"/>
      <c r="L572" s="987"/>
      <c r="M572" s="987"/>
      <c r="N572" s="987"/>
      <c r="O572" s="987"/>
      <c r="P572" s="987"/>
      <c r="Q572" s="987"/>
      <c r="R572" s="987"/>
      <c r="S572" s="987"/>
      <c r="T572" s="987"/>
      <c r="U572" s="987"/>
      <c r="V572" s="987"/>
      <c r="W572" s="987"/>
      <c r="X572" s="987"/>
      <c r="Y572" s="987"/>
      <c r="Z572" s="987"/>
    </row>
    <row r="573">
      <c r="A573" s="987"/>
      <c r="B573" s="987"/>
      <c r="C573" s="987"/>
      <c r="D573" s="987"/>
      <c r="E573" s="987"/>
      <c r="F573" s="987"/>
      <c r="G573" s="987"/>
      <c r="H573" s="987"/>
      <c r="I573" s="987"/>
      <c r="J573" s="987"/>
      <c r="K573" s="987"/>
      <c r="L573" s="987"/>
      <c r="M573" s="987"/>
      <c r="N573" s="987"/>
      <c r="O573" s="987"/>
      <c r="P573" s="987"/>
      <c r="Q573" s="987"/>
      <c r="R573" s="987"/>
      <c r="S573" s="987"/>
      <c r="T573" s="987"/>
      <c r="U573" s="987"/>
      <c r="V573" s="987"/>
      <c r="W573" s="987"/>
      <c r="X573" s="987"/>
      <c r="Y573" s="987"/>
      <c r="Z573" s="987"/>
    </row>
    <row r="574">
      <c r="A574" s="987"/>
      <c r="B574" s="987"/>
      <c r="C574" s="987"/>
      <c r="D574" s="987"/>
      <c r="E574" s="987"/>
      <c r="F574" s="987"/>
      <c r="G574" s="987"/>
      <c r="H574" s="987"/>
      <c r="I574" s="987"/>
      <c r="J574" s="987"/>
      <c r="K574" s="987"/>
      <c r="L574" s="987"/>
      <c r="M574" s="987"/>
      <c r="N574" s="987"/>
      <c r="O574" s="987"/>
      <c r="P574" s="987"/>
      <c r="Q574" s="987"/>
      <c r="R574" s="987"/>
      <c r="S574" s="987"/>
      <c r="T574" s="987"/>
      <c r="U574" s="987"/>
      <c r="V574" s="987"/>
      <c r="W574" s="987"/>
      <c r="X574" s="987"/>
      <c r="Y574" s="987"/>
      <c r="Z574" s="987"/>
    </row>
    <row r="575">
      <c r="A575" s="987"/>
      <c r="B575" s="987"/>
      <c r="C575" s="987"/>
      <c r="D575" s="987"/>
      <c r="E575" s="987"/>
      <c r="F575" s="987"/>
      <c r="G575" s="987"/>
      <c r="H575" s="987"/>
      <c r="I575" s="987"/>
      <c r="J575" s="987"/>
      <c r="K575" s="987"/>
      <c r="L575" s="987"/>
      <c r="M575" s="987"/>
      <c r="N575" s="987"/>
      <c r="O575" s="987"/>
      <c r="P575" s="987"/>
      <c r="Q575" s="987"/>
      <c r="R575" s="987"/>
      <c r="S575" s="987"/>
      <c r="T575" s="987"/>
      <c r="U575" s="987"/>
      <c r="V575" s="987"/>
      <c r="W575" s="987"/>
      <c r="X575" s="987"/>
      <c r="Y575" s="987"/>
      <c r="Z575" s="987"/>
    </row>
    <row r="576">
      <c r="A576" s="987"/>
      <c r="B576" s="987"/>
      <c r="C576" s="987"/>
      <c r="D576" s="987"/>
      <c r="E576" s="987"/>
      <c r="F576" s="987"/>
      <c r="G576" s="987"/>
      <c r="H576" s="987"/>
      <c r="I576" s="987"/>
      <c r="J576" s="987"/>
      <c r="K576" s="987"/>
      <c r="L576" s="987"/>
      <c r="M576" s="987"/>
      <c r="N576" s="987"/>
      <c r="O576" s="987"/>
      <c r="P576" s="987"/>
      <c r="Q576" s="987"/>
      <c r="R576" s="987"/>
      <c r="S576" s="987"/>
      <c r="T576" s="987"/>
      <c r="U576" s="987"/>
      <c r="V576" s="987"/>
      <c r="W576" s="987"/>
      <c r="X576" s="987"/>
      <c r="Y576" s="987"/>
      <c r="Z576" s="987"/>
    </row>
    <row r="577">
      <c r="A577" s="987"/>
      <c r="B577" s="987"/>
      <c r="C577" s="987"/>
      <c r="D577" s="987"/>
      <c r="E577" s="987"/>
      <c r="F577" s="987"/>
      <c r="G577" s="987"/>
      <c r="H577" s="987"/>
      <c r="I577" s="987"/>
      <c r="J577" s="987"/>
      <c r="K577" s="987"/>
      <c r="L577" s="987"/>
      <c r="M577" s="987"/>
      <c r="N577" s="987"/>
      <c r="O577" s="987"/>
      <c r="P577" s="987"/>
      <c r="Q577" s="987"/>
      <c r="R577" s="987"/>
      <c r="S577" s="987"/>
      <c r="T577" s="987"/>
      <c r="U577" s="987"/>
      <c r="V577" s="987"/>
      <c r="W577" s="987"/>
      <c r="X577" s="987"/>
      <c r="Y577" s="987"/>
      <c r="Z577" s="987"/>
    </row>
    <row r="578">
      <c r="A578" s="987"/>
      <c r="B578" s="987"/>
      <c r="C578" s="987"/>
      <c r="D578" s="987"/>
      <c r="E578" s="987"/>
      <c r="F578" s="987"/>
      <c r="G578" s="987"/>
      <c r="H578" s="987"/>
      <c r="I578" s="987"/>
      <c r="J578" s="987"/>
      <c r="K578" s="987"/>
      <c r="L578" s="987"/>
      <c r="M578" s="987"/>
      <c r="N578" s="987"/>
      <c r="O578" s="987"/>
      <c r="P578" s="987"/>
      <c r="Q578" s="987"/>
      <c r="R578" s="987"/>
      <c r="S578" s="987"/>
      <c r="T578" s="987"/>
      <c r="U578" s="987"/>
      <c r="V578" s="987"/>
      <c r="W578" s="987"/>
      <c r="X578" s="987"/>
      <c r="Y578" s="987"/>
      <c r="Z578" s="987"/>
    </row>
    <row r="579">
      <c r="A579" s="987"/>
      <c r="B579" s="987"/>
      <c r="C579" s="987"/>
      <c r="D579" s="987"/>
      <c r="E579" s="987"/>
      <c r="F579" s="987"/>
      <c r="G579" s="987"/>
      <c r="H579" s="987"/>
      <c r="I579" s="987"/>
      <c r="J579" s="987"/>
      <c r="K579" s="987"/>
      <c r="L579" s="987"/>
      <c r="M579" s="987"/>
      <c r="N579" s="987"/>
      <c r="O579" s="987"/>
      <c r="P579" s="987"/>
      <c r="Q579" s="987"/>
      <c r="R579" s="987"/>
      <c r="S579" s="987"/>
      <c r="T579" s="987"/>
      <c r="U579" s="987"/>
      <c r="V579" s="987"/>
      <c r="W579" s="987"/>
      <c r="X579" s="987"/>
      <c r="Y579" s="987"/>
      <c r="Z579" s="987"/>
    </row>
    <row r="580">
      <c r="A580" s="987"/>
      <c r="B580" s="987"/>
      <c r="C580" s="987"/>
      <c r="D580" s="987"/>
      <c r="E580" s="987"/>
      <c r="F580" s="987"/>
      <c r="G580" s="987"/>
      <c r="H580" s="987"/>
      <c r="I580" s="987"/>
      <c r="J580" s="987"/>
      <c r="K580" s="987"/>
      <c r="L580" s="987"/>
      <c r="M580" s="987"/>
      <c r="N580" s="987"/>
      <c r="O580" s="987"/>
      <c r="P580" s="987"/>
      <c r="Q580" s="987"/>
      <c r="R580" s="987"/>
      <c r="S580" s="987"/>
      <c r="T580" s="987"/>
      <c r="U580" s="987"/>
      <c r="V580" s="987"/>
      <c r="W580" s="987"/>
      <c r="X580" s="987"/>
      <c r="Y580" s="987"/>
      <c r="Z580" s="987"/>
    </row>
    <row r="581">
      <c r="A581" s="987"/>
      <c r="B581" s="987"/>
      <c r="C581" s="987"/>
      <c r="D581" s="987"/>
      <c r="E581" s="987"/>
      <c r="F581" s="987"/>
      <c r="G581" s="987"/>
      <c r="H581" s="987"/>
      <c r="I581" s="987"/>
      <c r="J581" s="987"/>
      <c r="K581" s="987"/>
      <c r="L581" s="987"/>
      <c r="M581" s="987"/>
      <c r="N581" s="987"/>
      <c r="O581" s="987"/>
      <c r="P581" s="987"/>
      <c r="Q581" s="987"/>
      <c r="R581" s="987"/>
      <c r="S581" s="987"/>
      <c r="T581" s="987"/>
      <c r="U581" s="987"/>
      <c r="V581" s="987"/>
      <c r="W581" s="987"/>
      <c r="X581" s="987"/>
      <c r="Y581" s="987"/>
      <c r="Z581" s="987"/>
    </row>
    <row r="582">
      <c r="A582" s="987"/>
      <c r="B582" s="987"/>
      <c r="C582" s="987"/>
      <c r="D582" s="987"/>
      <c r="E582" s="987"/>
      <c r="F582" s="987"/>
      <c r="G582" s="987"/>
      <c r="H582" s="987"/>
      <c r="I582" s="987"/>
      <c r="J582" s="987"/>
      <c r="K582" s="987"/>
      <c r="L582" s="987"/>
      <c r="M582" s="987"/>
      <c r="N582" s="987"/>
      <c r="O582" s="987"/>
      <c r="P582" s="987"/>
      <c r="Q582" s="987"/>
      <c r="R582" s="987"/>
      <c r="S582" s="987"/>
      <c r="T582" s="987"/>
      <c r="U582" s="987"/>
      <c r="V582" s="987"/>
      <c r="W582" s="987"/>
      <c r="X582" s="987"/>
      <c r="Y582" s="987"/>
      <c r="Z582" s="987"/>
    </row>
    <row r="583">
      <c r="A583" s="987"/>
      <c r="B583" s="987"/>
      <c r="C583" s="987"/>
      <c r="D583" s="987"/>
      <c r="E583" s="987"/>
      <c r="F583" s="987"/>
      <c r="G583" s="987"/>
      <c r="H583" s="987"/>
      <c r="I583" s="987"/>
      <c r="J583" s="987"/>
      <c r="K583" s="987"/>
      <c r="L583" s="987"/>
      <c r="M583" s="987"/>
      <c r="N583" s="987"/>
      <c r="O583" s="987"/>
      <c r="P583" s="987"/>
      <c r="Q583" s="987"/>
      <c r="R583" s="987"/>
      <c r="S583" s="987"/>
      <c r="T583" s="987"/>
      <c r="U583" s="987"/>
      <c r="V583" s="987"/>
      <c r="W583" s="987"/>
      <c r="X583" s="987"/>
      <c r="Y583" s="987"/>
      <c r="Z583" s="987"/>
    </row>
    <row r="584">
      <c r="A584" s="987"/>
      <c r="B584" s="987"/>
      <c r="C584" s="987"/>
      <c r="D584" s="987"/>
      <c r="E584" s="987"/>
      <c r="F584" s="987"/>
      <c r="G584" s="987"/>
      <c r="H584" s="987"/>
      <c r="I584" s="987"/>
      <c r="J584" s="987"/>
      <c r="K584" s="987"/>
      <c r="L584" s="987"/>
      <c r="M584" s="987"/>
      <c r="N584" s="987"/>
      <c r="O584" s="987"/>
      <c r="P584" s="987"/>
      <c r="Q584" s="987"/>
      <c r="R584" s="987"/>
      <c r="S584" s="987"/>
      <c r="T584" s="987"/>
      <c r="U584" s="987"/>
      <c r="V584" s="987"/>
      <c r="W584" s="987"/>
      <c r="X584" s="987"/>
      <c r="Y584" s="987"/>
      <c r="Z584" s="987"/>
    </row>
    <row r="585">
      <c r="A585" s="987"/>
      <c r="B585" s="987"/>
      <c r="C585" s="987"/>
      <c r="D585" s="987"/>
      <c r="E585" s="987"/>
      <c r="F585" s="987"/>
      <c r="G585" s="987"/>
      <c r="H585" s="987"/>
      <c r="I585" s="987"/>
      <c r="J585" s="987"/>
      <c r="K585" s="987"/>
      <c r="L585" s="987"/>
      <c r="M585" s="987"/>
      <c r="N585" s="987"/>
      <c r="O585" s="987"/>
      <c r="P585" s="987"/>
      <c r="Q585" s="987"/>
      <c r="R585" s="987"/>
      <c r="S585" s="987"/>
      <c r="T585" s="987"/>
      <c r="U585" s="987"/>
      <c r="V585" s="987"/>
      <c r="W585" s="987"/>
      <c r="X585" s="987"/>
      <c r="Y585" s="987"/>
      <c r="Z585" s="987"/>
    </row>
    <row r="586">
      <c r="A586" s="987"/>
      <c r="B586" s="987"/>
      <c r="C586" s="987"/>
      <c r="D586" s="987"/>
      <c r="E586" s="987"/>
      <c r="F586" s="987"/>
      <c r="G586" s="987"/>
      <c r="H586" s="987"/>
      <c r="I586" s="987"/>
      <c r="J586" s="987"/>
      <c r="K586" s="987"/>
      <c r="L586" s="987"/>
      <c r="M586" s="987"/>
      <c r="N586" s="987"/>
      <c r="O586" s="987"/>
      <c r="P586" s="987"/>
      <c r="Q586" s="987"/>
      <c r="R586" s="987"/>
      <c r="S586" s="987"/>
      <c r="T586" s="987"/>
      <c r="U586" s="987"/>
      <c r="V586" s="987"/>
      <c r="W586" s="987"/>
      <c r="X586" s="987"/>
      <c r="Y586" s="987"/>
      <c r="Z586" s="987"/>
    </row>
    <row r="587">
      <c r="A587" s="987"/>
      <c r="B587" s="987"/>
      <c r="C587" s="987"/>
      <c r="D587" s="987"/>
      <c r="E587" s="987"/>
      <c r="F587" s="987"/>
      <c r="G587" s="987"/>
      <c r="H587" s="987"/>
      <c r="I587" s="987"/>
      <c r="J587" s="987"/>
      <c r="K587" s="987"/>
      <c r="L587" s="987"/>
      <c r="M587" s="987"/>
      <c r="N587" s="987"/>
      <c r="O587" s="987"/>
      <c r="P587" s="987"/>
      <c r="Q587" s="987"/>
      <c r="R587" s="987"/>
      <c r="S587" s="987"/>
      <c r="T587" s="987"/>
      <c r="U587" s="987"/>
      <c r="V587" s="987"/>
      <c r="W587" s="987"/>
      <c r="X587" s="987"/>
      <c r="Y587" s="987"/>
      <c r="Z587" s="987"/>
    </row>
    <row r="588">
      <c r="A588" s="987"/>
      <c r="B588" s="987"/>
      <c r="C588" s="987"/>
      <c r="D588" s="987"/>
      <c r="E588" s="987"/>
      <c r="F588" s="987"/>
      <c r="G588" s="987"/>
      <c r="H588" s="987"/>
      <c r="I588" s="987"/>
      <c r="J588" s="987"/>
      <c r="K588" s="987"/>
      <c r="L588" s="987"/>
      <c r="M588" s="987"/>
      <c r="N588" s="987"/>
      <c r="O588" s="987"/>
      <c r="P588" s="987"/>
      <c r="Q588" s="987"/>
      <c r="R588" s="987"/>
      <c r="S588" s="987"/>
      <c r="T588" s="987"/>
      <c r="U588" s="987"/>
      <c r="V588" s="987"/>
      <c r="W588" s="987"/>
      <c r="X588" s="987"/>
      <c r="Y588" s="987"/>
      <c r="Z588" s="987"/>
    </row>
    <row r="589">
      <c r="A589" s="987"/>
      <c r="B589" s="987"/>
      <c r="C589" s="987"/>
      <c r="D589" s="987"/>
      <c r="E589" s="987"/>
      <c r="F589" s="987"/>
      <c r="G589" s="987"/>
      <c r="H589" s="987"/>
      <c r="I589" s="987"/>
      <c r="J589" s="987"/>
      <c r="K589" s="987"/>
      <c r="L589" s="987"/>
      <c r="M589" s="987"/>
      <c r="N589" s="987"/>
      <c r="O589" s="987"/>
      <c r="P589" s="987"/>
      <c r="Q589" s="987"/>
      <c r="R589" s="987"/>
      <c r="S589" s="987"/>
      <c r="T589" s="987"/>
      <c r="U589" s="987"/>
      <c r="V589" s="987"/>
      <c r="W589" s="987"/>
      <c r="X589" s="987"/>
      <c r="Y589" s="987"/>
      <c r="Z589" s="987"/>
    </row>
    <row r="590">
      <c r="A590" s="987"/>
      <c r="B590" s="987"/>
      <c r="C590" s="987"/>
      <c r="D590" s="987"/>
      <c r="E590" s="987"/>
      <c r="F590" s="987"/>
      <c r="G590" s="987"/>
      <c r="H590" s="987"/>
      <c r="I590" s="987"/>
      <c r="J590" s="987"/>
      <c r="K590" s="987"/>
      <c r="L590" s="987"/>
      <c r="M590" s="987"/>
      <c r="N590" s="987"/>
      <c r="O590" s="987"/>
      <c r="P590" s="987"/>
      <c r="Q590" s="987"/>
      <c r="R590" s="987"/>
      <c r="S590" s="987"/>
      <c r="T590" s="987"/>
      <c r="U590" s="987"/>
      <c r="V590" s="987"/>
      <c r="W590" s="987"/>
      <c r="X590" s="987"/>
      <c r="Y590" s="987"/>
      <c r="Z590" s="987"/>
    </row>
    <row r="591">
      <c r="A591" s="987"/>
      <c r="B591" s="987"/>
      <c r="C591" s="987"/>
      <c r="D591" s="987"/>
      <c r="E591" s="987"/>
      <c r="F591" s="987"/>
      <c r="G591" s="987"/>
      <c r="H591" s="987"/>
      <c r="I591" s="987"/>
      <c r="J591" s="987"/>
      <c r="K591" s="987"/>
      <c r="L591" s="987"/>
      <c r="M591" s="987"/>
      <c r="N591" s="987"/>
      <c r="O591" s="987"/>
      <c r="P591" s="987"/>
      <c r="Q591" s="987"/>
      <c r="R591" s="987"/>
      <c r="S591" s="987"/>
      <c r="T591" s="987"/>
      <c r="U591" s="987"/>
      <c r="V591" s="987"/>
      <c r="W591" s="987"/>
      <c r="X591" s="987"/>
      <c r="Y591" s="987"/>
      <c r="Z591" s="987"/>
    </row>
    <row r="592">
      <c r="A592" s="987"/>
      <c r="B592" s="987"/>
      <c r="C592" s="987"/>
      <c r="D592" s="987"/>
      <c r="E592" s="987"/>
      <c r="F592" s="987"/>
      <c r="G592" s="987"/>
      <c r="H592" s="987"/>
      <c r="I592" s="987"/>
      <c r="J592" s="987"/>
      <c r="K592" s="987"/>
      <c r="L592" s="987"/>
      <c r="M592" s="987"/>
      <c r="N592" s="987"/>
      <c r="O592" s="987"/>
      <c r="P592" s="987"/>
      <c r="Q592" s="987"/>
      <c r="R592" s="987"/>
      <c r="S592" s="987"/>
      <c r="T592" s="987"/>
      <c r="U592" s="987"/>
      <c r="V592" s="987"/>
      <c r="W592" s="987"/>
      <c r="X592" s="987"/>
      <c r="Y592" s="987"/>
      <c r="Z592" s="987"/>
    </row>
    <row r="593">
      <c r="A593" s="987"/>
      <c r="B593" s="987"/>
      <c r="C593" s="987"/>
      <c r="D593" s="987"/>
      <c r="E593" s="987"/>
      <c r="F593" s="987"/>
      <c r="G593" s="987"/>
      <c r="H593" s="987"/>
      <c r="I593" s="987"/>
      <c r="J593" s="987"/>
      <c r="K593" s="987"/>
      <c r="L593" s="987"/>
      <c r="M593" s="987"/>
      <c r="N593" s="987"/>
      <c r="O593" s="987"/>
      <c r="P593" s="987"/>
      <c r="Q593" s="987"/>
      <c r="R593" s="987"/>
      <c r="S593" s="987"/>
      <c r="T593" s="987"/>
      <c r="U593" s="987"/>
      <c r="V593" s="987"/>
      <c r="W593" s="987"/>
      <c r="X593" s="987"/>
      <c r="Y593" s="987"/>
      <c r="Z593" s="987"/>
    </row>
    <row r="594">
      <c r="A594" s="987"/>
      <c r="B594" s="987"/>
      <c r="C594" s="987"/>
      <c r="D594" s="987"/>
      <c r="E594" s="987"/>
      <c r="F594" s="987"/>
      <c r="G594" s="987"/>
      <c r="H594" s="987"/>
      <c r="I594" s="987"/>
      <c r="J594" s="987"/>
      <c r="K594" s="987"/>
      <c r="L594" s="987"/>
      <c r="M594" s="987"/>
      <c r="N594" s="987"/>
      <c r="O594" s="987"/>
      <c r="P594" s="987"/>
      <c r="Q594" s="987"/>
      <c r="R594" s="987"/>
      <c r="S594" s="987"/>
      <c r="T594" s="987"/>
      <c r="U594" s="987"/>
      <c r="V594" s="987"/>
      <c r="W594" s="987"/>
      <c r="X594" s="987"/>
      <c r="Y594" s="987"/>
      <c r="Z594" s="987"/>
    </row>
    <row r="595">
      <c r="A595" s="987"/>
      <c r="B595" s="987"/>
      <c r="C595" s="987"/>
      <c r="D595" s="987"/>
      <c r="E595" s="987"/>
      <c r="F595" s="987"/>
      <c r="G595" s="987"/>
      <c r="H595" s="987"/>
      <c r="I595" s="987"/>
      <c r="J595" s="987"/>
      <c r="K595" s="987"/>
      <c r="L595" s="987"/>
      <c r="M595" s="987"/>
      <c r="N595" s="987"/>
      <c r="O595" s="987"/>
      <c r="P595" s="987"/>
      <c r="Q595" s="987"/>
      <c r="R595" s="987"/>
      <c r="S595" s="987"/>
      <c r="T595" s="987"/>
      <c r="U595" s="987"/>
      <c r="V595" s="987"/>
      <c r="W595" s="987"/>
      <c r="X595" s="987"/>
      <c r="Y595" s="987"/>
      <c r="Z595" s="987"/>
    </row>
    <row r="596">
      <c r="A596" s="987"/>
      <c r="B596" s="987"/>
      <c r="C596" s="987"/>
      <c r="D596" s="987"/>
      <c r="E596" s="987"/>
      <c r="F596" s="987"/>
      <c r="G596" s="987"/>
      <c r="H596" s="987"/>
      <c r="I596" s="987"/>
      <c r="J596" s="987"/>
      <c r="K596" s="987"/>
      <c r="L596" s="987"/>
      <c r="M596" s="987"/>
      <c r="N596" s="987"/>
      <c r="O596" s="987"/>
      <c r="P596" s="987"/>
      <c r="Q596" s="987"/>
      <c r="R596" s="987"/>
      <c r="S596" s="987"/>
      <c r="T596" s="987"/>
      <c r="U596" s="987"/>
      <c r="V596" s="987"/>
      <c r="W596" s="987"/>
      <c r="X596" s="987"/>
      <c r="Y596" s="987"/>
      <c r="Z596" s="987"/>
    </row>
    <row r="597">
      <c r="A597" s="987"/>
      <c r="B597" s="987"/>
      <c r="C597" s="987"/>
      <c r="D597" s="987"/>
      <c r="E597" s="987"/>
      <c r="F597" s="987"/>
      <c r="G597" s="987"/>
      <c r="H597" s="987"/>
      <c r="I597" s="987"/>
      <c r="J597" s="987"/>
      <c r="K597" s="987"/>
      <c r="L597" s="987"/>
      <c r="M597" s="987"/>
      <c r="N597" s="987"/>
      <c r="O597" s="987"/>
      <c r="P597" s="987"/>
      <c r="Q597" s="987"/>
      <c r="R597" s="987"/>
      <c r="S597" s="987"/>
      <c r="T597" s="987"/>
      <c r="U597" s="987"/>
      <c r="V597" s="987"/>
      <c r="W597" s="987"/>
      <c r="X597" s="987"/>
      <c r="Y597" s="987"/>
      <c r="Z597" s="987"/>
    </row>
    <row r="598">
      <c r="A598" s="987"/>
      <c r="B598" s="987"/>
      <c r="C598" s="987"/>
      <c r="D598" s="987"/>
      <c r="E598" s="987"/>
      <c r="F598" s="987"/>
      <c r="G598" s="987"/>
      <c r="H598" s="987"/>
      <c r="I598" s="987"/>
      <c r="J598" s="987"/>
      <c r="K598" s="987"/>
      <c r="L598" s="987"/>
      <c r="M598" s="987"/>
      <c r="N598" s="987"/>
      <c r="O598" s="987"/>
      <c r="P598" s="987"/>
      <c r="Q598" s="987"/>
      <c r="R598" s="987"/>
      <c r="S598" s="987"/>
      <c r="T598" s="987"/>
      <c r="U598" s="987"/>
      <c r="V598" s="987"/>
      <c r="W598" s="987"/>
      <c r="X598" s="987"/>
      <c r="Y598" s="987"/>
      <c r="Z598" s="987"/>
    </row>
    <row r="599">
      <c r="A599" s="987"/>
      <c r="B599" s="987"/>
      <c r="C599" s="987"/>
      <c r="D599" s="987"/>
      <c r="E599" s="987"/>
      <c r="F599" s="987"/>
      <c r="G599" s="987"/>
      <c r="H599" s="987"/>
      <c r="I599" s="987"/>
      <c r="J599" s="987"/>
      <c r="K599" s="987"/>
      <c r="L599" s="987"/>
      <c r="M599" s="987"/>
      <c r="N599" s="987"/>
      <c r="O599" s="987"/>
      <c r="P599" s="987"/>
      <c r="Q599" s="987"/>
      <c r="R599" s="987"/>
      <c r="S599" s="987"/>
      <c r="T599" s="987"/>
      <c r="U599" s="987"/>
      <c r="V599" s="987"/>
      <c r="W599" s="987"/>
      <c r="X599" s="987"/>
      <c r="Y599" s="987"/>
      <c r="Z599" s="987"/>
    </row>
    <row r="600">
      <c r="A600" s="987"/>
      <c r="B600" s="987"/>
      <c r="C600" s="987"/>
      <c r="D600" s="987"/>
      <c r="E600" s="987"/>
      <c r="F600" s="987"/>
      <c r="G600" s="987"/>
      <c r="H600" s="987"/>
      <c r="I600" s="987"/>
      <c r="J600" s="987"/>
      <c r="K600" s="987"/>
      <c r="L600" s="987"/>
      <c r="M600" s="987"/>
      <c r="N600" s="987"/>
      <c r="O600" s="987"/>
      <c r="P600" s="987"/>
      <c r="Q600" s="987"/>
      <c r="R600" s="987"/>
      <c r="S600" s="987"/>
      <c r="T600" s="987"/>
      <c r="U600" s="987"/>
      <c r="V600" s="987"/>
      <c r="W600" s="987"/>
      <c r="X600" s="987"/>
      <c r="Y600" s="987"/>
      <c r="Z600" s="987"/>
    </row>
    <row r="601">
      <c r="A601" s="987"/>
      <c r="B601" s="987"/>
      <c r="C601" s="987"/>
      <c r="D601" s="987"/>
      <c r="E601" s="987"/>
      <c r="F601" s="987"/>
      <c r="G601" s="987"/>
      <c r="H601" s="987"/>
      <c r="I601" s="987"/>
      <c r="J601" s="987"/>
      <c r="K601" s="987"/>
      <c r="L601" s="987"/>
      <c r="M601" s="987"/>
      <c r="N601" s="987"/>
      <c r="O601" s="987"/>
      <c r="P601" s="987"/>
      <c r="Q601" s="987"/>
      <c r="R601" s="987"/>
      <c r="S601" s="987"/>
      <c r="T601" s="987"/>
      <c r="U601" s="987"/>
      <c r="V601" s="987"/>
      <c r="W601" s="987"/>
      <c r="X601" s="987"/>
      <c r="Y601" s="987"/>
      <c r="Z601" s="987"/>
    </row>
    <row r="602">
      <c r="A602" s="987"/>
      <c r="B602" s="987"/>
      <c r="C602" s="987"/>
      <c r="D602" s="987"/>
      <c r="E602" s="987"/>
      <c r="F602" s="987"/>
      <c r="G602" s="987"/>
      <c r="H602" s="987"/>
      <c r="I602" s="987"/>
      <c r="J602" s="987"/>
      <c r="K602" s="987"/>
      <c r="L602" s="987"/>
      <c r="M602" s="987"/>
      <c r="N602" s="987"/>
      <c r="O602" s="987"/>
      <c r="P602" s="987"/>
      <c r="Q602" s="987"/>
      <c r="R602" s="987"/>
      <c r="S602" s="987"/>
      <c r="T602" s="987"/>
      <c r="U602" s="987"/>
      <c r="V602" s="987"/>
      <c r="W602" s="987"/>
      <c r="X602" s="987"/>
      <c r="Y602" s="987"/>
      <c r="Z602" s="987"/>
    </row>
    <row r="603">
      <c r="A603" s="987"/>
      <c r="B603" s="987"/>
      <c r="C603" s="987"/>
      <c r="D603" s="987"/>
      <c r="E603" s="987"/>
      <c r="F603" s="987"/>
      <c r="G603" s="987"/>
      <c r="H603" s="987"/>
      <c r="I603" s="987"/>
      <c r="J603" s="987"/>
      <c r="K603" s="987"/>
      <c r="L603" s="987"/>
      <c r="M603" s="987"/>
      <c r="N603" s="987"/>
      <c r="O603" s="987"/>
      <c r="P603" s="987"/>
      <c r="Q603" s="987"/>
      <c r="R603" s="987"/>
      <c r="S603" s="987"/>
      <c r="T603" s="987"/>
      <c r="U603" s="987"/>
      <c r="V603" s="987"/>
      <c r="W603" s="987"/>
      <c r="X603" s="987"/>
      <c r="Y603" s="987"/>
      <c r="Z603" s="987"/>
    </row>
    <row r="604">
      <c r="A604" s="987"/>
      <c r="B604" s="987"/>
      <c r="C604" s="987"/>
      <c r="D604" s="987"/>
      <c r="E604" s="987"/>
      <c r="F604" s="987"/>
      <c r="G604" s="987"/>
      <c r="H604" s="987"/>
      <c r="I604" s="987"/>
      <c r="J604" s="987"/>
      <c r="K604" s="987"/>
      <c r="L604" s="987"/>
      <c r="M604" s="987"/>
      <c r="N604" s="987"/>
      <c r="O604" s="987"/>
      <c r="P604" s="987"/>
      <c r="Q604" s="987"/>
      <c r="R604" s="987"/>
      <c r="S604" s="987"/>
      <c r="T604" s="987"/>
      <c r="U604" s="987"/>
      <c r="V604" s="987"/>
      <c r="W604" s="987"/>
      <c r="X604" s="987"/>
      <c r="Y604" s="987"/>
      <c r="Z604" s="987"/>
    </row>
    <row r="605">
      <c r="A605" s="987"/>
      <c r="B605" s="987"/>
      <c r="C605" s="987"/>
      <c r="D605" s="987"/>
      <c r="E605" s="987"/>
      <c r="F605" s="987"/>
      <c r="G605" s="987"/>
      <c r="H605" s="987"/>
      <c r="I605" s="987"/>
      <c r="J605" s="987"/>
      <c r="K605" s="987"/>
      <c r="L605" s="987"/>
      <c r="M605" s="987"/>
      <c r="N605" s="987"/>
      <c r="O605" s="987"/>
      <c r="P605" s="987"/>
      <c r="Q605" s="987"/>
      <c r="R605" s="987"/>
      <c r="S605" s="987"/>
      <c r="T605" s="987"/>
      <c r="U605" s="987"/>
      <c r="V605" s="987"/>
      <c r="W605" s="987"/>
      <c r="X605" s="987"/>
      <c r="Y605" s="987"/>
      <c r="Z605" s="987"/>
    </row>
    <row r="606">
      <c r="A606" s="987"/>
      <c r="B606" s="987"/>
      <c r="C606" s="987"/>
      <c r="D606" s="987"/>
      <c r="E606" s="987"/>
      <c r="F606" s="987"/>
      <c r="G606" s="987"/>
      <c r="H606" s="987"/>
      <c r="I606" s="987"/>
      <c r="J606" s="987"/>
      <c r="K606" s="987"/>
      <c r="L606" s="987"/>
      <c r="M606" s="987"/>
      <c r="N606" s="987"/>
      <c r="O606" s="987"/>
      <c r="P606" s="987"/>
      <c r="Q606" s="987"/>
      <c r="R606" s="987"/>
      <c r="S606" s="987"/>
      <c r="T606" s="987"/>
      <c r="U606" s="987"/>
      <c r="V606" s="987"/>
      <c r="W606" s="987"/>
      <c r="X606" s="987"/>
      <c r="Y606" s="987"/>
      <c r="Z606" s="987"/>
    </row>
    <row r="607">
      <c r="A607" s="987"/>
      <c r="B607" s="987"/>
      <c r="C607" s="987"/>
      <c r="D607" s="987"/>
      <c r="E607" s="987"/>
      <c r="F607" s="987"/>
      <c r="G607" s="987"/>
      <c r="H607" s="987"/>
      <c r="I607" s="987"/>
      <c r="J607" s="987"/>
      <c r="K607" s="987"/>
      <c r="L607" s="987"/>
      <c r="M607" s="987"/>
      <c r="N607" s="987"/>
      <c r="O607" s="987"/>
      <c r="P607" s="987"/>
      <c r="Q607" s="987"/>
      <c r="R607" s="987"/>
      <c r="S607" s="987"/>
      <c r="T607" s="987"/>
      <c r="U607" s="987"/>
      <c r="V607" s="987"/>
      <c r="W607" s="987"/>
      <c r="X607" s="987"/>
      <c r="Y607" s="987"/>
      <c r="Z607" s="987"/>
    </row>
    <row r="608">
      <c r="A608" s="987"/>
      <c r="B608" s="987"/>
      <c r="C608" s="987"/>
      <c r="D608" s="987"/>
      <c r="E608" s="987"/>
      <c r="F608" s="987"/>
      <c r="G608" s="987"/>
      <c r="H608" s="987"/>
      <c r="I608" s="987"/>
      <c r="J608" s="987"/>
      <c r="K608" s="987"/>
      <c r="L608" s="987"/>
      <c r="M608" s="987"/>
      <c r="N608" s="987"/>
      <c r="O608" s="987"/>
      <c r="P608" s="987"/>
      <c r="Q608" s="987"/>
      <c r="R608" s="987"/>
      <c r="S608" s="987"/>
      <c r="T608" s="987"/>
      <c r="U608" s="987"/>
      <c r="V608" s="987"/>
      <c r="W608" s="987"/>
      <c r="X608" s="987"/>
      <c r="Y608" s="987"/>
      <c r="Z608" s="987"/>
    </row>
    <row r="609">
      <c r="A609" s="987"/>
      <c r="B609" s="987"/>
      <c r="C609" s="987"/>
      <c r="D609" s="987"/>
      <c r="E609" s="987"/>
      <c r="F609" s="987"/>
      <c r="G609" s="987"/>
      <c r="H609" s="987"/>
      <c r="I609" s="987"/>
      <c r="J609" s="987"/>
      <c r="K609" s="987"/>
      <c r="L609" s="987"/>
      <c r="M609" s="987"/>
      <c r="N609" s="987"/>
      <c r="O609" s="987"/>
      <c r="P609" s="987"/>
      <c r="Q609" s="987"/>
      <c r="R609" s="987"/>
      <c r="S609" s="987"/>
      <c r="T609" s="987"/>
      <c r="U609" s="987"/>
      <c r="V609" s="987"/>
      <c r="W609" s="987"/>
      <c r="X609" s="987"/>
      <c r="Y609" s="987"/>
      <c r="Z609" s="987"/>
    </row>
    <row r="610">
      <c r="A610" s="987"/>
      <c r="B610" s="987"/>
      <c r="C610" s="987"/>
      <c r="D610" s="987"/>
      <c r="E610" s="987"/>
      <c r="F610" s="987"/>
      <c r="G610" s="987"/>
      <c r="H610" s="987"/>
      <c r="I610" s="987"/>
      <c r="J610" s="987"/>
      <c r="K610" s="987"/>
      <c r="L610" s="987"/>
      <c r="M610" s="987"/>
      <c r="N610" s="987"/>
      <c r="O610" s="987"/>
      <c r="P610" s="987"/>
      <c r="Q610" s="987"/>
      <c r="R610" s="987"/>
      <c r="S610" s="987"/>
      <c r="T610" s="987"/>
      <c r="U610" s="987"/>
      <c r="V610" s="987"/>
      <c r="W610" s="987"/>
      <c r="X610" s="987"/>
      <c r="Y610" s="987"/>
      <c r="Z610" s="987"/>
    </row>
    <row r="611">
      <c r="A611" s="987"/>
      <c r="B611" s="987"/>
      <c r="C611" s="987"/>
      <c r="D611" s="987"/>
      <c r="E611" s="987"/>
      <c r="F611" s="987"/>
      <c r="G611" s="987"/>
      <c r="H611" s="987"/>
      <c r="I611" s="987"/>
      <c r="J611" s="987"/>
      <c r="K611" s="987"/>
      <c r="L611" s="987"/>
      <c r="M611" s="987"/>
      <c r="N611" s="987"/>
      <c r="O611" s="987"/>
      <c r="P611" s="987"/>
      <c r="Q611" s="987"/>
      <c r="R611" s="987"/>
      <c r="S611" s="987"/>
      <c r="T611" s="987"/>
      <c r="U611" s="987"/>
      <c r="V611" s="987"/>
      <c r="W611" s="987"/>
      <c r="X611" s="987"/>
      <c r="Y611" s="987"/>
      <c r="Z611" s="987"/>
    </row>
    <row r="612">
      <c r="A612" s="987"/>
      <c r="B612" s="987"/>
      <c r="C612" s="987"/>
      <c r="D612" s="987"/>
      <c r="E612" s="987"/>
      <c r="F612" s="987"/>
      <c r="G612" s="987"/>
      <c r="H612" s="987"/>
      <c r="I612" s="987"/>
      <c r="J612" s="987"/>
      <c r="K612" s="987"/>
      <c r="L612" s="987"/>
      <c r="M612" s="987"/>
      <c r="N612" s="987"/>
      <c r="O612" s="987"/>
      <c r="P612" s="987"/>
      <c r="Q612" s="987"/>
      <c r="R612" s="987"/>
      <c r="S612" s="987"/>
      <c r="T612" s="987"/>
      <c r="U612" s="987"/>
      <c r="V612" s="987"/>
      <c r="W612" s="987"/>
      <c r="X612" s="987"/>
      <c r="Y612" s="987"/>
      <c r="Z612" s="987"/>
    </row>
    <row r="613">
      <c r="A613" s="987"/>
      <c r="B613" s="987"/>
      <c r="C613" s="987"/>
      <c r="D613" s="987"/>
      <c r="E613" s="987"/>
      <c r="F613" s="987"/>
      <c r="G613" s="987"/>
      <c r="H613" s="987"/>
      <c r="I613" s="987"/>
      <c r="J613" s="987"/>
      <c r="K613" s="987"/>
      <c r="L613" s="987"/>
      <c r="M613" s="987"/>
      <c r="N613" s="987"/>
      <c r="O613" s="987"/>
      <c r="P613" s="987"/>
      <c r="Q613" s="987"/>
      <c r="R613" s="987"/>
      <c r="S613" s="987"/>
      <c r="T613" s="987"/>
      <c r="U613" s="987"/>
      <c r="V613" s="987"/>
      <c r="W613" s="987"/>
      <c r="X613" s="987"/>
      <c r="Y613" s="987"/>
      <c r="Z613" s="987"/>
    </row>
    <row r="614">
      <c r="A614" s="987"/>
      <c r="B614" s="987"/>
      <c r="C614" s="987"/>
      <c r="D614" s="987"/>
      <c r="E614" s="987"/>
      <c r="F614" s="987"/>
      <c r="G614" s="987"/>
      <c r="H614" s="987"/>
      <c r="I614" s="987"/>
      <c r="J614" s="987"/>
      <c r="K614" s="987"/>
      <c r="L614" s="987"/>
      <c r="M614" s="987"/>
      <c r="N614" s="987"/>
      <c r="O614" s="987"/>
      <c r="P614" s="987"/>
      <c r="Q614" s="987"/>
      <c r="R614" s="987"/>
      <c r="S614" s="987"/>
      <c r="T614" s="987"/>
      <c r="U614" s="987"/>
      <c r="V614" s="987"/>
      <c r="W614" s="987"/>
      <c r="X614" s="987"/>
      <c r="Y614" s="987"/>
      <c r="Z614" s="987"/>
    </row>
    <row r="615">
      <c r="A615" s="987"/>
      <c r="B615" s="987"/>
      <c r="C615" s="987"/>
      <c r="D615" s="987"/>
      <c r="E615" s="987"/>
      <c r="F615" s="987"/>
      <c r="G615" s="987"/>
      <c r="H615" s="987"/>
      <c r="I615" s="987"/>
      <c r="J615" s="987"/>
      <c r="K615" s="987"/>
      <c r="L615" s="987"/>
      <c r="M615" s="987"/>
      <c r="N615" s="987"/>
      <c r="O615" s="987"/>
      <c r="P615" s="987"/>
      <c r="Q615" s="987"/>
      <c r="R615" s="987"/>
      <c r="S615" s="987"/>
      <c r="T615" s="987"/>
      <c r="U615" s="987"/>
      <c r="V615" s="987"/>
      <c r="W615" s="987"/>
      <c r="X615" s="987"/>
      <c r="Y615" s="987"/>
      <c r="Z615" s="987"/>
    </row>
    <row r="616">
      <c r="A616" s="987"/>
      <c r="B616" s="987"/>
      <c r="C616" s="987"/>
      <c r="D616" s="987"/>
      <c r="E616" s="987"/>
      <c r="F616" s="987"/>
      <c r="G616" s="987"/>
      <c r="H616" s="987"/>
      <c r="I616" s="987"/>
      <c r="J616" s="987"/>
      <c r="K616" s="987"/>
      <c r="L616" s="987"/>
      <c r="M616" s="987"/>
      <c r="N616" s="987"/>
      <c r="O616" s="987"/>
      <c r="P616" s="987"/>
      <c r="Q616" s="987"/>
      <c r="R616" s="987"/>
      <c r="S616" s="987"/>
      <c r="T616" s="987"/>
      <c r="U616" s="987"/>
      <c r="V616" s="987"/>
      <c r="W616" s="987"/>
      <c r="X616" s="987"/>
      <c r="Y616" s="987"/>
      <c r="Z616" s="987"/>
    </row>
    <row r="617">
      <c r="A617" s="987"/>
      <c r="B617" s="987"/>
      <c r="C617" s="987"/>
      <c r="D617" s="987"/>
      <c r="E617" s="987"/>
      <c r="F617" s="987"/>
      <c r="G617" s="987"/>
      <c r="H617" s="987"/>
      <c r="I617" s="987"/>
      <c r="J617" s="987"/>
      <c r="K617" s="987"/>
      <c r="L617" s="987"/>
      <c r="M617" s="987"/>
      <c r="N617" s="987"/>
      <c r="O617" s="987"/>
      <c r="P617" s="987"/>
      <c r="Q617" s="987"/>
      <c r="R617" s="987"/>
      <c r="S617" s="987"/>
      <c r="T617" s="987"/>
      <c r="U617" s="987"/>
      <c r="V617" s="987"/>
      <c r="W617" s="987"/>
      <c r="X617" s="987"/>
      <c r="Y617" s="987"/>
      <c r="Z617" s="987"/>
    </row>
    <row r="618">
      <c r="A618" s="987"/>
      <c r="B618" s="987"/>
      <c r="C618" s="987"/>
      <c r="D618" s="987"/>
      <c r="E618" s="987"/>
      <c r="F618" s="987"/>
      <c r="G618" s="987"/>
      <c r="H618" s="987"/>
      <c r="I618" s="987"/>
      <c r="J618" s="987"/>
      <c r="K618" s="987"/>
      <c r="L618" s="987"/>
      <c r="M618" s="987"/>
      <c r="N618" s="987"/>
      <c r="O618" s="987"/>
      <c r="P618" s="987"/>
      <c r="Q618" s="987"/>
      <c r="R618" s="987"/>
      <c r="S618" s="987"/>
      <c r="T618" s="987"/>
      <c r="U618" s="987"/>
      <c r="V618" s="987"/>
      <c r="W618" s="987"/>
      <c r="X618" s="987"/>
      <c r="Y618" s="987"/>
      <c r="Z618" s="987"/>
    </row>
    <row r="619">
      <c r="A619" s="987"/>
      <c r="B619" s="987"/>
      <c r="C619" s="987"/>
      <c r="D619" s="987"/>
      <c r="E619" s="987"/>
      <c r="F619" s="987"/>
      <c r="G619" s="987"/>
      <c r="H619" s="987"/>
      <c r="I619" s="987"/>
      <c r="J619" s="987"/>
      <c r="K619" s="987"/>
      <c r="L619" s="987"/>
      <c r="M619" s="987"/>
      <c r="N619" s="987"/>
      <c r="O619" s="987"/>
      <c r="P619" s="987"/>
      <c r="Q619" s="987"/>
      <c r="R619" s="987"/>
      <c r="S619" s="987"/>
      <c r="T619" s="987"/>
      <c r="U619" s="987"/>
      <c r="V619" s="987"/>
      <c r="W619" s="987"/>
      <c r="X619" s="987"/>
      <c r="Y619" s="987"/>
      <c r="Z619" s="987"/>
    </row>
    <row r="620">
      <c r="A620" s="987"/>
      <c r="B620" s="987"/>
      <c r="C620" s="987"/>
      <c r="D620" s="987"/>
      <c r="E620" s="987"/>
      <c r="F620" s="987"/>
      <c r="G620" s="987"/>
      <c r="H620" s="987"/>
      <c r="I620" s="987"/>
      <c r="J620" s="987"/>
      <c r="K620" s="987"/>
      <c r="L620" s="987"/>
      <c r="M620" s="987"/>
      <c r="N620" s="987"/>
      <c r="O620" s="987"/>
      <c r="P620" s="987"/>
      <c r="Q620" s="987"/>
      <c r="R620" s="987"/>
      <c r="S620" s="987"/>
      <c r="T620" s="987"/>
      <c r="U620" s="987"/>
      <c r="V620" s="987"/>
      <c r="W620" s="987"/>
      <c r="X620" s="987"/>
      <c r="Y620" s="987"/>
      <c r="Z620" s="987"/>
    </row>
    <row r="621">
      <c r="A621" s="987"/>
      <c r="B621" s="987"/>
      <c r="C621" s="987"/>
      <c r="D621" s="987"/>
      <c r="E621" s="987"/>
      <c r="F621" s="987"/>
      <c r="G621" s="987"/>
      <c r="H621" s="987"/>
      <c r="I621" s="987"/>
      <c r="J621" s="987"/>
      <c r="K621" s="987"/>
      <c r="L621" s="987"/>
      <c r="M621" s="987"/>
      <c r="N621" s="987"/>
      <c r="O621" s="987"/>
      <c r="P621" s="987"/>
      <c r="Q621" s="987"/>
      <c r="R621" s="987"/>
      <c r="S621" s="987"/>
      <c r="T621" s="987"/>
      <c r="U621" s="987"/>
      <c r="V621" s="987"/>
      <c r="W621" s="987"/>
      <c r="X621" s="987"/>
      <c r="Y621" s="987"/>
      <c r="Z621" s="987"/>
    </row>
    <row r="622">
      <c r="A622" s="987"/>
      <c r="B622" s="987"/>
      <c r="C622" s="987"/>
      <c r="D622" s="987"/>
      <c r="E622" s="987"/>
      <c r="F622" s="987"/>
      <c r="G622" s="987"/>
      <c r="H622" s="987"/>
      <c r="I622" s="987"/>
      <c r="J622" s="987"/>
      <c r="K622" s="987"/>
      <c r="L622" s="987"/>
      <c r="M622" s="987"/>
      <c r="N622" s="987"/>
      <c r="O622" s="987"/>
      <c r="P622" s="987"/>
      <c r="Q622" s="987"/>
      <c r="R622" s="987"/>
      <c r="S622" s="987"/>
      <c r="T622" s="987"/>
      <c r="U622" s="987"/>
      <c r="V622" s="987"/>
      <c r="W622" s="987"/>
      <c r="X622" s="987"/>
      <c r="Y622" s="987"/>
      <c r="Z622" s="987"/>
    </row>
    <row r="623">
      <c r="A623" s="987"/>
      <c r="B623" s="987"/>
      <c r="C623" s="987"/>
      <c r="D623" s="987"/>
      <c r="E623" s="987"/>
      <c r="F623" s="987"/>
      <c r="G623" s="987"/>
      <c r="H623" s="987"/>
      <c r="I623" s="987"/>
      <c r="J623" s="987"/>
      <c r="K623" s="987"/>
      <c r="L623" s="987"/>
      <c r="M623" s="987"/>
      <c r="N623" s="987"/>
      <c r="O623" s="987"/>
      <c r="P623" s="987"/>
      <c r="Q623" s="987"/>
      <c r="R623" s="987"/>
      <c r="S623" s="987"/>
      <c r="T623" s="987"/>
      <c r="U623" s="987"/>
      <c r="V623" s="987"/>
      <c r="W623" s="987"/>
      <c r="X623" s="987"/>
      <c r="Y623" s="987"/>
      <c r="Z623" s="987"/>
    </row>
    <row r="624">
      <c r="A624" s="987"/>
      <c r="B624" s="987"/>
      <c r="C624" s="987"/>
      <c r="D624" s="987"/>
      <c r="E624" s="987"/>
      <c r="F624" s="987"/>
      <c r="G624" s="987"/>
      <c r="H624" s="987"/>
      <c r="I624" s="987"/>
      <c r="J624" s="987"/>
      <c r="K624" s="987"/>
      <c r="L624" s="987"/>
      <c r="M624" s="987"/>
      <c r="N624" s="987"/>
      <c r="O624" s="987"/>
      <c r="P624" s="987"/>
      <c r="Q624" s="987"/>
      <c r="R624" s="987"/>
      <c r="S624" s="987"/>
      <c r="T624" s="987"/>
      <c r="U624" s="987"/>
      <c r="V624" s="987"/>
      <c r="W624" s="987"/>
      <c r="X624" s="987"/>
      <c r="Y624" s="987"/>
      <c r="Z624" s="987"/>
    </row>
    <row r="625">
      <c r="A625" s="987"/>
      <c r="B625" s="987"/>
      <c r="C625" s="987"/>
      <c r="D625" s="987"/>
      <c r="E625" s="987"/>
      <c r="F625" s="987"/>
      <c r="G625" s="987"/>
      <c r="H625" s="987"/>
      <c r="I625" s="987"/>
      <c r="J625" s="987"/>
      <c r="K625" s="987"/>
      <c r="L625" s="987"/>
      <c r="M625" s="987"/>
      <c r="N625" s="987"/>
      <c r="O625" s="987"/>
      <c r="P625" s="987"/>
      <c r="Q625" s="987"/>
      <c r="R625" s="987"/>
      <c r="S625" s="987"/>
      <c r="T625" s="987"/>
      <c r="U625" s="987"/>
      <c r="V625" s="987"/>
      <c r="W625" s="987"/>
      <c r="X625" s="987"/>
      <c r="Y625" s="987"/>
      <c r="Z625" s="987"/>
    </row>
    <row r="626">
      <c r="A626" s="987"/>
      <c r="B626" s="987"/>
      <c r="C626" s="987"/>
      <c r="D626" s="987"/>
      <c r="E626" s="987"/>
      <c r="F626" s="987"/>
      <c r="G626" s="987"/>
      <c r="H626" s="987"/>
      <c r="I626" s="987"/>
      <c r="J626" s="987"/>
      <c r="K626" s="987"/>
      <c r="L626" s="987"/>
      <c r="M626" s="987"/>
      <c r="N626" s="987"/>
      <c r="O626" s="987"/>
      <c r="P626" s="987"/>
      <c r="Q626" s="987"/>
      <c r="R626" s="987"/>
      <c r="S626" s="987"/>
      <c r="T626" s="987"/>
      <c r="U626" s="987"/>
      <c r="V626" s="987"/>
      <c r="W626" s="987"/>
      <c r="X626" s="987"/>
      <c r="Y626" s="987"/>
      <c r="Z626" s="987"/>
    </row>
    <row r="627">
      <c r="A627" s="987"/>
      <c r="B627" s="987"/>
      <c r="C627" s="987"/>
      <c r="D627" s="987"/>
      <c r="E627" s="987"/>
      <c r="F627" s="987"/>
      <c r="G627" s="987"/>
      <c r="H627" s="987"/>
      <c r="I627" s="987"/>
      <c r="J627" s="987"/>
      <c r="K627" s="987"/>
      <c r="L627" s="987"/>
      <c r="M627" s="987"/>
      <c r="N627" s="987"/>
      <c r="O627" s="987"/>
      <c r="P627" s="987"/>
      <c r="Q627" s="987"/>
      <c r="R627" s="987"/>
      <c r="S627" s="987"/>
      <c r="T627" s="987"/>
      <c r="U627" s="987"/>
      <c r="V627" s="987"/>
      <c r="W627" s="987"/>
      <c r="X627" s="987"/>
      <c r="Y627" s="987"/>
      <c r="Z627" s="987"/>
    </row>
    <row r="628">
      <c r="A628" s="987"/>
      <c r="B628" s="987"/>
      <c r="C628" s="987"/>
      <c r="D628" s="987"/>
      <c r="E628" s="987"/>
      <c r="F628" s="987"/>
      <c r="G628" s="987"/>
      <c r="H628" s="987"/>
      <c r="I628" s="987"/>
      <c r="J628" s="987"/>
      <c r="K628" s="987"/>
      <c r="L628" s="987"/>
      <c r="M628" s="987"/>
      <c r="N628" s="987"/>
      <c r="O628" s="987"/>
      <c r="P628" s="987"/>
      <c r="Q628" s="987"/>
      <c r="R628" s="987"/>
      <c r="S628" s="987"/>
      <c r="T628" s="987"/>
      <c r="U628" s="987"/>
      <c r="V628" s="987"/>
      <c r="W628" s="987"/>
      <c r="X628" s="987"/>
      <c r="Y628" s="987"/>
      <c r="Z628" s="987"/>
    </row>
    <row r="629">
      <c r="A629" s="987"/>
      <c r="B629" s="987"/>
      <c r="C629" s="987"/>
      <c r="D629" s="987"/>
      <c r="E629" s="987"/>
      <c r="F629" s="987"/>
      <c r="G629" s="987"/>
      <c r="H629" s="987"/>
      <c r="I629" s="987"/>
      <c r="J629" s="987"/>
      <c r="K629" s="987"/>
      <c r="L629" s="987"/>
      <c r="M629" s="987"/>
      <c r="N629" s="987"/>
      <c r="O629" s="987"/>
      <c r="P629" s="987"/>
      <c r="Q629" s="987"/>
      <c r="R629" s="987"/>
      <c r="S629" s="987"/>
      <c r="T629" s="987"/>
      <c r="U629" s="987"/>
      <c r="V629" s="987"/>
      <c r="W629" s="987"/>
      <c r="X629" s="987"/>
      <c r="Y629" s="987"/>
      <c r="Z629" s="987"/>
    </row>
    <row r="630">
      <c r="A630" s="987"/>
      <c r="B630" s="987"/>
      <c r="C630" s="987"/>
      <c r="D630" s="987"/>
      <c r="E630" s="987"/>
      <c r="F630" s="987"/>
      <c r="G630" s="987"/>
      <c r="H630" s="987"/>
      <c r="I630" s="987"/>
      <c r="J630" s="987"/>
      <c r="K630" s="987"/>
      <c r="L630" s="987"/>
      <c r="M630" s="987"/>
      <c r="N630" s="987"/>
      <c r="O630" s="987"/>
      <c r="P630" s="987"/>
      <c r="Q630" s="987"/>
      <c r="R630" s="987"/>
      <c r="S630" s="987"/>
      <c r="T630" s="987"/>
      <c r="U630" s="987"/>
      <c r="V630" s="987"/>
      <c r="W630" s="987"/>
      <c r="X630" s="987"/>
      <c r="Y630" s="987"/>
      <c r="Z630" s="987"/>
    </row>
    <row r="631">
      <c r="A631" s="987"/>
      <c r="B631" s="987"/>
      <c r="C631" s="987"/>
      <c r="D631" s="987"/>
      <c r="E631" s="987"/>
      <c r="F631" s="987"/>
      <c r="G631" s="987"/>
      <c r="H631" s="987"/>
      <c r="I631" s="987"/>
      <c r="J631" s="987"/>
      <c r="K631" s="987"/>
      <c r="L631" s="987"/>
      <c r="M631" s="987"/>
      <c r="N631" s="987"/>
      <c r="O631" s="987"/>
      <c r="P631" s="987"/>
      <c r="Q631" s="987"/>
      <c r="R631" s="987"/>
      <c r="S631" s="987"/>
      <c r="T631" s="987"/>
      <c r="U631" s="987"/>
      <c r="V631" s="987"/>
      <c r="W631" s="987"/>
      <c r="X631" s="987"/>
      <c r="Y631" s="987"/>
      <c r="Z631" s="987"/>
    </row>
    <row r="632">
      <c r="A632" s="987"/>
      <c r="B632" s="987"/>
      <c r="C632" s="987"/>
      <c r="D632" s="987"/>
      <c r="E632" s="987"/>
      <c r="F632" s="987"/>
      <c r="G632" s="987"/>
      <c r="H632" s="987"/>
      <c r="I632" s="987"/>
      <c r="J632" s="987"/>
      <c r="K632" s="987"/>
      <c r="L632" s="987"/>
      <c r="M632" s="987"/>
      <c r="N632" s="987"/>
      <c r="O632" s="987"/>
      <c r="P632" s="987"/>
      <c r="Q632" s="987"/>
      <c r="R632" s="987"/>
      <c r="S632" s="987"/>
      <c r="T632" s="987"/>
      <c r="U632" s="987"/>
      <c r="V632" s="987"/>
      <c r="W632" s="987"/>
      <c r="X632" s="987"/>
      <c r="Y632" s="987"/>
      <c r="Z632" s="987"/>
    </row>
    <row r="633">
      <c r="A633" s="987"/>
      <c r="B633" s="987"/>
      <c r="C633" s="987"/>
      <c r="D633" s="987"/>
      <c r="E633" s="987"/>
      <c r="F633" s="987"/>
      <c r="G633" s="987"/>
      <c r="H633" s="987"/>
      <c r="I633" s="987"/>
      <c r="J633" s="987"/>
      <c r="K633" s="987"/>
      <c r="L633" s="987"/>
      <c r="M633" s="987"/>
      <c r="N633" s="987"/>
      <c r="O633" s="987"/>
      <c r="P633" s="987"/>
      <c r="Q633" s="987"/>
      <c r="R633" s="987"/>
      <c r="S633" s="987"/>
      <c r="T633" s="987"/>
      <c r="U633" s="987"/>
      <c r="V633" s="987"/>
      <c r="W633" s="987"/>
      <c r="X633" s="987"/>
      <c r="Y633" s="987"/>
      <c r="Z633" s="987"/>
    </row>
    <row r="634">
      <c r="A634" s="987"/>
      <c r="B634" s="987"/>
      <c r="C634" s="987"/>
      <c r="D634" s="987"/>
      <c r="E634" s="987"/>
      <c r="F634" s="987"/>
      <c r="G634" s="987"/>
      <c r="H634" s="987"/>
      <c r="I634" s="987"/>
      <c r="J634" s="987"/>
      <c r="K634" s="987"/>
      <c r="L634" s="987"/>
      <c r="M634" s="987"/>
      <c r="N634" s="987"/>
      <c r="O634" s="987"/>
      <c r="P634" s="987"/>
      <c r="Q634" s="987"/>
      <c r="R634" s="987"/>
      <c r="S634" s="987"/>
      <c r="T634" s="987"/>
      <c r="U634" s="987"/>
      <c r="V634" s="987"/>
      <c r="W634" s="987"/>
      <c r="X634" s="987"/>
      <c r="Y634" s="987"/>
      <c r="Z634" s="987"/>
    </row>
    <row r="635">
      <c r="A635" s="987"/>
      <c r="B635" s="987"/>
      <c r="C635" s="987"/>
      <c r="D635" s="987"/>
      <c r="E635" s="987"/>
      <c r="F635" s="987"/>
      <c r="G635" s="987"/>
      <c r="H635" s="987"/>
      <c r="I635" s="987"/>
      <c r="J635" s="987"/>
      <c r="K635" s="987"/>
      <c r="L635" s="987"/>
      <c r="M635" s="987"/>
      <c r="N635" s="987"/>
      <c r="O635" s="987"/>
      <c r="P635" s="987"/>
      <c r="Q635" s="987"/>
      <c r="R635" s="987"/>
      <c r="S635" s="987"/>
      <c r="T635" s="987"/>
      <c r="U635" s="987"/>
      <c r="V635" s="987"/>
      <c r="W635" s="987"/>
      <c r="X635" s="987"/>
      <c r="Y635" s="987"/>
      <c r="Z635" s="987"/>
    </row>
    <row r="636">
      <c r="A636" s="987"/>
      <c r="B636" s="987"/>
      <c r="C636" s="987"/>
      <c r="D636" s="987"/>
      <c r="E636" s="987"/>
      <c r="F636" s="987"/>
      <c r="G636" s="987"/>
      <c r="H636" s="987"/>
      <c r="I636" s="987"/>
      <c r="J636" s="987"/>
      <c r="K636" s="987"/>
      <c r="L636" s="987"/>
      <c r="M636" s="987"/>
      <c r="N636" s="987"/>
      <c r="O636" s="987"/>
      <c r="P636" s="987"/>
      <c r="Q636" s="987"/>
      <c r="R636" s="987"/>
      <c r="S636" s="987"/>
      <c r="T636" s="987"/>
      <c r="U636" s="987"/>
      <c r="V636" s="987"/>
      <c r="W636" s="987"/>
      <c r="X636" s="987"/>
      <c r="Y636" s="987"/>
      <c r="Z636" s="987"/>
    </row>
    <row r="637">
      <c r="A637" s="987"/>
      <c r="B637" s="987"/>
      <c r="C637" s="987"/>
      <c r="D637" s="987"/>
      <c r="E637" s="987"/>
      <c r="F637" s="987"/>
      <c r="G637" s="987"/>
      <c r="H637" s="987"/>
      <c r="I637" s="987"/>
      <c r="J637" s="987"/>
      <c r="K637" s="987"/>
      <c r="L637" s="987"/>
      <c r="M637" s="987"/>
      <c r="N637" s="987"/>
      <c r="O637" s="987"/>
      <c r="P637" s="987"/>
      <c r="Q637" s="987"/>
      <c r="R637" s="987"/>
      <c r="S637" s="987"/>
      <c r="T637" s="987"/>
      <c r="U637" s="987"/>
      <c r="V637" s="987"/>
      <c r="W637" s="987"/>
      <c r="X637" s="987"/>
      <c r="Y637" s="987"/>
      <c r="Z637" s="987"/>
    </row>
    <row r="638">
      <c r="A638" s="987"/>
      <c r="B638" s="987"/>
      <c r="C638" s="987"/>
      <c r="D638" s="987"/>
      <c r="E638" s="987"/>
      <c r="F638" s="987"/>
      <c r="G638" s="987"/>
      <c r="H638" s="987"/>
      <c r="I638" s="987"/>
      <c r="J638" s="987"/>
      <c r="K638" s="987"/>
      <c r="L638" s="987"/>
      <c r="M638" s="987"/>
      <c r="N638" s="987"/>
      <c r="O638" s="987"/>
      <c r="P638" s="987"/>
      <c r="Q638" s="987"/>
      <c r="R638" s="987"/>
      <c r="S638" s="987"/>
      <c r="T638" s="987"/>
      <c r="U638" s="987"/>
      <c r="V638" s="987"/>
      <c r="W638" s="987"/>
      <c r="X638" s="987"/>
      <c r="Y638" s="987"/>
      <c r="Z638" s="987"/>
    </row>
    <row r="639">
      <c r="A639" s="987"/>
      <c r="B639" s="987"/>
      <c r="C639" s="987"/>
      <c r="D639" s="987"/>
      <c r="E639" s="987"/>
      <c r="F639" s="987"/>
      <c r="G639" s="987"/>
      <c r="H639" s="987"/>
      <c r="I639" s="987"/>
      <c r="J639" s="987"/>
      <c r="K639" s="987"/>
      <c r="L639" s="987"/>
      <c r="M639" s="987"/>
      <c r="N639" s="987"/>
      <c r="O639" s="987"/>
      <c r="P639" s="987"/>
      <c r="Q639" s="987"/>
      <c r="R639" s="987"/>
      <c r="S639" s="987"/>
      <c r="T639" s="987"/>
      <c r="U639" s="987"/>
      <c r="V639" s="987"/>
      <c r="W639" s="987"/>
      <c r="X639" s="987"/>
      <c r="Y639" s="987"/>
      <c r="Z639" s="987"/>
    </row>
    <row r="640">
      <c r="A640" s="987"/>
      <c r="B640" s="987"/>
      <c r="C640" s="987"/>
      <c r="D640" s="987"/>
      <c r="E640" s="987"/>
      <c r="F640" s="987"/>
      <c r="G640" s="987"/>
      <c r="H640" s="987"/>
      <c r="I640" s="987"/>
      <c r="J640" s="987"/>
      <c r="K640" s="987"/>
      <c r="L640" s="987"/>
      <c r="M640" s="987"/>
      <c r="N640" s="987"/>
      <c r="O640" s="987"/>
      <c r="P640" s="987"/>
      <c r="Q640" s="987"/>
      <c r="R640" s="987"/>
      <c r="S640" s="987"/>
      <c r="T640" s="987"/>
      <c r="U640" s="987"/>
      <c r="V640" s="987"/>
      <c r="W640" s="987"/>
      <c r="X640" s="987"/>
      <c r="Y640" s="987"/>
      <c r="Z640" s="987"/>
    </row>
    <row r="641">
      <c r="A641" s="987"/>
      <c r="B641" s="987"/>
      <c r="C641" s="987"/>
      <c r="D641" s="987"/>
      <c r="E641" s="987"/>
      <c r="F641" s="987"/>
      <c r="G641" s="987"/>
      <c r="H641" s="987"/>
      <c r="I641" s="987"/>
      <c r="J641" s="987"/>
      <c r="K641" s="987"/>
      <c r="L641" s="987"/>
      <c r="M641" s="987"/>
      <c r="N641" s="987"/>
      <c r="O641" s="987"/>
      <c r="P641" s="987"/>
      <c r="Q641" s="987"/>
      <c r="R641" s="987"/>
      <c r="S641" s="987"/>
      <c r="T641" s="987"/>
      <c r="U641" s="987"/>
      <c r="V641" s="987"/>
      <c r="W641" s="987"/>
      <c r="X641" s="987"/>
      <c r="Y641" s="987"/>
      <c r="Z641" s="987"/>
    </row>
    <row r="642">
      <c r="A642" s="987"/>
      <c r="B642" s="987"/>
      <c r="C642" s="987"/>
      <c r="D642" s="987"/>
      <c r="E642" s="987"/>
      <c r="F642" s="987"/>
      <c r="G642" s="987"/>
      <c r="H642" s="987"/>
      <c r="I642" s="987"/>
      <c r="J642" s="987"/>
      <c r="K642" s="987"/>
      <c r="L642" s="987"/>
      <c r="M642" s="987"/>
      <c r="N642" s="987"/>
      <c r="O642" s="987"/>
      <c r="P642" s="987"/>
      <c r="Q642" s="987"/>
      <c r="R642" s="987"/>
      <c r="S642" s="987"/>
      <c r="T642" s="987"/>
      <c r="U642" s="987"/>
      <c r="V642" s="987"/>
      <c r="W642" s="987"/>
      <c r="X642" s="987"/>
      <c r="Y642" s="987"/>
      <c r="Z642" s="987"/>
    </row>
    <row r="643">
      <c r="A643" s="987"/>
      <c r="B643" s="987"/>
      <c r="C643" s="987"/>
      <c r="D643" s="987"/>
      <c r="E643" s="987"/>
      <c r="F643" s="987"/>
      <c r="G643" s="987"/>
      <c r="H643" s="987"/>
      <c r="I643" s="987"/>
      <c r="J643" s="987"/>
      <c r="K643" s="987"/>
      <c r="L643" s="987"/>
      <c r="M643" s="987"/>
      <c r="N643" s="987"/>
      <c r="O643" s="987"/>
      <c r="P643" s="987"/>
      <c r="Q643" s="987"/>
      <c r="R643" s="987"/>
      <c r="S643" s="987"/>
      <c r="T643" s="987"/>
      <c r="U643" s="987"/>
      <c r="V643" s="987"/>
      <c r="W643" s="987"/>
      <c r="X643" s="987"/>
      <c r="Y643" s="987"/>
      <c r="Z643" s="987"/>
    </row>
    <row r="644">
      <c r="A644" s="987"/>
      <c r="B644" s="987"/>
      <c r="C644" s="987"/>
      <c r="D644" s="987"/>
      <c r="E644" s="987"/>
      <c r="F644" s="987"/>
      <c r="G644" s="987"/>
      <c r="H644" s="987"/>
      <c r="I644" s="987"/>
      <c r="J644" s="987"/>
      <c r="K644" s="987"/>
      <c r="L644" s="987"/>
      <c r="M644" s="987"/>
      <c r="N644" s="987"/>
      <c r="O644" s="987"/>
      <c r="P644" s="987"/>
      <c r="Q644" s="987"/>
      <c r="R644" s="987"/>
      <c r="S644" s="987"/>
      <c r="T644" s="987"/>
      <c r="U644" s="987"/>
      <c r="V644" s="987"/>
      <c r="W644" s="987"/>
      <c r="X644" s="987"/>
      <c r="Y644" s="987"/>
      <c r="Z644" s="987"/>
    </row>
    <row r="645">
      <c r="A645" s="987"/>
      <c r="B645" s="987"/>
      <c r="C645" s="987"/>
      <c r="D645" s="987"/>
      <c r="E645" s="987"/>
      <c r="F645" s="987"/>
      <c r="G645" s="987"/>
      <c r="H645" s="987"/>
      <c r="I645" s="987"/>
      <c r="J645" s="987"/>
      <c r="K645" s="987"/>
      <c r="L645" s="987"/>
      <c r="M645" s="987"/>
      <c r="N645" s="987"/>
      <c r="O645" s="987"/>
      <c r="P645" s="987"/>
      <c r="Q645" s="987"/>
      <c r="R645" s="987"/>
      <c r="S645" s="987"/>
      <c r="T645" s="987"/>
      <c r="U645" s="987"/>
      <c r="V645" s="987"/>
      <c r="W645" s="987"/>
      <c r="X645" s="987"/>
      <c r="Y645" s="987"/>
      <c r="Z645" s="987"/>
    </row>
    <row r="646">
      <c r="A646" s="987"/>
      <c r="B646" s="987"/>
      <c r="C646" s="987"/>
      <c r="D646" s="987"/>
      <c r="E646" s="987"/>
      <c r="F646" s="987"/>
      <c r="G646" s="987"/>
      <c r="H646" s="987"/>
      <c r="I646" s="987"/>
      <c r="J646" s="987"/>
      <c r="K646" s="987"/>
      <c r="L646" s="987"/>
      <c r="M646" s="987"/>
      <c r="N646" s="987"/>
      <c r="O646" s="987"/>
      <c r="P646" s="987"/>
      <c r="Q646" s="987"/>
      <c r="R646" s="987"/>
      <c r="S646" s="987"/>
      <c r="T646" s="987"/>
      <c r="U646" s="987"/>
      <c r="V646" s="987"/>
      <c r="W646" s="987"/>
      <c r="X646" s="987"/>
      <c r="Y646" s="987"/>
      <c r="Z646" s="987"/>
    </row>
    <row r="647">
      <c r="A647" s="987"/>
      <c r="B647" s="987"/>
      <c r="C647" s="987"/>
      <c r="D647" s="987"/>
      <c r="E647" s="987"/>
      <c r="F647" s="987"/>
      <c r="G647" s="987"/>
      <c r="H647" s="987"/>
      <c r="I647" s="987"/>
      <c r="J647" s="987"/>
      <c r="K647" s="987"/>
      <c r="L647" s="987"/>
      <c r="M647" s="987"/>
      <c r="N647" s="987"/>
      <c r="O647" s="987"/>
      <c r="P647" s="987"/>
      <c r="Q647" s="987"/>
      <c r="R647" s="987"/>
      <c r="S647" s="987"/>
      <c r="T647" s="987"/>
      <c r="U647" s="987"/>
      <c r="V647" s="987"/>
      <c r="W647" s="987"/>
      <c r="X647" s="987"/>
      <c r="Y647" s="987"/>
      <c r="Z647" s="987"/>
    </row>
    <row r="648">
      <c r="A648" s="987"/>
      <c r="B648" s="987"/>
      <c r="C648" s="987"/>
      <c r="D648" s="987"/>
      <c r="E648" s="987"/>
      <c r="F648" s="987"/>
      <c r="G648" s="987"/>
      <c r="H648" s="987"/>
      <c r="I648" s="987"/>
      <c r="J648" s="987"/>
      <c r="K648" s="987"/>
      <c r="L648" s="987"/>
      <c r="M648" s="987"/>
      <c r="N648" s="987"/>
      <c r="O648" s="987"/>
      <c r="P648" s="987"/>
      <c r="Q648" s="987"/>
      <c r="R648" s="987"/>
      <c r="S648" s="987"/>
      <c r="T648" s="987"/>
      <c r="U648" s="987"/>
      <c r="V648" s="987"/>
      <c r="W648" s="987"/>
      <c r="X648" s="987"/>
      <c r="Y648" s="987"/>
      <c r="Z648" s="987"/>
    </row>
    <row r="649">
      <c r="A649" s="987"/>
      <c r="B649" s="987"/>
      <c r="C649" s="987"/>
      <c r="D649" s="987"/>
      <c r="E649" s="987"/>
      <c r="F649" s="987"/>
      <c r="G649" s="987"/>
      <c r="H649" s="987"/>
      <c r="I649" s="987"/>
      <c r="J649" s="987"/>
      <c r="K649" s="987"/>
      <c r="L649" s="987"/>
      <c r="M649" s="987"/>
      <c r="N649" s="987"/>
      <c r="O649" s="987"/>
      <c r="P649" s="987"/>
      <c r="Q649" s="987"/>
      <c r="R649" s="987"/>
      <c r="S649" s="987"/>
      <c r="T649" s="987"/>
      <c r="U649" s="987"/>
      <c r="V649" s="987"/>
      <c r="W649" s="987"/>
      <c r="X649" s="987"/>
      <c r="Y649" s="987"/>
      <c r="Z649" s="987"/>
    </row>
    <row r="650">
      <c r="A650" s="987"/>
      <c r="B650" s="987"/>
      <c r="C650" s="987"/>
      <c r="D650" s="987"/>
      <c r="E650" s="987"/>
      <c r="F650" s="987"/>
      <c r="G650" s="987"/>
      <c r="H650" s="987"/>
      <c r="I650" s="987"/>
      <c r="J650" s="987"/>
      <c r="K650" s="987"/>
      <c r="L650" s="987"/>
      <c r="M650" s="987"/>
      <c r="N650" s="987"/>
      <c r="O650" s="987"/>
      <c r="P650" s="987"/>
      <c r="Q650" s="987"/>
      <c r="R650" s="987"/>
      <c r="S650" s="987"/>
      <c r="T650" s="987"/>
      <c r="U650" s="987"/>
      <c r="V650" s="987"/>
      <c r="W650" s="987"/>
      <c r="X650" s="987"/>
      <c r="Y650" s="987"/>
      <c r="Z650" s="987"/>
    </row>
    <row r="651">
      <c r="A651" s="987"/>
      <c r="B651" s="987"/>
      <c r="C651" s="987"/>
      <c r="D651" s="987"/>
      <c r="E651" s="987"/>
      <c r="F651" s="987"/>
      <c r="G651" s="987"/>
      <c r="H651" s="987"/>
      <c r="I651" s="987"/>
      <c r="J651" s="987"/>
      <c r="K651" s="987"/>
      <c r="L651" s="987"/>
      <c r="M651" s="987"/>
      <c r="N651" s="987"/>
      <c r="O651" s="987"/>
      <c r="P651" s="987"/>
      <c r="Q651" s="987"/>
      <c r="R651" s="987"/>
      <c r="S651" s="987"/>
      <c r="T651" s="987"/>
      <c r="U651" s="987"/>
      <c r="V651" s="987"/>
      <c r="W651" s="987"/>
      <c r="X651" s="987"/>
      <c r="Y651" s="987"/>
      <c r="Z651" s="987"/>
    </row>
    <row r="652">
      <c r="A652" s="987"/>
      <c r="B652" s="987"/>
      <c r="C652" s="987"/>
      <c r="D652" s="987"/>
      <c r="E652" s="987"/>
      <c r="F652" s="987"/>
      <c r="G652" s="987"/>
      <c r="H652" s="987"/>
      <c r="I652" s="987"/>
      <c r="J652" s="987"/>
      <c r="K652" s="987"/>
      <c r="L652" s="987"/>
      <c r="M652" s="987"/>
      <c r="N652" s="987"/>
      <c r="O652" s="987"/>
      <c r="P652" s="987"/>
      <c r="Q652" s="987"/>
      <c r="R652" s="987"/>
      <c r="S652" s="987"/>
      <c r="T652" s="987"/>
      <c r="U652" s="987"/>
      <c r="V652" s="987"/>
      <c r="W652" s="987"/>
      <c r="X652" s="987"/>
      <c r="Y652" s="987"/>
      <c r="Z652" s="987"/>
    </row>
    <row r="653">
      <c r="A653" s="987"/>
      <c r="B653" s="987"/>
      <c r="C653" s="987"/>
      <c r="D653" s="987"/>
      <c r="E653" s="987"/>
      <c r="F653" s="987"/>
      <c r="G653" s="987"/>
      <c r="H653" s="987"/>
      <c r="I653" s="987"/>
      <c r="J653" s="987"/>
      <c r="K653" s="987"/>
      <c r="L653" s="987"/>
      <c r="M653" s="987"/>
      <c r="N653" s="987"/>
      <c r="O653" s="987"/>
      <c r="P653" s="987"/>
      <c r="Q653" s="987"/>
      <c r="R653" s="987"/>
      <c r="S653" s="987"/>
      <c r="T653" s="987"/>
      <c r="U653" s="987"/>
      <c r="V653" s="987"/>
      <c r="W653" s="987"/>
      <c r="X653" s="987"/>
      <c r="Y653" s="987"/>
      <c r="Z653" s="987"/>
    </row>
    <row r="654">
      <c r="A654" s="987"/>
      <c r="B654" s="987"/>
      <c r="C654" s="987"/>
      <c r="D654" s="987"/>
      <c r="E654" s="987"/>
      <c r="F654" s="987"/>
      <c r="G654" s="987"/>
      <c r="H654" s="987"/>
      <c r="I654" s="987"/>
      <c r="J654" s="987"/>
      <c r="K654" s="987"/>
      <c r="L654" s="987"/>
      <c r="M654" s="987"/>
      <c r="N654" s="987"/>
      <c r="O654" s="987"/>
      <c r="P654" s="987"/>
      <c r="Q654" s="987"/>
      <c r="R654" s="987"/>
      <c r="S654" s="987"/>
      <c r="T654" s="987"/>
      <c r="U654" s="987"/>
      <c r="V654" s="987"/>
      <c r="W654" s="987"/>
      <c r="X654" s="987"/>
      <c r="Y654" s="987"/>
      <c r="Z654" s="987"/>
    </row>
    <row r="655">
      <c r="A655" s="987"/>
      <c r="B655" s="987"/>
      <c r="C655" s="987"/>
      <c r="D655" s="987"/>
      <c r="E655" s="987"/>
      <c r="F655" s="987"/>
      <c r="G655" s="987"/>
      <c r="H655" s="987"/>
      <c r="I655" s="987"/>
      <c r="J655" s="987"/>
      <c r="K655" s="987"/>
      <c r="L655" s="987"/>
      <c r="M655" s="987"/>
      <c r="N655" s="987"/>
      <c r="O655" s="987"/>
      <c r="P655" s="987"/>
      <c r="Q655" s="987"/>
      <c r="R655" s="987"/>
      <c r="S655" s="987"/>
      <c r="T655" s="987"/>
      <c r="U655" s="987"/>
      <c r="V655" s="987"/>
      <c r="W655" s="987"/>
      <c r="X655" s="987"/>
      <c r="Y655" s="987"/>
      <c r="Z655" s="987"/>
    </row>
    <row r="656">
      <c r="A656" s="987"/>
      <c r="B656" s="987"/>
      <c r="C656" s="987"/>
      <c r="D656" s="987"/>
      <c r="E656" s="987"/>
      <c r="F656" s="987"/>
      <c r="G656" s="987"/>
      <c r="H656" s="987"/>
      <c r="I656" s="987"/>
      <c r="J656" s="987"/>
      <c r="K656" s="987"/>
      <c r="L656" s="987"/>
      <c r="M656" s="987"/>
      <c r="N656" s="987"/>
      <c r="O656" s="987"/>
      <c r="P656" s="987"/>
      <c r="Q656" s="987"/>
      <c r="R656" s="987"/>
      <c r="S656" s="987"/>
      <c r="T656" s="987"/>
      <c r="U656" s="987"/>
      <c r="V656" s="987"/>
      <c r="W656" s="987"/>
      <c r="X656" s="987"/>
      <c r="Y656" s="987"/>
      <c r="Z656" s="987"/>
    </row>
    <row r="657">
      <c r="A657" s="987"/>
      <c r="B657" s="987"/>
      <c r="C657" s="987"/>
      <c r="D657" s="987"/>
      <c r="E657" s="987"/>
      <c r="F657" s="987"/>
      <c r="G657" s="987"/>
      <c r="H657" s="987"/>
      <c r="I657" s="987"/>
      <c r="J657" s="987"/>
      <c r="K657" s="987"/>
      <c r="L657" s="987"/>
      <c r="M657" s="987"/>
      <c r="N657" s="987"/>
      <c r="O657" s="987"/>
      <c r="P657" s="987"/>
      <c r="Q657" s="987"/>
      <c r="R657" s="987"/>
      <c r="S657" s="987"/>
      <c r="T657" s="987"/>
      <c r="U657" s="987"/>
      <c r="V657" s="987"/>
      <c r="W657" s="987"/>
      <c r="X657" s="987"/>
      <c r="Y657" s="987"/>
      <c r="Z657" s="987"/>
    </row>
    <row r="658">
      <c r="A658" s="987"/>
      <c r="B658" s="987"/>
      <c r="C658" s="987"/>
      <c r="D658" s="987"/>
      <c r="E658" s="987"/>
      <c r="F658" s="987"/>
      <c r="G658" s="987"/>
      <c r="H658" s="987"/>
      <c r="I658" s="987"/>
      <c r="J658" s="987"/>
      <c r="K658" s="987"/>
      <c r="L658" s="987"/>
      <c r="M658" s="987"/>
      <c r="N658" s="987"/>
      <c r="O658" s="987"/>
      <c r="P658" s="987"/>
      <c r="Q658" s="987"/>
      <c r="R658" s="987"/>
      <c r="S658" s="987"/>
      <c r="T658" s="987"/>
      <c r="U658" s="987"/>
      <c r="V658" s="987"/>
      <c r="W658" s="987"/>
      <c r="X658" s="987"/>
      <c r="Y658" s="987"/>
      <c r="Z658" s="987"/>
    </row>
    <row r="659">
      <c r="A659" s="987"/>
      <c r="B659" s="987"/>
      <c r="C659" s="987"/>
      <c r="D659" s="987"/>
      <c r="E659" s="987"/>
      <c r="F659" s="987"/>
      <c r="G659" s="987"/>
      <c r="H659" s="987"/>
      <c r="I659" s="987"/>
      <c r="J659" s="987"/>
      <c r="K659" s="987"/>
      <c r="L659" s="987"/>
      <c r="M659" s="987"/>
      <c r="N659" s="987"/>
      <c r="O659" s="987"/>
      <c r="P659" s="987"/>
      <c r="Q659" s="987"/>
      <c r="R659" s="987"/>
      <c r="S659" s="987"/>
      <c r="T659" s="987"/>
      <c r="U659" s="987"/>
      <c r="V659" s="987"/>
      <c r="W659" s="987"/>
      <c r="X659" s="987"/>
      <c r="Y659" s="987"/>
      <c r="Z659" s="987"/>
    </row>
    <row r="660">
      <c r="A660" s="987"/>
      <c r="B660" s="987"/>
      <c r="C660" s="987"/>
      <c r="D660" s="987"/>
      <c r="E660" s="987"/>
      <c r="F660" s="987"/>
      <c r="G660" s="987"/>
      <c r="H660" s="987"/>
      <c r="I660" s="987"/>
      <c r="J660" s="987"/>
      <c r="K660" s="987"/>
      <c r="L660" s="987"/>
      <c r="M660" s="987"/>
      <c r="N660" s="987"/>
      <c r="O660" s="987"/>
      <c r="P660" s="987"/>
      <c r="Q660" s="987"/>
      <c r="R660" s="987"/>
      <c r="S660" s="987"/>
      <c r="T660" s="987"/>
      <c r="U660" s="987"/>
      <c r="V660" s="987"/>
      <c r="W660" s="987"/>
      <c r="X660" s="987"/>
      <c r="Y660" s="987"/>
      <c r="Z660" s="987"/>
    </row>
    <row r="661">
      <c r="A661" s="987"/>
      <c r="B661" s="987"/>
      <c r="C661" s="987"/>
      <c r="D661" s="987"/>
      <c r="E661" s="987"/>
      <c r="F661" s="987"/>
      <c r="G661" s="987"/>
      <c r="H661" s="987"/>
      <c r="I661" s="987"/>
      <c r="J661" s="987"/>
      <c r="K661" s="987"/>
      <c r="L661" s="987"/>
      <c r="M661" s="987"/>
      <c r="N661" s="987"/>
      <c r="O661" s="987"/>
      <c r="P661" s="987"/>
      <c r="Q661" s="987"/>
      <c r="R661" s="987"/>
      <c r="S661" s="987"/>
      <c r="T661" s="987"/>
      <c r="U661" s="987"/>
      <c r="V661" s="987"/>
      <c r="W661" s="987"/>
      <c r="X661" s="987"/>
      <c r="Y661" s="987"/>
      <c r="Z661" s="987"/>
    </row>
    <row r="662">
      <c r="A662" s="987"/>
      <c r="B662" s="987"/>
      <c r="C662" s="987"/>
      <c r="D662" s="987"/>
      <c r="E662" s="987"/>
      <c r="F662" s="987"/>
      <c r="G662" s="987"/>
      <c r="H662" s="987"/>
      <c r="I662" s="987"/>
      <c r="J662" s="987"/>
      <c r="K662" s="987"/>
      <c r="L662" s="987"/>
      <c r="M662" s="987"/>
      <c r="N662" s="987"/>
      <c r="O662" s="987"/>
      <c r="P662" s="987"/>
      <c r="Q662" s="987"/>
      <c r="R662" s="987"/>
      <c r="S662" s="987"/>
      <c r="T662" s="987"/>
      <c r="U662" s="987"/>
      <c r="V662" s="987"/>
      <c r="W662" s="987"/>
      <c r="X662" s="987"/>
      <c r="Y662" s="987"/>
      <c r="Z662" s="987"/>
    </row>
    <row r="663">
      <c r="A663" s="987"/>
      <c r="B663" s="987"/>
      <c r="C663" s="987"/>
      <c r="D663" s="987"/>
      <c r="E663" s="987"/>
      <c r="F663" s="987"/>
      <c r="G663" s="987"/>
      <c r="H663" s="987"/>
      <c r="I663" s="987"/>
      <c r="J663" s="987"/>
      <c r="K663" s="987"/>
      <c r="L663" s="987"/>
      <c r="M663" s="987"/>
      <c r="N663" s="987"/>
      <c r="O663" s="987"/>
      <c r="P663" s="987"/>
      <c r="Q663" s="987"/>
      <c r="R663" s="987"/>
      <c r="S663" s="987"/>
      <c r="T663" s="987"/>
      <c r="U663" s="987"/>
      <c r="V663" s="987"/>
      <c r="W663" s="987"/>
      <c r="X663" s="987"/>
      <c r="Y663" s="987"/>
      <c r="Z663" s="987"/>
    </row>
    <row r="664">
      <c r="A664" s="987"/>
      <c r="B664" s="987"/>
      <c r="C664" s="987"/>
      <c r="D664" s="987"/>
      <c r="E664" s="987"/>
      <c r="F664" s="987"/>
      <c r="G664" s="987"/>
      <c r="H664" s="987"/>
      <c r="I664" s="987"/>
      <c r="J664" s="987"/>
      <c r="K664" s="987"/>
      <c r="L664" s="987"/>
      <c r="M664" s="987"/>
      <c r="N664" s="987"/>
      <c r="O664" s="987"/>
      <c r="P664" s="987"/>
      <c r="Q664" s="987"/>
      <c r="R664" s="987"/>
      <c r="S664" s="987"/>
      <c r="T664" s="987"/>
      <c r="U664" s="987"/>
      <c r="V664" s="987"/>
      <c r="W664" s="987"/>
      <c r="X664" s="987"/>
      <c r="Y664" s="987"/>
      <c r="Z664" s="987"/>
    </row>
    <row r="665">
      <c r="A665" s="987"/>
      <c r="B665" s="987"/>
      <c r="C665" s="987"/>
      <c r="D665" s="987"/>
      <c r="E665" s="987"/>
      <c r="F665" s="987"/>
      <c r="G665" s="987"/>
      <c r="H665" s="987"/>
      <c r="I665" s="987"/>
      <c r="J665" s="987"/>
      <c r="K665" s="987"/>
      <c r="L665" s="987"/>
      <c r="M665" s="987"/>
      <c r="N665" s="987"/>
      <c r="O665" s="987"/>
      <c r="P665" s="987"/>
      <c r="Q665" s="987"/>
      <c r="R665" s="987"/>
      <c r="S665" s="987"/>
      <c r="T665" s="987"/>
      <c r="U665" s="987"/>
      <c r="V665" s="987"/>
      <c r="W665" s="987"/>
      <c r="X665" s="987"/>
      <c r="Y665" s="987"/>
      <c r="Z665" s="987"/>
    </row>
    <row r="666">
      <c r="A666" s="987"/>
      <c r="B666" s="987"/>
      <c r="C666" s="987"/>
      <c r="D666" s="987"/>
      <c r="E666" s="987"/>
      <c r="F666" s="987"/>
      <c r="G666" s="987"/>
      <c r="H666" s="987"/>
      <c r="I666" s="987"/>
      <c r="J666" s="987"/>
      <c r="K666" s="987"/>
      <c r="L666" s="987"/>
      <c r="M666" s="987"/>
      <c r="N666" s="987"/>
      <c r="O666" s="987"/>
      <c r="P666" s="987"/>
      <c r="Q666" s="987"/>
      <c r="R666" s="987"/>
      <c r="S666" s="987"/>
      <c r="T666" s="987"/>
      <c r="U666" s="987"/>
      <c r="V666" s="987"/>
      <c r="W666" s="987"/>
      <c r="X666" s="987"/>
      <c r="Y666" s="987"/>
      <c r="Z666" s="987"/>
    </row>
    <row r="667">
      <c r="A667" s="987"/>
      <c r="B667" s="987"/>
      <c r="C667" s="987"/>
      <c r="D667" s="987"/>
      <c r="E667" s="987"/>
      <c r="F667" s="987"/>
      <c r="G667" s="987"/>
      <c r="H667" s="987"/>
      <c r="I667" s="987"/>
      <c r="J667" s="987"/>
      <c r="K667" s="987"/>
      <c r="L667" s="987"/>
      <c r="M667" s="987"/>
      <c r="N667" s="987"/>
      <c r="O667" s="987"/>
      <c r="P667" s="987"/>
      <c r="Q667" s="987"/>
      <c r="R667" s="987"/>
      <c r="S667" s="987"/>
      <c r="T667" s="987"/>
      <c r="U667" s="987"/>
      <c r="V667" s="987"/>
      <c r="W667" s="987"/>
      <c r="X667" s="987"/>
      <c r="Y667" s="987"/>
      <c r="Z667" s="987"/>
    </row>
    <row r="668">
      <c r="A668" s="987"/>
      <c r="B668" s="987"/>
      <c r="C668" s="987"/>
      <c r="D668" s="987"/>
      <c r="E668" s="987"/>
      <c r="F668" s="987"/>
      <c r="G668" s="987"/>
      <c r="H668" s="987"/>
      <c r="I668" s="987"/>
      <c r="J668" s="987"/>
      <c r="K668" s="987"/>
      <c r="L668" s="987"/>
      <c r="M668" s="987"/>
      <c r="N668" s="987"/>
      <c r="O668" s="987"/>
      <c r="P668" s="987"/>
      <c r="Q668" s="987"/>
      <c r="R668" s="987"/>
      <c r="S668" s="987"/>
      <c r="T668" s="987"/>
      <c r="U668" s="987"/>
      <c r="V668" s="987"/>
      <c r="W668" s="987"/>
      <c r="X668" s="987"/>
      <c r="Y668" s="987"/>
      <c r="Z668" s="987"/>
    </row>
    <row r="669">
      <c r="A669" s="987"/>
      <c r="B669" s="987"/>
      <c r="C669" s="987"/>
      <c r="D669" s="987"/>
      <c r="E669" s="987"/>
      <c r="F669" s="987"/>
      <c r="G669" s="987"/>
      <c r="H669" s="987"/>
      <c r="I669" s="987"/>
      <c r="J669" s="987"/>
      <c r="K669" s="987"/>
      <c r="L669" s="987"/>
      <c r="M669" s="987"/>
      <c r="N669" s="987"/>
      <c r="O669" s="987"/>
      <c r="P669" s="987"/>
      <c r="Q669" s="987"/>
      <c r="R669" s="987"/>
      <c r="S669" s="987"/>
      <c r="T669" s="987"/>
      <c r="U669" s="987"/>
      <c r="V669" s="987"/>
      <c r="W669" s="987"/>
      <c r="X669" s="987"/>
      <c r="Y669" s="987"/>
      <c r="Z669" s="987"/>
    </row>
    <row r="670">
      <c r="A670" s="987"/>
      <c r="B670" s="987"/>
      <c r="C670" s="987"/>
      <c r="D670" s="987"/>
      <c r="E670" s="987"/>
      <c r="F670" s="987"/>
      <c r="G670" s="987"/>
      <c r="H670" s="987"/>
      <c r="I670" s="987"/>
      <c r="J670" s="987"/>
      <c r="K670" s="987"/>
      <c r="L670" s="987"/>
      <c r="M670" s="987"/>
      <c r="N670" s="987"/>
      <c r="O670" s="987"/>
      <c r="P670" s="987"/>
      <c r="Q670" s="987"/>
      <c r="R670" s="987"/>
      <c r="S670" s="987"/>
      <c r="T670" s="987"/>
      <c r="U670" s="987"/>
      <c r="V670" s="987"/>
      <c r="W670" s="987"/>
      <c r="X670" s="987"/>
      <c r="Y670" s="987"/>
      <c r="Z670" s="987"/>
    </row>
    <row r="671">
      <c r="A671" s="987"/>
      <c r="B671" s="987"/>
      <c r="C671" s="987"/>
      <c r="D671" s="987"/>
      <c r="E671" s="987"/>
      <c r="F671" s="987"/>
      <c r="G671" s="987"/>
      <c r="H671" s="987"/>
      <c r="I671" s="987"/>
      <c r="J671" s="987"/>
      <c r="K671" s="987"/>
      <c r="L671" s="987"/>
      <c r="M671" s="987"/>
      <c r="N671" s="987"/>
      <c r="O671" s="987"/>
      <c r="P671" s="987"/>
      <c r="Q671" s="987"/>
      <c r="R671" s="987"/>
      <c r="S671" s="987"/>
      <c r="T671" s="987"/>
      <c r="U671" s="987"/>
      <c r="V671" s="987"/>
      <c r="W671" s="987"/>
      <c r="X671" s="987"/>
      <c r="Y671" s="987"/>
      <c r="Z671" s="987"/>
    </row>
    <row r="672">
      <c r="A672" s="987"/>
      <c r="B672" s="987"/>
      <c r="C672" s="987"/>
      <c r="D672" s="987"/>
      <c r="E672" s="987"/>
      <c r="F672" s="987"/>
      <c r="G672" s="987"/>
      <c r="H672" s="987"/>
      <c r="I672" s="987"/>
      <c r="J672" s="987"/>
      <c r="K672" s="987"/>
      <c r="L672" s="987"/>
      <c r="M672" s="987"/>
      <c r="N672" s="987"/>
      <c r="O672" s="987"/>
      <c r="P672" s="987"/>
      <c r="Q672" s="987"/>
      <c r="R672" s="987"/>
      <c r="S672" s="987"/>
      <c r="T672" s="987"/>
      <c r="U672" s="987"/>
      <c r="V672" s="987"/>
      <c r="W672" s="987"/>
      <c r="X672" s="987"/>
      <c r="Y672" s="987"/>
      <c r="Z672" s="987"/>
    </row>
    <row r="673">
      <c r="A673" s="987"/>
      <c r="B673" s="987"/>
      <c r="C673" s="987"/>
      <c r="D673" s="987"/>
      <c r="E673" s="987"/>
      <c r="F673" s="987"/>
      <c r="G673" s="987"/>
      <c r="H673" s="987"/>
      <c r="I673" s="987"/>
      <c r="J673" s="987"/>
      <c r="K673" s="987"/>
      <c r="L673" s="987"/>
      <c r="M673" s="987"/>
      <c r="N673" s="987"/>
      <c r="O673" s="987"/>
      <c r="P673" s="987"/>
      <c r="Q673" s="987"/>
      <c r="R673" s="987"/>
      <c r="S673" s="987"/>
      <c r="T673" s="987"/>
      <c r="U673" s="987"/>
      <c r="V673" s="987"/>
      <c r="W673" s="987"/>
      <c r="X673" s="987"/>
      <c r="Y673" s="987"/>
      <c r="Z673" s="987"/>
    </row>
    <row r="674">
      <c r="A674" s="987"/>
      <c r="B674" s="987"/>
      <c r="C674" s="987"/>
      <c r="D674" s="987"/>
      <c r="E674" s="987"/>
      <c r="F674" s="987"/>
      <c r="G674" s="987"/>
      <c r="H674" s="987"/>
      <c r="I674" s="987"/>
      <c r="J674" s="987"/>
      <c r="K674" s="987"/>
      <c r="L674" s="987"/>
      <c r="M674" s="987"/>
      <c r="N674" s="987"/>
      <c r="O674" s="987"/>
      <c r="P674" s="987"/>
      <c r="Q674" s="987"/>
      <c r="R674" s="987"/>
      <c r="S674" s="987"/>
      <c r="T674" s="987"/>
      <c r="U674" s="987"/>
      <c r="V674" s="987"/>
      <c r="W674" s="987"/>
      <c r="X674" s="987"/>
      <c r="Y674" s="987"/>
      <c r="Z674" s="987"/>
    </row>
    <row r="675">
      <c r="A675" s="987"/>
      <c r="B675" s="987"/>
      <c r="C675" s="987"/>
      <c r="D675" s="987"/>
      <c r="E675" s="987"/>
      <c r="F675" s="987"/>
      <c r="G675" s="987"/>
      <c r="H675" s="987"/>
      <c r="I675" s="987"/>
      <c r="J675" s="987"/>
      <c r="K675" s="987"/>
      <c r="L675" s="987"/>
      <c r="M675" s="987"/>
      <c r="N675" s="987"/>
      <c r="O675" s="987"/>
      <c r="P675" s="987"/>
      <c r="Q675" s="987"/>
      <c r="R675" s="987"/>
      <c r="S675" s="987"/>
      <c r="T675" s="987"/>
      <c r="U675" s="987"/>
      <c r="V675" s="987"/>
      <c r="W675" s="987"/>
      <c r="X675" s="987"/>
      <c r="Y675" s="987"/>
      <c r="Z675" s="987"/>
    </row>
    <row r="676">
      <c r="A676" s="987"/>
      <c r="B676" s="987"/>
      <c r="C676" s="987"/>
      <c r="D676" s="987"/>
      <c r="E676" s="987"/>
      <c r="F676" s="987"/>
      <c r="G676" s="987"/>
      <c r="H676" s="987"/>
      <c r="I676" s="987"/>
      <c r="J676" s="987"/>
      <c r="K676" s="987"/>
      <c r="L676" s="987"/>
      <c r="M676" s="987"/>
      <c r="N676" s="987"/>
      <c r="O676" s="987"/>
      <c r="P676" s="987"/>
      <c r="Q676" s="987"/>
      <c r="R676" s="987"/>
      <c r="S676" s="987"/>
      <c r="T676" s="987"/>
      <c r="U676" s="987"/>
      <c r="V676" s="987"/>
      <c r="W676" s="987"/>
      <c r="X676" s="987"/>
      <c r="Y676" s="987"/>
      <c r="Z676" s="987"/>
    </row>
    <row r="677">
      <c r="A677" s="987"/>
      <c r="B677" s="987"/>
      <c r="C677" s="987"/>
      <c r="D677" s="987"/>
      <c r="E677" s="987"/>
      <c r="F677" s="987"/>
      <c r="G677" s="987"/>
      <c r="H677" s="987"/>
      <c r="I677" s="987"/>
      <c r="J677" s="987"/>
      <c r="K677" s="987"/>
      <c r="L677" s="987"/>
      <c r="M677" s="987"/>
      <c r="N677" s="987"/>
      <c r="O677" s="987"/>
      <c r="P677" s="987"/>
      <c r="Q677" s="987"/>
      <c r="R677" s="987"/>
      <c r="S677" s="987"/>
      <c r="T677" s="987"/>
      <c r="U677" s="987"/>
      <c r="V677" s="987"/>
      <c r="W677" s="987"/>
      <c r="X677" s="987"/>
      <c r="Y677" s="987"/>
      <c r="Z677" s="987"/>
    </row>
    <row r="678">
      <c r="A678" s="987"/>
      <c r="B678" s="987"/>
      <c r="C678" s="987"/>
      <c r="D678" s="987"/>
      <c r="E678" s="987"/>
      <c r="F678" s="987"/>
      <c r="G678" s="987"/>
      <c r="H678" s="987"/>
      <c r="I678" s="987"/>
      <c r="J678" s="987"/>
      <c r="K678" s="987"/>
      <c r="L678" s="987"/>
      <c r="M678" s="987"/>
      <c r="N678" s="987"/>
      <c r="O678" s="987"/>
      <c r="P678" s="987"/>
      <c r="Q678" s="987"/>
      <c r="R678" s="987"/>
      <c r="S678" s="987"/>
      <c r="T678" s="987"/>
      <c r="U678" s="987"/>
      <c r="V678" s="987"/>
      <c r="W678" s="987"/>
      <c r="X678" s="987"/>
      <c r="Y678" s="987"/>
      <c r="Z678" s="987"/>
    </row>
    <row r="679">
      <c r="A679" s="987"/>
      <c r="B679" s="987"/>
      <c r="C679" s="987"/>
      <c r="D679" s="987"/>
      <c r="E679" s="987"/>
      <c r="F679" s="987"/>
      <c r="G679" s="987"/>
      <c r="H679" s="987"/>
      <c r="I679" s="987"/>
      <c r="J679" s="987"/>
      <c r="K679" s="987"/>
      <c r="L679" s="987"/>
      <c r="M679" s="987"/>
      <c r="N679" s="987"/>
      <c r="O679" s="987"/>
      <c r="P679" s="987"/>
      <c r="Q679" s="987"/>
      <c r="R679" s="987"/>
      <c r="S679" s="987"/>
      <c r="T679" s="987"/>
      <c r="U679" s="987"/>
      <c r="V679" s="987"/>
      <c r="W679" s="987"/>
      <c r="X679" s="987"/>
      <c r="Y679" s="987"/>
      <c r="Z679" s="987"/>
    </row>
    <row r="680">
      <c r="A680" s="987"/>
      <c r="B680" s="987"/>
      <c r="C680" s="987"/>
      <c r="D680" s="987"/>
      <c r="E680" s="987"/>
      <c r="F680" s="987"/>
      <c r="G680" s="987"/>
      <c r="H680" s="987"/>
      <c r="I680" s="987"/>
      <c r="J680" s="987"/>
      <c r="K680" s="987"/>
      <c r="L680" s="987"/>
      <c r="M680" s="987"/>
      <c r="N680" s="987"/>
      <c r="O680" s="987"/>
      <c r="P680" s="987"/>
      <c r="Q680" s="987"/>
      <c r="R680" s="987"/>
      <c r="S680" s="987"/>
      <c r="T680" s="987"/>
      <c r="U680" s="987"/>
      <c r="V680" s="987"/>
      <c r="W680" s="987"/>
      <c r="X680" s="987"/>
      <c r="Y680" s="987"/>
      <c r="Z680" s="987"/>
    </row>
    <row r="681">
      <c r="A681" s="987"/>
      <c r="B681" s="987"/>
      <c r="C681" s="987"/>
      <c r="D681" s="987"/>
      <c r="E681" s="987"/>
      <c r="F681" s="987"/>
      <c r="G681" s="987"/>
      <c r="H681" s="987"/>
      <c r="I681" s="987"/>
      <c r="J681" s="987"/>
      <c r="K681" s="987"/>
      <c r="L681" s="987"/>
      <c r="M681" s="987"/>
      <c r="N681" s="987"/>
      <c r="O681" s="987"/>
      <c r="P681" s="987"/>
      <c r="Q681" s="987"/>
      <c r="R681" s="987"/>
      <c r="S681" s="987"/>
      <c r="T681" s="987"/>
      <c r="U681" s="987"/>
      <c r="V681" s="987"/>
      <c r="W681" s="987"/>
      <c r="X681" s="987"/>
      <c r="Y681" s="987"/>
      <c r="Z681" s="987"/>
    </row>
    <row r="682">
      <c r="A682" s="987"/>
      <c r="B682" s="987"/>
      <c r="C682" s="987"/>
      <c r="D682" s="987"/>
      <c r="E682" s="987"/>
      <c r="F682" s="987"/>
      <c r="G682" s="987"/>
      <c r="H682" s="987"/>
      <c r="I682" s="987"/>
      <c r="J682" s="987"/>
      <c r="K682" s="987"/>
      <c r="L682" s="987"/>
      <c r="M682" s="987"/>
      <c r="N682" s="987"/>
      <c r="O682" s="987"/>
      <c r="P682" s="987"/>
      <c r="Q682" s="987"/>
      <c r="R682" s="987"/>
      <c r="S682" s="987"/>
      <c r="T682" s="987"/>
      <c r="U682" s="987"/>
      <c r="V682" s="987"/>
      <c r="W682" s="987"/>
      <c r="X682" s="987"/>
      <c r="Y682" s="987"/>
      <c r="Z682" s="987"/>
    </row>
    <row r="683">
      <c r="A683" s="987"/>
      <c r="B683" s="987"/>
      <c r="C683" s="987"/>
      <c r="D683" s="987"/>
      <c r="E683" s="987"/>
      <c r="F683" s="987"/>
      <c r="G683" s="987"/>
      <c r="H683" s="987"/>
      <c r="I683" s="987"/>
      <c r="J683" s="987"/>
      <c r="K683" s="987"/>
      <c r="L683" s="987"/>
      <c r="M683" s="987"/>
      <c r="N683" s="987"/>
      <c r="O683" s="987"/>
      <c r="P683" s="987"/>
      <c r="Q683" s="987"/>
      <c r="R683" s="987"/>
      <c r="S683" s="987"/>
      <c r="T683" s="987"/>
      <c r="U683" s="987"/>
      <c r="V683" s="987"/>
      <c r="W683" s="987"/>
      <c r="X683" s="987"/>
      <c r="Y683" s="987"/>
      <c r="Z683" s="987"/>
    </row>
    <row r="684">
      <c r="A684" s="987"/>
      <c r="B684" s="987"/>
      <c r="C684" s="987"/>
      <c r="D684" s="987"/>
      <c r="E684" s="987"/>
      <c r="F684" s="987"/>
      <c r="G684" s="987"/>
      <c r="H684" s="987"/>
      <c r="I684" s="987"/>
      <c r="J684" s="987"/>
      <c r="K684" s="987"/>
      <c r="L684" s="987"/>
      <c r="M684" s="987"/>
      <c r="N684" s="987"/>
      <c r="O684" s="987"/>
      <c r="P684" s="987"/>
      <c r="Q684" s="987"/>
      <c r="R684" s="987"/>
      <c r="S684" s="987"/>
      <c r="T684" s="987"/>
      <c r="U684" s="987"/>
      <c r="V684" s="987"/>
      <c r="W684" s="987"/>
      <c r="X684" s="987"/>
      <c r="Y684" s="987"/>
      <c r="Z684" s="987"/>
    </row>
    <row r="685">
      <c r="A685" s="987"/>
      <c r="B685" s="987"/>
      <c r="C685" s="987"/>
      <c r="D685" s="987"/>
      <c r="E685" s="987"/>
      <c r="F685" s="987"/>
      <c r="G685" s="987"/>
      <c r="H685" s="987"/>
      <c r="I685" s="987"/>
      <c r="J685" s="987"/>
      <c r="K685" s="987"/>
      <c r="L685" s="987"/>
      <c r="M685" s="987"/>
      <c r="N685" s="987"/>
      <c r="O685" s="987"/>
      <c r="P685" s="987"/>
      <c r="Q685" s="987"/>
      <c r="R685" s="987"/>
      <c r="S685" s="987"/>
      <c r="T685" s="987"/>
      <c r="U685" s="987"/>
      <c r="V685" s="987"/>
      <c r="W685" s="987"/>
      <c r="X685" s="987"/>
      <c r="Y685" s="987"/>
      <c r="Z685" s="987"/>
    </row>
    <row r="686">
      <c r="A686" s="987"/>
      <c r="B686" s="987"/>
      <c r="C686" s="987"/>
      <c r="D686" s="987"/>
      <c r="E686" s="987"/>
      <c r="F686" s="987"/>
      <c r="G686" s="987"/>
      <c r="H686" s="987"/>
      <c r="I686" s="987"/>
      <c r="J686" s="987"/>
      <c r="K686" s="987"/>
      <c r="L686" s="987"/>
      <c r="M686" s="987"/>
      <c r="N686" s="987"/>
      <c r="O686" s="987"/>
      <c r="P686" s="987"/>
      <c r="Q686" s="987"/>
      <c r="R686" s="987"/>
      <c r="S686" s="987"/>
      <c r="T686" s="987"/>
      <c r="U686" s="987"/>
      <c r="V686" s="987"/>
      <c r="W686" s="987"/>
      <c r="X686" s="987"/>
      <c r="Y686" s="987"/>
      <c r="Z686" s="987"/>
    </row>
    <row r="687">
      <c r="A687" s="987"/>
      <c r="B687" s="987"/>
      <c r="C687" s="987"/>
      <c r="D687" s="987"/>
      <c r="E687" s="987"/>
      <c r="F687" s="987"/>
      <c r="G687" s="987"/>
      <c r="H687" s="987"/>
      <c r="I687" s="987"/>
      <c r="J687" s="987"/>
      <c r="K687" s="987"/>
      <c r="L687" s="987"/>
      <c r="M687" s="987"/>
      <c r="N687" s="987"/>
      <c r="O687" s="987"/>
      <c r="P687" s="987"/>
      <c r="Q687" s="987"/>
      <c r="R687" s="987"/>
      <c r="S687" s="987"/>
      <c r="T687" s="987"/>
      <c r="U687" s="987"/>
      <c r="V687" s="987"/>
      <c r="W687" s="987"/>
      <c r="X687" s="987"/>
      <c r="Y687" s="987"/>
      <c r="Z687" s="987"/>
    </row>
    <row r="688">
      <c r="A688" s="987"/>
      <c r="B688" s="987"/>
      <c r="C688" s="987"/>
      <c r="D688" s="987"/>
      <c r="E688" s="987"/>
      <c r="F688" s="987"/>
      <c r="G688" s="987"/>
      <c r="H688" s="987"/>
      <c r="I688" s="987"/>
      <c r="J688" s="987"/>
      <c r="K688" s="987"/>
      <c r="L688" s="987"/>
      <c r="M688" s="987"/>
      <c r="N688" s="987"/>
      <c r="O688" s="987"/>
      <c r="P688" s="987"/>
      <c r="Q688" s="987"/>
      <c r="R688" s="987"/>
      <c r="S688" s="987"/>
      <c r="T688" s="987"/>
      <c r="U688" s="987"/>
      <c r="V688" s="987"/>
      <c r="W688" s="987"/>
      <c r="X688" s="987"/>
      <c r="Y688" s="987"/>
      <c r="Z688" s="987"/>
    </row>
    <row r="689">
      <c r="A689" s="987"/>
      <c r="B689" s="987"/>
      <c r="C689" s="987"/>
      <c r="D689" s="987"/>
      <c r="E689" s="987"/>
      <c r="F689" s="987"/>
      <c r="G689" s="987"/>
      <c r="H689" s="987"/>
      <c r="I689" s="987"/>
      <c r="J689" s="987"/>
      <c r="K689" s="987"/>
      <c r="L689" s="987"/>
      <c r="M689" s="987"/>
      <c r="N689" s="987"/>
      <c r="O689" s="987"/>
      <c r="P689" s="987"/>
      <c r="Q689" s="987"/>
      <c r="R689" s="987"/>
      <c r="S689" s="987"/>
      <c r="T689" s="987"/>
      <c r="U689" s="987"/>
      <c r="V689" s="987"/>
      <c r="W689" s="987"/>
      <c r="X689" s="987"/>
      <c r="Y689" s="987"/>
      <c r="Z689" s="987"/>
    </row>
    <row r="690">
      <c r="A690" s="987"/>
      <c r="B690" s="987"/>
      <c r="C690" s="987"/>
      <c r="D690" s="987"/>
      <c r="E690" s="987"/>
      <c r="F690" s="987"/>
      <c r="G690" s="987"/>
      <c r="H690" s="987"/>
      <c r="I690" s="987"/>
      <c r="J690" s="987"/>
      <c r="K690" s="987"/>
      <c r="L690" s="987"/>
      <c r="M690" s="987"/>
      <c r="N690" s="987"/>
      <c r="O690" s="987"/>
      <c r="P690" s="987"/>
      <c r="Q690" s="987"/>
      <c r="R690" s="987"/>
      <c r="S690" s="987"/>
      <c r="T690" s="987"/>
      <c r="U690" s="987"/>
      <c r="V690" s="987"/>
      <c r="W690" s="987"/>
      <c r="X690" s="987"/>
      <c r="Y690" s="987"/>
      <c r="Z690" s="987"/>
    </row>
    <row r="691">
      <c r="A691" s="987"/>
      <c r="B691" s="987"/>
      <c r="C691" s="987"/>
      <c r="D691" s="987"/>
      <c r="E691" s="987"/>
      <c r="F691" s="987"/>
      <c r="G691" s="987"/>
      <c r="H691" s="987"/>
      <c r="I691" s="987"/>
      <c r="J691" s="987"/>
      <c r="K691" s="987"/>
      <c r="L691" s="987"/>
      <c r="M691" s="987"/>
      <c r="N691" s="987"/>
      <c r="O691" s="987"/>
      <c r="P691" s="987"/>
      <c r="Q691" s="987"/>
      <c r="R691" s="987"/>
      <c r="S691" s="987"/>
      <c r="T691" s="987"/>
      <c r="U691" s="987"/>
      <c r="V691" s="987"/>
      <c r="W691" s="987"/>
      <c r="X691" s="987"/>
      <c r="Y691" s="987"/>
      <c r="Z691" s="987"/>
    </row>
    <row r="692">
      <c r="A692" s="987"/>
      <c r="B692" s="987"/>
      <c r="C692" s="987"/>
      <c r="D692" s="987"/>
      <c r="E692" s="987"/>
      <c r="F692" s="987"/>
      <c r="G692" s="987"/>
      <c r="H692" s="987"/>
      <c r="I692" s="987"/>
      <c r="J692" s="987"/>
      <c r="K692" s="987"/>
      <c r="L692" s="987"/>
      <c r="M692" s="987"/>
      <c r="N692" s="987"/>
      <c r="O692" s="987"/>
      <c r="P692" s="987"/>
      <c r="Q692" s="987"/>
      <c r="R692" s="987"/>
      <c r="S692" s="987"/>
      <c r="T692" s="987"/>
      <c r="U692" s="987"/>
      <c r="V692" s="987"/>
      <c r="W692" s="987"/>
      <c r="X692" s="987"/>
      <c r="Y692" s="987"/>
      <c r="Z692" s="987"/>
    </row>
    <row r="693">
      <c r="A693" s="987"/>
      <c r="B693" s="987"/>
      <c r="C693" s="987"/>
      <c r="D693" s="987"/>
      <c r="E693" s="987"/>
      <c r="F693" s="987"/>
      <c r="G693" s="987"/>
      <c r="H693" s="987"/>
      <c r="I693" s="987"/>
      <c r="J693" s="987"/>
      <c r="K693" s="987"/>
      <c r="L693" s="987"/>
      <c r="M693" s="987"/>
      <c r="N693" s="987"/>
      <c r="O693" s="987"/>
      <c r="P693" s="987"/>
      <c r="Q693" s="987"/>
      <c r="R693" s="987"/>
      <c r="S693" s="987"/>
      <c r="T693" s="987"/>
      <c r="U693" s="987"/>
      <c r="V693" s="987"/>
      <c r="W693" s="987"/>
      <c r="X693" s="987"/>
      <c r="Y693" s="987"/>
      <c r="Z693" s="987"/>
    </row>
    <row r="694">
      <c r="A694" s="987"/>
      <c r="B694" s="987"/>
      <c r="C694" s="987"/>
      <c r="D694" s="987"/>
      <c r="E694" s="987"/>
      <c r="F694" s="987"/>
      <c r="G694" s="987"/>
      <c r="H694" s="987"/>
      <c r="I694" s="987"/>
      <c r="J694" s="987"/>
      <c r="K694" s="987"/>
      <c r="L694" s="987"/>
      <c r="M694" s="987"/>
      <c r="N694" s="987"/>
      <c r="O694" s="987"/>
      <c r="P694" s="987"/>
      <c r="Q694" s="987"/>
      <c r="R694" s="987"/>
      <c r="S694" s="987"/>
      <c r="T694" s="987"/>
      <c r="U694" s="987"/>
      <c r="V694" s="987"/>
      <c r="W694" s="987"/>
      <c r="X694" s="987"/>
      <c r="Y694" s="987"/>
      <c r="Z694" s="987"/>
    </row>
    <row r="695">
      <c r="A695" s="987"/>
      <c r="B695" s="987"/>
      <c r="C695" s="987"/>
      <c r="D695" s="987"/>
      <c r="E695" s="987"/>
      <c r="F695" s="987"/>
      <c r="G695" s="987"/>
      <c r="H695" s="987"/>
      <c r="I695" s="987"/>
      <c r="J695" s="987"/>
      <c r="K695" s="987"/>
      <c r="L695" s="987"/>
      <c r="M695" s="987"/>
      <c r="N695" s="987"/>
      <c r="O695" s="987"/>
      <c r="P695" s="987"/>
      <c r="Q695" s="987"/>
      <c r="R695" s="987"/>
      <c r="S695" s="987"/>
      <c r="T695" s="987"/>
      <c r="U695" s="987"/>
      <c r="V695" s="987"/>
      <c r="W695" s="987"/>
      <c r="X695" s="987"/>
      <c r="Y695" s="987"/>
      <c r="Z695" s="987"/>
    </row>
    <row r="696">
      <c r="A696" s="987"/>
      <c r="B696" s="987"/>
      <c r="C696" s="987"/>
      <c r="D696" s="987"/>
      <c r="E696" s="987"/>
      <c r="F696" s="987"/>
      <c r="G696" s="987"/>
      <c r="H696" s="987"/>
      <c r="I696" s="987"/>
      <c r="J696" s="987"/>
      <c r="K696" s="987"/>
      <c r="L696" s="987"/>
      <c r="M696" s="987"/>
      <c r="N696" s="987"/>
      <c r="O696" s="987"/>
      <c r="P696" s="987"/>
      <c r="Q696" s="987"/>
      <c r="R696" s="987"/>
      <c r="S696" s="987"/>
      <c r="T696" s="987"/>
      <c r="U696" s="987"/>
      <c r="V696" s="987"/>
      <c r="W696" s="987"/>
      <c r="X696" s="987"/>
      <c r="Y696" s="987"/>
      <c r="Z696" s="987"/>
    </row>
    <row r="697">
      <c r="A697" s="987"/>
      <c r="B697" s="987"/>
      <c r="C697" s="987"/>
      <c r="D697" s="987"/>
      <c r="E697" s="987"/>
      <c r="F697" s="987"/>
      <c r="G697" s="987"/>
      <c r="H697" s="987"/>
      <c r="I697" s="987"/>
      <c r="J697" s="987"/>
      <c r="K697" s="987"/>
      <c r="L697" s="987"/>
      <c r="M697" s="987"/>
      <c r="N697" s="987"/>
      <c r="O697" s="987"/>
      <c r="P697" s="987"/>
      <c r="Q697" s="987"/>
      <c r="R697" s="987"/>
      <c r="S697" s="987"/>
      <c r="T697" s="987"/>
      <c r="U697" s="987"/>
      <c r="V697" s="987"/>
      <c r="W697" s="987"/>
      <c r="X697" s="987"/>
      <c r="Y697" s="987"/>
      <c r="Z697" s="987"/>
    </row>
    <row r="698">
      <c r="A698" s="987"/>
      <c r="B698" s="987"/>
      <c r="C698" s="987"/>
      <c r="D698" s="987"/>
      <c r="E698" s="987"/>
      <c r="F698" s="987"/>
      <c r="G698" s="987"/>
      <c r="H698" s="987"/>
      <c r="I698" s="987"/>
      <c r="J698" s="987"/>
      <c r="K698" s="987"/>
      <c r="L698" s="987"/>
      <c r="M698" s="987"/>
      <c r="N698" s="987"/>
      <c r="O698" s="987"/>
      <c r="P698" s="987"/>
      <c r="Q698" s="987"/>
      <c r="R698" s="987"/>
      <c r="S698" s="987"/>
      <c r="T698" s="987"/>
      <c r="U698" s="987"/>
      <c r="V698" s="987"/>
      <c r="W698" s="987"/>
      <c r="X698" s="987"/>
      <c r="Y698" s="987"/>
      <c r="Z698" s="987"/>
    </row>
    <row r="699">
      <c r="A699" s="987"/>
      <c r="B699" s="987"/>
      <c r="C699" s="987"/>
      <c r="D699" s="987"/>
      <c r="E699" s="987"/>
      <c r="F699" s="987"/>
      <c r="G699" s="987"/>
      <c r="H699" s="987"/>
      <c r="I699" s="987"/>
      <c r="J699" s="987"/>
      <c r="K699" s="987"/>
      <c r="L699" s="987"/>
      <c r="M699" s="987"/>
      <c r="N699" s="987"/>
      <c r="O699" s="987"/>
      <c r="P699" s="987"/>
      <c r="Q699" s="987"/>
      <c r="R699" s="987"/>
      <c r="S699" s="987"/>
      <c r="T699" s="987"/>
      <c r="U699" s="987"/>
      <c r="V699" s="987"/>
      <c r="W699" s="987"/>
      <c r="X699" s="987"/>
      <c r="Y699" s="987"/>
      <c r="Z699" s="987"/>
    </row>
    <row r="700">
      <c r="A700" s="987"/>
      <c r="B700" s="987"/>
      <c r="C700" s="987"/>
      <c r="D700" s="987"/>
      <c r="E700" s="987"/>
      <c r="F700" s="987"/>
      <c r="G700" s="987"/>
      <c r="H700" s="987"/>
      <c r="I700" s="987"/>
      <c r="J700" s="987"/>
      <c r="K700" s="987"/>
      <c r="L700" s="987"/>
      <c r="M700" s="987"/>
      <c r="N700" s="987"/>
      <c r="O700" s="987"/>
      <c r="P700" s="987"/>
      <c r="Q700" s="987"/>
      <c r="R700" s="987"/>
      <c r="S700" s="987"/>
      <c r="T700" s="987"/>
      <c r="U700" s="987"/>
      <c r="V700" s="987"/>
      <c r="W700" s="987"/>
      <c r="X700" s="987"/>
      <c r="Y700" s="987"/>
      <c r="Z700" s="987"/>
    </row>
    <row r="701">
      <c r="A701" s="987"/>
      <c r="B701" s="987"/>
      <c r="C701" s="987"/>
      <c r="D701" s="987"/>
      <c r="E701" s="987"/>
      <c r="F701" s="987"/>
      <c r="G701" s="987"/>
      <c r="H701" s="987"/>
      <c r="I701" s="987"/>
      <c r="J701" s="987"/>
      <c r="K701" s="987"/>
      <c r="L701" s="987"/>
      <c r="M701" s="987"/>
      <c r="N701" s="987"/>
      <c r="O701" s="987"/>
      <c r="P701" s="987"/>
      <c r="Q701" s="987"/>
      <c r="R701" s="987"/>
      <c r="S701" s="987"/>
      <c r="T701" s="987"/>
      <c r="U701" s="987"/>
      <c r="V701" s="987"/>
      <c r="W701" s="987"/>
      <c r="X701" s="987"/>
      <c r="Y701" s="987"/>
      <c r="Z701" s="987"/>
    </row>
    <row r="702">
      <c r="A702" s="987"/>
      <c r="B702" s="987"/>
      <c r="C702" s="987"/>
      <c r="D702" s="987"/>
      <c r="E702" s="987"/>
      <c r="F702" s="987"/>
      <c r="G702" s="987"/>
      <c r="H702" s="987"/>
      <c r="I702" s="987"/>
      <c r="J702" s="987"/>
      <c r="K702" s="987"/>
      <c r="L702" s="987"/>
      <c r="M702" s="987"/>
      <c r="N702" s="987"/>
      <c r="O702" s="987"/>
      <c r="P702" s="987"/>
      <c r="Q702" s="987"/>
      <c r="R702" s="987"/>
      <c r="S702" s="987"/>
      <c r="T702" s="987"/>
      <c r="U702" s="987"/>
      <c r="V702" s="987"/>
      <c r="W702" s="987"/>
      <c r="X702" s="987"/>
      <c r="Y702" s="987"/>
      <c r="Z702" s="987"/>
    </row>
    <row r="703">
      <c r="A703" s="987"/>
      <c r="B703" s="987"/>
      <c r="C703" s="987"/>
      <c r="D703" s="987"/>
      <c r="E703" s="987"/>
      <c r="F703" s="987"/>
      <c r="G703" s="987"/>
      <c r="H703" s="987"/>
      <c r="I703" s="987"/>
      <c r="J703" s="987"/>
      <c r="K703" s="987"/>
      <c r="L703" s="987"/>
      <c r="M703" s="987"/>
      <c r="N703" s="987"/>
      <c r="O703" s="987"/>
      <c r="P703" s="987"/>
      <c r="Q703" s="987"/>
      <c r="R703" s="987"/>
      <c r="S703" s="987"/>
      <c r="T703" s="987"/>
      <c r="U703" s="987"/>
      <c r="V703" s="987"/>
      <c r="W703" s="987"/>
      <c r="X703" s="987"/>
      <c r="Y703" s="987"/>
      <c r="Z703" s="987"/>
    </row>
    <row r="704">
      <c r="A704" s="987"/>
      <c r="B704" s="987"/>
      <c r="C704" s="987"/>
      <c r="D704" s="987"/>
      <c r="E704" s="987"/>
      <c r="F704" s="987"/>
      <c r="G704" s="987"/>
      <c r="H704" s="987"/>
      <c r="I704" s="987"/>
      <c r="J704" s="987"/>
      <c r="K704" s="987"/>
      <c r="L704" s="987"/>
      <c r="M704" s="987"/>
      <c r="N704" s="987"/>
      <c r="O704" s="987"/>
      <c r="P704" s="987"/>
      <c r="Q704" s="987"/>
      <c r="R704" s="987"/>
      <c r="S704" s="987"/>
      <c r="T704" s="987"/>
      <c r="U704" s="987"/>
      <c r="V704" s="987"/>
      <c r="W704" s="987"/>
      <c r="X704" s="987"/>
      <c r="Y704" s="987"/>
      <c r="Z704" s="987"/>
    </row>
    <row r="705">
      <c r="A705" s="987"/>
      <c r="B705" s="987"/>
      <c r="C705" s="987"/>
      <c r="D705" s="987"/>
      <c r="E705" s="987"/>
      <c r="F705" s="987"/>
      <c r="G705" s="987"/>
      <c r="H705" s="987"/>
      <c r="I705" s="987"/>
      <c r="J705" s="987"/>
      <c r="K705" s="987"/>
      <c r="L705" s="987"/>
      <c r="M705" s="987"/>
      <c r="N705" s="987"/>
      <c r="O705" s="987"/>
      <c r="P705" s="987"/>
      <c r="Q705" s="987"/>
      <c r="R705" s="987"/>
      <c r="S705" s="987"/>
      <c r="T705" s="987"/>
      <c r="U705" s="987"/>
      <c r="V705" s="987"/>
      <c r="W705" s="987"/>
      <c r="X705" s="987"/>
      <c r="Y705" s="987"/>
      <c r="Z705" s="987"/>
    </row>
    <row r="706">
      <c r="A706" s="987"/>
      <c r="B706" s="987"/>
      <c r="C706" s="987"/>
      <c r="D706" s="987"/>
      <c r="E706" s="987"/>
      <c r="F706" s="987"/>
      <c r="G706" s="987"/>
      <c r="H706" s="987"/>
      <c r="I706" s="987"/>
      <c r="J706" s="987"/>
      <c r="K706" s="987"/>
      <c r="L706" s="987"/>
      <c r="M706" s="987"/>
      <c r="N706" s="987"/>
      <c r="O706" s="987"/>
      <c r="P706" s="987"/>
      <c r="Q706" s="987"/>
      <c r="R706" s="987"/>
      <c r="S706" s="987"/>
      <c r="T706" s="987"/>
      <c r="U706" s="987"/>
      <c r="V706" s="987"/>
      <c r="W706" s="987"/>
      <c r="X706" s="987"/>
      <c r="Y706" s="987"/>
      <c r="Z706" s="987"/>
    </row>
    <row r="707">
      <c r="A707" s="987"/>
      <c r="B707" s="987"/>
      <c r="C707" s="987"/>
      <c r="D707" s="987"/>
      <c r="E707" s="987"/>
      <c r="F707" s="987"/>
      <c r="G707" s="987"/>
      <c r="H707" s="987"/>
      <c r="I707" s="987"/>
      <c r="J707" s="987"/>
      <c r="K707" s="987"/>
      <c r="L707" s="987"/>
      <c r="M707" s="987"/>
      <c r="N707" s="987"/>
      <c r="O707" s="987"/>
      <c r="P707" s="987"/>
      <c r="Q707" s="987"/>
      <c r="R707" s="987"/>
      <c r="S707" s="987"/>
      <c r="T707" s="987"/>
      <c r="U707" s="987"/>
      <c r="V707" s="987"/>
      <c r="W707" s="987"/>
      <c r="X707" s="987"/>
      <c r="Y707" s="987"/>
      <c r="Z707" s="987"/>
    </row>
    <row r="708">
      <c r="A708" s="987"/>
      <c r="B708" s="987"/>
      <c r="C708" s="987"/>
      <c r="D708" s="987"/>
      <c r="E708" s="987"/>
      <c r="F708" s="987"/>
      <c r="G708" s="987"/>
      <c r="H708" s="987"/>
      <c r="I708" s="987"/>
      <c r="J708" s="987"/>
      <c r="K708" s="987"/>
      <c r="L708" s="987"/>
      <c r="M708" s="987"/>
      <c r="N708" s="987"/>
      <c r="O708" s="987"/>
      <c r="P708" s="987"/>
      <c r="Q708" s="987"/>
      <c r="R708" s="987"/>
      <c r="S708" s="987"/>
      <c r="T708" s="987"/>
      <c r="U708" s="987"/>
      <c r="V708" s="987"/>
      <c r="W708" s="987"/>
      <c r="X708" s="987"/>
      <c r="Y708" s="987"/>
      <c r="Z708" s="987"/>
    </row>
    <row r="709">
      <c r="A709" s="987"/>
      <c r="B709" s="987"/>
      <c r="C709" s="987"/>
      <c r="D709" s="987"/>
      <c r="E709" s="987"/>
      <c r="F709" s="987"/>
      <c r="G709" s="987"/>
      <c r="H709" s="987"/>
      <c r="I709" s="987"/>
      <c r="J709" s="987"/>
      <c r="K709" s="987"/>
      <c r="L709" s="987"/>
      <c r="M709" s="987"/>
      <c r="N709" s="987"/>
      <c r="O709" s="987"/>
      <c r="P709" s="987"/>
      <c r="Q709" s="987"/>
      <c r="R709" s="987"/>
      <c r="S709" s="987"/>
      <c r="T709" s="987"/>
      <c r="U709" s="987"/>
      <c r="V709" s="987"/>
      <c r="W709" s="987"/>
      <c r="X709" s="987"/>
      <c r="Y709" s="987"/>
      <c r="Z709" s="987"/>
    </row>
    <row r="710">
      <c r="A710" s="987"/>
      <c r="B710" s="987"/>
      <c r="C710" s="987"/>
      <c r="D710" s="987"/>
      <c r="E710" s="987"/>
      <c r="F710" s="987"/>
      <c r="G710" s="987"/>
      <c r="H710" s="987"/>
      <c r="I710" s="987"/>
      <c r="J710" s="987"/>
      <c r="K710" s="987"/>
      <c r="L710" s="987"/>
      <c r="M710" s="987"/>
      <c r="N710" s="987"/>
      <c r="O710" s="987"/>
      <c r="P710" s="987"/>
      <c r="Q710" s="987"/>
      <c r="R710" s="987"/>
      <c r="S710" s="987"/>
      <c r="T710" s="987"/>
      <c r="U710" s="987"/>
      <c r="V710" s="987"/>
      <c r="W710" s="987"/>
      <c r="X710" s="987"/>
      <c r="Y710" s="987"/>
      <c r="Z710" s="987"/>
    </row>
    <row r="711">
      <c r="A711" s="987"/>
      <c r="B711" s="987"/>
      <c r="C711" s="987"/>
      <c r="D711" s="987"/>
      <c r="E711" s="987"/>
      <c r="F711" s="987"/>
      <c r="G711" s="987"/>
      <c r="H711" s="987"/>
      <c r="I711" s="987"/>
      <c r="J711" s="987"/>
      <c r="K711" s="987"/>
      <c r="L711" s="987"/>
      <c r="M711" s="987"/>
      <c r="N711" s="987"/>
      <c r="O711" s="987"/>
      <c r="P711" s="987"/>
      <c r="Q711" s="987"/>
      <c r="R711" s="987"/>
      <c r="S711" s="987"/>
      <c r="T711" s="987"/>
      <c r="U711" s="987"/>
      <c r="V711" s="987"/>
      <c r="W711" s="987"/>
      <c r="X711" s="987"/>
      <c r="Y711" s="987"/>
      <c r="Z711" s="987"/>
    </row>
    <row r="712">
      <c r="A712" s="987"/>
      <c r="B712" s="987"/>
      <c r="C712" s="987"/>
      <c r="D712" s="987"/>
      <c r="E712" s="987"/>
      <c r="F712" s="987"/>
      <c r="G712" s="987"/>
      <c r="H712" s="987"/>
      <c r="I712" s="987"/>
      <c r="J712" s="987"/>
      <c r="K712" s="987"/>
      <c r="L712" s="987"/>
      <c r="M712" s="987"/>
      <c r="N712" s="987"/>
      <c r="O712" s="987"/>
      <c r="P712" s="987"/>
      <c r="Q712" s="987"/>
      <c r="R712" s="987"/>
      <c r="S712" s="987"/>
      <c r="T712" s="987"/>
      <c r="U712" s="987"/>
      <c r="V712" s="987"/>
      <c r="W712" s="987"/>
      <c r="X712" s="987"/>
      <c r="Y712" s="987"/>
      <c r="Z712" s="987"/>
    </row>
    <row r="713">
      <c r="A713" s="987"/>
      <c r="B713" s="987"/>
      <c r="C713" s="987"/>
      <c r="D713" s="987"/>
      <c r="E713" s="987"/>
      <c r="F713" s="987"/>
      <c r="G713" s="987"/>
      <c r="H713" s="987"/>
      <c r="I713" s="987"/>
      <c r="J713" s="987"/>
      <c r="K713" s="987"/>
      <c r="L713" s="987"/>
      <c r="M713" s="987"/>
      <c r="N713" s="987"/>
      <c r="O713" s="987"/>
      <c r="P713" s="987"/>
      <c r="Q713" s="987"/>
      <c r="R713" s="987"/>
      <c r="S713" s="987"/>
      <c r="T713" s="987"/>
      <c r="U713" s="987"/>
      <c r="V713" s="987"/>
      <c r="W713" s="987"/>
      <c r="X713" s="987"/>
      <c r="Y713" s="987"/>
      <c r="Z713" s="987"/>
    </row>
    <row r="714">
      <c r="A714" s="987"/>
      <c r="B714" s="987"/>
      <c r="C714" s="987"/>
      <c r="D714" s="987"/>
      <c r="E714" s="987"/>
      <c r="F714" s="987"/>
      <c r="G714" s="987"/>
      <c r="H714" s="987"/>
      <c r="I714" s="987"/>
      <c r="J714" s="987"/>
      <c r="K714" s="987"/>
      <c r="L714" s="987"/>
      <c r="M714" s="987"/>
      <c r="N714" s="987"/>
      <c r="O714" s="987"/>
      <c r="P714" s="987"/>
      <c r="Q714" s="987"/>
      <c r="R714" s="987"/>
      <c r="S714" s="987"/>
      <c r="T714" s="987"/>
      <c r="U714" s="987"/>
      <c r="V714" s="987"/>
      <c r="W714" s="987"/>
      <c r="X714" s="987"/>
      <c r="Y714" s="987"/>
      <c r="Z714" s="987"/>
    </row>
    <row r="715">
      <c r="A715" s="987"/>
      <c r="B715" s="987"/>
      <c r="C715" s="987"/>
      <c r="D715" s="987"/>
      <c r="E715" s="987"/>
      <c r="F715" s="987"/>
      <c r="G715" s="987"/>
      <c r="H715" s="987"/>
      <c r="I715" s="987"/>
      <c r="J715" s="987"/>
      <c r="K715" s="987"/>
      <c r="L715" s="987"/>
      <c r="M715" s="987"/>
      <c r="N715" s="987"/>
      <c r="O715" s="987"/>
      <c r="P715" s="987"/>
      <c r="Q715" s="987"/>
      <c r="R715" s="987"/>
      <c r="S715" s="987"/>
      <c r="T715" s="987"/>
      <c r="U715" s="987"/>
      <c r="V715" s="987"/>
      <c r="W715" s="987"/>
      <c r="X715" s="987"/>
      <c r="Y715" s="987"/>
      <c r="Z715" s="987"/>
    </row>
    <row r="716">
      <c r="A716" s="987"/>
      <c r="B716" s="987"/>
      <c r="C716" s="987"/>
      <c r="D716" s="987"/>
      <c r="E716" s="987"/>
      <c r="F716" s="987"/>
      <c r="G716" s="987"/>
      <c r="H716" s="987"/>
      <c r="I716" s="987"/>
      <c r="J716" s="987"/>
      <c r="K716" s="987"/>
      <c r="L716" s="987"/>
      <c r="M716" s="987"/>
      <c r="N716" s="987"/>
      <c r="O716" s="987"/>
      <c r="P716" s="987"/>
      <c r="Q716" s="987"/>
      <c r="R716" s="987"/>
      <c r="S716" s="987"/>
      <c r="T716" s="987"/>
      <c r="U716" s="987"/>
      <c r="V716" s="987"/>
      <c r="W716" s="987"/>
      <c r="X716" s="987"/>
      <c r="Y716" s="987"/>
      <c r="Z716" s="987"/>
    </row>
    <row r="717">
      <c r="A717" s="987"/>
      <c r="B717" s="987"/>
      <c r="C717" s="987"/>
      <c r="D717" s="987"/>
      <c r="E717" s="987"/>
      <c r="F717" s="987"/>
      <c r="G717" s="987"/>
      <c r="H717" s="987"/>
      <c r="I717" s="987"/>
      <c r="J717" s="987"/>
      <c r="K717" s="987"/>
      <c r="L717" s="987"/>
      <c r="M717" s="987"/>
      <c r="N717" s="987"/>
      <c r="O717" s="987"/>
      <c r="P717" s="987"/>
      <c r="Q717" s="987"/>
      <c r="R717" s="987"/>
      <c r="S717" s="987"/>
      <c r="T717" s="987"/>
      <c r="U717" s="987"/>
      <c r="V717" s="987"/>
      <c r="W717" s="987"/>
      <c r="X717" s="987"/>
      <c r="Y717" s="987"/>
      <c r="Z717" s="987"/>
    </row>
    <row r="718">
      <c r="A718" s="987"/>
      <c r="B718" s="987"/>
      <c r="C718" s="987"/>
      <c r="D718" s="987"/>
      <c r="E718" s="987"/>
      <c r="F718" s="987"/>
      <c r="G718" s="987"/>
      <c r="H718" s="987"/>
      <c r="I718" s="987"/>
      <c r="J718" s="987"/>
      <c r="K718" s="987"/>
      <c r="L718" s="987"/>
      <c r="M718" s="987"/>
      <c r="N718" s="987"/>
      <c r="O718" s="987"/>
      <c r="P718" s="987"/>
      <c r="Q718" s="987"/>
      <c r="R718" s="987"/>
      <c r="S718" s="987"/>
      <c r="T718" s="987"/>
      <c r="U718" s="987"/>
      <c r="V718" s="987"/>
      <c r="W718" s="987"/>
      <c r="X718" s="987"/>
      <c r="Y718" s="987"/>
      <c r="Z718" s="987"/>
    </row>
    <row r="719">
      <c r="A719" s="987"/>
      <c r="B719" s="987"/>
      <c r="C719" s="987"/>
      <c r="D719" s="987"/>
      <c r="E719" s="987"/>
      <c r="F719" s="987"/>
      <c r="G719" s="987"/>
      <c r="H719" s="987"/>
      <c r="I719" s="987"/>
      <c r="J719" s="987"/>
      <c r="K719" s="987"/>
      <c r="L719" s="987"/>
      <c r="M719" s="987"/>
      <c r="N719" s="987"/>
      <c r="O719" s="987"/>
      <c r="P719" s="987"/>
      <c r="Q719" s="987"/>
      <c r="R719" s="987"/>
      <c r="S719" s="987"/>
      <c r="T719" s="987"/>
      <c r="U719" s="987"/>
      <c r="V719" s="987"/>
      <c r="W719" s="987"/>
      <c r="X719" s="987"/>
      <c r="Y719" s="987"/>
      <c r="Z719" s="987"/>
    </row>
    <row r="720">
      <c r="A720" s="987"/>
      <c r="B720" s="987"/>
      <c r="C720" s="987"/>
      <c r="D720" s="987"/>
      <c r="E720" s="987"/>
      <c r="F720" s="987"/>
      <c r="G720" s="987"/>
      <c r="H720" s="987"/>
      <c r="I720" s="987"/>
      <c r="J720" s="987"/>
      <c r="K720" s="987"/>
      <c r="L720" s="987"/>
      <c r="M720" s="987"/>
      <c r="N720" s="987"/>
      <c r="O720" s="987"/>
      <c r="P720" s="987"/>
      <c r="Q720" s="987"/>
      <c r="R720" s="987"/>
      <c r="S720" s="987"/>
      <c r="T720" s="987"/>
      <c r="U720" s="987"/>
      <c r="V720" s="987"/>
      <c r="W720" s="987"/>
      <c r="X720" s="987"/>
      <c r="Y720" s="987"/>
      <c r="Z720" s="987"/>
    </row>
    <row r="721">
      <c r="A721" s="987"/>
      <c r="B721" s="987"/>
      <c r="C721" s="987"/>
      <c r="D721" s="987"/>
      <c r="E721" s="987"/>
      <c r="F721" s="987"/>
      <c r="G721" s="987"/>
      <c r="H721" s="987"/>
      <c r="I721" s="987"/>
      <c r="J721" s="987"/>
      <c r="K721" s="987"/>
      <c r="L721" s="987"/>
      <c r="M721" s="987"/>
      <c r="N721" s="987"/>
      <c r="O721" s="987"/>
      <c r="P721" s="987"/>
      <c r="Q721" s="987"/>
      <c r="R721" s="987"/>
      <c r="S721" s="987"/>
      <c r="T721" s="987"/>
      <c r="U721" s="987"/>
      <c r="V721" s="987"/>
      <c r="W721" s="987"/>
      <c r="X721" s="987"/>
      <c r="Y721" s="987"/>
      <c r="Z721" s="987"/>
    </row>
    <row r="722">
      <c r="A722" s="987"/>
      <c r="B722" s="987"/>
      <c r="C722" s="987"/>
      <c r="D722" s="987"/>
      <c r="E722" s="987"/>
      <c r="F722" s="987"/>
      <c r="G722" s="987"/>
      <c r="H722" s="987"/>
      <c r="I722" s="987"/>
      <c r="J722" s="987"/>
      <c r="K722" s="987"/>
      <c r="L722" s="987"/>
      <c r="M722" s="987"/>
      <c r="N722" s="987"/>
      <c r="O722" s="987"/>
      <c r="P722" s="987"/>
      <c r="Q722" s="987"/>
      <c r="R722" s="987"/>
      <c r="S722" s="987"/>
      <c r="T722" s="987"/>
      <c r="U722" s="987"/>
      <c r="V722" s="987"/>
      <c r="W722" s="987"/>
      <c r="X722" s="987"/>
      <c r="Y722" s="987"/>
      <c r="Z722" s="987"/>
    </row>
    <row r="723">
      <c r="A723" s="987"/>
      <c r="B723" s="987"/>
      <c r="C723" s="987"/>
      <c r="D723" s="987"/>
      <c r="E723" s="987"/>
      <c r="F723" s="987"/>
      <c r="G723" s="987"/>
      <c r="H723" s="987"/>
      <c r="I723" s="987"/>
      <c r="J723" s="987"/>
      <c r="K723" s="987"/>
      <c r="L723" s="987"/>
      <c r="M723" s="987"/>
      <c r="N723" s="987"/>
      <c r="O723" s="987"/>
      <c r="P723" s="987"/>
      <c r="Q723" s="987"/>
      <c r="R723" s="987"/>
      <c r="S723" s="987"/>
      <c r="T723" s="987"/>
      <c r="U723" s="987"/>
      <c r="V723" s="987"/>
      <c r="W723" s="987"/>
      <c r="X723" s="987"/>
      <c r="Y723" s="987"/>
      <c r="Z723" s="987"/>
    </row>
    <row r="724">
      <c r="A724" s="987"/>
      <c r="B724" s="987"/>
      <c r="C724" s="987"/>
      <c r="D724" s="987"/>
      <c r="E724" s="987"/>
      <c r="F724" s="987"/>
      <c r="G724" s="987"/>
      <c r="H724" s="987"/>
      <c r="I724" s="987"/>
      <c r="J724" s="987"/>
      <c r="K724" s="987"/>
      <c r="L724" s="987"/>
      <c r="M724" s="987"/>
      <c r="N724" s="987"/>
      <c r="O724" s="987"/>
      <c r="P724" s="987"/>
      <c r="Q724" s="987"/>
      <c r="R724" s="987"/>
      <c r="S724" s="987"/>
      <c r="T724" s="987"/>
      <c r="U724" s="987"/>
      <c r="V724" s="987"/>
      <c r="W724" s="987"/>
      <c r="X724" s="987"/>
      <c r="Y724" s="987"/>
      <c r="Z724" s="987"/>
    </row>
    <row r="725">
      <c r="A725" s="987"/>
      <c r="B725" s="987"/>
      <c r="C725" s="987"/>
      <c r="D725" s="987"/>
      <c r="E725" s="987"/>
      <c r="F725" s="987"/>
      <c r="G725" s="987"/>
      <c r="H725" s="987"/>
      <c r="I725" s="987"/>
      <c r="J725" s="987"/>
      <c r="K725" s="987"/>
      <c r="L725" s="987"/>
      <c r="M725" s="987"/>
      <c r="N725" s="987"/>
      <c r="O725" s="987"/>
      <c r="P725" s="987"/>
      <c r="Q725" s="987"/>
      <c r="R725" s="987"/>
      <c r="S725" s="987"/>
      <c r="T725" s="987"/>
      <c r="U725" s="987"/>
      <c r="V725" s="987"/>
      <c r="W725" s="987"/>
      <c r="X725" s="987"/>
      <c r="Y725" s="987"/>
      <c r="Z725" s="987"/>
    </row>
    <row r="726">
      <c r="A726" s="987"/>
      <c r="B726" s="987"/>
      <c r="C726" s="987"/>
      <c r="D726" s="987"/>
      <c r="E726" s="987"/>
      <c r="F726" s="987"/>
      <c r="G726" s="987"/>
      <c r="H726" s="987"/>
      <c r="I726" s="987"/>
      <c r="J726" s="987"/>
      <c r="K726" s="987"/>
      <c r="L726" s="987"/>
      <c r="M726" s="987"/>
      <c r="N726" s="987"/>
      <c r="O726" s="987"/>
      <c r="P726" s="987"/>
      <c r="Q726" s="987"/>
      <c r="R726" s="987"/>
      <c r="S726" s="987"/>
      <c r="T726" s="987"/>
      <c r="U726" s="987"/>
      <c r="V726" s="987"/>
      <c r="W726" s="987"/>
      <c r="X726" s="987"/>
      <c r="Y726" s="987"/>
      <c r="Z726" s="987"/>
    </row>
    <row r="727">
      <c r="A727" s="987"/>
      <c r="B727" s="987"/>
      <c r="C727" s="987"/>
      <c r="D727" s="987"/>
      <c r="E727" s="987"/>
      <c r="F727" s="987"/>
      <c r="G727" s="987"/>
      <c r="H727" s="987"/>
      <c r="I727" s="987"/>
      <c r="J727" s="987"/>
      <c r="K727" s="987"/>
      <c r="L727" s="987"/>
      <c r="M727" s="987"/>
      <c r="N727" s="987"/>
      <c r="O727" s="987"/>
      <c r="P727" s="987"/>
      <c r="Q727" s="987"/>
      <c r="R727" s="987"/>
      <c r="S727" s="987"/>
      <c r="T727" s="987"/>
      <c r="U727" s="987"/>
      <c r="V727" s="987"/>
      <c r="W727" s="987"/>
      <c r="X727" s="987"/>
      <c r="Y727" s="987"/>
      <c r="Z727" s="987"/>
    </row>
    <row r="728">
      <c r="A728" s="987"/>
      <c r="B728" s="987"/>
      <c r="C728" s="987"/>
      <c r="D728" s="987"/>
      <c r="E728" s="987"/>
      <c r="F728" s="987"/>
      <c r="G728" s="987"/>
      <c r="H728" s="987"/>
      <c r="I728" s="987"/>
      <c r="J728" s="987"/>
      <c r="K728" s="987"/>
      <c r="L728" s="987"/>
      <c r="M728" s="987"/>
      <c r="N728" s="987"/>
      <c r="O728" s="987"/>
      <c r="P728" s="987"/>
      <c r="Q728" s="987"/>
      <c r="R728" s="987"/>
      <c r="S728" s="987"/>
      <c r="T728" s="987"/>
      <c r="U728" s="987"/>
      <c r="V728" s="987"/>
      <c r="W728" s="987"/>
      <c r="X728" s="987"/>
      <c r="Y728" s="987"/>
      <c r="Z728" s="987"/>
    </row>
    <row r="729">
      <c r="A729" s="987"/>
      <c r="B729" s="987"/>
      <c r="C729" s="987"/>
      <c r="D729" s="987"/>
      <c r="E729" s="987"/>
      <c r="F729" s="987"/>
      <c r="G729" s="987"/>
      <c r="H729" s="987"/>
      <c r="I729" s="987"/>
      <c r="J729" s="987"/>
      <c r="K729" s="987"/>
      <c r="L729" s="987"/>
      <c r="M729" s="987"/>
      <c r="N729" s="987"/>
      <c r="O729" s="987"/>
      <c r="P729" s="987"/>
      <c r="Q729" s="987"/>
      <c r="R729" s="987"/>
      <c r="S729" s="987"/>
      <c r="T729" s="987"/>
      <c r="U729" s="987"/>
      <c r="V729" s="987"/>
      <c r="W729" s="987"/>
      <c r="X729" s="987"/>
      <c r="Y729" s="987"/>
      <c r="Z729" s="987"/>
    </row>
    <row r="730">
      <c r="A730" s="987"/>
      <c r="B730" s="987"/>
      <c r="C730" s="987"/>
      <c r="D730" s="987"/>
      <c r="E730" s="987"/>
      <c r="F730" s="987"/>
      <c r="G730" s="987"/>
      <c r="H730" s="987"/>
      <c r="I730" s="987"/>
      <c r="J730" s="987"/>
      <c r="K730" s="987"/>
      <c r="L730" s="987"/>
      <c r="M730" s="987"/>
      <c r="N730" s="987"/>
      <c r="O730" s="987"/>
      <c r="P730" s="987"/>
      <c r="Q730" s="987"/>
      <c r="R730" s="987"/>
      <c r="S730" s="987"/>
      <c r="T730" s="987"/>
      <c r="U730" s="987"/>
      <c r="V730" s="987"/>
      <c r="W730" s="987"/>
      <c r="X730" s="987"/>
      <c r="Y730" s="987"/>
      <c r="Z730" s="987"/>
    </row>
    <row r="731">
      <c r="A731" s="987"/>
      <c r="B731" s="987"/>
      <c r="C731" s="987"/>
      <c r="D731" s="987"/>
      <c r="E731" s="987"/>
      <c r="F731" s="987"/>
      <c r="G731" s="987"/>
      <c r="H731" s="987"/>
      <c r="I731" s="987"/>
      <c r="J731" s="987"/>
      <c r="K731" s="987"/>
      <c r="L731" s="987"/>
      <c r="M731" s="987"/>
      <c r="N731" s="987"/>
      <c r="O731" s="987"/>
      <c r="P731" s="987"/>
      <c r="Q731" s="987"/>
      <c r="R731" s="987"/>
      <c r="S731" s="987"/>
      <c r="T731" s="987"/>
      <c r="U731" s="987"/>
      <c r="V731" s="987"/>
      <c r="W731" s="987"/>
      <c r="X731" s="987"/>
      <c r="Y731" s="987"/>
      <c r="Z731" s="987"/>
    </row>
    <row r="732">
      <c r="A732" s="987"/>
      <c r="B732" s="987"/>
      <c r="C732" s="987"/>
      <c r="D732" s="987"/>
      <c r="E732" s="987"/>
      <c r="F732" s="987"/>
      <c r="G732" s="987"/>
      <c r="H732" s="987"/>
      <c r="I732" s="987"/>
      <c r="J732" s="987"/>
      <c r="K732" s="987"/>
      <c r="L732" s="987"/>
      <c r="M732" s="987"/>
      <c r="N732" s="987"/>
      <c r="O732" s="987"/>
      <c r="P732" s="987"/>
      <c r="Q732" s="987"/>
      <c r="R732" s="987"/>
      <c r="S732" s="987"/>
      <c r="T732" s="987"/>
      <c r="U732" s="987"/>
      <c r="V732" s="987"/>
      <c r="W732" s="987"/>
      <c r="X732" s="987"/>
      <c r="Y732" s="987"/>
      <c r="Z732" s="987"/>
    </row>
    <row r="733">
      <c r="A733" s="987"/>
      <c r="B733" s="987"/>
      <c r="C733" s="987"/>
      <c r="D733" s="987"/>
      <c r="E733" s="987"/>
      <c r="F733" s="987"/>
      <c r="G733" s="987"/>
      <c r="H733" s="987"/>
      <c r="I733" s="987"/>
      <c r="J733" s="987"/>
      <c r="K733" s="987"/>
      <c r="L733" s="987"/>
      <c r="M733" s="987"/>
      <c r="N733" s="987"/>
      <c r="O733" s="987"/>
      <c r="P733" s="987"/>
      <c r="Q733" s="987"/>
      <c r="R733" s="987"/>
      <c r="S733" s="987"/>
      <c r="T733" s="987"/>
      <c r="U733" s="987"/>
      <c r="V733" s="987"/>
      <c r="W733" s="987"/>
      <c r="X733" s="987"/>
      <c r="Y733" s="987"/>
      <c r="Z733" s="987"/>
    </row>
    <row r="734">
      <c r="A734" s="987"/>
      <c r="B734" s="987"/>
      <c r="C734" s="987"/>
      <c r="D734" s="987"/>
      <c r="E734" s="987"/>
      <c r="F734" s="987"/>
      <c r="G734" s="987"/>
      <c r="H734" s="987"/>
      <c r="I734" s="987"/>
      <c r="J734" s="987"/>
      <c r="K734" s="987"/>
      <c r="L734" s="987"/>
      <c r="M734" s="987"/>
      <c r="N734" s="987"/>
      <c r="O734" s="987"/>
      <c r="P734" s="987"/>
      <c r="Q734" s="987"/>
      <c r="R734" s="987"/>
      <c r="S734" s="987"/>
      <c r="T734" s="987"/>
      <c r="U734" s="987"/>
      <c r="V734" s="987"/>
      <c r="W734" s="987"/>
      <c r="X734" s="987"/>
      <c r="Y734" s="987"/>
      <c r="Z734" s="987"/>
    </row>
    <row r="735">
      <c r="A735" s="987"/>
      <c r="B735" s="987"/>
      <c r="C735" s="987"/>
      <c r="D735" s="987"/>
      <c r="E735" s="987"/>
      <c r="F735" s="987"/>
      <c r="G735" s="987"/>
      <c r="H735" s="987"/>
      <c r="I735" s="987"/>
      <c r="J735" s="987"/>
      <c r="K735" s="987"/>
      <c r="L735" s="987"/>
      <c r="M735" s="987"/>
      <c r="N735" s="987"/>
      <c r="O735" s="987"/>
      <c r="P735" s="987"/>
      <c r="Q735" s="987"/>
      <c r="R735" s="987"/>
      <c r="S735" s="987"/>
      <c r="T735" s="987"/>
      <c r="U735" s="987"/>
      <c r="V735" s="987"/>
      <c r="W735" s="987"/>
      <c r="X735" s="987"/>
      <c r="Y735" s="987"/>
      <c r="Z735" s="987"/>
    </row>
    <row r="736">
      <c r="A736" s="987"/>
      <c r="B736" s="987"/>
      <c r="C736" s="987"/>
      <c r="D736" s="987"/>
      <c r="E736" s="987"/>
      <c r="F736" s="987"/>
      <c r="G736" s="987"/>
      <c r="H736" s="987"/>
      <c r="I736" s="987"/>
      <c r="J736" s="987"/>
      <c r="K736" s="987"/>
      <c r="L736" s="987"/>
      <c r="M736" s="987"/>
      <c r="N736" s="987"/>
      <c r="O736" s="987"/>
      <c r="P736" s="987"/>
      <c r="Q736" s="987"/>
      <c r="R736" s="987"/>
      <c r="S736" s="987"/>
      <c r="T736" s="987"/>
      <c r="U736" s="987"/>
      <c r="V736" s="987"/>
      <c r="W736" s="987"/>
      <c r="X736" s="987"/>
      <c r="Y736" s="987"/>
      <c r="Z736" s="987"/>
    </row>
    <row r="737">
      <c r="A737" s="987"/>
      <c r="B737" s="987"/>
      <c r="C737" s="987"/>
      <c r="D737" s="987"/>
      <c r="E737" s="987"/>
      <c r="F737" s="987"/>
      <c r="G737" s="987"/>
      <c r="H737" s="987"/>
      <c r="I737" s="987"/>
      <c r="J737" s="987"/>
      <c r="K737" s="987"/>
      <c r="L737" s="987"/>
      <c r="M737" s="987"/>
      <c r="N737" s="987"/>
      <c r="O737" s="987"/>
      <c r="P737" s="987"/>
      <c r="Q737" s="987"/>
      <c r="R737" s="987"/>
      <c r="S737" s="987"/>
      <c r="T737" s="987"/>
      <c r="U737" s="987"/>
      <c r="V737" s="987"/>
      <c r="W737" s="987"/>
      <c r="X737" s="987"/>
      <c r="Y737" s="987"/>
      <c r="Z737" s="987"/>
    </row>
    <row r="738">
      <c r="A738" s="987"/>
      <c r="B738" s="987"/>
      <c r="C738" s="987"/>
      <c r="D738" s="987"/>
      <c r="E738" s="987"/>
      <c r="F738" s="987"/>
      <c r="G738" s="987"/>
      <c r="H738" s="987"/>
      <c r="I738" s="987"/>
      <c r="J738" s="987"/>
      <c r="K738" s="987"/>
      <c r="L738" s="987"/>
      <c r="M738" s="987"/>
      <c r="N738" s="987"/>
      <c r="O738" s="987"/>
      <c r="P738" s="987"/>
      <c r="Q738" s="987"/>
      <c r="R738" s="987"/>
      <c r="S738" s="987"/>
      <c r="T738" s="987"/>
      <c r="U738" s="987"/>
      <c r="V738" s="987"/>
      <c r="W738" s="987"/>
      <c r="X738" s="987"/>
      <c r="Y738" s="987"/>
      <c r="Z738" s="987"/>
    </row>
    <row r="739">
      <c r="A739" s="987"/>
      <c r="B739" s="987"/>
      <c r="C739" s="987"/>
      <c r="D739" s="987"/>
      <c r="E739" s="987"/>
      <c r="F739" s="987"/>
      <c r="G739" s="987"/>
      <c r="H739" s="987"/>
      <c r="I739" s="987"/>
      <c r="J739" s="987"/>
      <c r="K739" s="987"/>
      <c r="L739" s="987"/>
      <c r="M739" s="987"/>
      <c r="N739" s="987"/>
      <c r="O739" s="987"/>
      <c r="P739" s="987"/>
      <c r="Q739" s="987"/>
      <c r="R739" s="987"/>
      <c r="S739" s="987"/>
      <c r="T739" s="987"/>
      <c r="U739" s="987"/>
      <c r="V739" s="987"/>
      <c r="W739" s="987"/>
      <c r="X739" s="987"/>
      <c r="Y739" s="987"/>
      <c r="Z739" s="987"/>
    </row>
    <row r="740">
      <c r="A740" s="987"/>
      <c r="B740" s="987"/>
      <c r="C740" s="987"/>
      <c r="D740" s="987"/>
      <c r="E740" s="987"/>
      <c r="F740" s="987"/>
      <c r="G740" s="987"/>
      <c r="H740" s="987"/>
      <c r="I740" s="987"/>
      <c r="J740" s="987"/>
      <c r="K740" s="987"/>
      <c r="L740" s="987"/>
      <c r="M740" s="987"/>
      <c r="N740" s="987"/>
      <c r="O740" s="987"/>
      <c r="P740" s="987"/>
      <c r="Q740" s="987"/>
      <c r="R740" s="987"/>
      <c r="S740" s="987"/>
      <c r="T740" s="987"/>
      <c r="U740" s="987"/>
      <c r="V740" s="987"/>
      <c r="W740" s="987"/>
      <c r="X740" s="987"/>
      <c r="Y740" s="987"/>
      <c r="Z740" s="987"/>
    </row>
    <row r="741">
      <c r="A741" s="987"/>
      <c r="B741" s="987"/>
      <c r="C741" s="987"/>
      <c r="D741" s="987"/>
      <c r="E741" s="987"/>
      <c r="F741" s="987"/>
      <c r="G741" s="987"/>
      <c r="H741" s="987"/>
      <c r="I741" s="987"/>
      <c r="J741" s="987"/>
      <c r="K741" s="987"/>
      <c r="L741" s="987"/>
      <c r="M741" s="987"/>
      <c r="N741" s="987"/>
      <c r="O741" s="987"/>
      <c r="P741" s="987"/>
      <c r="Q741" s="987"/>
      <c r="R741" s="987"/>
      <c r="S741" s="987"/>
      <c r="T741" s="987"/>
      <c r="U741" s="987"/>
      <c r="V741" s="987"/>
      <c r="W741" s="987"/>
      <c r="X741" s="987"/>
      <c r="Y741" s="987"/>
      <c r="Z741" s="987"/>
    </row>
    <row r="742">
      <c r="A742" s="987"/>
      <c r="B742" s="987"/>
      <c r="C742" s="987"/>
      <c r="D742" s="987"/>
      <c r="E742" s="987"/>
      <c r="F742" s="987"/>
      <c r="G742" s="987"/>
      <c r="H742" s="987"/>
      <c r="I742" s="987"/>
      <c r="J742" s="987"/>
      <c r="K742" s="987"/>
      <c r="L742" s="987"/>
      <c r="M742" s="987"/>
      <c r="N742" s="987"/>
      <c r="O742" s="987"/>
      <c r="P742" s="987"/>
      <c r="Q742" s="987"/>
      <c r="R742" s="987"/>
      <c r="S742" s="987"/>
      <c r="T742" s="987"/>
      <c r="U742" s="987"/>
      <c r="V742" s="987"/>
      <c r="W742" s="987"/>
      <c r="X742" s="987"/>
      <c r="Y742" s="987"/>
      <c r="Z742" s="987"/>
    </row>
    <row r="743">
      <c r="A743" s="987"/>
      <c r="B743" s="987"/>
      <c r="C743" s="987"/>
      <c r="D743" s="987"/>
      <c r="E743" s="987"/>
      <c r="F743" s="987"/>
      <c r="G743" s="987"/>
      <c r="H743" s="987"/>
      <c r="I743" s="987"/>
      <c r="J743" s="987"/>
      <c r="K743" s="987"/>
      <c r="L743" s="987"/>
      <c r="M743" s="987"/>
      <c r="N743" s="987"/>
      <c r="O743" s="987"/>
      <c r="P743" s="987"/>
      <c r="Q743" s="987"/>
      <c r="R743" s="987"/>
      <c r="S743" s="987"/>
      <c r="T743" s="987"/>
      <c r="U743" s="987"/>
      <c r="V743" s="987"/>
      <c r="W743" s="987"/>
      <c r="X743" s="987"/>
      <c r="Y743" s="987"/>
      <c r="Z743" s="987"/>
    </row>
    <row r="744">
      <c r="A744" s="987"/>
      <c r="B744" s="987"/>
      <c r="C744" s="987"/>
      <c r="D744" s="987"/>
      <c r="E744" s="987"/>
      <c r="F744" s="987"/>
      <c r="G744" s="987"/>
      <c r="H744" s="987"/>
      <c r="I744" s="987"/>
      <c r="J744" s="987"/>
      <c r="K744" s="987"/>
      <c r="L744" s="987"/>
      <c r="M744" s="987"/>
      <c r="N744" s="987"/>
      <c r="O744" s="987"/>
      <c r="P744" s="987"/>
      <c r="Q744" s="987"/>
      <c r="R744" s="987"/>
      <c r="S744" s="987"/>
      <c r="T744" s="987"/>
      <c r="U744" s="987"/>
      <c r="V744" s="987"/>
      <c r="W744" s="987"/>
      <c r="X744" s="987"/>
      <c r="Y744" s="987"/>
      <c r="Z744" s="987"/>
    </row>
    <row r="745">
      <c r="A745" s="987"/>
      <c r="B745" s="987"/>
      <c r="C745" s="987"/>
      <c r="D745" s="987"/>
      <c r="E745" s="987"/>
      <c r="F745" s="987"/>
      <c r="G745" s="987"/>
      <c r="H745" s="987"/>
      <c r="I745" s="987"/>
      <c r="J745" s="987"/>
      <c r="K745" s="987"/>
      <c r="L745" s="987"/>
      <c r="M745" s="987"/>
      <c r="N745" s="987"/>
      <c r="O745" s="987"/>
      <c r="P745" s="987"/>
      <c r="Q745" s="987"/>
      <c r="R745" s="987"/>
      <c r="S745" s="987"/>
      <c r="T745" s="987"/>
      <c r="U745" s="987"/>
      <c r="V745" s="987"/>
      <c r="W745" s="987"/>
      <c r="X745" s="987"/>
      <c r="Y745" s="987"/>
      <c r="Z745" s="987"/>
    </row>
    <row r="746">
      <c r="A746" s="987"/>
      <c r="B746" s="987"/>
      <c r="C746" s="987"/>
      <c r="D746" s="987"/>
      <c r="E746" s="987"/>
      <c r="F746" s="987"/>
      <c r="G746" s="987"/>
      <c r="H746" s="987"/>
      <c r="I746" s="987"/>
      <c r="J746" s="987"/>
      <c r="K746" s="987"/>
      <c r="L746" s="987"/>
      <c r="M746" s="987"/>
      <c r="N746" s="987"/>
      <c r="O746" s="987"/>
      <c r="P746" s="987"/>
      <c r="Q746" s="987"/>
      <c r="R746" s="987"/>
      <c r="S746" s="987"/>
      <c r="T746" s="987"/>
      <c r="U746" s="987"/>
      <c r="V746" s="987"/>
      <c r="W746" s="987"/>
      <c r="X746" s="987"/>
      <c r="Y746" s="987"/>
      <c r="Z746" s="987"/>
    </row>
    <row r="747">
      <c r="A747" s="987"/>
      <c r="B747" s="987"/>
      <c r="C747" s="987"/>
      <c r="D747" s="987"/>
      <c r="E747" s="987"/>
      <c r="F747" s="987"/>
      <c r="G747" s="987"/>
      <c r="H747" s="987"/>
      <c r="I747" s="987"/>
      <c r="J747" s="987"/>
      <c r="K747" s="987"/>
      <c r="L747" s="987"/>
      <c r="M747" s="987"/>
      <c r="N747" s="987"/>
      <c r="O747" s="987"/>
      <c r="P747" s="987"/>
      <c r="Q747" s="987"/>
      <c r="R747" s="987"/>
      <c r="S747" s="987"/>
      <c r="T747" s="987"/>
      <c r="U747" s="987"/>
      <c r="V747" s="987"/>
      <c r="W747" s="987"/>
      <c r="X747" s="987"/>
      <c r="Y747" s="987"/>
      <c r="Z747" s="987"/>
    </row>
    <row r="748">
      <c r="A748" s="987"/>
      <c r="B748" s="987"/>
      <c r="C748" s="987"/>
      <c r="D748" s="987"/>
      <c r="E748" s="987"/>
      <c r="F748" s="987"/>
      <c r="G748" s="987"/>
      <c r="H748" s="987"/>
      <c r="I748" s="987"/>
      <c r="J748" s="987"/>
      <c r="K748" s="987"/>
      <c r="L748" s="987"/>
      <c r="M748" s="987"/>
      <c r="N748" s="987"/>
      <c r="O748" s="987"/>
      <c r="P748" s="987"/>
      <c r="Q748" s="987"/>
      <c r="R748" s="987"/>
      <c r="S748" s="987"/>
      <c r="T748" s="987"/>
      <c r="U748" s="987"/>
      <c r="V748" s="987"/>
      <c r="W748" s="987"/>
      <c r="X748" s="987"/>
      <c r="Y748" s="987"/>
      <c r="Z748" s="987"/>
    </row>
    <row r="749">
      <c r="A749" s="987"/>
      <c r="B749" s="987"/>
      <c r="C749" s="987"/>
      <c r="D749" s="987"/>
      <c r="E749" s="987"/>
      <c r="F749" s="987"/>
      <c r="G749" s="987"/>
      <c r="H749" s="987"/>
      <c r="I749" s="987"/>
      <c r="J749" s="987"/>
      <c r="K749" s="987"/>
      <c r="L749" s="987"/>
      <c r="M749" s="987"/>
      <c r="N749" s="987"/>
      <c r="O749" s="987"/>
      <c r="P749" s="987"/>
      <c r="Q749" s="987"/>
      <c r="R749" s="987"/>
      <c r="S749" s="987"/>
      <c r="T749" s="987"/>
      <c r="U749" s="987"/>
      <c r="V749" s="987"/>
      <c r="W749" s="987"/>
      <c r="X749" s="987"/>
      <c r="Y749" s="987"/>
      <c r="Z749" s="987"/>
    </row>
    <row r="750">
      <c r="A750" s="987"/>
      <c r="B750" s="987"/>
      <c r="C750" s="987"/>
      <c r="D750" s="987"/>
      <c r="E750" s="987"/>
      <c r="F750" s="987"/>
      <c r="G750" s="987"/>
      <c r="H750" s="987"/>
      <c r="I750" s="987"/>
      <c r="J750" s="987"/>
      <c r="K750" s="987"/>
      <c r="L750" s="987"/>
      <c r="M750" s="987"/>
      <c r="N750" s="987"/>
      <c r="O750" s="987"/>
      <c r="P750" s="987"/>
      <c r="Q750" s="987"/>
      <c r="R750" s="987"/>
      <c r="S750" s="987"/>
      <c r="T750" s="987"/>
      <c r="U750" s="987"/>
      <c r="V750" s="987"/>
      <c r="W750" s="987"/>
      <c r="X750" s="987"/>
      <c r="Y750" s="987"/>
      <c r="Z750" s="987"/>
    </row>
    <row r="751">
      <c r="A751" s="987"/>
      <c r="B751" s="987"/>
      <c r="C751" s="987"/>
      <c r="D751" s="987"/>
      <c r="E751" s="987"/>
      <c r="F751" s="987"/>
      <c r="G751" s="987"/>
      <c r="H751" s="987"/>
      <c r="I751" s="987"/>
      <c r="J751" s="987"/>
      <c r="K751" s="987"/>
      <c r="L751" s="987"/>
      <c r="M751" s="987"/>
      <c r="N751" s="987"/>
      <c r="O751" s="987"/>
      <c r="P751" s="987"/>
      <c r="Q751" s="987"/>
      <c r="R751" s="987"/>
      <c r="S751" s="987"/>
      <c r="T751" s="987"/>
      <c r="U751" s="987"/>
      <c r="V751" s="987"/>
      <c r="W751" s="987"/>
      <c r="X751" s="987"/>
      <c r="Y751" s="987"/>
      <c r="Z751" s="987"/>
    </row>
    <row r="752">
      <c r="A752" s="987"/>
      <c r="B752" s="987"/>
      <c r="C752" s="987"/>
      <c r="D752" s="987"/>
      <c r="E752" s="987"/>
      <c r="F752" s="987"/>
      <c r="G752" s="987"/>
      <c r="H752" s="987"/>
      <c r="I752" s="987"/>
      <c r="J752" s="987"/>
      <c r="K752" s="987"/>
      <c r="L752" s="987"/>
      <c r="M752" s="987"/>
      <c r="N752" s="987"/>
      <c r="O752" s="987"/>
      <c r="P752" s="987"/>
      <c r="Q752" s="987"/>
      <c r="R752" s="987"/>
      <c r="S752" s="987"/>
      <c r="T752" s="987"/>
      <c r="U752" s="987"/>
      <c r="V752" s="987"/>
      <c r="W752" s="987"/>
      <c r="X752" s="987"/>
      <c r="Y752" s="987"/>
      <c r="Z752" s="987"/>
    </row>
    <row r="753">
      <c r="A753" s="987"/>
      <c r="B753" s="987"/>
      <c r="C753" s="987"/>
      <c r="D753" s="987"/>
      <c r="E753" s="987"/>
      <c r="F753" s="987"/>
      <c r="G753" s="987"/>
      <c r="H753" s="987"/>
      <c r="I753" s="987"/>
      <c r="J753" s="987"/>
      <c r="K753" s="987"/>
      <c r="L753" s="987"/>
      <c r="M753" s="987"/>
      <c r="N753" s="987"/>
      <c r="O753" s="987"/>
      <c r="P753" s="987"/>
      <c r="Q753" s="987"/>
      <c r="R753" s="987"/>
      <c r="S753" s="987"/>
      <c r="T753" s="987"/>
      <c r="U753" s="987"/>
      <c r="V753" s="987"/>
      <c r="W753" s="987"/>
      <c r="X753" s="987"/>
      <c r="Y753" s="987"/>
      <c r="Z753" s="987"/>
    </row>
    <row r="754">
      <c r="A754" s="987"/>
      <c r="B754" s="987"/>
      <c r="C754" s="987"/>
      <c r="D754" s="987"/>
      <c r="E754" s="987"/>
      <c r="F754" s="987"/>
      <c r="G754" s="987"/>
      <c r="H754" s="987"/>
      <c r="I754" s="987"/>
      <c r="J754" s="987"/>
      <c r="K754" s="987"/>
      <c r="L754" s="987"/>
      <c r="M754" s="987"/>
      <c r="N754" s="987"/>
      <c r="O754" s="987"/>
      <c r="P754" s="987"/>
      <c r="Q754" s="987"/>
      <c r="R754" s="987"/>
      <c r="S754" s="987"/>
      <c r="T754" s="987"/>
      <c r="U754" s="987"/>
      <c r="V754" s="987"/>
      <c r="W754" s="987"/>
      <c r="X754" s="987"/>
      <c r="Y754" s="987"/>
      <c r="Z754" s="987"/>
    </row>
    <row r="755">
      <c r="A755" s="987"/>
      <c r="B755" s="987"/>
      <c r="C755" s="987"/>
      <c r="D755" s="987"/>
      <c r="E755" s="987"/>
      <c r="F755" s="987"/>
      <c r="G755" s="987"/>
      <c r="H755" s="987"/>
      <c r="I755" s="987"/>
      <c r="J755" s="987"/>
      <c r="K755" s="987"/>
      <c r="L755" s="987"/>
      <c r="M755" s="987"/>
      <c r="N755" s="987"/>
      <c r="O755" s="987"/>
      <c r="P755" s="987"/>
      <c r="Q755" s="987"/>
      <c r="R755" s="987"/>
      <c r="S755" s="987"/>
      <c r="T755" s="987"/>
      <c r="U755" s="987"/>
      <c r="V755" s="987"/>
      <c r="W755" s="987"/>
      <c r="X755" s="987"/>
      <c r="Y755" s="987"/>
      <c r="Z755" s="987"/>
    </row>
    <row r="756">
      <c r="A756" s="987"/>
      <c r="B756" s="987"/>
      <c r="C756" s="987"/>
      <c r="D756" s="987"/>
      <c r="E756" s="987"/>
      <c r="F756" s="987"/>
      <c r="G756" s="987"/>
      <c r="H756" s="987"/>
      <c r="I756" s="987"/>
      <c r="J756" s="987"/>
      <c r="K756" s="987"/>
      <c r="L756" s="987"/>
      <c r="M756" s="987"/>
      <c r="N756" s="987"/>
      <c r="O756" s="987"/>
      <c r="P756" s="987"/>
      <c r="Q756" s="987"/>
      <c r="R756" s="987"/>
      <c r="S756" s="987"/>
      <c r="T756" s="987"/>
      <c r="U756" s="987"/>
      <c r="V756" s="987"/>
      <c r="W756" s="987"/>
      <c r="X756" s="987"/>
      <c r="Y756" s="987"/>
      <c r="Z756" s="987"/>
    </row>
    <row r="757">
      <c r="A757" s="987"/>
      <c r="B757" s="987"/>
      <c r="C757" s="987"/>
      <c r="D757" s="987"/>
      <c r="E757" s="987"/>
      <c r="F757" s="987"/>
      <c r="G757" s="987"/>
      <c r="H757" s="987"/>
      <c r="I757" s="987"/>
      <c r="J757" s="987"/>
      <c r="K757" s="987"/>
      <c r="L757" s="987"/>
      <c r="M757" s="987"/>
      <c r="N757" s="987"/>
      <c r="O757" s="987"/>
      <c r="P757" s="987"/>
      <c r="Q757" s="987"/>
      <c r="R757" s="987"/>
      <c r="S757" s="987"/>
      <c r="T757" s="987"/>
      <c r="U757" s="987"/>
      <c r="V757" s="987"/>
      <c r="W757" s="987"/>
      <c r="X757" s="987"/>
      <c r="Y757" s="987"/>
      <c r="Z757" s="987"/>
    </row>
    <row r="758">
      <c r="A758" s="987"/>
      <c r="B758" s="987"/>
      <c r="C758" s="987"/>
      <c r="D758" s="987"/>
      <c r="E758" s="987"/>
      <c r="F758" s="987"/>
      <c r="G758" s="987"/>
      <c r="H758" s="987"/>
      <c r="I758" s="987"/>
      <c r="J758" s="987"/>
      <c r="K758" s="987"/>
      <c r="L758" s="987"/>
      <c r="M758" s="987"/>
      <c r="N758" s="987"/>
      <c r="O758" s="987"/>
      <c r="P758" s="987"/>
      <c r="Q758" s="987"/>
      <c r="R758" s="987"/>
      <c r="S758" s="987"/>
      <c r="T758" s="987"/>
      <c r="U758" s="987"/>
      <c r="V758" s="987"/>
      <c r="W758" s="987"/>
      <c r="X758" s="987"/>
      <c r="Y758" s="987"/>
      <c r="Z758" s="987"/>
    </row>
    <row r="759">
      <c r="A759" s="987"/>
      <c r="B759" s="987"/>
      <c r="C759" s="987"/>
      <c r="D759" s="987"/>
      <c r="E759" s="987"/>
      <c r="F759" s="987"/>
      <c r="G759" s="987"/>
      <c r="H759" s="987"/>
      <c r="I759" s="987"/>
      <c r="J759" s="987"/>
      <c r="K759" s="987"/>
      <c r="L759" s="987"/>
      <c r="M759" s="987"/>
      <c r="N759" s="987"/>
      <c r="O759" s="987"/>
      <c r="P759" s="987"/>
      <c r="Q759" s="987"/>
      <c r="R759" s="987"/>
      <c r="S759" s="987"/>
      <c r="T759" s="987"/>
      <c r="U759" s="987"/>
      <c r="V759" s="987"/>
      <c r="W759" s="987"/>
      <c r="X759" s="987"/>
      <c r="Y759" s="987"/>
      <c r="Z759" s="987"/>
    </row>
    <row r="760">
      <c r="A760" s="987"/>
      <c r="B760" s="987"/>
      <c r="C760" s="987"/>
      <c r="D760" s="987"/>
      <c r="E760" s="987"/>
      <c r="F760" s="987"/>
      <c r="G760" s="987"/>
      <c r="H760" s="987"/>
      <c r="I760" s="987"/>
      <c r="J760" s="987"/>
      <c r="K760" s="987"/>
      <c r="L760" s="987"/>
      <c r="M760" s="987"/>
      <c r="N760" s="987"/>
      <c r="O760" s="987"/>
      <c r="P760" s="987"/>
      <c r="Q760" s="987"/>
      <c r="R760" s="987"/>
      <c r="S760" s="987"/>
      <c r="T760" s="987"/>
      <c r="U760" s="987"/>
      <c r="V760" s="987"/>
      <c r="W760" s="987"/>
      <c r="X760" s="987"/>
      <c r="Y760" s="987"/>
      <c r="Z760" s="987"/>
    </row>
    <row r="761">
      <c r="A761" s="987"/>
      <c r="B761" s="987"/>
      <c r="C761" s="987"/>
      <c r="D761" s="987"/>
      <c r="E761" s="987"/>
      <c r="F761" s="987"/>
      <c r="G761" s="987"/>
      <c r="H761" s="987"/>
      <c r="I761" s="987"/>
      <c r="J761" s="987"/>
      <c r="K761" s="987"/>
      <c r="L761" s="987"/>
      <c r="M761" s="987"/>
      <c r="N761" s="987"/>
      <c r="O761" s="987"/>
      <c r="P761" s="987"/>
      <c r="Q761" s="987"/>
      <c r="R761" s="987"/>
      <c r="S761" s="987"/>
      <c r="T761" s="987"/>
      <c r="U761" s="987"/>
      <c r="V761" s="987"/>
      <c r="W761" s="987"/>
      <c r="X761" s="987"/>
      <c r="Y761" s="987"/>
      <c r="Z761" s="987"/>
    </row>
    <row r="762">
      <c r="A762" s="987"/>
      <c r="B762" s="987"/>
      <c r="C762" s="987"/>
      <c r="D762" s="987"/>
      <c r="E762" s="987"/>
      <c r="F762" s="987"/>
      <c r="G762" s="987"/>
      <c r="H762" s="987"/>
      <c r="I762" s="987"/>
      <c r="J762" s="987"/>
      <c r="K762" s="987"/>
      <c r="L762" s="987"/>
      <c r="M762" s="987"/>
      <c r="N762" s="987"/>
      <c r="O762" s="987"/>
      <c r="P762" s="987"/>
      <c r="Q762" s="987"/>
      <c r="R762" s="987"/>
      <c r="S762" s="987"/>
      <c r="T762" s="987"/>
      <c r="U762" s="987"/>
      <c r="V762" s="987"/>
      <c r="W762" s="987"/>
      <c r="X762" s="987"/>
      <c r="Y762" s="987"/>
      <c r="Z762" s="987"/>
    </row>
    <row r="763">
      <c r="A763" s="987"/>
      <c r="B763" s="987"/>
      <c r="C763" s="987"/>
      <c r="D763" s="987"/>
      <c r="E763" s="987"/>
      <c r="F763" s="987"/>
      <c r="G763" s="987"/>
      <c r="H763" s="987"/>
      <c r="I763" s="987"/>
      <c r="J763" s="987"/>
      <c r="K763" s="987"/>
      <c r="L763" s="987"/>
      <c r="M763" s="987"/>
      <c r="N763" s="987"/>
      <c r="O763" s="987"/>
      <c r="P763" s="987"/>
      <c r="Q763" s="987"/>
      <c r="R763" s="987"/>
      <c r="S763" s="987"/>
      <c r="T763" s="987"/>
      <c r="U763" s="987"/>
      <c r="V763" s="987"/>
      <c r="W763" s="987"/>
      <c r="X763" s="987"/>
      <c r="Y763" s="987"/>
      <c r="Z763" s="987"/>
    </row>
    <row r="764">
      <c r="A764" s="987"/>
      <c r="B764" s="987"/>
      <c r="C764" s="987"/>
      <c r="D764" s="987"/>
      <c r="E764" s="987"/>
      <c r="F764" s="987"/>
      <c r="G764" s="987"/>
      <c r="H764" s="987"/>
      <c r="I764" s="987"/>
      <c r="J764" s="987"/>
      <c r="K764" s="987"/>
      <c r="L764" s="987"/>
      <c r="M764" s="987"/>
      <c r="N764" s="987"/>
      <c r="O764" s="987"/>
      <c r="P764" s="987"/>
      <c r="Q764" s="987"/>
      <c r="R764" s="987"/>
      <c r="S764" s="987"/>
      <c r="T764" s="987"/>
      <c r="U764" s="987"/>
      <c r="V764" s="987"/>
      <c r="W764" s="987"/>
      <c r="X764" s="987"/>
      <c r="Y764" s="987"/>
      <c r="Z764" s="987"/>
    </row>
    <row r="765">
      <c r="A765" s="987"/>
      <c r="B765" s="987"/>
      <c r="C765" s="987"/>
      <c r="D765" s="987"/>
      <c r="E765" s="987"/>
      <c r="F765" s="987"/>
      <c r="G765" s="987"/>
      <c r="H765" s="987"/>
      <c r="I765" s="987"/>
      <c r="J765" s="987"/>
      <c r="K765" s="987"/>
      <c r="L765" s="987"/>
      <c r="M765" s="987"/>
      <c r="N765" s="987"/>
      <c r="O765" s="987"/>
      <c r="P765" s="987"/>
      <c r="Q765" s="987"/>
      <c r="R765" s="987"/>
      <c r="S765" s="987"/>
      <c r="T765" s="987"/>
      <c r="U765" s="987"/>
      <c r="V765" s="987"/>
      <c r="W765" s="987"/>
      <c r="X765" s="987"/>
      <c r="Y765" s="987"/>
      <c r="Z765" s="987"/>
    </row>
    <row r="766">
      <c r="A766" s="987"/>
      <c r="B766" s="987"/>
      <c r="C766" s="987"/>
      <c r="D766" s="987"/>
      <c r="E766" s="987"/>
      <c r="F766" s="987"/>
      <c r="G766" s="987"/>
      <c r="H766" s="987"/>
      <c r="I766" s="987"/>
      <c r="J766" s="987"/>
      <c r="K766" s="987"/>
      <c r="L766" s="987"/>
      <c r="M766" s="987"/>
      <c r="N766" s="987"/>
      <c r="O766" s="987"/>
      <c r="P766" s="987"/>
      <c r="Q766" s="987"/>
      <c r="R766" s="987"/>
      <c r="S766" s="987"/>
      <c r="T766" s="987"/>
      <c r="U766" s="987"/>
      <c r="V766" s="987"/>
      <c r="W766" s="987"/>
      <c r="X766" s="987"/>
      <c r="Y766" s="987"/>
      <c r="Z766" s="987"/>
    </row>
    <row r="767">
      <c r="A767" s="987"/>
      <c r="B767" s="987"/>
      <c r="C767" s="987"/>
      <c r="D767" s="987"/>
      <c r="E767" s="987"/>
      <c r="F767" s="987"/>
      <c r="G767" s="987"/>
      <c r="H767" s="987"/>
      <c r="I767" s="987"/>
      <c r="J767" s="987"/>
      <c r="K767" s="987"/>
      <c r="L767" s="987"/>
      <c r="M767" s="987"/>
      <c r="N767" s="987"/>
      <c r="O767" s="987"/>
      <c r="P767" s="987"/>
      <c r="Q767" s="987"/>
      <c r="R767" s="987"/>
      <c r="S767" s="987"/>
      <c r="T767" s="987"/>
      <c r="U767" s="987"/>
      <c r="V767" s="987"/>
      <c r="W767" s="987"/>
      <c r="X767" s="987"/>
      <c r="Y767" s="987"/>
      <c r="Z767" s="987"/>
    </row>
    <row r="768">
      <c r="A768" s="987"/>
      <c r="B768" s="987"/>
      <c r="C768" s="987"/>
      <c r="D768" s="987"/>
      <c r="E768" s="987"/>
      <c r="F768" s="987"/>
      <c r="G768" s="987"/>
      <c r="H768" s="987"/>
      <c r="I768" s="987"/>
      <c r="J768" s="987"/>
      <c r="K768" s="987"/>
      <c r="L768" s="987"/>
      <c r="M768" s="987"/>
      <c r="N768" s="987"/>
      <c r="O768" s="987"/>
      <c r="P768" s="987"/>
      <c r="Q768" s="987"/>
      <c r="R768" s="987"/>
      <c r="S768" s="987"/>
      <c r="T768" s="987"/>
      <c r="U768" s="987"/>
      <c r="V768" s="987"/>
      <c r="W768" s="987"/>
      <c r="X768" s="987"/>
      <c r="Y768" s="987"/>
      <c r="Z768" s="987"/>
    </row>
    <row r="769">
      <c r="A769" s="987"/>
      <c r="B769" s="987"/>
      <c r="C769" s="987"/>
      <c r="D769" s="987"/>
      <c r="E769" s="987"/>
      <c r="F769" s="987"/>
      <c r="G769" s="987"/>
      <c r="H769" s="987"/>
      <c r="I769" s="987"/>
      <c r="J769" s="987"/>
      <c r="K769" s="987"/>
      <c r="L769" s="987"/>
      <c r="M769" s="987"/>
      <c r="N769" s="987"/>
      <c r="O769" s="987"/>
      <c r="P769" s="987"/>
      <c r="Q769" s="987"/>
      <c r="R769" s="987"/>
      <c r="S769" s="987"/>
      <c r="T769" s="987"/>
      <c r="U769" s="987"/>
      <c r="V769" s="987"/>
      <c r="W769" s="987"/>
      <c r="X769" s="987"/>
      <c r="Y769" s="987"/>
      <c r="Z769" s="987"/>
    </row>
    <row r="770">
      <c r="A770" s="987"/>
      <c r="B770" s="987"/>
      <c r="C770" s="987"/>
      <c r="D770" s="987"/>
      <c r="E770" s="987"/>
      <c r="F770" s="987"/>
      <c r="G770" s="987"/>
      <c r="H770" s="987"/>
      <c r="I770" s="987"/>
      <c r="J770" s="987"/>
      <c r="K770" s="987"/>
      <c r="L770" s="987"/>
      <c r="M770" s="987"/>
      <c r="N770" s="987"/>
      <c r="O770" s="987"/>
      <c r="P770" s="987"/>
      <c r="Q770" s="987"/>
      <c r="R770" s="987"/>
      <c r="S770" s="987"/>
      <c r="T770" s="987"/>
      <c r="U770" s="987"/>
      <c r="V770" s="987"/>
      <c r="W770" s="987"/>
      <c r="X770" s="987"/>
      <c r="Y770" s="987"/>
      <c r="Z770" s="987"/>
    </row>
    <row r="771">
      <c r="A771" s="987"/>
      <c r="B771" s="987"/>
      <c r="C771" s="987"/>
      <c r="D771" s="987"/>
      <c r="E771" s="987"/>
      <c r="F771" s="987"/>
      <c r="G771" s="987"/>
      <c r="H771" s="987"/>
      <c r="I771" s="987"/>
      <c r="J771" s="987"/>
      <c r="K771" s="987"/>
      <c r="L771" s="987"/>
      <c r="M771" s="987"/>
      <c r="N771" s="987"/>
      <c r="O771" s="987"/>
      <c r="P771" s="987"/>
      <c r="Q771" s="987"/>
      <c r="R771" s="987"/>
      <c r="S771" s="987"/>
      <c r="T771" s="987"/>
      <c r="U771" s="987"/>
      <c r="V771" s="987"/>
      <c r="W771" s="987"/>
      <c r="X771" s="987"/>
      <c r="Y771" s="987"/>
      <c r="Z771" s="987"/>
    </row>
    <row r="772">
      <c r="A772" s="987"/>
      <c r="B772" s="987"/>
      <c r="C772" s="987"/>
      <c r="D772" s="987"/>
      <c r="E772" s="987"/>
      <c r="F772" s="987"/>
      <c r="G772" s="987"/>
      <c r="H772" s="987"/>
      <c r="I772" s="987"/>
      <c r="J772" s="987"/>
      <c r="K772" s="987"/>
      <c r="L772" s="987"/>
      <c r="M772" s="987"/>
      <c r="N772" s="987"/>
      <c r="O772" s="987"/>
      <c r="P772" s="987"/>
      <c r="Q772" s="987"/>
      <c r="R772" s="987"/>
      <c r="S772" s="987"/>
      <c r="T772" s="987"/>
      <c r="U772" s="987"/>
      <c r="V772" s="987"/>
      <c r="W772" s="987"/>
      <c r="X772" s="987"/>
      <c r="Y772" s="987"/>
      <c r="Z772" s="987"/>
    </row>
    <row r="773">
      <c r="A773" s="987"/>
      <c r="B773" s="987"/>
      <c r="C773" s="987"/>
      <c r="D773" s="987"/>
      <c r="E773" s="987"/>
      <c r="F773" s="987"/>
      <c r="G773" s="987"/>
      <c r="H773" s="987"/>
      <c r="I773" s="987"/>
      <c r="J773" s="987"/>
      <c r="K773" s="987"/>
      <c r="L773" s="987"/>
      <c r="M773" s="987"/>
      <c r="N773" s="987"/>
      <c r="O773" s="987"/>
      <c r="P773" s="987"/>
      <c r="Q773" s="987"/>
      <c r="R773" s="987"/>
      <c r="S773" s="987"/>
      <c r="T773" s="987"/>
      <c r="U773" s="987"/>
      <c r="V773" s="987"/>
      <c r="W773" s="987"/>
      <c r="X773" s="987"/>
      <c r="Y773" s="987"/>
      <c r="Z773" s="987"/>
    </row>
    <row r="774">
      <c r="A774" s="987"/>
      <c r="B774" s="987"/>
      <c r="C774" s="987"/>
      <c r="D774" s="987"/>
      <c r="E774" s="987"/>
      <c r="F774" s="987"/>
      <c r="G774" s="987"/>
      <c r="H774" s="987"/>
      <c r="I774" s="987"/>
      <c r="J774" s="987"/>
      <c r="K774" s="987"/>
      <c r="L774" s="987"/>
      <c r="M774" s="987"/>
      <c r="N774" s="987"/>
      <c r="O774" s="987"/>
      <c r="P774" s="987"/>
      <c r="Q774" s="987"/>
      <c r="R774" s="987"/>
      <c r="S774" s="987"/>
      <c r="T774" s="987"/>
      <c r="U774" s="987"/>
      <c r="V774" s="987"/>
      <c r="W774" s="987"/>
      <c r="X774" s="987"/>
      <c r="Y774" s="987"/>
      <c r="Z774" s="987"/>
    </row>
    <row r="775">
      <c r="A775" s="987"/>
      <c r="B775" s="987"/>
      <c r="C775" s="987"/>
      <c r="D775" s="987"/>
      <c r="E775" s="987"/>
      <c r="F775" s="987"/>
      <c r="G775" s="987"/>
      <c r="H775" s="987"/>
      <c r="I775" s="987"/>
      <c r="J775" s="987"/>
      <c r="K775" s="987"/>
      <c r="L775" s="987"/>
      <c r="M775" s="987"/>
      <c r="N775" s="987"/>
      <c r="O775" s="987"/>
      <c r="P775" s="987"/>
      <c r="Q775" s="987"/>
      <c r="R775" s="987"/>
      <c r="S775" s="987"/>
      <c r="T775" s="987"/>
      <c r="U775" s="987"/>
      <c r="V775" s="987"/>
      <c r="W775" s="987"/>
      <c r="X775" s="987"/>
      <c r="Y775" s="987"/>
      <c r="Z775" s="987"/>
    </row>
    <row r="776">
      <c r="A776" s="987"/>
      <c r="B776" s="987"/>
      <c r="C776" s="987"/>
      <c r="D776" s="987"/>
      <c r="E776" s="987"/>
      <c r="F776" s="987"/>
      <c r="G776" s="987"/>
      <c r="H776" s="987"/>
      <c r="I776" s="987"/>
      <c r="J776" s="987"/>
      <c r="K776" s="987"/>
      <c r="L776" s="987"/>
      <c r="M776" s="987"/>
      <c r="N776" s="987"/>
      <c r="O776" s="987"/>
      <c r="P776" s="987"/>
      <c r="Q776" s="987"/>
      <c r="R776" s="987"/>
      <c r="S776" s="987"/>
      <c r="T776" s="987"/>
      <c r="U776" s="987"/>
      <c r="V776" s="987"/>
      <c r="W776" s="987"/>
      <c r="X776" s="987"/>
      <c r="Y776" s="987"/>
      <c r="Z776" s="987"/>
    </row>
    <row r="777">
      <c r="A777" s="987"/>
      <c r="B777" s="987"/>
      <c r="C777" s="987"/>
      <c r="D777" s="987"/>
      <c r="E777" s="987"/>
      <c r="F777" s="987"/>
      <c r="G777" s="987"/>
      <c r="H777" s="987"/>
      <c r="I777" s="987"/>
      <c r="J777" s="987"/>
      <c r="K777" s="987"/>
      <c r="L777" s="987"/>
      <c r="M777" s="987"/>
      <c r="N777" s="987"/>
      <c r="O777" s="987"/>
      <c r="P777" s="987"/>
      <c r="Q777" s="987"/>
      <c r="R777" s="987"/>
      <c r="S777" s="987"/>
      <c r="T777" s="987"/>
      <c r="U777" s="987"/>
      <c r="V777" s="987"/>
      <c r="W777" s="987"/>
      <c r="X777" s="987"/>
      <c r="Y777" s="987"/>
      <c r="Z777" s="987"/>
    </row>
    <row r="778">
      <c r="A778" s="987"/>
      <c r="B778" s="987"/>
      <c r="C778" s="987"/>
      <c r="D778" s="987"/>
      <c r="E778" s="987"/>
      <c r="F778" s="987"/>
      <c r="G778" s="987"/>
      <c r="H778" s="987"/>
      <c r="I778" s="987"/>
      <c r="J778" s="987"/>
      <c r="K778" s="987"/>
      <c r="L778" s="987"/>
      <c r="M778" s="987"/>
      <c r="N778" s="987"/>
      <c r="O778" s="987"/>
      <c r="P778" s="987"/>
      <c r="Q778" s="987"/>
      <c r="R778" s="987"/>
      <c r="S778" s="987"/>
      <c r="T778" s="987"/>
      <c r="U778" s="987"/>
      <c r="V778" s="987"/>
      <c r="W778" s="987"/>
      <c r="X778" s="987"/>
      <c r="Y778" s="987"/>
      <c r="Z778" s="987"/>
    </row>
    <row r="779">
      <c r="A779" s="987"/>
      <c r="B779" s="987"/>
      <c r="C779" s="987"/>
      <c r="D779" s="987"/>
      <c r="E779" s="987"/>
      <c r="F779" s="987"/>
      <c r="G779" s="987"/>
      <c r="H779" s="987"/>
      <c r="I779" s="987"/>
      <c r="J779" s="987"/>
      <c r="K779" s="987"/>
      <c r="L779" s="987"/>
      <c r="M779" s="987"/>
      <c r="N779" s="987"/>
      <c r="O779" s="987"/>
      <c r="P779" s="987"/>
      <c r="Q779" s="987"/>
      <c r="R779" s="987"/>
      <c r="S779" s="987"/>
      <c r="T779" s="987"/>
      <c r="U779" s="987"/>
      <c r="V779" s="987"/>
      <c r="W779" s="987"/>
      <c r="X779" s="987"/>
      <c r="Y779" s="987"/>
      <c r="Z779" s="987"/>
    </row>
    <row r="780">
      <c r="A780" s="987"/>
      <c r="B780" s="987"/>
      <c r="C780" s="987"/>
      <c r="D780" s="987"/>
      <c r="E780" s="987"/>
      <c r="F780" s="987"/>
      <c r="G780" s="987"/>
      <c r="H780" s="987"/>
      <c r="I780" s="987"/>
      <c r="J780" s="987"/>
      <c r="K780" s="987"/>
      <c r="L780" s="987"/>
      <c r="M780" s="987"/>
      <c r="N780" s="987"/>
      <c r="O780" s="987"/>
      <c r="P780" s="987"/>
      <c r="Q780" s="987"/>
      <c r="R780" s="987"/>
      <c r="S780" s="987"/>
      <c r="T780" s="987"/>
      <c r="U780" s="987"/>
      <c r="V780" s="987"/>
      <c r="W780" s="987"/>
      <c r="X780" s="987"/>
      <c r="Y780" s="987"/>
      <c r="Z780" s="987"/>
    </row>
    <row r="781">
      <c r="A781" s="987"/>
      <c r="B781" s="987"/>
      <c r="C781" s="987"/>
      <c r="D781" s="987"/>
      <c r="E781" s="987"/>
      <c r="F781" s="987"/>
      <c r="G781" s="987"/>
      <c r="H781" s="987"/>
      <c r="I781" s="987"/>
      <c r="J781" s="987"/>
      <c r="K781" s="987"/>
      <c r="L781" s="987"/>
      <c r="M781" s="987"/>
      <c r="N781" s="987"/>
      <c r="O781" s="987"/>
      <c r="P781" s="987"/>
      <c r="Q781" s="987"/>
      <c r="R781" s="987"/>
      <c r="S781" s="987"/>
      <c r="T781" s="987"/>
      <c r="U781" s="987"/>
      <c r="V781" s="987"/>
      <c r="W781" s="987"/>
      <c r="X781" s="987"/>
      <c r="Y781" s="987"/>
      <c r="Z781" s="987"/>
    </row>
    <row r="782">
      <c r="A782" s="987"/>
      <c r="B782" s="987"/>
      <c r="C782" s="987"/>
      <c r="D782" s="987"/>
      <c r="E782" s="987"/>
      <c r="F782" s="987"/>
      <c r="G782" s="987"/>
      <c r="H782" s="987"/>
      <c r="I782" s="987"/>
      <c r="J782" s="987"/>
      <c r="K782" s="987"/>
      <c r="L782" s="987"/>
      <c r="M782" s="987"/>
      <c r="N782" s="987"/>
      <c r="O782" s="987"/>
      <c r="P782" s="987"/>
      <c r="Q782" s="987"/>
      <c r="R782" s="987"/>
      <c r="S782" s="987"/>
      <c r="T782" s="987"/>
      <c r="U782" s="987"/>
      <c r="V782" s="987"/>
      <c r="W782" s="987"/>
      <c r="X782" s="987"/>
      <c r="Y782" s="987"/>
      <c r="Z782" s="987"/>
    </row>
    <row r="783">
      <c r="A783" s="987"/>
      <c r="B783" s="987"/>
      <c r="C783" s="987"/>
      <c r="D783" s="987"/>
      <c r="E783" s="987"/>
      <c r="F783" s="987"/>
      <c r="G783" s="987"/>
      <c r="H783" s="987"/>
      <c r="I783" s="987"/>
      <c r="J783" s="987"/>
      <c r="K783" s="987"/>
      <c r="L783" s="987"/>
      <c r="M783" s="987"/>
      <c r="N783" s="987"/>
      <c r="O783" s="987"/>
      <c r="P783" s="987"/>
      <c r="Q783" s="987"/>
      <c r="R783" s="987"/>
      <c r="S783" s="987"/>
      <c r="T783" s="987"/>
      <c r="U783" s="987"/>
      <c r="V783" s="987"/>
      <c r="W783" s="987"/>
      <c r="X783" s="987"/>
      <c r="Y783" s="987"/>
      <c r="Z783" s="987"/>
    </row>
    <row r="784">
      <c r="A784" s="987"/>
      <c r="B784" s="987"/>
      <c r="C784" s="987"/>
      <c r="D784" s="987"/>
      <c r="E784" s="987"/>
      <c r="F784" s="987"/>
      <c r="G784" s="987"/>
      <c r="H784" s="987"/>
      <c r="I784" s="987"/>
      <c r="J784" s="987"/>
      <c r="K784" s="987"/>
      <c r="L784" s="987"/>
      <c r="M784" s="987"/>
      <c r="N784" s="987"/>
      <c r="O784" s="987"/>
      <c r="P784" s="987"/>
      <c r="Q784" s="987"/>
      <c r="R784" s="987"/>
      <c r="S784" s="987"/>
      <c r="T784" s="987"/>
      <c r="U784" s="987"/>
      <c r="V784" s="987"/>
      <c r="W784" s="987"/>
      <c r="X784" s="987"/>
      <c r="Y784" s="987"/>
      <c r="Z784" s="987"/>
    </row>
    <row r="785">
      <c r="A785" s="987"/>
      <c r="B785" s="987"/>
      <c r="C785" s="987"/>
      <c r="D785" s="987"/>
      <c r="E785" s="987"/>
      <c r="F785" s="987"/>
      <c r="G785" s="987"/>
      <c r="H785" s="987"/>
      <c r="I785" s="987"/>
      <c r="J785" s="987"/>
      <c r="K785" s="987"/>
      <c r="L785" s="987"/>
      <c r="M785" s="987"/>
      <c r="N785" s="987"/>
      <c r="O785" s="987"/>
      <c r="P785" s="987"/>
      <c r="Q785" s="987"/>
      <c r="R785" s="987"/>
      <c r="S785" s="987"/>
      <c r="T785" s="987"/>
      <c r="U785" s="987"/>
      <c r="V785" s="987"/>
      <c r="W785" s="987"/>
      <c r="X785" s="987"/>
      <c r="Y785" s="987"/>
      <c r="Z785" s="987"/>
    </row>
    <row r="786">
      <c r="A786" s="987"/>
      <c r="B786" s="987"/>
      <c r="C786" s="987"/>
      <c r="D786" s="987"/>
      <c r="E786" s="987"/>
      <c r="F786" s="987"/>
      <c r="G786" s="987"/>
      <c r="H786" s="987"/>
      <c r="I786" s="987"/>
      <c r="J786" s="987"/>
      <c r="K786" s="987"/>
      <c r="L786" s="987"/>
      <c r="M786" s="987"/>
      <c r="N786" s="987"/>
      <c r="O786" s="987"/>
      <c r="P786" s="987"/>
      <c r="Q786" s="987"/>
      <c r="R786" s="987"/>
      <c r="S786" s="987"/>
      <c r="T786" s="987"/>
      <c r="U786" s="987"/>
      <c r="V786" s="987"/>
      <c r="W786" s="987"/>
      <c r="X786" s="987"/>
      <c r="Y786" s="987"/>
      <c r="Z786" s="987"/>
    </row>
    <row r="787">
      <c r="A787" s="987"/>
      <c r="B787" s="987"/>
      <c r="C787" s="987"/>
      <c r="D787" s="987"/>
      <c r="E787" s="987"/>
      <c r="F787" s="987"/>
      <c r="G787" s="987"/>
      <c r="H787" s="987"/>
      <c r="I787" s="987"/>
      <c r="J787" s="987"/>
      <c r="K787" s="987"/>
      <c r="L787" s="987"/>
      <c r="M787" s="987"/>
      <c r="N787" s="987"/>
      <c r="O787" s="987"/>
      <c r="P787" s="987"/>
      <c r="Q787" s="987"/>
      <c r="R787" s="987"/>
      <c r="S787" s="987"/>
      <c r="T787" s="987"/>
      <c r="U787" s="987"/>
      <c r="V787" s="987"/>
      <c r="W787" s="987"/>
      <c r="X787" s="987"/>
      <c r="Y787" s="987"/>
      <c r="Z787" s="987"/>
    </row>
    <row r="788">
      <c r="A788" s="987"/>
      <c r="B788" s="987"/>
      <c r="C788" s="987"/>
      <c r="D788" s="987"/>
      <c r="E788" s="987"/>
      <c r="F788" s="987"/>
      <c r="G788" s="987"/>
      <c r="H788" s="987"/>
      <c r="I788" s="987"/>
      <c r="J788" s="987"/>
      <c r="K788" s="987"/>
      <c r="L788" s="987"/>
      <c r="M788" s="987"/>
      <c r="N788" s="987"/>
      <c r="O788" s="987"/>
      <c r="P788" s="987"/>
      <c r="Q788" s="987"/>
      <c r="R788" s="987"/>
      <c r="S788" s="987"/>
      <c r="T788" s="987"/>
      <c r="U788" s="987"/>
      <c r="V788" s="987"/>
      <c r="W788" s="987"/>
      <c r="X788" s="987"/>
      <c r="Y788" s="987"/>
      <c r="Z788" s="987"/>
    </row>
    <row r="789">
      <c r="A789" s="987"/>
      <c r="B789" s="987"/>
      <c r="C789" s="987"/>
      <c r="D789" s="987"/>
      <c r="E789" s="987"/>
      <c r="F789" s="987"/>
      <c r="G789" s="987"/>
      <c r="H789" s="987"/>
      <c r="I789" s="987"/>
      <c r="J789" s="987"/>
      <c r="K789" s="987"/>
      <c r="L789" s="987"/>
      <c r="M789" s="987"/>
      <c r="N789" s="987"/>
      <c r="O789" s="987"/>
      <c r="P789" s="987"/>
      <c r="Q789" s="987"/>
      <c r="R789" s="987"/>
      <c r="S789" s="987"/>
      <c r="T789" s="987"/>
      <c r="U789" s="987"/>
      <c r="V789" s="987"/>
      <c r="W789" s="987"/>
      <c r="X789" s="987"/>
      <c r="Y789" s="987"/>
      <c r="Z789" s="987"/>
    </row>
    <row r="790">
      <c r="A790" s="987"/>
      <c r="B790" s="987"/>
      <c r="C790" s="987"/>
      <c r="D790" s="987"/>
      <c r="E790" s="987"/>
      <c r="F790" s="987"/>
      <c r="G790" s="987"/>
      <c r="H790" s="987"/>
      <c r="I790" s="987"/>
      <c r="J790" s="987"/>
      <c r="K790" s="987"/>
      <c r="L790" s="987"/>
      <c r="M790" s="987"/>
      <c r="N790" s="987"/>
      <c r="O790" s="987"/>
      <c r="P790" s="987"/>
      <c r="Q790" s="987"/>
      <c r="R790" s="987"/>
      <c r="S790" s="987"/>
      <c r="T790" s="987"/>
      <c r="U790" s="987"/>
      <c r="V790" s="987"/>
      <c r="W790" s="987"/>
      <c r="X790" s="987"/>
      <c r="Y790" s="987"/>
      <c r="Z790" s="987"/>
    </row>
    <row r="791">
      <c r="A791" s="987"/>
      <c r="B791" s="987"/>
      <c r="C791" s="987"/>
      <c r="D791" s="987"/>
      <c r="E791" s="987"/>
      <c r="F791" s="987"/>
      <c r="G791" s="987"/>
      <c r="H791" s="987"/>
      <c r="I791" s="987"/>
      <c r="J791" s="987"/>
      <c r="K791" s="987"/>
      <c r="L791" s="987"/>
      <c r="M791" s="987"/>
      <c r="N791" s="987"/>
      <c r="O791" s="987"/>
      <c r="P791" s="987"/>
      <c r="Q791" s="987"/>
      <c r="R791" s="987"/>
      <c r="S791" s="987"/>
      <c r="T791" s="987"/>
      <c r="U791" s="987"/>
      <c r="V791" s="987"/>
      <c r="W791" s="987"/>
      <c r="X791" s="987"/>
      <c r="Y791" s="987"/>
      <c r="Z791" s="987"/>
    </row>
    <row r="792">
      <c r="A792" s="987"/>
      <c r="B792" s="987"/>
      <c r="C792" s="987"/>
      <c r="D792" s="987"/>
      <c r="E792" s="987"/>
      <c r="F792" s="987"/>
      <c r="G792" s="987"/>
      <c r="H792" s="987"/>
      <c r="I792" s="987"/>
      <c r="J792" s="987"/>
      <c r="K792" s="987"/>
      <c r="L792" s="987"/>
      <c r="M792" s="987"/>
      <c r="N792" s="987"/>
      <c r="O792" s="987"/>
      <c r="P792" s="987"/>
      <c r="Q792" s="987"/>
      <c r="R792" s="987"/>
      <c r="S792" s="987"/>
      <c r="T792" s="987"/>
      <c r="U792" s="987"/>
      <c r="V792" s="987"/>
      <c r="W792" s="987"/>
      <c r="X792" s="987"/>
      <c r="Y792" s="987"/>
      <c r="Z792" s="987"/>
    </row>
    <row r="793">
      <c r="A793" s="987"/>
      <c r="B793" s="987"/>
      <c r="C793" s="987"/>
      <c r="D793" s="987"/>
      <c r="E793" s="987"/>
      <c r="F793" s="987"/>
      <c r="G793" s="987"/>
      <c r="H793" s="987"/>
      <c r="I793" s="987"/>
      <c r="J793" s="987"/>
      <c r="K793" s="987"/>
      <c r="L793" s="987"/>
      <c r="M793" s="987"/>
      <c r="N793" s="987"/>
      <c r="O793" s="987"/>
      <c r="P793" s="987"/>
      <c r="Q793" s="987"/>
      <c r="R793" s="987"/>
      <c r="S793" s="987"/>
      <c r="T793" s="987"/>
      <c r="U793" s="987"/>
      <c r="V793" s="987"/>
      <c r="W793" s="987"/>
      <c r="X793" s="987"/>
      <c r="Y793" s="987"/>
      <c r="Z793" s="987"/>
    </row>
    <row r="794">
      <c r="A794" s="987"/>
      <c r="B794" s="987"/>
      <c r="C794" s="987"/>
      <c r="D794" s="987"/>
      <c r="E794" s="987"/>
      <c r="F794" s="987"/>
      <c r="G794" s="987"/>
      <c r="H794" s="987"/>
      <c r="I794" s="987"/>
      <c r="J794" s="987"/>
      <c r="K794" s="987"/>
      <c r="L794" s="987"/>
      <c r="M794" s="987"/>
      <c r="N794" s="987"/>
      <c r="O794" s="987"/>
      <c r="P794" s="987"/>
      <c r="Q794" s="987"/>
      <c r="R794" s="987"/>
      <c r="S794" s="987"/>
      <c r="T794" s="987"/>
      <c r="U794" s="987"/>
      <c r="V794" s="987"/>
      <c r="W794" s="987"/>
      <c r="X794" s="987"/>
      <c r="Y794" s="987"/>
      <c r="Z794" s="987"/>
    </row>
    <row r="795">
      <c r="A795" s="987"/>
      <c r="B795" s="987"/>
      <c r="C795" s="987"/>
      <c r="D795" s="987"/>
      <c r="E795" s="987"/>
      <c r="F795" s="987"/>
      <c r="G795" s="987"/>
      <c r="H795" s="987"/>
      <c r="I795" s="987"/>
      <c r="J795" s="987"/>
      <c r="K795" s="987"/>
      <c r="L795" s="987"/>
      <c r="M795" s="987"/>
      <c r="N795" s="987"/>
      <c r="O795" s="987"/>
      <c r="P795" s="987"/>
      <c r="Q795" s="987"/>
      <c r="R795" s="987"/>
      <c r="S795" s="987"/>
      <c r="T795" s="987"/>
      <c r="U795" s="987"/>
      <c r="V795" s="987"/>
      <c r="W795" s="987"/>
      <c r="X795" s="987"/>
      <c r="Y795" s="987"/>
      <c r="Z795" s="987"/>
    </row>
    <row r="796">
      <c r="A796" s="987"/>
      <c r="B796" s="987"/>
      <c r="C796" s="987"/>
      <c r="D796" s="987"/>
      <c r="E796" s="987"/>
      <c r="F796" s="987"/>
      <c r="G796" s="987"/>
      <c r="H796" s="987"/>
      <c r="I796" s="987"/>
      <c r="J796" s="987"/>
      <c r="K796" s="987"/>
      <c r="L796" s="987"/>
      <c r="M796" s="987"/>
      <c r="N796" s="987"/>
      <c r="O796" s="987"/>
      <c r="P796" s="987"/>
      <c r="Q796" s="987"/>
      <c r="R796" s="987"/>
      <c r="S796" s="987"/>
      <c r="T796" s="987"/>
      <c r="U796" s="987"/>
      <c r="V796" s="987"/>
      <c r="W796" s="987"/>
      <c r="X796" s="987"/>
      <c r="Y796" s="987"/>
      <c r="Z796" s="987"/>
    </row>
    <row r="797">
      <c r="A797" s="987"/>
      <c r="B797" s="987"/>
      <c r="C797" s="987"/>
      <c r="D797" s="987"/>
      <c r="E797" s="987"/>
      <c r="F797" s="987"/>
      <c r="G797" s="987"/>
      <c r="H797" s="987"/>
      <c r="I797" s="987"/>
      <c r="J797" s="987"/>
      <c r="K797" s="987"/>
      <c r="L797" s="987"/>
      <c r="M797" s="987"/>
      <c r="N797" s="987"/>
      <c r="O797" s="987"/>
      <c r="P797" s="987"/>
      <c r="Q797" s="987"/>
      <c r="R797" s="987"/>
      <c r="S797" s="987"/>
      <c r="T797" s="987"/>
      <c r="U797" s="987"/>
      <c r="V797" s="987"/>
      <c r="W797" s="987"/>
      <c r="X797" s="987"/>
      <c r="Y797" s="987"/>
      <c r="Z797" s="987"/>
    </row>
    <row r="798">
      <c r="A798" s="987"/>
      <c r="B798" s="987"/>
      <c r="C798" s="987"/>
      <c r="D798" s="987"/>
      <c r="E798" s="987"/>
      <c r="F798" s="987"/>
      <c r="G798" s="987"/>
      <c r="H798" s="987"/>
      <c r="I798" s="987"/>
      <c r="J798" s="987"/>
      <c r="K798" s="987"/>
      <c r="L798" s="987"/>
      <c r="M798" s="987"/>
      <c r="N798" s="987"/>
      <c r="O798" s="987"/>
      <c r="P798" s="987"/>
      <c r="Q798" s="987"/>
      <c r="R798" s="987"/>
      <c r="S798" s="987"/>
      <c r="T798" s="987"/>
      <c r="U798" s="987"/>
      <c r="V798" s="987"/>
      <c r="W798" s="987"/>
      <c r="X798" s="987"/>
      <c r="Y798" s="987"/>
      <c r="Z798" s="987"/>
    </row>
    <row r="799">
      <c r="A799" s="987"/>
      <c r="B799" s="987"/>
      <c r="C799" s="987"/>
      <c r="D799" s="987"/>
      <c r="E799" s="987"/>
      <c r="F799" s="987"/>
      <c r="G799" s="987"/>
      <c r="H799" s="987"/>
      <c r="I799" s="987"/>
      <c r="J799" s="987"/>
      <c r="K799" s="987"/>
      <c r="L799" s="987"/>
      <c r="M799" s="987"/>
      <c r="N799" s="987"/>
      <c r="O799" s="987"/>
      <c r="P799" s="987"/>
      <c r="Q799" s="987"/>
      <c r="R799" s="987"/>
      <c r="S799" s="987"/>
      <c r="T799" s="987"/>
      <c r="U799" s="987"/>
      <c r="V799" s="987"/>
      <c r="W799" s="987"/>
      <c r="X799" s="987"/>
      <c r="Y799" s="987"/>
      <c r="Z799" s="987"/>
    </row>
    <row r="800">
      <c r="A800" s="987"/>
      <c r="B800" s="987"/>
      <c r="C800" s="987"/>
      <c r="D800" s="987"/>
      <c r="E800" s="987"/>
      <c r="F800" s="987"/>
      <c r="G800" s="987"/>
      <c r="H800" s="987"/>
      <c r="I800" s="987"/>
      <c r="J800" s="987"/>
      <c r="K800" s="987"/>
      <c r="L800" s="987"/>
      <c r="M800" s="987"/>
      <c r="N800" s="987"/>
      <c r="O800" s="987"/>
      <c r="P800" s="987"/>
      <c r="Q800" s="987"/>
      <c r="R800" s="987"/>
      <c r="S800" s="987"/>
      <c r="T800" s="987"/>
      <c r="U800" s="987"/>
      <c r="V800" s="987"/>
      <c r="W800" s="987"/>
      <c r="X800" s="987"/>
      <c r="Y800" s="987"/>
      <c r="Z800" s="987"/>
    </row>
    <row r="801">
      <c r="A801" s="987"/>
      <c r="B801" s="987"/>
      <c r="C801" s="987"/>
      <c r="D801" s="987"/>
      <c r="E801" s="987"/>
      <c r="F801" s="987"/>
      <c r="G801" s="987"/>
      <c r="H801" s="987"/>
      <c r="I801" s="987"/>
      <c r="J801" s="987"/>
      <c r="K801" s="987"/>
      <c r="L801" s="987"/>
      <c r="M801" s="987"/>
      <c r="N801" s="987"/>
      <c r="O801" s="987"/>
      <c r="P801" s="987"/>
      <c r="Q801" s="987"/>
      <c r="R801" s="987"/>
      <c r="S801" s="987"/>
      <c r="T801" s="987"/>
      <c r="U801" s="987"/>
      <c r="V801" s="987"/>
      <c r="W801" s="987"/>
      <c r="X801" s="987"/>
      <c r="Y801" s="987"/>
      <c r="Z801" s="987"/>
    </row>
    <row r="802">
      <c r="A802" s="987"/>
      <c r="B802" s="987"/>
      <c r="C802" s="987"/>
      <c r="D802" s="987"/>
      <c r="E802" s="987"/>
      <c r="F802" s="987"/>
      <c r="G802" s="987"/>
      <c r="H802" s="987"/>
      <c r="I802" s="987"/>
      <c r="J802" s="987"/>
      <c r="K802" s="987"/>
      <c r="L802" s="987"/>
      <c r="M802" s="987"/>
      <c r="N802" s="987"/>
      <c r="O802" s="987"/>
      <c r="P802" s="987"/>
      <c r="Q802" s="987"/>
      <c r="R802" s="987"/>
      <c r="S802" s="987"/>
      <c r="T802" s="987"/>
      <c r="U802" s="987"/>
      <c r="V802" s="987"/>
      <c r="W802" s="987"/>
      <c r="X802" s="987"/>
      <c r="Y802" s="987"/>
      <c r="Z802" s="987"/>
    </row>
    <row r="803">
      <c r="A803" s="987"/>
      <c r="B803" s="987"/>
      <c r="C803" s="987"/>
      <c r="D803" s="987"/>
      <c r="E803" s="987"/>
      <c r="F803" s="987"/>
      <c r="G803" s="987"/>
      <c r="H803" s="987"/>
      <c r="I803" s="987"/>
      <c r="J803" s="987"/>
      <c r="K803" s="987"/>
      <c r="L803" s="987"/>
      <c r="M803" s="987"/>
      <c r="N803" s="987"/>
      <c r="O803" s="987"/>
      <c r="P803" s="987"/>
      <c r="Q803" s="987"/>
      <c r="R803" s="987"/>
      <c r="S803" s="987"/>
      <c r="T803" s="987"/>
      <c r="U803" s="987"/>
      <c r="V803" s="987"/>
      <c r="W803" s="987"/>
      <c r="X803" s="987"/>
      <c r="Y803" s="987"/>
      <c r="Z803" s="987"/>
    </row>
    <row r="804">
      <c r="A804" s="987"/>
      <c r="B804" s="987"/>
      <c r="C804" s="987"/>
      <c r="D804" s="987"/>
      <c r="E804" s="987"/>
      <c r="F804" s="987"/>
      <c r="G804" s="987"/>
      <c r="H804" s="987"/>
      <c r="I804" s="987"/>
      <c r="J804" s="987"/>
      <c r="K804" s="987"/>
      <c r="L804" s="987"/>
      <c r="M804" s="987"/>
      <c r="N804" s="987"/>
      <c r="O804" s="987"/>
      <c r="P804" s="987"/>
      <c r="Q804" s="987"/>
      <c r="R804" s="987"/>
      <c r="S804" s="987"/>
      <c r="T804" s="987"/>
      <c r="U804" s="987"/>
      <c r="V804" s="987"/>
      <c r="W804" s="987"/>
      <c r="X804" s="987"/>
      <c r="Y804" s="987"/>
      <c r="Z804" s="987"/>
    </row>
    <row r="805">
      <c r="A805" s="987"/>
      <c r="B805" s="987"/>
      <c r="C805" s="987"/>
      <c r="D805" s="987"/>
      <c r="E805" s="987"/>
      <c r="F805" s="987"/>
      <c r="G805" s="987"/>
      <c r="H805" s="987"/>
      <c r="I805" s="987"/>
      <c r="J805" s="987"/>
      <c r="K805" s="987"/>
      <c r="L805" s="987"/>
      <c r="M805" s="987"/>
      <c r="N805" s="987"/>
      <c r="O805" s="987"/>
      <c r="P805" s="987"/>
      <c r="Q805" s="987"/>
      <c r="R805" s="987"/>
      <c r="S805" s="987"/>
      <c r="T805" s="987"/>
      <c r="U805" s="987"/>
      <c r="V805" s="987"/>
      <c r="W805" s="987"/>
      <c r="X805" s="987"/>
      <c r="Y805" s="987"/>
      <c r="Z805" s="987"/>
    </row>
    <row r="806">
      <c r="A806" s="987"/>
      <c r="B806" s="987"/>
      <c r="C806" s="987"/>
      <c r="D806" s="987"/>
      <c r="E806" s="987"/>
      <c r="F806" s="987"/>
      <c r="G806" s="987"/>
      <c r="H806" s="987"/>
      <c r="I806" s="987"/>
      <c r="J806" s="987"/>
      <c r="K806" s="987"/>
      <c r="L806" s="987"/>
      <c r="M806" s="987"/>
      <c r="N806" s="987"/>
      <c r="O806" s="987"/>
      <c r="P806" s="987"/>
      <c r="Q806" s="987"/>
      <c r="R806" s="987"/>
      <c r="S806" s="987"/>
      <c r="T806" s="987"/>
      <c r="U806" s="987"/>
      <c r="V806" s="987"/>
      <c r="W806" s="987"/>
      <c r="X806" s="987"/>
      <c r="Y806" s="987"/>
      <c r="Z806" s="987"/>
    </row>
    <row r="807">
      <c r="A807" s="987"/>
      <c r="B807" s="987"/>
      <c r="C807" s="987"/>
      <c r="D807" s="987"/>
      <c r="E807" s="987"/>
      <c r="F807" s="987"/>
      <c r="G807" s="987"/>
      <c r="H807" s="987"/>
      <c r="I807" s="987"/>
      <c r="J807" s="987"/>
      <c r="K807" s="987"/>
      <c r="L807" s="987"/>
      <c r="M807" s="987"/>
      <c r="N807" s="987"/>
      <c r="O807" s="987"/>
      <c r="P807" s="987"/>
      <c r="Q807" s="987"/>
      <c r="R807" s="987"/>
      <c r="S807" s="987"/>
      <c r="T807" s="987"/>
      <c r="U807" s="987"/>
      <c r="V807" s="987"/>
      <c r="W807" s="987"/>
      <c r="X807" s="987"/>
      <c r="Y807" s="987"/>
      <c r="Z807" s="987"/>
    </row>
    <row r="808">
      <c r="A808" s="987"/>
      <c r="B808" s="987"/>
      <c r="C808" s="987"/>
      <c r="D808" s="987"/>
      <c r="E808" s="987"/>
      <c r="F808" s="987"/>
      <c r="G808" s="987"/>
      <c r="H808" s="987"/>
      <c r="I808" s="987"/>
      <c r="J808" s="987"/>
      <c r="K808" s="987"/>
      <c r="L808" s="987"/>
      <c r="M808" s="987"/>
      <c r="N808" s="987"/>
      <c r="O808" s="987"/>
      <c r="P808" s="987"/>
      <c r="Q808" s="987"/>
      <c r="R808" s="987"/>
      <c r="S808" s="987"/>
      <c r="T808" s="987"/>
      <c r="U808" s="987"/>
      <c r="V808" s="987"/>
      <c r="W808" s="987"/>
      <c r="X808" s="987"/>
      <c r="Y808" s="987"/>
      <c r="Z808" s="987"/>
    </row>
    <row r="809">
      <c r="A809" s="987"/>
      <c r="B809" s="987"/>
      <c r="C809" s="987"/>
      <c r="D809" s="987"/>
      <c r="E809" s="987"/>
      <c r="F809" s="987"/>
      <c r="G809" s="987"/>
      <c r="H809" s="987"/>
      <c r="I809" s="987"/>
      <c r="J809" s="987"/>
      <c r="K809" s="987"/>
      <c r="L809" s="987"/>
      <c r="M809" s="987"/>
      <c r="N809" s="987"/>
      <c r="O809" s="987"/>
      <c r="P809" s="987"/>
      <c r="Q809" s="987"/>
      <c r="R809" s="987"/>
      <c r="S809" s="987"/>
      <c r="T809" s="987"/>
      <c r="U809" s="987"/>
      <c r="V809" s="987"/>
      <c r="W809" s="987"/>
      <c r="X809" s="987"/>
      <c r="Y809" s="987"/>
      <c r="Z809" s="987"/>
    </row>
    <row r="810">
      <c r="A810" s="987"/>
      <c r="B810" s="987"/>
      <c r="C810" s="987"/>
      <c r="D810" s="987"/>
      <c r="E810" s="987"/>
      <c r="F810" s="987"/>
      <c r="G810" s="987"/>
      <c r="H810" s="987"/>
      <c r="I810" s="987"/>
      <c r="J810" s="987"/>
      <c r="K810" s="987"/>
      <c r="L810" s="987"/>
      <c r="M810" s="987"/>
      <c r="N810" s="987"/>
      <c r="O810" s="987"/>
      <c r="P810" s="987"/>
      <c r="Q810" s="987"/>
      <c r="R810" s="987"/>
      <c r="S810" s="987"/>
      <c r="T810" s="987"/>
      <c r="U810" s="987"/>
      <c r="V810" s="987"/>
      <c r="W810" s="987"/>
      <c r="X810" s="987"/>
      <c r="Y810" s="987"/>
      <c r="Z810" s="987"/>
    </row>
    <row r="811">
      <c r="A811" s="987"/>
      <c r="B811" s="987"/>
      <c r="C811" s="987"/>
      <c r="D811" s="987"/>
      <c r="E811" s="987"/>
      <c r="F811" s="987"/>
      <c r="G811" s="987"/>
      <c r="H811" s="987"/>
      <c r="I811" s="987"/>
      <c r="J811" s="987"/>
      <c r="K811" s="987"/>
      <c r="L811" s="987"/>
      <c r="M811" s="987"/>
      <c r="N811" s="987"/>
      <c r="O811" s="987"/>
      <c r="P811" s="987"/>
      <c r="Q811" s="987"/>
      <c r="R811" s="987"/>
      <c r="S811" s="987"/>
      <c r="T811" s="987"/>
      <c r="U811" s="987"/>
      <c r="V811" s="987"/>
      <c r="W811" s="987"/>
      <c r="X811" s="987"/>
      <c r="Y811" s="987"/>
      <c r="Z811" s="987"/>
    </row>
    <row r="812">
      <c r="A812" s="987"/>
      <c r="B812" s="987"/>
      <c r="C812" s="987"/>
      <c r="D812" s="987"/>
      <c r="E812" s="987"/>
      <c r="F812" s="987"/>
      <c r="G812" s="987"/>
      <c r="H812" s="987"/>
      <c r="I812" s="987"/>
      <c r="J812" s="987"/>
      <c r="K812" s="987"/>
      <c r="L812" s="987"/>
      <c r="M812" s="987"/>
      <c r="N812" s="987"/>
      <c r="O812" s="987"/>
      <c r="P812" s="987"/>
      <c r="Q812" s="987"/>
      <c r="R812" s="987"/>
      <c r="S812" s="987"/>
      <c r="T812" s="987"/>
      <c r="U812" s="987"/>
      <c r="V812" s="987"/>
      <c r="W812" s="987"/>
      <c r="X812" s="987"/>
      <c r="Y812" s="987"/>
      <c r="Z812" s="987"/>
    </row>
    <row r="813">
      <c r="A813" s="987"/>
      <c r="B813" s="987"/>
      <c r="C813" s="987"/>
      <c r="D813" s="987"/>
      <c r="E813" s="987"/>
      <c r="F813" s="987"/>
      <c r="G813" s="987"/>
      <c r="H813" s="987"/>
      <c r="I813" s="987"/>
      <c r="J813" s="987"/>
      <c r="K813" s="987"/>
      <c r="L813" s="987"/>
      <c r="M813" s="987"/>
      <c r="N813" s="987"/>
      <c r="O813" s="987"/>
      <c r="P813" s="987"/>
      <c r="Q813" s="987"/>
      <c r="R813" s="987"/>
      <c r="S813" s="987"/>
      <c r="T813" s="987"/>
      <c r="U813" s="987"/>
      <c r="V813" s="987"/>
      <c r="W813" s="987"/>
      <c r="X813" s="987"/>
      <c r="Y813" s="987"/>
      <c r="Z813" s="987"/>
    </row>
    <row r="814">
      <c r="A814" s="987"/>
      <c r="B814" s="987"/>
      <c r="C814" s="987"/>
      <c r="D814" s="987"/>
      <c r="E814" s="987"/>
      <c r="F814" s="987"/>
      <c r="G814" s="987"/>
      <c r="H814" s="987"/>
      <c r="I814" s="987"/>
      <c r="J814" s="987"/>
      <c r="K814" s="987"/>
      <c r="L814" s="987"/>
      <c r="M814" s="987"/>
      <c r="N814" s="987"/>
      <c r="O814" s="987"/>
      <c r="P814" s="987"/>
      <c r="Q814" s="987"/>
      <c r="R814" s="987"/>
      <c r="S814" s="987"/>
      <c r="T814" s="987"/>
      <c r="U814" s="987"/>
      <c r="V814" s="987"/>
      <c r="W814" s="987"/>
      <c r="X814" s="987"/>
      <c r="Y814" s="987"/>
      <c r="Z814" s="987"/>
    </row>
    <row r="815">
      <c r="A815" s="987"/>
      <c r="B815" s="987"/>
      <c r="C815" s="987"/>
      <c r="D815" s="987"/>
      <c r="E815" s="987"/>
      <c r="F815" s="987"/>
      <c r="G815" s="987"/>
      <c r="H815" s="987"/>
      <c r="I815" s="987"/>
      <c r="J815" s="987"/>
      <c r="K815" s="987"/>
      <c r="L815" s="987"/>
      <c r="M815" s="987"/>
      <c r="N815" s="987"/>
      <c r="O815" s="987"/>
      <c r="P815" s="987"/>
      <c r="Q815" s="987"/>
      <c r="R815" s="987"/>
      <c r="S815" s="987"/>
      <c r="T815" s="987"/>
      <c r="U815" s="987"/>
      <c r="V815" s="987"/>
      <c r="W815" s="987"/>
      <c r="X815" s="987"/>
      <c r="Y815" s="987"/>
      <c r="Z815" s="987"/>
    </row>
    <row r="816">
      <c r="A816" s="987"/>
      <c r="B816" s="987"/>
      <c r="C816" s="987"/>
      <c r="D816" s="987"/>
      <c r="E816" s="987"/>
      <c r="F816" s="987"/>
      <c r="G816" s="987"/>
      <c r="H816" s="987"/>
      <c r="I816" s="987"/>
      <c r="J816" s="987"/>
      <c r="K816" s="987"/>
      <c r="L816" s="987"/>
      <c r="M816" s="987"/>
      <c r="N816" s="987"/>
      <c r="O816" s="987"/>
      <c r="P816" s="987"/>
      <c r="Q816" s="987"/>
      <c r="R816" s="987"/>
      <c r="S816" s="987"/>
      <c r="T816" s="987"/>
      <c r="U816" s="987"/>
      <c r="V816" s="987"/>
      <c r="W816" s="987"/>
      <c r="X816" s="987"/>
      <c r="Y816" s="987"/>
      <c r="Z816" s="987"/>
    </row>
    <row r="817">
      <c r="A817" s="987"/>
      <c r="B817" s="987"/>
      <c r="C817" s="987"/>
      <c r="D817" s="987"/>
      <c r="E817" s="987"/>
      <c r="F817" s="987"/>
      <c r="G817" s="987"/>
      <c r="H817" s="987"/>
      <c r="I817" s="987"/>
      <c r="J817" s="987"/>
      <c r="K817" s="987"/>
      <c r="L817" s="987"/>
      <c r="M817" s="987"/>
      <c r="N817" s="987"/>
      <c r="O817" s="987"/>
      <c r="P817" s="987"/>
      <c r="Q817" s="987"/>
      <c r="R817" s="987"/>
      <c r="S817" s="987"/>
      <c r="T817" s="987"/>
      <c r="U817" s="987"/>
      <c r="V817" s="987"/>
      <c r="W817" s="987"/>
      <c r="X817" s="987"/>
      <c r="Y817" s="987"/>
      <c r="Z817" s="987"/>
    </row>
    <row r="818">
      <c r="A818" s="987"/>
      <c r="B818" s="987"/>
      <c r="C818" s="987"/>
      <c r="D818" s="987"/>
      <c r="E818" s="987"/>
      <c r="F818" s="987"/>
      <c r="G818" s="987"/>
      <c r="H818" s="987"/>
      <c r="I818" s="987"/>
      <c r="J818" s="987"/>
      <c r="K818" s="987"/>
      <c r="L818" s="987"/>
      <c r="M818" s="987"/>
      <c r="N818" s="987"/>
      <c r="O818" s="987"/>
      <c r="P818" s="987"/>
      <c r="Q818" s="987"/>
      <c r="R818" s="987"/>
      <c r="S818" s="987"/>
      <c r="T818" s="987"/>
      <c r="U818" s="987"/>
      <c r="V818" s="987"/>
      <c r="W818" s="987"/>
      <c r="X818" s="987"/>
      <c r="Y818" s="987"/>
      <c r="Z818" s="987"/>
    </row>
    <row r="819">
      <c r="A819" s="987"/>
      <c r="B819" s="987"/>
      <c r="C819" s="987"/>
      <c r="D819" s="987"/>
      <c r="E819" s="987"/>
      <c r="F819" s="987"/>
      <c r="G819" s="987"/>
      <c r="H819" s="987"/>
      <c r="I819" s="987"/>
      <c r="J819" s="987"/>
      <c r="K819" s="987"/>
      <c r="L819" s="987"/>
      <c r="M819" s="987"/>
      <c r="N819" s="987"/>
      <c r="O819" s="987"/>
      <c r="P819" s="987"/>
      <c r="Q819" s="987"/>
      <c r="R819" s="987"/>
      <c r="S819" s="987"/>
      <c r="T819" s="987"/>
      <c r="U819" s="987"/>
      <c r="V819" s="987"/>
      <c r="W819" s="987"/>
      <c r="X819" s="987"/>
      <c r="Y819" s="987"/>
      <c r="Z819" s="987"/>
    </row>
    <row r="820">
      <c r="A820" s="987"/>
      <c r="B820" s="987"/>
      <c r="C820" s="987"/>
      <c r="D820" s="987"/>
      <c r="E820" s="987"/>
      <c r="F820" s="987"/>
      <c r="G820" s="987"/>
      <c r="H820" s="987"/>
      <c r="I820" s="987"/>
      <c r="J820" s="987"/>
      <c r="K820" s="987"/>
      <c r="L820" s="987"/>
      <c r="M820" s="987"/>
      <c r="N820" s="987"/>
      <c r="O820" s="987"/>
      <c r="P820" s="987"/>
      <c r="Q820" s="987"/>
      <c r="R820" s="987"/>
      <c r="S820" s="987"/>
      <c r="T820" s="987"/>
      <c r="U820" s="987"/>
      <c r="V820" s="987"/>
      <c r="W820" s="987"/>
      <c r="X820" s="987"/>
      <c r="Y820" s="987"/>
      <c r="Z820" s="987"/>
    </row>
    <row r="821">
      <c r="A821" s="987"/>
      <c r="B821" s="987"/>
      <c r="C821" s="987"/>
      <c r="D821" s="987"/>
      <c r="E821" s="987"/>
      <c r="F821" s="987"/>
      <c r="G821" s="987"/>
      <c r="H821" s="987"/>
      <c r="I821" s="987"/>
      <c r="J821" s="987"/>
      <c r="K821" s="987"/>
      <c r="L821" s="987"/>
      <c r="M821" s="987"/>
      <c r="N821" s="987"/>
      <c r="O821" s="987"/>
      <c r="P821" s="987"/>
      <c r="Q821" s="987"/>
      <c r="R821" s="987"/>
      <c r="S821" s="987"/>
      <c r="T821" s="987"/>
      <c r="U821" s="987"/>
      <c r="V821" s="987"/>
      <c r="W821" s="987"/>
      <c r="X821" s="987"/>
      <c r="Y821" s="987"/>
      <c r="Z821" s="987"/>
    </row>
    <row r="822">
      <c r="A822" s="987"/>
      <c r="B822" s="987"/>
      <c r="C822" s="987"/>
      <c r="D822" s="987"/>
      <c r="E822" s="987"/>
      <c r="F822" s="987"/>
      <c r="G822" s="987"/>
      <c r="H822" s="987"/>
      <c r="I822" s="987"/>
      <c r="J822" s="987"/>
      <c r="K822" s="987"/>
      <c r="L822" s="987"/>
      <c r="M822" s="987"/>
      <c r="N822" s="987"/>
      <c r="O822" s="987"/>
      <c r="P822" s="987"/>
      <c r="Q822" s="987"/>
      <c r="R822" s="987"/>
      <c r="S822" s="987"/>
      <c r="T822" s="987"/>
      <c r="U822" s="987"/>
      <c r="V822" s="987"/>
      <c r="W822" s="987"/>
      <c r="X822" s="987"/>
      <c r="Y822" s="987"/>
      <c r="Z822" s="987"/>
    </row>
    <row r="823">
      <c r="A823" s="987"/>
      <c r="B823" s="987"/>
      <c r="C823" s="987"/>
      <c r="D823" s="987"/>
      <c r="E823" s="987"/>
      <c r="F823" s="987"/>
      <c r="G823" s="987"/>
      <c r="H823" s="987"/>
      <c r="I823" s="987"/>
      <c r="J823" s="987"/>
      <c r="K823" s="987"/>
      <c r="L823" s="987"/>
      <c r="M823" s="987"/>
      <c r="N823" s="987"/>
      <c r="O823" s="987"/>
      <c r="P823" s="987"/>
      <c r="Q823" s="987"/>
      <c r="R823" s="987"/>
      <c r="S823" s="987"/>
      <c r="T823" s="987"/>
      <c r="U823" s="987"/>
      <c r="V823" s="987"/>
      <c r="W823" s="987"/>
      <c r="X823" s="987"/>
      <c r="Y823" s="987"/>
      <c r="Z823" s="987"/>
    </row>
    <row r="824">
      <c r="A824" s="987"/>
      <c r="B824" s="987"/>
      <c r="C824" s="987"/>
      <c r="D824" s="987"/>
      <c r="E824" s="987"/>
      <c r="F824" s="987"/>
      <c r="G824" s="987"/>
      <c r="H824" s="987"/>
      <c r="I824" s="987"/>
      <c r="J824" s="987"/>
      <c r="K824" s="987"/>
      <c r="L824" s="987"/>
      <c r="M824" s="987"/>
      <c r="N824" s="987"/>
      <c r="O824" s="987"/>
      <c r="P824" s="987"/>
      <c r="Q824" s="987"/>
      <c r="R824" s="987"/>
      <c r="S824" s="987"/>
      <c r="T824" s="987"/>
      <c r="U824" s="987"/>
      <c r="V824" s="987"/>
      <c r="W824" s="987"/>
      <c r="X824" s="987"/>
      <c r="Y824" s="987"/>
      <c r="Z824" s="987"/>
    </row>
    <row r="825">
      <c r="A825" s="987"/>
      <c r="B825" s="987"/>
      <c r="C825" s="987"/>
      <c r="D825" s="987"/>
      <c r="E825" s="987"/>
      <c r="F825" s="987"/>
      <c r="G825" s="987"/>
      <c r="H825" s="987"/>
      <c r="I825" s="987"/>
      <c r="J825" s="987"/>
      <c r="K825" s="987"/>
      <c r="L825" s="987"/>
      <c r="M825" s="987"/>
      <c r="N825" s="987"/>
      <c r="O825" s="987"/>
      <c r="P825" s="987"/>
      <c r="Q825" s="987"/>
      <c r="R825" s="987"/>
      <c r="S825" s="987"/>
      <c r="T825" s="987"/>
      <c r="U825" s="987"/>
      <c r="V825" s="987"/>
      <c r="W825" s="987"/>
      <c r="X825" s="987"/>
      <c r="Y825" s="987"/>
      <c r="Z825" s="987"/>
    </row>
    <row r="826">
      <c r="A826" s="987"/>
      <c r="B826" s="987"/>
      <c r="C826" s="987"/>
      <c r="D826" s="987"/>
      <c r="E826" s="987"/>
      <c r="F826" s="987"/>
      <c r="G826" s="987"/>
      <c r="H826" s="987"/>
      <c r="I826" s="987"/>
      <c r="J826" s="987"/>
      <c r="K826" s="987"/>
      <c r="L826" s="987"/>
      <c r="M826" s="987"/>
      <c r="N826" s="987"/>
      <c r="O826" s="987"/>
      <c r="P826" s="987"/>
      <c r="Q826" s="987"/>
      <c r="R826" s="987"/>
      <c r="S826" s="987"/>
      <c r="T826" s="987"/>
      <c r="U826" s="987"/>
      <c r="V826" s="987"/>
      <c r="W826" s="987"/>
      <c r="X826" s="987"/>
      <c r="Y826" s="987"/>
      <c r="Z826" s="987"/>
    </row>
    <row r="827">
      <c r="A827" s="987"/>
      <c r="B827" s="987"/>
      <c r="C827" s="987"/>
      <c r="D827" s="987"/>
      <c r="E827" s="987"/>
      <c r="F827" s="987"/>
      <c r="G827" s="987"/>
      <c r="H827" s="987"/>
      <c r="I827" s="987"/>
      <c r="J827" s="987"/>
      <c r="K827" s="987"/>
      <c r="L827" s="987"/>
      <c r="M827" s="987"/>
      <c r="N827" s="987"/>
      <c r="O827" s="987"/>
      <c r="P827" s="987"/>
      <c r="Q827" s="987"/>
      <c r="R827" s="987"/>
      <c r="S827" s="987"/>
      <c r="T827" s="987"/>
      <c r="U827" s="987"/>
      <c r="V827" s="987"/>
      <c r="W827" s="987"/>
      <c r="X827" s="987"/>
      <c r="Y827" s="987"/>
      <c r="Z827" s="987"/>
    </row>
    <row r="828">
      <c r="A828" s="987"/>
      <c r="B828" s="987"/>
      <c r="C828" s="987"/>
      <c r="D828" s="987"/>
      <c r="E828" s="987"/>
      <c r="F828" s="987"/>
      <c r="G828" s="987"/>
      <c r="H828" s="987"/>
      <c r="I828" s="987"/>
      <c r="J828" s="987"/>
      <c r="K828" s="987"/>
      <c r="L828" s="987"/>
      <c r="M828" s="987"/>
      <c r="N828" s="987"/>
      <c r="O828" s="987"/>
      <c r="P828" s="987"/>
      <c r="Q828" s="987"/>
      <c r="R828" s="987"/>
      <c r="S828" s="987"/>
      <c r="T828" s="987"/>
      <c r="U828" s="987"/>
      <c r="V828" s="987"/>
      <c r="W828" s="987"/>
      <c r="X828" s="987"/>
      <c r="Y828" s="987"/>
      <c r="Z828" s="987"/>
    </row>
    <row r="829">
      <c r="A829" s="987"/>
      <c r="B829" s="987"/>
      <c r="C829" s="987"/>
      <c r="D829" s="987"/>
      <c r="E829" s="987"/>
      <c r="F829" s="987"/>
      <c r="G829" s="987"/>
      <c r="H829" s="987"/>
      <c r="I829" s="987"/>
      <c r="J829" s="987"/>
      <c r="K829" s="987"/>
      <c r="L829" s="987"/>
      <c r="M829" s="987"/>
      <c r="N829" s="987"/>
      <c r="O829" s="987"/>
      <c r="P829" s="987"/>
      <c r="Q829" s="987"/>
      <c r="R829" s="987"/>
      <c r="S829" s="987"/>
      <c r="T829" s="987"/>
      <c r="U829" s="987"/>
      <c r="V829" s="987"/>
      <c r="W829" s="987"/>
      <c r="X829" s="987"/>
      <c r="Y829" s="987"/>
      <c r="Z829" s="987"/>
    </row>
    <row r="830">
      <c r="A830" s="987"/>
      <c r="B830" s="987"/>
      <c r="C830" s="987"/>
      <c r="D830" s="987"/>
      <c r="E830" s="987"/>
      <c r="F830" s="987"/>
      <c r="G830" s="987"/>
      <c r="H830" s="987"/>
      <c r="I830" s="987"/>
      <c r="J830" s="987"/>
      <c r="K830" s="987"/>
      <c r="L830" s="987"/>
      <c r="M830" s="987"/>
      <c r="N830" s="987"/>
      <c r="O830" s="987"/>
      <c r="P830" s="987"/>
      <c r="Q830" s="987"/>
      <c r="R830" s="987"/>
      <c r="S830" s="987"/>
      <c r="T830" s="987"/>
      <c r="U830" s="987"/>
      <c r="V830" s="987"/>
      <c r="W830" s="987"/>
      <c r="X830" s="987"/>
      <c r="Y830" s="987"/>
      <c r="Z830" s="987"/>
    </row>
    <row r="831">
      <c r="A831" s="987"/>
      <c r="B831" s="987"/>
      <c r="C831" s="987"/>
      <c r="D831" s="987"/>
      <c r="E831" s="987"/>
      <c r="F831" s="987"/>
      <c r="G831" s="987"/>
      <c r="H831" s="987"/>
      <c r="I831" s="987"/>
      <c r="J831" s="987"/>
      <c r="K831" s="987"/>
      <c r="L831" s="987"/>
      <c r="M831" s="987"/>
      <c r="N831" s="987"/>
      <c r="O831" s="987"/>
      <c r="P831" s="987"/>
      <c r="Q831" s="987"/>
      <c r="R831" s="987"/>
      <c r="S831" s="987"/>
      <c r="T831" s="987"/>
      <c r="U831" s="987"/>
      <c r="V831" s="987"/>
      <c r="W831" s="987"/>
      <c r="X831" s="987"/>
      <c r="Y831" s="987"/>
      <c r="Z831" s="987"/>
    </row>
    <row r="832">
      <c r="A832" s="987"/>
      <c r="B832" s="987"/>
      <c r="C832" s="987"/>
      <c r="D832" s="987"/>
      <c r="E832" s="987"/>
      <c r="F832" s="987"/>
      <c r="G832" s="987"/>
      <c r="H832" s="987"/>
      <c r="I832" s="987"/>
      <c r="J832" s="987"/>
      <c r="K832" s="987"/>
      <c r="L832" s="987"/>
      <c r="M832" s="987"/>
      <c r="N832" s="987"/>
      <c r="O832" s="987"/>
      <c r="P832" s="987"/>
      <c r="Q832" s="987"/>
      <c r="R832" s="987"/>
      <c r="S832" s="987"/>
      <c r="T832" s="987"/>
      <c r="U832" s="987"/>
      <c r="V832" s="987"/>
      <c r="W832" s="987"/>
      <c r="X832" s="987"/>
      <c r="Y832" s="987"/>
      <c r="Z832" s="987"/>
    </row>
    <row r="833">
      <c r="A833" s="987"/>
      <c r="B833" s="987"/>
      <c r="C833" s="987"/>
      <c r="D833" s="987"/>
      <c r="E833" s="987"/>
      <c r="F833" s="987"/>
      <c r="G833" s="987"/>
      <c r="H833" s="987"/>
      <c r="I833" s="987"/>
      <c r="J833" s="987"/>
      <c r="K833" s="987"/>
      <c r="L833" s="987"/>
      <c r="M833" s="987"/>
      <c r="N833" s="987"/>
      <c r="O833" s="987"/>
      <c r="P833" s="987"/>
      <c r="Q833" s="987"/>
      <c r="R833" s="987"/>
      <c r="S833" s="987"/>
      <c r="T833" s="987"/>
      <c r="U833" s="987"/>
      <c r="V833" s="987"/>
      <c r="W833" s="987"/>
      <c r="X833" s="987"/>
      <c r="Y833" s="987"/>
      <c r="Z833" s="987"/>
    </row>
    <row r="834">
      <c r="A834" s="987"/>
      <c r="B834" s="987"/>
      <c r="C834" s="987"/>
      <c r="D834" s="987"/>
      <c r="E834" s="987"/>
      <c r="F834" s="987"/>
      <c r="G834" s="987"/>
      <c r="H834" s="987"/>
      <c r="I834" s="987"/>
      <c r="J834" s="987"/>
      <c r="K834" s="987"/>
      <c r="L834" s="987"/>
      <c r="M834" s="987"/>
      <c r="N834" s="987"/>
      <c r="O834" s="987"/>
      <c r="P834" s="987"/>
      <c r="Q834" s="987"/>
      <c r="R834" s="987"/>
      <c r="S834" s="987"/>
      <c r="T834" s="987"/>
      <c r="U834" s="987"/>
      <c r="V834" s="987"/>
      <c r="W834" s="987"/>
      <c r="X834" s="987"/>
      <c r="Y834" s="987"/>
      <c r="Z834" s="987"/>
    </row>
    <row r="835">
      <c r="A835" s="987"/>
      <c r="B835" s="987"/>
      <c r="C835" s="987"/>
      <c r="D835" s="987"/>
      <c r="E835" s="987"/>
      <c r="F835" s="987"/>
      <c r="G835" s="987"/>
      <c r="H835" s="987"/>
      <c r="I835" s="987"/>
      <c r="J835" s="987"/>
      <c r="K835" s="987"/>
      <c r="L835" s="987"/>
      <c r="M835" s="987"/>
      <c r="N835" s="987"/>
      <c r="O835" s="987"/>
      <c r="P835" s="987"/>
      <c r="Q835" s="987"/>
      <c r="R835" s="987"/>
      <c r="S835" s="987"/>
      <c r="T835" s="987"/>
      <c r="U835" s="987"/>
      <c r="V835" s="987"/>
      <c r="W835" s="987"/>
      <c r="X835" s="987"/>
      <c r="Y835" s="987"/>
      <c r="Z835" s="987"/>
    </row>
    <row r="836">
      <c r="A836" s="987"/>
      <c r="B836" s="987"/>
      <c r="C836" s="987"/>
      <c r="D836" s="987"/>
      <c r="E836" s="987"/>
      <c r="F836" s="987"/>
      <c r="G836" s="987"/>
      <c r="H836" s="987"/>
      <c r="I836" s="987"/>
      <c r="J836" s="987"/>
      <c r="K836" s="987"/>
      <c r="L836" s="987"/>
      <c r="M836" s="987"/>
      <c r="N836" s="987"/>
      <c r="O836" s="987"/>
      <c r="P836" s="987"/>
      <c r="Q836" s="987"/>
      <c r="R836" s="987"/>
      <c r="S836" s="987"/>
      <c r="T836" s="987"/>
      <c r="U836" s="987"/>
      <c r="V836" s="987"/>
      <c r="W836" s="987"/>
      <c r="X836" s="987"/>
      <c r="Y836" s="987"/>
      <c r="Z836" s="987"/>
    </row>
    <row r="837">
      <c r="A837" s="987"/>
      <c r="B837" s="987"/>
      <c r="C837" s="987"/>
      <c r="D837" s="987"/>
      <c r="E837" s="987"/>
      <c r="F837" s="987"/>
      <c r="G837" s="987"/>
      <c r="H837" s="987"/>
      <c r="I837" s="987"/>
      <c r="J837" s="987"/>
      <c r="K837" s="987"/>
      <c r="L837" s="987"/>
      <c r="M837" s="987"/>
      <c r="N837" s="987"/>
      <c r="O837" s="987"/>
      <c r="P837" s="987"/>
      <c r="Q837" s="987"/>
      <c r="R837" s="987"/>
      <c r="S837" s="987"/>
      <c r="T837" s="987"/>
      <c r="U837" s="987"/>
      <c r="V837" s="987"/>
      <c r="W837" s="987"/>
      <c r="X837" s="987"/>
      <c r="Y837" s="987"/>
      <c r="Z837" s="987"/>
    </row>
    <row r="838">
      <c r="A838" s="987"/>
      <c r="B838" s="987"/>
      <c r="C838" s="987"/>
      <c r="D838" s="987"/>
      <c r="E838" s="987"/>
      <c r="F838" s="987"/>
      <c r="G838" s="987"/>
      <c r="H838" s="987"/>
      <c r="I838" s="987"/>
      <c r="J838" s="987"/>
      <c r="K838" s="987"/>
      <c r="L838" s="987"/>
      <c r="M838" s="987"/>
      <c r="N838" s="987"/>
      <c r="O838" s="987"/>
      <c r="P838" s="987"/>
      <c r="Q838" s="987"/>
      <c r="R838" s="987"/>
      <c r="S838" s="987"/>
      <c r="T838" s="987"/>
      <c r="U838" s="987"/>
      <c r="V838" s="987"/>
      <c r="W838" s="987"/>
      <c r="X838" s="987"/>
      <c r="Y838" s="987"/>
      <c r="Z838" s="987"/>
    </row>
    <row r="839">
      <c r="A839" s="987"/>
      <c r="B839" s="987"/>
      <c r="C839" s="987"/>
      <c r="D839" s="987"/>
      <c r="E839" s="987"/>
      <c r="F839" s="987"/>
      <c r="G839" s="987"/>
      <c r="H839" s="987"/>
      <c r="I839" s="987"/>
      <c r="J839" s="987"/>
      <c r="K839" s="987"/>
      <c r="L839" s="987"/>
      <c r="M839" s="987"/>
      <c r="N839" s="987"/>
      <c r="O839" s="987"/>
      <c r="P839" s="987"/>
      <c r="Q839" s="987"/>
      <c r="R839" s="987"/>
      <c r="S839" s="987"/>
      <c r="T839" s="987"/>
      <c r="U839" s="987"/>
      <c r="V839" s="987"/>
      <c r="W839" s="987"/>
      <c r="X839" s="987"/>
      <c r="Y839" s="987"/>
      <c r="Z839" s="987"/>
    </row>
    <row r="840">
      <c r="A840" s="987"/>
      <c r="B840" s="987"/>
      <c r="C840" s="987"/>
      <c r="D840" s="987"/>
      <c r="E840" s="987"/>
      <c r="F840" s="987"/>
      <c r="G840" s="987"/>
      <c r="H840" s="987"/>
      <c r="I840" s="987"/>
      <c r="J840" s="987"/>
      <c r="K840" s="987"/>
      <c r="L840" s="987"/>
      <c r="M840" s="987"/>
      <c r="N840" s="987"/>
      <c r="O840" s="987"/>
      <c r="P840" s="987"/>
      <c r="Q840" s="987"/>
      <c r="R840" s="987"/>
      <c r="S840" s="987"/>
      <c r="T840" s="987"/>
      <c r="U840" s="987"/>
      <c r="V840" s="987"/>
      <c r="W840" s="987"/>
      <c r="X840" s="987"/>
      <c r="Y840" s="987"/>
      <c r="Z840" s="987"/>
    </row>
    <row r="841">
      <c r="A841" s="987"/>
      <c r="B841" s="987"/>
      <c r="C841" s="987"/>
      <c r="D841" s="987"/>
      <c r="E841" s="987"/>
      <c r="F841" s="987"/>
      <c r="G841" s="987"/>
      <c r="H841" s="987"/>
      <c r="I841" s="987"/>
      <c r="J841" s="987"/>
      <c r="K841" s="987"/>
      <c r="L841" s="987"/>
      <c r="M841" s="987"/>
      <c r="N841" s="987"/>
      <c r="O841" s="987"/>
      <c r="P841" s="987"/>
      <c r="Q841" s="987"/>
      <c r="R841" s="987"/>
      <c r="S841" s="987"/>
      <c r="T841" s="987"/>
      <c r="U841" s="987"/>
      <c r="V841" s="987"/>
      <c r="W841" s="987"/>
      <c r="X841" s="987"/>
      <c r="Y841" s="987"/>
      <c r="Z841" s="987"/>
    </row>
    <row r="842">
      <c r="A842" s="987"/>
      <c r="B842" s="987"/>
      <c r="C842" s="987"/>
      <c r="D842" s="987"/>
      <c r="E842" s="987"/>
      <c r="F842" s="987"/>
      <c r="G842" s="987"/>
      <c r="H842" s="987"/>
      <c r="I842" s="987"/>
      <c r="J842" s="987"/>
      <c r="K842" s="987"/>
      <c r="L842" s="987"/>
      <c r="M842" s="987"/>
      <c r="N842" s="987"/>
      <c r="O842" s="987"/>
      <c r="P842" s="987"/>
      <c r="Q842" s="987"/>
      <c r="R842" s="987"/>
      <c r="S842" s="987"/>
      <c r="T842" s="987"/>
      <c r="U842" s="987"/>
      <c r="V842" s="987"/>
      <c r="W842" s="987"/>
      <c r="X842" s="987"/>
      <c r="Y842" s="987"/>
      <c r="Z842" s="987"/>
    </row>
    <row r="843">
      <c r="A843" s="987"/>
      <c r="B843" s="987"/>
      <c r="C843" s="987"/>
      <c r="D843" s="987"/>
      <c r="E843" s="987"/>
      <c r="F843" s="987"/>
      <c r="G843" s="987"/>
      <c r="H843" s="987"/>
      <c r="I843" s="987"/>
      <c r="J843" s="987"/>
      <c r="K843" s="987"/>
      <c r="L843" s="987"/>
      <c r="M843" s="987"/>
      <c r="N843" s="987"/>
      <c r="O843" s="987"/>
      <c r="P843" s="987"/>
      <c r="Q843" s="987"/>
      <c r="R843" s="987"/>
      <c r="S843" s="987"/>
      <c r="T843" s="987"/>
      <c r="U843" s="987"/>
      <c r="V843" s="987"/>
      <c r="W843" s="987"/>
      <c r="X843" s="987"/>
      <c r="Y843" s="987"/>
      <c r="Z843" s="987"/>
    </row>
    <row r="844">
      <c r="A844" s="987"/>
      <c r="B844" s="987"/>
      <c r="C844" s="987"/>
      <c r="D844" s="987"/>
      <c r="E844" s="987"/>
      <c r="F844" s="987"/>
      <c r="G844" s="987"/>
      <c r="H844" s="987"/>
      <c r="I844" s="987"/>
      <c r="J844" s="987"/>
      <c r="K844" s="987"/>
      <c r="L844" s="987"/>
      <c r="M844" s="987"/>
      <c r="N844" s="987"/>
      <c r="O844" s="987"/>
      <c r="P844" s="987"/>
      <c r="Q844" s="987"/>
      <c r="R844" s="987"/>
      <c r="S844" s="987"/>
      <c r="T844" s="987"/>
      <c r="U844" s="987"/>
      <c r="V844" s="987"/>
      <c r="W844" s="987"/>
      <c r="X844" s="987"/>
      <c r="Y844" s="987"/>
      <c r="Z844" s="987"/>
    </row>
    <row r="845">
      <c r="A845" s="987"/>
      <c r="B845" s="987"/>
      <c r="C845" s="987"/>
      <c r="D845" s="987"/>
      <c r="E845" s="987"/>
      <c r="F845" s="987"/>
      <c r="G845" s="987"/>
      <c r="H845" s="987"/>
      <c r="I845" s="987"/>
      <c r="J845" s="987"/>
      <c r="K845" s="987"/>
      <c r="L845" s="987"/>
      <c r="M845" s="987"/>
      <c r="N845" s="987"/>
      <c r="O845" s="987"/>
      <c r="P845" s="987"/>
      <c r="Q845" s="987"/>
      <c r="R845" s="987"/>
      <c r="S845" s="987"/>
      <c r="T845" s="987"/>
      <c r="U845" s="987"/>
      <c r="V845" s="987"/>
      <c r="W845" s="987"/>
      <c r="X845" s="987"/>
      <c r="Y845" s="987"/>
      <c r="Z845" s="987"/>
    </row>
    <row r="846">
      <c r="A846" s="987"/>
      <c r="B846" s="987"/>
      <c r="C846" s="987"/>
      <c r="D846" s="987"/>
      <c r="E846" s="987"/>
      <c r="F846" s="987"/>
      <c r="G846" s="987"/>
      <c r="H846" s="987"/>
      <c r="I846" s="987"/>
      <c r="J846" s="987"/>
      <c r="K846" s="987"/>
      <c r="L846" s="987"/>
      <c r="M846" s="987"/>
      <c r="N846" s="987"/>
      <c r="O846" s="987"/>
      <c r="P846" s="987"/>
      <c r="Q846" s="987"/>
      <c r="R846" s="987"/>
      <c r="S846" s="987"/>
      <c r="T846" s="987"/>
      <c r="U846" s="987"/>
      <c r="V846" s="987"/>
      <c r="W846" s="987"/>
      <c r="X846" s="987"/>
      <c r="Y846" s="987"/>
      <c r="Z846" s="987"/>
    </row>
    <row r="847">
      <c r="A847" s="987"/>
      <c r="B847" s="987"/>
      <c r="C847" s="987"/>
      <c r="D847" s="987"/>
      <c r="E847" s="987"/>
      <c r="F847" s="987"/>
      <c r="G847" s="987"/>
      <c r="H847" s="987"/>
      <c r="I847" s="987"/>
      <c r="J847" s="987"/>
      <c r="K847" s="987"/>
      <c r="L847" s="987"/>
      <c r="M847" s="987"/>
      <c r="N847" s="987"/>
      <c r="O847" s="987"/>
      <c r="P847" s="987"/>
      <c r="Q847" s="987"/>
      <c r="R847" s="987"/>
      <c r="S847" s="987"/>
      <c r="T847" s="987"/>
      <c r="U847" s="987"/>
      <c r="V847" s="987"/>
      <c r="W847" s="987"/>
      <c r="X847" s="987"/>
      <c r="Y847" s="987"/>
      <c r="Z847" s="987"/>
    </row>
    <row r="848">
      <c r="A848" s="987"/>
      <c r="B848" s="987"/>
      <c r="C848" s="987"/>
      <c r="D848" s="987"/>
      <c r="E848" s="987"/>
      <c r="F848" s="987"/>
      <c r="G848" s="987"/>
      <c r="H848" s="987"/>
      <c r="I848" s="987"/>
      <c r="J848" s="987"/>
      <c r="K848" s="987"/>
      <c r="L848" s="987"/>
      <c r="M848" s="987"/>
      <c r="N848" s="987"/>
      <c r="O848" s="987"/>
      <c r="P848" s="987"/>
      <c r="Q848" s="987"/>
      <c r="R848" s="987"/>
      <c r="S848" s="987"/>
      <c r="T848" s="987"/>
      <c r="U848" s="987"/>
      <c r="V848" s="987"/>
      <c r="W848" s="987"/>
      <c r="X848" s="987"/>
      <c r="Y848" s="987"/>
      <c r="Z848" s="987"/>
    </row>
    <row r="849">
      <c r="A849" s="987"/>
      <c r="B849" s="987"/>
      <c r="C849" s="987"/>
      <c r="D849" s="987"/>
      <c r="E849" s="987"/>
      <c r="F849" s="987"/>
      <c r="G849" s="987"/>
      <c r="H849" s="987"/>
      <c r="I849" s="987"/>
      <c r="J849" s="987"/>
      <c r="K849" s="987"/>
      <c r="L849" s="987"/>
      <c r="M849" s="987"/>
      <c r="N849" s="987"/>
      <c r="O849" s="987"/>
      <c r="P849" s="987"/>
      <c r="Q849" s="987"/>
      <c r="R849" s="987"/>
      <c r="S849" s="987"/>
      <c r="T849" s="987"/>
      <c r="U849" s="987"/>
      <c r="V849" s="987"/>
      <c r="W849" s="987"/>
      <c r="X849" s="987"/>
      <c r="Y849" s="987"/>
      <c r="Z849" s="987"/>
    </row>
    <row r="850">
      <c r="A850" s="987"/>
      <c r="B850" s="987"/>
      <c r="C850" s="987"/>
      <c r="D850" s="987"/>
      <c r="E850" s="987"/>
      <c r="F850" s="987"/>
      <c r="G850" s="987"/>
      <c r="H850" s="987"/>
      <c r="I850" s="987"/>
      <c r="J850" s="987"/>
      <c r="K850" s="987"/>
      <c r="L850" s="987"/>
      <c r="M850" s="987"/>
      <c r="N850" s="987"/>
      <c r="O850" s="987"/>
      <c r="P850" s="987"/>
      <c r="Q850" s="987"/>
      <c r="R850" s="987"/>
      <c r="S850" s="987"/>
      <c r="T850" s="987"/>
      <c r="U850" s="987"/>
      <c r="V850" s="987"/>
      <c r="W850" s="987"/>
      <c r="X850" s="987"/>
      <c r="Y850" s="987"/>
      <c r="Z850" s="987"/>
    </row>
    <row r="851">
      <c r="A851" s="987"/>
      <c r="B851" s="987"/>
      <c r="C851" s="987"/>
      <c r="D851" s="987"/>
      <c r="E851" s="987"/>
      <c r="F851" s="987"/>
      <c r="G851" s="987"/>
      <c r="H851" s="987"/>
      <c r="I851" s="987"/>
      <c r="J851" s="987"/>
      <c r="K851" s="987"/>
      <c r="L851" s="987"/>
      <c r="M851" s="987"/>
      <c r="N851" s="987"/>
      <c r="O851" s="987"/>
      <c r="P851" s="987"/>
      <c r="Q851" s="987"/>
      <c r="R851" s="987"/>
      <c r="S851" s="987"/>
      <c r="T851" s="987"/>
      <c r="U851" s="987"/>
      <c r="V851" s="987"/>
      <c r="W851" s="987"/>
      <c r="X851" s="987"/>
      <c r="Y851" s="987"/>
      <c r="Z851" s="987"/>
    </row>
    <row r="852">
      <c r="A852" s="987"/>
      <c r="B852" s="987"/>
      <c r="C852" s="987"/>
      <c r="D852" s="987"/>
      <c r="E852" s="987"/>
      <c r="F852" s="987"/>
      <c r="G852" s="987"/>
      <c r="H852" s="987"/>
      <c r="I852" s="987"/>
      <c r="J852" s="987"/>
      <c r="K852" s="987"/>
      <c r="L852" s="987"/>
      <c r="M852" s="987"/>
      <c r="N852" s="987"/>
      <c r="O852" s="987"/>
      <c r="P852" s="987"/>
      <c r="Q852" s="987"/>
      <c r="R852" s="987"/>
      <c r="S852" s="987"/>
      <c r="T852" s="987"/>
      <c r="U852" s="987"/>
      <c r="V852" s="987"/>
      <c r="W852" s="987"/>
      <c r="X852" s="987"/>
      <c r="Y852" s="987"/>
      <c r="Z852" s="987"/>
    </row>
    <row r="853">
      <c r="A853" s="987"/>
      <c r="B853" s="987"/>
      <c r="C853" s="987"/>
      <c r="D853" s="987"/>
      <c r="E853" s="987"/>
      <c r="F853" s="987"/>
      <c r="G853" s="987"/>
      <c r="H853" s="987"/>
      <c r="I853" s="987"/>
      <c r="J853" s="987"/>
      <c r="K853" s="987"/>
      <c r="L853" s="987"/>
      <c r="M853" s="987"/>
      <c r="N853" s="987"/>
      <c r="O853" s="987"/>
      <c r="P853" s="987"/>
      <c r="Q853" s="987"/>
      <c r="R853" s="987"/>
      <c r="S853" s="987"/>
      <c r="T853" s="987"/>
      <c r="U853" s="987"/>
      <c r="V853" s="987"/>
      <c r="W853" s="987"/>
      <c r="X853" s="987"/>
      <c r="Y853" s="987"/>
      <c r="Z853" s="987"/>
    </row>
    <row r="854">
      <c r="A854" s="987"/>
      <c r="B854" s="987"/>
      <c r="C854" s="987"/>
      <c r="D854" s="987"/>
      <c r="E854" s="987"/>
      <c r="F854" s="987"/>
      <c r="G854" s="987"/>
      <c r="H854" s="987"/>
      <c r="I854" s="987"/>
      <c r="J854" s="987"/>
      <c r="K854" s="987"/>
      <c r="L854" s="987"/>
      <c r="M854" s="987"/>
      <c r="N854" s="987"/>
      <c r="O854" s="987"/>
      <c r="P854" s="987"/>
      <c r="Q854" s="987"/>
      <c r="R854" s="987"/>
      <c r="S854" s="987"/>
      <c r="T854" s="987"/>
      <c r="U854" s="987"/>
      <c r="V854" s="987"/>
      <c r="W854" s="987"/>
      <c r="X854" s="987"/>
      <c r="Y854" s="987"/>
      <c r="Z854" s="987"/>
    </row>
    <row r="855">
      <c r="A855" s="987"/>
      <c r="B855" s="987"/>
      <c r="C855" s="987"/>
      <c r="D855" s="987"/>
      <c r="E855" s="987"/>
      <c r="F855" s="987"/>
      <c r="G855" s="987"/>
      <c r="H855" s="987"/>
      <c r="I855" s="987"/>
      <c r="J855" s="987"/>
      <c r="K855" s="987"/>
      <c r="L855" s="987"/>
      <c r="M855" s="987"/>
      <c r="N855" s="987"/>
      <c r="O855" s="987"/>
      <c r="P855" s="987"/>
      <c r="Q855" s="987"/>
      <c r="R855" s="987"/>
      <c r="S855" s="987"/>
      <c r="T855" s="987"/>
      <c r="U855" s="987"/>
      <c r="V855" s="987"/>
      <c r="W855" s="987"/>
      <c r="X855" s="987"/>
      <c r="Y855" s="987"/>
      <c r="Z855" s="987"/>
    </row>
    <row r="856">
      <c r="A856" s="987"/>
      <c r="B856" s="987"/>
      <c r="C856" s="987"/>
      <c r="D856" s="987"/>
      <c r="E856" s="987"/>
      <c r="F856" s="987"/>
      <c r="G856" s="987"/>
      <c r="H856" s="987"/>
      <c r="I856" s="987"/>
      <c r="J856" s="987"/>
      <c r="K856" s="987"/>
      <c r="L856" s="987"/>
      <c r="M856" s="987"/>
      <c r="N856" s="987"/>
      <c r="O856" s="987"/>
      <c r="P856" s="987"/>
      <c r="Q856" s="987"/>
      <c r="R856" s="987"/>
      <c r="S856" s="987"/>
      <c r="T856" s="987"/>
      <c r="U856" s="987"/>
      <c r="V856" s="987"/>
      <c r="W856" s="987"/>
      <c r="X856" s="987"/>
      <c r="Y856" s="987"/>
      <c r="Z856" s="987"/>
    </row>
    <row r="857">
      <c r="A857" s="987"/>
      <c r="B857" s="987"/>
      <c r="C857" s="987"/>
      <c r="D857" s="987"/>
      <c r="E857" s="987"/>
      <c r="F857" s="987"/>
      <c r="G857" s="987"/>
      <c r="H857" s="987"/>
      <c r="I857" s="987"/>
      <c r="J857" s="987"/>
      <c r="K857" s="987"/>
      <c r="L857" s="987"/>
      <c r="M857" s="987"/>
      <c r="N857" s="987"/>
      <c r="O857" s="987"/>
      <c r="P857" s="987"/>
      <c r="Q857" s="987"/>
      <c r="R857" s="987"/>
      <c r="S857" s="987"/>
      <c r="T857" s="987"/>
      <c r="U857" s="987"/>
      <c r="V857" s="987"/>
      <c r="W857" s="987"/>
      <c r="X857" s="987"/>
      <c r="Y857" s="987"/>
      <c r="Z857" s="987"/>
    </row>
    <row r="858">
      <c r="A858" s="987"/>
      <c r="B858" s="987"/>
      <c r="C858" s="987"/>
      <c r="D858" s="987"/>
      <c r="E858" s="987"/>
      <c r="F858" s="987"/>
      <c r="G858" s="987"/>
      <c r="H858" s="987"/>
      <c r="I858" s="987"/>
      <c r="J858" s="987"/>
      <c r="K858" s="987"/>
      <c r="L858" s="987"/>
      <c r="M858" s="987"/>
      <c r="N858" s="987"/>
      <c r="O858" s="987"/>
      <c r="P858" s="987"/>
      <c r="Q858" s="987"/>
      <c r="R858" s="987"/>
      <c r="S858" s="987"/>
      <c r="T858" s="987"/>
      <c r="U858" s="987"/>
      <c r="V858" s="987"/>
      <c r="W858" s="987"/>
      <c r="X858" s="987"/>
      <c r="Y858" s="987"/>
      <c r="Z858" s="987"/>
    </row>
    <row r="859">
      <c r="A859" s="987"/>
      <c r="B859" s="987"/>
      <c r="C859" s="987"/>
      <c r="D859" s="987"/>
      <c r="E859" s="987"/>
      <c r="F859" s="987"/>
      <c r="G859" s="987"/>
      <c r="H859" s="987"/>
      <c r="I859" s="987"/>
      <c r="J859" s="987"/>
      <c r="K859" s="987"/>
      <c r="L859" s="987"/>
      <c r="M859" s="987"/>
      <c r="N859" s="987"/>
      <c r="O859" s="987"/>
      <c r="P859" s="987"/>
      <c r="Q859" s="987"/>
      <c r="R859" s="987"/>
      <c r="S859" s="987"/>
      <c r="T859" s="987"/>
      <c r="U859" s="987"/>
      <c r="V859" s="987"/>
      <c r="W859" s="987"/>
      <c r="X859" s="987"/>
      <c r="Y859" s="987"/>
      <c r="Z859" s="987"/>
    </row>
    <row r="860">
      <c r="A860" s="987"/>
      <c r="B860" s="987"/>
      <c r="C860" s="987"/>
      <c r="D860" s="987"/>
      <c r="E860" s="987"/>
      <c r="F860" s="987"/>
      <c r="G860" s="987"/>
      <c r="H860" s="987"/>
      <c r="I860" s="987"/>
      <c r="J860" s="987"/>
      <c r="K860" s="987"/>
      <c r="L860" s="987"/>
      <c r="M860" s="987"/>
      <c r="N860" s="987"/>
      <c r="O860" s="987"/>
      <c r="P860" s="987"/>
      <c r="Q860" s="987"/>
      <c r="R860" s="987"/>
      <c r="S860" s="987"/>
      <c r="T860" s="987"/>
      <c r="U860" s="987"/>
      <c r="V860" s="987"/>
      <c r="W860" s="987"/>
      <c r="X860" s="987"/>
      <c r="Y860" s="987"/>
      <c r="Z860" s="987"/>
    </row>
    <row r="861">
      <c r="A861" s="987"/>
      <c r="B861" s="987"/>
      <c r="C861" s="987"/>
      <c r="D861" s="987"/>
      <c r="E861" s="987"/>
      <c r="F861" s="987"/>
      <c r="G861" s="987"/>
      <c r="H861" s="987"/>
      <c r="I861" s="987"/>
      <c r="J861" s="987"/>
      <c r="K861" s="987"/>
      <c r="L861" s="987"/>
      <c r="M861" s="987"/>
      <c r="N861" s="987"/>
      <c r="O861" s="987"/>
      <c r="P861" s="987"/>
      <c r="Q861" s="987"/>
      <c r="R861" s="987"/>
      <c r="S861" s="987"/>
      <c r="T861" s="987"/>
      <c r="U861" s="987"/>
      <c r="V861" s="987"/>
      <c r="W861" s="987"/>
      <c r="X861" s="987"/>
      <c r="Y861" s="987"/>
      <c r="Z861" s="987"/>
    </row>
    <row r="862">
      <c r="A862" s="987"/>
      <c r="B862" s="987"/>
      <c r="C862" s="987"/>
      <c r="D862" s="987"/>
      <c r="E862" s="987"/>
      <c r="F862" s="987"/>
      <c r="G862" s="987"/>
      <c r="H862" s="987"/>
      <c r="I862" s="987"/>
      <c r="J862" s="987"/>
      <c r="K862" s="987"/>
      <c r="L862" s="987"/>
      <c r="M862" s="987"/>
      <c r="N862" s="987"/>
      <c r="O862" s="987"/>
      <c r="P862" s="987"/>
      <c r="Q862" s="987"/>
      <c r="R862" s="987"/>
      <c r="S862" s="987"/>
      <c r="T862" s="987"/>
      <c r="U862" s="987"/>
      <c r="V862" s="987"/>
      <c r="W862" s="987"/>
      <c r="X862" s="987"/>
      <c r="Y862" s="987"/>
      <c r="Z862" s="987"/>
    </row>
    <row r="863">
      <c r="A863" s="987"/>
      <c r="B863" s="987"/>
      <c r="C863" s="987"/>
      <c r="D863" s="987"/>
      <c r="E863" s="987"/>
      <c r="F863" s="987"/>
      <c r="G863" s="987"/>
      <c r="H863" s="987"/>
      <c r="I863" s="987"/>
      <c r="J863" s="987"/>
      <c r="K863" s="987"/>
      <c r="L863" s="987"/>
      <c r="M863" s="987"/>
      <c r="N863" s="987"/>
      <c r="O863" s="987"/>
      <c r="P863" s="987"/>
      <c r="Q863" s="987"/>
      <c r="R863" s="987"/>
      <c r="S863" s="987"/>
      <c r="T863" s="987"/>
      <c r="U863" s="987"/>
      <c r="V863" s="987"/>
      <c r="W863" s="987"/>
      <c r="X863" s="987"/>
      <c r="Y863" s="987"/>
      <c r="Z863" s="987"/>
    </row>
    <row r="864">
      <c r="A864" s="987"/>
      <c r="B864" s="987"/>
      <c r="C864" s="987"/>
      <c r="D864" s="987"/>
      <c r="E864" s="987"/>
      <c r="F864" s="987"/>
      <c r="G864" s="987"/>
      <c r="H864" s="987"/>
      <c r="I864" s="987"/>
      <c r="J864" s="987"/>
      <c r="K864" s="987"/>
      <c r="L864" s="987"/>
      <c r="M864" s="987"/>
      <c r="N864" s="987"/>
      <c r="O864" s="987"/>
      <c r="P864" s="987"/>
      <c r="Q864" s="987"/>
      <c r="R864" s="987"/>
      <c r="S864" s="987"/>
      <c r="T864" s="987"/>
      <c r="U864" s="987"/>
      <c r="V864" s="987"/>
      <c r="W864" s="987"/>
      <c r="X864" s="987"/>
      <c r="Y864" s="987"/>
      <c r="Z864" s="987"/>
    </row>
    <row r="865">
      <c r="A865" s="987"/>
      <c r="B865" s="987"/>
      <c r="C865" s="987"/>
      <c r="D865" s="987"/>
      <c r="E865" s="987"/>
      <c r="F865" s="987"/>
      <c r="G865" s="987"/>
      <c r="H865" s="987"/>
      <c r="I865" s="987"/>
      <c r="J865" s="987"/>
      <c r="K865" s="987"/>
      <c r="L865" s="987"/>
      <c r="M865" s="987"/>
      <c r="N865" s="987"/>
      <c r="O865" s="987"/>
      <c r="P865" s="987"/>
      <c r="Q865" s="987"/>
      <c r="R865" s="987"/>
      <c r="S865" s="987"/>
      <c r="T865" s="987"/>
      <c r="U865" s="987"/>
      <c r="V865" s="987"/>
      <c r="W865" s="987"/>
      <c r="X865" s="987"/>
      <c r="Y865" s="987"/>
      <c r="Z865" s="987"/>
    </row>
    <row r="866">
      <c r="A866" s="987"/>
      <c r="B866" s="987"/>
      <c r="C866" s="987"/>
      <c r="D866" s="987"/>
      <c r="E866" s="987"/>
      <c r="F866" s="987"/>
      <c r="G866" s="987"/>
      <c r="H866" s="987"/>
      <c r="I866" s="987"/>
      <c r="J866" s="987"/>
      <c r="K866" s="987"/>
      <c r="L866" s="987"/>
      <c r="M866" s="987"/>
      <c r="N866" s="987"/>
      <c r="O866" s="987"/>
      <c r="P866" s="987"/>
      <c r="Q866" s="987"/>
      <c r="R866" s="987"/>
      <c r="S866" s="987"/>
      <c r="T866" s="987"/>
      <c r="U866" s="987"/>
      <c r="V866" s="987"/>
      <c r="W866" s="987"/>
      <c r="X866" s="987"/>
      <c r="Y866" s="987"/>
      <c r="Z866" s="987"/>
    </row>
    <row r="867">
      <c r="A867" s="987"/>
      <c r="B867" s="987"/>
      <c r="C867" s="987"/>
      <c r="D867" s="987"/>
      <c r="E867" s="987"/>
      <c r="F867" s="987"/>
      <c r="G867" s="987"/>
      <c r="H867" s="987"/>
      <c r="I867" s="987"/>
      <c r="J867" s="987"/>
      <c r="K867" s="987"/>
      <c r="L867" s="987"/>
      <c r="M867" s="987"/>
      <c r="N867" s="987"/>
      <c r="O867" s="987"/>
      <c r="P867" s="987"/>
      <c r="Q867" s="987"/>
      <c r="R867" s="987"/>
      <c r="S867" s="987"/>
      <c r="T867" s="987"/>
      <c r="U867" s="987"/>
      <c r="V867" s="987"/>
      <c r="W867" s="987"/>
      <c r="X867" s="987"/>
      <c r="Y867" s="987"/>
      <c r="Z867" s="987"/>
    </row>
    <row r="868">
      <c r="A868" s="987"/>
      <c r="B868" s="987"/>
      <c r="C868" s="987"/>
      <c r="D868" s="987"/>
      <c r="E868" s="987"/>
      <c r="F868" s="987"/>
      <c r="G868" s="987"/>
      <c r="H868" s="987"/>
      <c r="I868" s="987"/>
      <c r="J868" s="987"/>
      <c r="K868" s="987"/>
      <c r="L868" s="987"/>
      <c r="M868" s="987"/>
      <c r="N868" s="987"/>
      <c r="O868" s="987"/>
      <c r="P868" s="987"/>
      <c r="Q868" s="987"/>
      <c r="R868" s="987"/>
      <c r="S868" s="987"/>
      <c r="T868" s="987"/>
      <c r="U868" s="987"/>
      <c r="V868" s="987"/>
      <c r="W868" s="987"/>
      <c r="X868" s="987"/>
      <c r="Y868" s="987"/>
      <c r="Z868" s="987"/>
    </row>
    <row r="869">
      <c r="A869" s="987"/>
      <c r="B869" s="987"/>
      <c r="C869" s="987"/>
      <c r="D869" s="987"/>
      <c r="E869" s="987"/>
      <c r="F869" s="987"/>
      <c r="G869" s="987"/>
      <c r="H869" s="987"/>
      <c r="I869" s="987"/>
      <c r="J869" s="987"/>
      <c r="K869" s="987"/>
      <c r="L869" s="987"/>
      <c r="M869" s="987"/>
      <c r="N869" s="987"/>
      <c r="O869" s="987"/>
      <c r="P869" s="987"/>
      <c r="Q869" s="987"/>
      <c r="R869" s="987"/>
      <c r="S869" s="987"/>
      <c r="T869" s="987"/>
      <c r="U869" s="987"/>
      <c r="V869" s="987"/>
      <c r="W869" s="987"/>
      <c r="X869" s="987"/>
      <c r="Y869" s="987"/>
      <c r="Z869" s="987"/>
    </row>
    <row r="870">
      <c r="A870" s="987"/>
      <c r="B870" s="987"/>
      <c r="C870" s="987"/>
      <c r="D870" s="987"/>
      <c r="E870" s="987"/>
      <c r="F870" s="987"/>
      <c r="G870" s="987"/>
      <c r="H870" s="987"/>
      <c r="I870" s="987"/>
      <c r="J870" s="987"/>
      <c r="K870" s="987"/>
      <c r="L870" s="987"/>
      <c r="M870" s="987"/>
      <c r="N870" s="987"/>
      <c r="O870" s="987"/>
      <c r="P870" s="987"/>
      <c r="Q870" s="987"/>
      <c r="R870" s="987"/>
      <c r="S870" s="987"/>
      <c r="T870" s="987"/>
      <c r="U870" s="987"/>
      <c r="V870" s="987"/>
      <c r="W870" s="987"/>
      <c r="X870" s="987"/>
      <c r="Y870" s="987"/>
      <c r="Z870" s="987"/>
    </row>
    <row r="871">
      <c r="A871" s="987"/>
      <c r="B871" s="987"/>
      <c r="C871" s="987"/>
      <c r="D871" s="987"/>
      <c r="E871" s="987"/>
      <c r="F871" s="987"/>
      <c r="G871" s="987"/>
      <c r="H871" s="987"/>
      <c r="I871" s="987"/>
      <c r="J871" s="987"/>
      <c r="K871" s="987"/>
      <c r="L871" s="987"/>
      <c r="M871" s="987"/>
      <c r="N871" s="987"/>
      <c r="O871" s="987"/>
      <c r="P871" s="987"/>
      <c r="Q871" s="987"/>
      <c r="R871" s="987"/>
      <c r="S871" s="987"/>
      <c r="T871" s="987"/>
      <c r="U871" s="987"/>
      <c r="V871" s="987"/>
      <c r="W871" s="987"/>
      <c r="X871" s="987"/>
      <c r="Y871" s="987"/>
      <c r="Z871" s="987"/>
    </row>
    <row r="872">
      <c r="A872" s="987"/>
      <c r="B872" s="987"/>
      <c r="C872" s="987"/>
      <c r="D872" s="987"/>
      <c r="E872" s="987"/>
      <c r="F872" s="987"/>
      <c r="G872" s="987"/>
      <c r="H872" s="987"/>
      <c r="I872" s="987"/>
      <c r="J872" s="987"/>
      <c r="K872" s="987"/>
      <c r="L872" s="987"/>
      <c r="M872" s="987"/>
      <c r="N872" s="987"/>
      <c r="O872" s="987"/>
      <c r="P872" s="987"/>
      <c r="Q872" s="987"/>
      <c r="R872" s="987"/>
      <c r="S872" s="987"/>
      <c r="T872" s="987"/>
      <c r="U872" s="987"/>
      <c r="V872" s="987"/>
      <c r="W872" s="987"/>
      <c r="X872" s="987"/>
      <c r="Y872" s="987"/>
      <c r="Z872" s="987"/>
    </row>
    <row r="873">
      <c r="A873" s="987"/>
      <c r="B873" s="987"/>
      <c r="C873" s="987"/>
      <c r="D873" s="987"/>
      <c r="E873" s="987"/>
      <c r="F873" s="987"/>
      <c r="G873" s="987"/>
      <c r="H873" s="987"/>
      <c r="I873" s="987"/>
      <c r="J873" s="987"/>
      <c r="K873" s="987"/>
      <c r="L873" s="987"/>
      <c r="M873" s="987"/>
      <c r="N873" s="987"/>
      <c r="O873" s="987"/>
      <c r="P873" s="987"/>
      <c r="Q873" s="987"/>
      <c r="R873" s="987"/>
      <c r="S873" s="987"/>
      <c r="T873" s="987"/>
      <c r="U873" s="987"/>
      <c r="V873" s="987"/>
      <c r="W873" s="987"/>
      <c r="X873" s="987"/>
      <c r="Y873" s="987"/>
      <c r="Z873" s="987"/>
    </row>
    <row r="874">
      <c r="A874" s="987"/>
      <c r="B874" s="987"/>
      <c r="C874" s="987"/>
      <c r="D874" s="987"/>
      <c r="E874" s="987"/>
      <c r="F874" s="987"/>
      <c r="G874" s="987"/>
      <c r="H874" s="987"/>
      <c r="I874" s="987"/>
      <c r="J874" s="987"/>
      <c r="K874" s="987"/>
      <c r="L874" s="987"/>
      <c r="M874" s="987"/>
      <c r="N874" s="987"/>
      <c r="O874" s="987"/>
      <c r="P874" s="987"/>
      <c r="Q874" s="987"/>
      <c r="R874" s="987"/>
      <c r="S874" s="987"/>
      <c r="T874" s="987"/>
      <c r="U874" s="987"/>
      <c r="V874" s="987"/>
      <c r="W874" s="987"/>
      <c r="X874" s="987"/>
      <c r="Y874" s="987"/>
      <c r="Z874" s="987"/>
    </row>
    <row r="875">
      <c r="A875" s="987"/>
      <c r="B875" s="987"/>
      <c r="C875" s="987"/>
      <c r="D875" s="987"/>
      <c r="E875" s="987"/>
      <c r="F875" s="987"/>
      <c r="G875" s="987"/>
      <c r="H875" s="987"/>
      <c r="I875" s="987"/>
      <c r="J875" s="987"/>
      <c r="K875" s="987"/>
      <c r="L875" s="987"/>
      <c r="M875" s="987"/>
      <c r="N875" s="987"/>
      <c r="O875" s="987"/>
      <c r="P875" s="987"/>
      <c r="Q875" s="987"/>
      <c r="R875" s="987"/>
      <c r="S875" s="987"/>
      <c r="T875" s="987"/>
      <c r="U875" s="987"/>
      <c r="V875" s="987"/>
      <c r="W875" s="987"/>
      <c r="X875" s="987"/>
      <c r="Y875" s="987"/>
      <c r="Z875" s="987"/>
    </row>
    <row r="876">
      <c r="A876" s="987"/>
      <c r="B876" s="987"/>
      <c r="C876" s="987"/>
      <c r="D876" s="987"/>
      <c r="E876" s="987"/>
      <c r="F876" s="987"/>
      <c r="G876" s="987"/>
      <c r="H876" s="987"/>
      <c r="I876" s="987"/>
      <c r="J876" s="987"/>
      <c r="K876" s="987"/>
      <c r="L876" s="987"/>
      <c r="M876" s="987"/>
      <c r="N876" s="987"/>
      <c r="O876" s="987"/>
      <c r="P876" s="987"/>
      <c r="Q876" s="987"/>
      <c r="R876" s="987"/>
      <c r="S876" s="987"/>
      <c r="T876" s="987"/>
      <c r="U876" s="987"/>
      <c r="V876" s="987"/>
      <c r="W876" s="987"/>
      <c r="X876" s="987"/>
      <c r="Y876" s="987"/>
      <c r="Z876" s="987"/>
    </row>
    <row r="877">
      <c r="A877" s="987"/>
      <c r="B877" s="987"/>
      <c r="C877" s="987"/>
      <c r="D877" s="987"/>
      <c r="E877" s="987"/>
      <c r="F877" s="987"/>
      <c r="G877" s="987"/>
      <c r="H877" s="987"/>
      <c r="I877" s="987"/>
      <c r="J877" s="987"/>
      <c r="K877" s="987"/>
      <c r="L877" s="987"/>
      <c r="M877" s="987"/>
      <c r="N877" s="987"/>
      <c r="O877" s="987"/>
      <c r="P877" s="987"/>
      <c r="Q877" s="987"/>
      <c r="R877" s="987"/>
      <c r="S877" s="987"/>
      <c r="T877" s="987"/>
      <c r="U877" s="987"/>
      <c r="V877" s="987"/>
      <c r="W877" s="987"/>
      <c r="X877" s="987"/>
      <c r="Y877" s="987"/>
      <c r="Z877" s="987"/>
    </row>
    <row r="878">
      <c r="A878" s="987"/>
      <c r="B878" s="987"/>
      <c r="C878" s="987"/>
      <c r="D878" s="987"/>
      <c r="E878" s="987"/>
      <c r="F878" s="987"/>
      <c r="G878" s="987"/>
      <c r="H878" s="987"/>
      <c r="I878" s="987"/>
      <c r="J878" s="987"/>
      <c r="K878" s="987"/>
      <c r="L878" s="987"/>
      <c r="M878" s="987"/>
      <c r="N878" s="987"/>
      <c r="O878" s="987"/>
      <c r="P878" s="987"/>
      <c r="Q878" s="987"/>
      <c r="R878" s="987"/>
      <c r="S878" s="987"/>
      <c r="T878" s="987"/>
      <c r="U878" s="987"/>
      <c r="V878" s="987"/>
      <c r="W878" s="987"/>
      <c r="X878" s="987"/>
      <c r="Y878" s="987"/>
      <c r="Z878" s="987"/>
    </row>
    <row r="879">
      <c r="A879" s="987"/>
      <c r="B879" s="987"/>
      <c r="C879" s="987"/>
      <c r="D879" s="987"/>
      <c r="E879" s="987"/>
      <c r="F879" s="987"/>
      <c r="G879" s="987"/>
      <c r="H879" s="987"/>
      <c r="I879" s="987"/>
      <c r="J879" s="987"/>
      <c r="K879" s="987"/>
      <c r="L879" s="987"/>
      <c r="M879" s="987"/>
      <c r="N879" s="987"/>
      <c r="O879" s="987"/>
      <c r="P879" s="987"/>
      <c r="Q879" s="987"/>
      <c r="R879" s="987"/>
      <c r="S879" s="987"/>
      <c r="T879" s="987"/>
      <c r="U879" s="987"/>
      <c r="V879" s="987"/>
      <c r="W879" s="987"/>
      <c r="X879" s="987"/>
      <c r="Y879" s="987"/>
      <c r="Z879" s="987"/>
    </row>
    <row r="880">
      <c r="A880" s="987"/>
      <c r="B880" s="987"/>
      <c r="C880" s="987"/>
      <c r="D880" s="987"/>
      <c r="E880" s="987"/>
      <c r="F880" s="987"/>
      <c r="G880" s="987"/>
      <c r="H880" s="987"/>
      <c r="I880" s="987"/>
      <c r="J880" s="987"/>
      <c r="K880" s="987"/>
      <c r="L880" s="987"/>
      <c r="M880" s="987"/>
      <c r="N880" s="987"/>
      <c r="O880" s="987"/>
      <c r="P880" s="987"/>
      <c r="Q880" s="987"/>
      <c r="R880" s="987"/>
      <c r="S880" s="987"/>
      <c r="T880" s="987"/>
      <c r="U880" s="987"/>
      <c r="V880" s="987"/>
      <c r="W880" s="987"/>
      <c r="X880" s="987"/>
      <c r="Y880" s="987"/>
      <c r="Z880" s="987"/>
    </row>
    <row r="881">
      <c r="A881" s="987"/>
      <c r="B881" s="987"/>
      <c r="C881" s="987"/>
      <c r="D881" s="987"/>
      <c r="E881" s="987"/>
      <c r="F881" s="987"/>
      <c r="G881" s="987"/>
      <c r="H881" s="987"/>
      <c r="I881" s="987"/>
      <c r="J881" s="987"/>
      <c r="K881" s="987"/>
      <c r="L881" s="987"/>
      <c r="M881" s="987"/>
      <c r="N881" s="987"/>
      <c r="O881" s="987"/>
      <c r="P881" s="987"/>
      <c r="Q881" s="987"/>
      <c r="R881" s="987"/>
      <c r="S881" s="987"/>
      <c r="T881" s="987"/>
      <c r="U881" s="987"/>
      <c r="V881" s="987"/>
      <c r="W881" s="987"/>
      <c r="X881" s="987"/>
      <c r="Y881" s="987"/>
      <c r="Z881" s="987"/>
    </row>
    <row r="882">
      <c r="A882" s="987"/>
      <c r="B882" s="987"/>
      <c r="C882" s="987"/>
      <c r="D882" s="987"/>
      <c r="E882" s="987"/>
      <c r="F882" s="987"/>
      <c r="G882" s="987"/>
      <c r="H882" s="987"/>
      <c r="I882" s="987"/>
      <c r="J882" s="987"/>
      <c r="K882" s="987"/>
      <c r="L882" s="987"/>
      <c r="M882" s="987"/>
      <c r="N882" s="987"/>
      <c r="O882" s="987"/>
      <c r="P882" s="987"/>
      <c r="Q882" s="987"/>
      <c r="R882" s="987"/>
      <c r="S882" s="987"/>
      <c r="T882" s="987"/>
      <c r="U882" s="987"/>
      <c r="V882" s="987"/>
      <c r="W882" s="987"/>
      <c r="X882" s="987"/>
      <c r="Y882" s="987"/>
      <c r="Z882" s="987"/>
    </row>
    <row r="883">
      <c r="A883" s="987"/>
      <c r="B883" s="987"/>
      <c r="C883" s="987"/>
      <c r="D883" s="987"/>
      <c r="E883" s="987"/>
      <c r="F883" s="987"/>
      <c r="G883" s="987"/>
      <c r="H883" s="987"/>
      <c r="I883" s="987"/>
      <c r="J883" s="987"/>
      <c r="K883" s="987"/>
      <c r="L883" s="987"/>
      <c r="M883" s="987"/>
      <c r="N883" s="987"/>
      <c r="O883" s="987"/>
      <c r="P883" s="987"/>
      <c r="Q883" s="987"/>
      <c r="R883" s="987"/>
      <c r="S883" s="987"/>
      <c r="T883" s="987"/>
      <c r="U883" s="987"/>
      <c r="V883" s="987"/>
      <c r="W883" s="987"/>
      <c r="X883" s="987"/>
      <c r="Y883" s="987"/>
      <c r="Z883" s="987"/>
    </row>
    <row r="884">
      <c r="A884" s="987"/>
      <c r="B884" s="987"/>
      <c r="C884" s="987"/>
      <c r="D884" s="987"/>
      <c r="E884" s="987"/>
      <c r="F884" s="987"/>
      <c r="G884" s="987"/>
      <c r="H884" s="987"/>
      <c r="I884" s="987"/>
      <c r="J884" s="987"/>
      <c r="K884" s="987"/>
      <c r="L884" s="987"/>
      <c r="M884" s="987"/>
      <c r="N884" s="987"/>
      <c r="O884" s="987"/>
      <c r="P884" s="987"/>
      <c r="Q884" s="987"/>
      <c r="R884" s="987"/>
      <c r="S884" s="987"/>
      <c r="T884" s="987"/>
      <c r="U884" s="987"/>
      <c r="V884" s="987"/>
      <c r="W884" s="987"/>
      <c r="X884" s="987"/>
      <c r="Y884" s="987"/>
      <c r="Z884" s="987"/>
    </row>
    <row r="885">
      <c r="A885" s="987"/>
      <c r="B885" s="987"/>
      <c r="C885" s="987"/>
      <c r="D885" s="987"/>
      <c r="E885" s="987"/>
      <c r="F885" s="987"/>
      <c r="G885" s="987"/>
      <c r="H885" s="987"/>
      <c r="I885" s="987"/>
      <c r="J885" s="987"/>
      <c r="K885" s="987"/>
      <c r="L885" s="987"/>
      <c r="M885" s="987"/>
      <c r="N885" s="987"/>
      <c r="O885" s="987"/>
      <c r="P885" s="987"/>
      <c r="Q885" s="987"/>
      <c r="R885" s="987"/>
      <c r="S885" s="987"/>
      <c r="T885" s="987"/>
      <c r="U885" s="987"/>
      <c r="V885" s="987"/>
      <c r="W885" s="987"/>
      <c r="X885" s="987"/>
      <c r="Y885" s="987"/>
      <c r="Z885" s="987"/>
    </row>
    <row r="886">
      <c r="A886" s="987"/>
      <c r="B886" s="987"/>
      <c r="C886" s="987"/>
      <c r="D886" s="987"/>
      <c r="E886" s="987"/>
      <c r="F886" s="987"/>
      <c r="G886" s="987"/>
      <c r="H886" s="987"/>
      <c r="I886" s="987"/>
      <c r="J886" s="987"/>
      <c r="K886" s="987"/>
      <c r="L886" s="987"/>
      <c r="M886" s="987"/>
      <c r="N886" s="987"/>
      <c r="O886" s="987"/>
      <c r="P886" s="987"/>
      <c r="Q886" s="987"/>
      <c r="R886" s="987"/>
      <c r="S886" s="987"/>
      <c r="T886" s="987"/>
      <c r="U886" s="987"/>
      <c r="V886" s="987"/>
      <c r="W886" s="987"/>
      <c r="X886" s="987"/>
      <c r="Y886" s="987"/>
      <c r="Z886" s="987"/>
    </row>
    <row r="887">
      <c r="A887" s="987"/>
      <c r="B887" s="987"/>
      <c r="C887" s="987"/>
      <c r="D887" s="987"/>
      <c r="E887" s="987"/>
      <c r="F887" s="987"/>
      <c r="G887" s="987"/>
      <c r="H887" s="987"/>
      <c r="I887" s="987"/>
      <c r="J887" s="987"/>
      <c r="K887" s="987"/>
      <c r="L887" s="987"/>
      <c r="M887" s="987"/>
      <c r="N887" s="987"/>
      <c r="O887" s="987"/>
      <c r="P887" s="987"/>
      <c r="Q887" s="987"/>
      <c r="R887" s="987"/>
      <c r="S887" s="987"/>
      <c r="T887" s="987"/>
      <c r="U887" s="987"/>
      <c r="V887" s="987"/>
      <c r="W887" s="987"/>
      <c r="X887" s="987"/>
      <c r="Y887" s="987"/>
      <c r="Z887" s="987"/>
    </row>
    <row r="888">
      <c r="A888" s="987"/>
      <c r="B888" s="987"/>
      <c r="C888" s="987"/>
      <c r="D888" s="987"/>
      <c r="E888" s="987"/>
      <c r="F888" s="987"/>
      <c r="G888" s="987"/>
      <c r="H888" s="987"/>
      <c r="I888" s="987"/>
      <c r="J888" s="987"/>
      <c r="K888" s="987"/>
      <c r="L888" s="987"/>
      <c r="M888" s="987"/>
      <c r="N888" s="987"/>
      <c r="O888" s="987"/>
      <c r="P888" s="987"/>
      <c r="Q888" s="987"/>
      <c r="R888" s="987"/>
      <c r="S888" s="987"/>
      <c r="T888" s="987"/>
      <c r="U888" s="987"/>
      <c r="V888" s="987"/>
      <c r="W888" s="987"/>
      <c r="X888" s="987"/>
      <c r="Y888" s="987"/>
      <c r="Z888" s="987"/>
    </row>
    <row r="889">
      <c r="A889" s="987"/>
      <c r="B889" s="987"/>
      <c r="C889" s="987"/>
      <c r="D889" s="987"/>
      <c r="E889" s="987"/>
      <c r="F889" s="987"/>
      <c r="G889" s="987"/>
      <c r="H889" s="987"/>
      <c r="I889" s="987"/>
      <c r="J889" s="987"/>
      <c r="K889" s="987"/>
      <c r="L889" s="987"/>
      <c r="M889" s="987"/>
      <c r="N889" s="987"/>
      <c r="O889" s="987"/>
      <c r="P889" s="987"/>
      <c r="Q889" s="987"/>
      <c r="R889" s="987"/>
      <c r="S889" s="987"/>
      <c r="T889" s="987"/>
      <c r="U889" s="987"/>
      <c r="V889" s="987"/>
      <c r="W889" s="987"/>
      <c r="X889" s="987"/>
      <c r="Y889" s="987"/>
      <c r="Z889" s="987"/>
    </row>
    <row r="890">
      <c r="A890" s="987"/>
      <c r="B890" s="987"/>
      <c r="C890" s="987"/>
      <c r="D890" s="987"/>
      <c r="E890" s="987"/>
      <c r="F890" s="987"/>
      <c r="G890" s="987"/>
      <c r="H890" s="987"/>
      <c r="I890" s="987"/>
      <c r="J890" s="987"/>
      <c r="K890" s="987"/>
      <c r="L890" s="987"/>
      <c r="M890" s="987"/>
      <c r="N890" s="987"/>
      <c r="O890" s="987"/>
      <c r="P890" s="987"/>
      <c r="Q890" s="987"/>
      <c r="R890" s="987"/>
      <c r="S890" s="987"/>
      <c r="T890" s="987"/>
      <c r="U890" s="987"/>
      <c r="V890" s="987"/>
      <c r="W890" s="987"/>
      <c r="X890" s="987"/>
      <c r="Y890" s="987"/>
      <c r="Z890" s="987"/>
    </row>
    <row r="891">
      <c r="A891" s="987"/>
      <c r="B891" s="987"/>
      <c r="C891" s="987"/>
      <c r="D891" s="987"/>
      <c r="E891" s="987"/>
      <c r="F891" s="987"/>
      <c r="G891" s="987"/>
      <c r="H891" s="987"/>
      <c r="I891" s="987"/>
      <c r="J891" s="987"/>
      <c r="K891" s="987"/>
      <c r="L891" s="987"/>
      <c r="M891" s="987"/>
      <c r="N891" s="987"/>
      <c r="O891" s="987"/>
      <c r="P891" s="987"/>
      <c r="Q891" s="987"/>
      <c r="R891" s="987"/>
      <c r="S891" s="987"/>
      <c r="T891" s="987"/>
      <c r="U891" s="987"/>
      <c r="V891" s="987"/>
      <c r="W891" s="987"/>
      <c r="X891" s="987"/>
      <c r="Y891" s="987"/>
      <c r="Z891" s="987"/>
    </row>
    <row r="892">
      <c r="A892" s="987"/>
      <c r="B892" s="987"/>
      <c r="C892" s="987"/>
      <c r="D892" s="987"/>
      <c r="E892" s="987"/>
      <c r="F892" s="987"/>
      <c r="G892" s="987"/>
      <c r="H892" s="987"/>
      <c r="I892" s="987"/>
      <c r="J892" s="987"/>
      <c r="K892" s="987"/>
      <c r="L892" s="987"/>
      <c r="M892" s="987"/>
      <c r="N892" s="987"/>
      <c r="O892" s="987"/>
      <c r="P892" s="987"/>
      <c r="Q892" s="987"/>
      <c r="R892" s="987"/>
      <c r="S892" s="987"/>
      <c r="T892" s="987"/>
      <c r="U892" s="987"/>
      <c r="V892" s="987"/>
      <c r="W892" s="987"/>
      <c r="X892" s="987"/>
      <c r="Y892" s="987"/>
      <c r="Z892" s="987"/>
    </row>
    <row r="893">
      <c r="A893" s="987"/>
      <c r="B893" s="987"/>
      <c r="C893" s="987"/>
      <c r="D893" s="987"/>
      <c r="E893" s="987"/>
      <c r="F893" s="987"/>
      <c r="G893" s="987"/>
      <c r="H893" s="987"/>
      <c r="I893" s="987"/>
      <c r="J893" s="987"/>
      <c r="K893" s="987"/>
      <c r="L893" s="987"/>
      <c r="M893" s="987"/>
      <c r="N893" s="987"/>
      <c r="O893" s="987"/>
      <c r="P893" s="987"/>
      <c r="Q893" s="987"/>
      <c r="R893" s="987"/>
      <c r="S893" s="987"/>
      <c r="T893" s="987"/>
      <c r="U893" s="987"/>
      <c r="V893" s="987"/>
      <c r="W893" s="987"/>
      <c r="X893" s="987"/>
      <c r="Y893" s="987"/>
      <c r="Z893" s="987"/>
    </row>
    <row r="894">
      <c r="A894" s="987"/>
      <c r="B894" s="987"/>
      <c r="C894" s="987"/>
      <c r="D894" s="987"/>
      <c r="E894" s="987"/>
      <c r="F894" s="987"/>
      <c r="G894" s="987"/>
      <c r="H894" s="987"/>
      <c r="I894" s="987"/>
      <c r="J894" s="987"/>
      <c r="K894" s="987"/>
      <c r="L894" s="987"/>
      <c r="M894" s="987"/>
      <c r="N894" s="987"/>
      <c r="O894" s="987"/>
      <c r="P894" s="987"/>
      <c r="Q894" s="987"/>
      <c r="R894" s="987"/>
      <c r="S894" s="987"/>
      <c r="T894" s="987"/>
      <c r="U894" s="987"/>
      <c r="V894" s="987"/>
      <c r="W894" s="987"/>
      <c r="X894" s="987"/>
      <c r="Y894" s="987"/>
      <c r="Z894" s="987"/>
    </row>
    <row r="895">
      <c r="A895" s="987"/>
      <c r="B895" s="987"/>
      <c r="C895" s="987"/>
      <c r="D895" s="987"/>
      <c r="E895" s="987"/>
      <c r="F895" s="987"/>
      <c r="G895" s="987"/>
      <c r="H895" s="987"/>
      <c r="I895" s="987"/>
      <c r="J895" s="987"/>
      <c r="K895" s="987"/>
      <c r="L895" s="987"/>
      <c r="M895" s="987"/>
      <c r="N895" s="987"/>
      <c r="O895" s="987"/>
      <c r="P895" s="987"/>
      <c r="Q895" s="987"/>
      <c r="R895" s="987"/>
      <c r="S895" s="987"/>
      <c r="T895" s="987"/>
      <c r="U895" s="987"/>
      <c r="V895" s="987"/>
      <c r="W895" s="987"/>
      <c r="X895" s="987"/>
      <c r="Y895" s="987"/>
      <c r="Z895" s="987"/>
    </row>
    <row r="896">
      <c r="A896" s="987"/>
      <c r="B896" s="987"/>
      <c r="C896" s="987"/>
      <c r="D896" s="987"/>
      <c r="E896" s="987"/>
      <c r="F896" s="987"/>
      <c r="G896" s="987"/>
      <c r="H896" s="987"/>
      <c r="I896" s="987"/>
      <c r="J896" s="987"/>
      <c r="K896" s="987"/>
      <c r="L896" s="987"/>
      <c r="M896" s="987"/>
      <c r="N896" s="987"/>
      <c r="O896" s="987"/>
      <c r="P896" s="987"/>
      <c r="Q896" s="987"/>
      <c r="R896" s="987"/>
      <c r="S896" s="987"/>
      <c r="T896" s="987"/>
      <c r="U896" s="987"/>
      <c r="V896" s="987"/>
      <c r="W896" s="987"/>
      <c r="X896" s="987"/>
      <c r="Y896" s="987"/>
      <c r="Z896" s="987"/>
    </row>
    <row r="897">
      <c r="A897" s="987"/>
      <c r="B897" s="987"/>
      <c r="C897" s="987"/>
      <c r="D897" s="987"/>
      <c r="E897" s="987"/>
      <c r="F897" s="987"/>
      <c r="G897" s="987"/>
      <c r="H897" s="987"/>
      <c r="I897" s="987"/>
      <c r="J897" s="987"/>
      <c r="K897" s="987"/>
      <c r="L897" s="987"/>
      <c r="M897" s="987"/>
      <c r="N897" s="987"/>
      <c r="O897" s="987"/>
      <c r="P897" s="987"/>
      <c r="Q897" s="987"/>
      <c r="R897" s="987"/>
      <c r="S897" s="987"/>
      <c r="T897" s="987"/>
      <c r="U897" s="987"/>
      <c r="V897" s="987"/>
      <c r="W897" s="987"/>
      <c r="X897" s="987"/>
      <c r="Y897" s="987"/>
      <c r="Z897" s="987"/>
    </row>
    <row r="898">
      <c r="A898" s="987"/>
      <c r="B898" s="987"/>
      <c r="C898" s="987"/>
      <c r="D898" s="987"/>
      <c r="E898" s="987"/>
      <c r="F898" s="987"/>
      <c r="G898" s="987"/>
      <c r="H898" s="987"/>
      <c r="I898" s="987"/>
      <c r="J898" s="987"/>
      <c r="K898" s="987"/>
      <c r="L898" s="987"/>
      <c r="M898" s="987"/>
      <c r="N898" s="987"/>
      <c r="O898" s="987"/>
      <c r="P898" s="987"/>
      <c r="Q898" s="987"/>
      <c r="R898" s="987"/>
      <c r="S898" s="987"/>
      <c r="T898" s="987"/>
      <c r="U898" s="987"/>
      <c r="V898" s="987"/>
      <c r="W898" s="987"/>
      <c r="X898" s="987"/>
      <c r="Y898" s="987"/>
      <c r="Z898" s="987"/>
    </row>
    <row r="899">
      <c r="A899" s="987"/>
      <c r="B899" s="987"/>
      <c r="C899" s="987"/>
      <c r="D899" s="987"/>
      <c r="E899" s="987"/>
      <c r="F899" s="987"/>
      <c r="G899" s="987"/>
      <c r="H899" s="987"/>
      <c r="I899" s="987"/>
      <c r="J899" s="987"/>
      <c r="K899" s="987"/>
      <c r="L899" s="987"/>
      <c r="M899" s="987"/>
      <c r="N899" s="987"/>
      <c r="O899" s="987"/>
      <c r="P899" s="987"/>
      <c r="Q899" s="987"/>
      <c r="R899" s="987"/>
      <c r="S899" s="987"/>
      <c r="T899" s="987"/>
      <c r="U899" s="987"/>
      <c r="V899" s="987"/>
      <c r="W899" s="987"/>
      <c r="X899" s="987"/>
      <c r="Y899" s="987"/>
      <c r="Z899" s="987"/>
    </row>
    <row r="900">
      <c r="A900" s="987"/>
      <c r="B900" s="987"/>
      <c r="C900" s="987"/>
      <c r="D900" s="987"/>
      <c r="E900" s="987"/>
      <c r="F900" s="987"/>
      <c r="G900" s="987"/>
      <c r="H900" s="987"/>
      <c r="I900" s="987"/>
      <c r="J900" s="987"/>
      <c r="K900" s="987"/>
      <c r="L900" s="987"/>
      <c r="M900" s="987"/>
      <c r="N900" s="987"/>
      <c r="O900" s="987"/>
      <c r="P900" s="987"/>
      <c r="Q900" s="987"/>
      <c r="R900" s="987"/>
      <c r="S900" s="987"/>
      <c r="T900" s="987"/>
      <c r="U900" s="987"/>
      <c r="V900" s="987"/>
      <c r="W900" s="987"/>
      <c r="X900" s="987"/>
      <c r="Y900" s="987"/>
      <c r="Z900" s="987"/>
    </row>
    <row r="901">
      <c r="A901" s="987"/>
      <c r="B901" s="987"/>
      <c r="C901" s="987"/>
      <c r="D901" s="987"/>
      <c r="E901" s="987"/>
      <c r="F901" s="987"/>
      <c r="G901" s="987"/>
      <c r="H901" s="987"/>
      <c r="I901" s="987"/>
      <c r="J901" s="987"/>
      <c r="K901" s="987"/>
      <c r="L901" s="987"/>
      <c r="M901" s="987"/>
      <c r="N901" s="987"/>
      <c r="O901" s="987"/>
      <c r="P901" s="987"/>
      <c r="Q901" s="987"/>
      <c r="R901" s="987"/>
      <c r="S901" s="987"/>
      <c r="T901" s="987"/>
      <c r="U901" s="987"/>
      <c r="V901" s="987"/>
      <c r="W901" s="987"/>
      <c r="X901" s="987"/>
      <c r="Y901" s="987"/>
      <c r="Z901" s="987"/>
    </row>
    <row r="902">
      <c r="A902" s="987"/>
      <c r="B902" s="987"/>
      <c r="C902" s="987"/>
      <c r="D902" s="987"/>
      <c r="E902" s="987"/>
      <c r="F902" s="987"/>
      <c r="G902" s="987"/>
      <c r="H902" s="987"/>
      <c r="I902" s="987"/>
      <c r="J902" s="987"/>
      <c r="K902" s="987"/>
      <c r="L902" s="987"/>
      <c r="M902" s="987"/>
      <c r="N902" s="987"/>
      <c r="O902" s="987"/>
      <c r="P902" s="987"/>
      <c r="Q902" s="987"/>
      <c r="R902" s="987"/>
      <c r="S902" s="987"/>
      <c r="T902" s="987"/>
      <c r="U902" s="987"/>
      <c r="V902" s="987"/>
      <c r="W902" s="987"/>
      <c r="X902" s="987"/>
      <c r="Y902" s="987"/>
      <c r="Z902" s="987"/>
    </row>
    <row r="903">
      <c r="A903" s="987"/>
      <c r="B903" s="987"/>
      <c r="C903" s="987"/>
      <c r="D903" s="987"/>
      <c r="E903" s="987"/>
      <c r="F903" s="987"/>
      <c r="G903" s="987"/>
      <c r="H903" s="987"/>
      <c r="I903" s="987"/>
      <c r="J903" s="987"/>
      <c r="K903" s="987"/>
      <c r="L903" s="987"/>
      <c r="M903" s="987"/>
      <c r="N903" s="987"/>
      <c r="O903" s="987"/>
      <c r="P903" s="987"/>
      <c r="Q903" s="987"/>
      <c r="R903" s="987"/>
      <c r="S903" s="987"/>
      <c r="T903" s="987"/>
      <c r="U903" s="987"/>
      <c r="V903" s="987"/>
      <c r="W903" s="987"/>
      <c r="X903" s="987"/>
      <c r="Y903" s="987"/>
      <c r="Z903" s="987"/>
    </row>
    <row r="904">
      <c r="A904" s="987"/>
      <c r="B904" s="987"/>
      <c r="C904" s="987"/>
      <c r="D904" s="987"/>
      <c r="E904" s="987"/>
      <c r="F904" s="987"/>
      <c r="G904" s="987"/>
      <c r="H904" s="987"/>
      <c r="I904" s="987"/>
      <c r="J904" s="987"/>
      <c r="K904" s="987"/>
      <c r="L904" s="987"/>
      <c r="M904" s="987"/>
      <c r="N904" s="987"/>
      <c r="O904" s="987"/>
      <c r="P904" s="987"/>
      <c r="Q904" s="987"/>
      <c r="R904" s="987"/>
      <c r="S904" s="987"/>
      <c r="T904" s="987"/>
      <c r="U904" s="987"/>
      <c r="V904" s="987"/>
      <c r="W904" s="987"/>
      <c r="X904" s="987"/>
      <c r="Y904" s="987"/>
      <c r="Z904" s="987"/>
    </row>
    <row r="905">
      <c r="A905" s="987"/>
      <c r="B905" s="987"/>
      <c r="C905" s="987"/>
      <c r="D905" s="987"/>
      <c r="E905" s="987"/>
      <c r="F905" s="987"/>
      <c r="G905" s="987"/>
      <c r="H905" s="987"/>
      <c r="I905" s="987"/>
      <c r="J905" s="987"/>
      <c r="K905" s="987"/>
      <c r="L905" s="987"/>
      <c r="M905" s="987"/>
      <c r="N905" s="987"/>
      <c r="O905" s="987"/>
      <c r="P905" s="987"/>
      <c r="Q905" s="987"/>
      <c r="R905" s="987"/>
      <c r="S905" s="987"/>
      <c r="T905" s="987"/>
      <c r="U905" s="987"/>
      <c r="V905" s="987"/>
      <c r="W905" s="987"/>
      <c r="X905" s="987"/>
      <c r="Y905" s="987"/>
      <c r="Z905" s="987"/>
    </row>
    <row r="906">
      <c r="A906" s="987"/>
      <c r="B906" s="987"/>
      <c r="C906" s="987"/>
      <c r="D906" s="987"/>
      <c r="E906" s="987"/>
      <c r="F906" s="987"/>
      <c r="G906" s="987"/>
      <c r="H906" s="987"/>
      <c r="I906" s="987"/>
      <c r="J906" s="987"/>
      <c r="K906" s="987"/>
      <c r="L906" s="987"/>
      <c r="M906" s="987"/>
      <c r="N906" s="987"/>
      <c r="O906" s="987"/>
      <c r="P906" s="987"/>
      <c r="Q906" s="987"/>
      <c r="R906" s="987"/>
      <c r="S906" s="987"/>
      <c r="T906" s="987"/>
      <c r="U906" s="987"/>
      <c r="V906" s="987"/>
      <c r="W906" s="987"/>
      <c r="X906" s="987"/>
      <c r="Y906" s="987"/>
      <c r="Z906" s="987"/>
    </row>
    <row r="907">
      <c r="A907" s="987"/>
      <c r="B907" s="987"/>
      <c r="C907" s="987"/>
      <c r="D907" s="987"/>
      <c r="E907" s="987"/>
      <c r="F907" s="987"/>
      <c r="G907" s="987"/>
      <c r="H907" s="987"/>
      <c r="I907" s="987"/>
      <c r="J907" s="987"/>
      <c r="K907" s="987"/>
      <c r="L907" s="987"/>
      <c r="M907" s="987"/>
      <c r="N907" s="987"/>
      <c r="O907" s="987"/>
      <c r="P907" s="987"/>
      <c r="Q907" s="987"/>
      <c r="R907" s="987"/>
      <c r="S907" s="987"/>
      <c r="T907" s="987"/>
      <c r="U907" s="987"/>
      <c r="V907" s="987"/>
      <c r="W907" s="987"/>
      <c r="X907" s="987"/>
      <c r="Y907" s="987"/>
      <c r="Z907" s="987"/>
    </row>
    <row r="908">
      <c r="A908" s="987"/>
      <c r="B908" s="987"/>
      <c r="C908" s="987"/>
      <c r="D908" s="987"/>
      <c r="E908" s="987"/>
      <c r="F908" s="987"/>
      <c r="G908" s="987"/>
      <c r="H908" s="987"/>
      <c r="I908" s="987"/>
      <c r="J908" s="987"/>
      <c r="K908" s="987"/>
      <c r="L908" s="987"/>
      <c r="M908" s="987"/>
      <c r="N908" s="987"/>
      <c r="O908" s="987"/>
      <c r="P908" s="987"/>
      <c r="Q908" s="987"/>
      <c r="R908" s="987"/>
      <c r="S908" s="987"/>
      <c r="T908" s="987"/>
      <c r="U908" s="987"/>
      <c r="V908" s="987"/>
      <c r="W908" s="987"/>
      <c r="X908" s="987"/>
      <c r="Y908" s="987"/>
      <c r="Z908" s="987"/>
    </row>
    <row r="909">
      <c r="A909" s="987"/>
      <c r="B909" s="987"/>
      <c r="C909" s="987"/>
      <c r="D909" s="987"/>
      <c r="E909" s="987"/>
      <c r="F909" s="987"/>
      <c r="G909" s="987"/>
      <c r="H909" s="987"/>
      <c r="I909" s="987"/>
      <c r="J909" s="987"/>
      <c r="K909" s="987"/>
      <c r="L909" s="987"/>
      <c r="M909" s="987"/>
      <c r="N909" s="987"/>
      <c r="O909" s="987"/>
      <c r="P909" s="987"/>
      <c r="Q909" s="987"/>
      <c r="R909" s="987"/>
      <c r="S909" s="987"/>
      <c r="T909" s="987"/>
      <c r="U909" s="987"/>
      <c r="V909" s="987"/>
      <c r="W909" s="987"/>
      <c r="X909" s="987"/>
      <c r="Y909" s="987"/>
      <c r="Z909" s="987"/>
    </row>
    <row r="910">
      <c r="A910" s="987"/>
      <c r="B910" s="987"/>
      <c r="C910" s="987"/>
      <c r="D910" s="987"/>
      <c r="E910" s="987"/>
      <c r="F910" s="987"/>
      <c r="G910" s="987"/>
      <c r="H910" s="987"/>
      <c r="I910" s="987"/>
      <c r="J910" s="987"/>
      <c r="K910" s="987"/>
      <c r="L910" s="987"/>
      <c r="M910" s="987"/>
      <c r="N910" s="987"/>
      <c r="O910" s="987"/>
      <c r="P910" s="987"/>
      <c r="Q910" s="987"/>
      <c r="R910" s="987"/>
      <c r="S910" s="987"/>
      <c r="T910" s="987"/>
      <c r="U910" s="987"/>
      <c r="V910" s="987"/>
      <c r="W910" s="987"/>
      <c r="X910" s="987"/>
      <c r="Y910" s="987"/>
      <c r="Z910" s="987"/>
    </row>
    <row r="911">
      <c r="A911" s="987"/>
      <c r="B911" s="987"/>
      <c r="C911" s="987"/>
      <c r="D911" s="987"/>
      <c r="E911" s="987"/>
      <c r="F911" s="987"/>
      <c r="G911" s="987"/>
      <c r="H911" s="987"/>
      <c r="I911" s="987"/>
      <c r="J911" s="987"/>
      <c r="K911" s="987"/>
      <c r="L911" s="987"/>
      <c r="M911" s="987"/>
      <c r="N911" s="987"/>
      <c r="O911" s="987"/>
      <c r="P911" s="987"/>
      <c r="Q911" s="987"/>
      <c r="R911" s="987"/>
      <c r="S911" s="987"/>
      <c r="T911" s="987"/>
      <c r="U911" s="987"/>
      <c r="V911" s="987"/>
      <c r="W911" s="987"/>
      <c r="X911" s="987"/>
      <c r="Y911" s="987"/>
      <c r="Z911" s="987"/>
    </row>
    <row r="912">
      <c r="A912" s="987"/>
      <c r="B912" s="987"/>
      <c r="C912" s="987"/>
      <c r="D912" s="987"/>
      <c r="E912" s="987"/>
      <c r="F912" s="987"/>
      <c r="G912" s="987"/>
      <c r="H912" s="987"/>
      <c r="I912" s="987"/>
      <c r="J912" s="987"/>
      <c r="K912" s="987"/>
      <c r="L912" s="987"/>
      <c r="M912" s="987"/>
      <c r="N912" s="987"/>
      <c r="O912" s="987"/>
      <c r="P912" s="987"/>
      <c r="Q912" s="987"/>
      <c r="R912" s="987"/>
      <c r="S912" s="987"/>
      <c r="T912" s="987"/>
      <c r="U912" s="987"/>
      <c r="V912" s="987"/>
      <c r="W912" s="987"/>
      <c r="X912" s="987"/>
      <c r="Y912" s="987"/>
      <c r="Z912" s="987"/>
    </row>
    <row r="913">
      <c r="A913" s="987"/>
      <c r="B913" s="987"/>
      <c r="C913" s="987"/>
      <c r="D913" s="987"/>
      <c r="E913" s="987"/>
      <c r="F913" s="987"/>
      <c r="G913" s="987"/>
      <c r="H913" s="987"/>
      <c r="I913" s="987"/>
      <c r="J913" s="987"/>
      <c r="K913" s="987"/>
      <c r="L913" s="987"/>
      <c r="M913" s="987"/>
      <c r="N913" s="987"/>
      <c r="O913" s="987"/>
      <c r="P913" s="987"/>
      <c r="Q913" s="987"/>
      <c r="R913" s="987"/>
      <c r="S913" s="987"/>
      <c r="T913" s="987"/>
      <c r="U913" s="987"/>
      <c r="V913" s="987"/>
      <c r="W913" s="987"/>
      <c r="X913" s="987"/>
      <c r="Y913" s="987"/>
      <c r="Z913" s="987"/>
    </row>
    <row r="914">
      <c r="A914" s="987"/>
      <c r="B914" s="987"/>
      <c r="C914" s="987"/>
      <c r="D914" s="987"/>
      <c r="E914" s="987"/>
      <c r="F914" s="987"/>
      <c r="G914" s="987"/>
      <c r="H914" s="987"/>
      <c r="I914" s="987"/>
      <c r="J914" s="987"/>
      <c r="K914" s="987"/>
      <c r="L914" s="987"/>
      <c r="M914" s="987"/>
      <c r="N914" s="987"/>
      <c r="O914" s="987"/>
      <c r="P914" s="987"/>
      <c r="Q914" s="987"/>
      <c r="R914" s="987"/>
      <c r="S914" s="987"/>
      <c r="T914" s="987"/>
      <c r="U914" s="987"/>
      <c r="V914" s="987"/>
      <c r="W914" s="987"/>
      <c r="X914" s="987"/>
      <c r="Y914" s="987"/>
      <c r="Z914" s="987"/>
    </row>
    <row r="915">
      <c r="A915" s="987"/>
      <c r="B915" s="987"/>
      <c r="C915" s="987"/>
      <c r="D915" s="987"/>
      <c r="E915" s="987"/>
      <c r="F915" s="987"/>
      <c r="G915" s="987"/>
      <c r="H915" s="987"/>
      <c r="I915" s="987"/>
      <c r="J915" s="987"/>
      <c r="K915" s="987"/>
      <c r="L915" s="987"/>
      <c r="M915" s="987"/>
      <c r="N915" s="987"/>
      <c r="O915" s="987"/>
      <c r="P915" s="987"/>
      <c r="Q915" s="987"/>
      <c r="R915" s="987"/>
      <c r="S915" s="987"/>
      <c r="T915" s="987"/>
      <c r="U915" s="987"/>
      <c r="V915" s="987"/>
      <c r="W915" s="987"/>
      <c r="X915" s="987"/>
      <c r="Y915" s="987"/>
      <c r="Z915" s="987"/>
    </row>
    <row r="916">
      <c r="A916" s="987"/>
      <c r="B916" s="987"/>
      <c r="C916" s="987"/>
      <c r="D916" s="987"/>
      <c r="E916" s="987"/>
      <c r="F916" s="987"/>
      <c r="G916" s="987"/>
      <c r="H916" s="987"/>
      <c r="I916" s="987"/>
      <c r="J916" s="987"/>
      <c r="K916" s="987"/>
      <c r="L916" s="987"/>
      <c r="M916" s="987"/>
      <c r="N916" s="987"/>
      <c r="O916" s="987"/>
      <c r="P916" s="987"/>
      <c r="Q916" s="987"/>
      <c r="R916" s="987"/>
      <c r="S916" s="987"/>
      <c r="T916" s="987"/>
      <c r="U916" s="987"/>
      <c r="V916" s="987"/>
      <c r="W916" s="987"/>
      <c r="X916" s="987"/>
      <c r="Y916" s="987"/>
      <c r="Z916" s="987"/>
    </row>
    <row r="917">
      <c r="A917" s="987"/>
      <c r="B917" s="987"/>
      <c r="C917" s="987"/>
      <c r="D917" s="987"/>
      <c r="E917" s="987"/>
      <c r="F917" s="987"/>
      <c r="G917" s="987"/>
      <c r="H917" s="987"/>
      <c r="I917" s="987"/>
      <c r="J917" s="987"/>
      <c r="K917" s="987"/>
      <c r="L917" s="987"/>
      <c r="M917" s="987"/>
      <c r="N917" s="987"/>
      <c r="O917" s="987"/>
      <c r="P917" s="987"/>
      <c r="Q917" s="987"/>
      <c r="R917" s="987"/>
      <c r="S917" s="987"/>
      <c r="T917" s="987"/>
      <c r="U917" s="987"/>
      <c r="V917" s="987"/>
      <c r="W917" s="987"/>
      <c r="X917" s="987"/>
      <c r="Y917" s="987"/>
      <c r="Z917" s="987"/>
    </row>
    <row r="918">
      <c r="A918" s="987"/>
      <c r="B918" s="987"/>
      <c r="C918" s="987"/>
      <c r="D918" s="987"/>
      <c r="E918" s="987"/>
      <c r="F918" s="987"/>
      <c r="G918" s="987"/>
      <c r="H918" s="987"/>
      <c r="I918" s="987"/>
      <c r="J918" s="987"/>
      <c r="K918" s="987"/>
      <c r="L918" s="987"/>
      <c r="M918" s="987"/>
      <c r="N918" s="987"/>
      <c r="O918" s="987"/>
      <c r="P918" s="987"/>
      <c r="Q918" s="987"/>
      <c r="R918" s="987"/>
      <c r="S918" s="987"/>
      <c r="T918" s="987"/>
      <c r="U918" s="987"/>
      <c r="V918" s="987"/>
      <c r="W918" s="987"/>
      <c r="X918" s="987"/>
      <c r="Y918" s="987"/>
      <c r="Z918" s="987"/>
    </row>
    <row r="919">
      <c r="A919" s="987"/>
      <c r="B919" s="987"/>
      <c r="C919" s="987"/>
      <c r="D919" s="987"/>
      <c r="E919" s="987"/>
      <c r="F919" s="987"/>
      <c r="G919" s="987"/>
      <c r="H919" s="987"/>
      <c r="I919" s="987"/>
      <c r="J919" s="987"/>
      <c r="K919" s="987"/>
      <c r="L919" s="987"/>
      <c r="M919" s="987"/>
      <c r="N919" s="987"/>
      <c r="O919" s="987"/>
      <c r="P919" s="987"/>
      <c r="Q919" s="987"/>
      <c r="R919" s="987"/>
      <c r="S919" s="987"/>
      <c r="T919" s="987"/>
      <c r="U919" s="987"/>
      <c r="V919" s="987"/>
      <c r="W919" s="987"/>
      <c r="X919" s="987"/>
      <c r="Y919" s="987"/>
      <c r="Z919" s="987"/>
    </row>
    <row r="920">
      <c r="A920" s="987"/>
      <c r="B920" s="987"/>
      <c r="C920" s="987"/>
      <c r="D920" s="987"/>
      <c r="E920" s="987"/>
      <c r="F920" s="987"/>
      <c r="G920" s="987"/>
      <c r="H920" s="987"/>
      <c r="I920" s="987"/>
      <c r="J920" s="987"/>
      <c r="K920" s="987"/>
      <c r="L920" s="987"/>
      <c r="M920" s="987"/>
      <c r="N920" s="987"/>
      <c r="O920" s="987"/>
      <c r="P920" s="987"/>
      <c r="Q920" s="987"/>
      <c r="R920" s="987"/>
      <c r="S920" s="987"/>
      <c r="T920" s="987"/>
      <c r="U920" s="987"/>
      <c r="V920" s="987"/>
      <c r="W920" s="987"/>
      <c r="X920" s="987"/>
      <c r="Y920" s="987"/>
      <c r="Z920" s="987"/>
    </row>
    <row r="921">
      <c r="A921" s="987"/>
      <c r="B921" s="987"/>
      <c r="C921" s="987"/>
      <c r="D921" s="987"/>
      <c r="E921" s="987"/>
      <c r="F921" s="987"/>
      <c r="G921" s="987"/>
      <c r="H921" s="987"/>
      <c r="I921" s="987"/>
      <c r="J921" s="987"/>
      <c r="K921" s="987"/>
      <c r="L921" s="987"/>
      <c r="M921" s="987"/>
      <c r="N921" s="987"/>
      <c r="O921" s="987"/>
      <c r="P921" s="987"/>
      <c r="Q921" s="987"/>
      <c r="R921" s="987"/>
      <c r="S921" s="987"/>
      <c r="T921" s="987"/>
      <c r="U921" s="987"/>
      <c r="V921" s="987"/>
      <c r="W921" s="987"/>
      <c r="X921" s="987"/>
      <c r="Y921" s="987"/>
      <c r="Z921" s="987"/>
    </row>
    <row r="922">
      <c r="A922" s="987"/>
      <c r="B922" s="987"/>
      <c r="C922" s="987"/>
      <c r="D922" s="987"/>
      <c r="E922" s="987"/>
      <c r="F922" s="987"/>
      <c r="G922" s="987"/>
      <c r="H922" s="987"/>
      <c r="I922" s="987"/>
      <c r="J922" s="987"/>
      <c r="K922" s="987"/>
      <c r="L922" s="987"/>
      <c r="M922" s="987"/>
      <c r="N922" s="987"/>
      <c r="O922" s="987"/>
      <c r="P922" s="987"/>
      <c r="Q922" s="987"/>
      <c r="R922" s="987"/>
      <c r="S922" s="987"/>
      <c r="T922" s="987"/>
      <c r="U922" s="987"/>
      <c r="V922" s="987"/>
      <c r="W922" s="987"/>
      <c r="X922" s="987"/>
      <c r="Y922" s="987"/>
      <c r="Z922" s="987"/>
    </row>
    <row r="923">
      <c r="A923" s="987"/>
      <c r="B923" s="987"/>
      <c r="C923" s="987"/>
      <c r="D923" s="987"/>
      <c r="E923" s="987"/>
      <c r="F923" s="987"/>
      <c r="G923" s="987"/>
      <c r="H923" s="987"/>
      <c r="I923" s="987"/>
      <c r="J923" s="987"/>
      <c r="K923" s="987"/>
      <c r="L923" s="987"/>
      <c r="M923" s="987"/>
      <c r="N923" s="987"/>
      <c r="O923" s="987"/>
      <c r="P923" s="987"/>
      <c r="Q923" s="987"/>
      <c r="R923" s="987"/>
      <c r="S923" s="987"/>
      <c r="T923" s="987"/>
      <c r="U923" s="987"/>
      <c r="V923" s="987"/>
      <c r="W923" s="987"/>
      <c r="X923" s="987"/>
      <c r="Y923" s="987"/>
      <c r="Z923" s="987"/>
    </row>
    <row r="924">
      <c r="A924" s="987"/>
      <c r="B924" s="987"/>
      <c r="C924" s="987"/>
      <c r="D924" s="987"/>
      <c r="E924" s="987"/>
      <c r="F924" s="987"/>
      <c r="G924" s="987"/>
      <c r="H924" s="987"/>
      <c r="I924" s="987"/>
      <c r="J924" s="987"/>
      <c r="K924" s="987"/>
      <c r="L924" s="987"/>
      <c r="M924" s="987"/>
      <c r="N924" s="987"/>
      <c r="O924" s="987"/>
      <c r="P924" s="987"/>
      <c r="Q924" s="987"/>
      <c r="R924" s="987"/>
      <c r="S924" s="987"/>
      <c r="T924" s="987"/>
      <c r="U924" s="987"/>
      <c r="V924" s="987"/>
      <c r="W924" s="987"/>
      <c r="X924" s="987"/>
      <c r="Y924" s="987"/>
      <c r="Z924" s="987"/>
    </row>
    <row r="925">
      <c r="A925" s="987"/>
      <c r="B925" s="987"/>
      <c r="C925" s="987"/>
      <c r="D925" s="987"/>
      <c r="E925" s="987"/>
      <c r="F925" s="987"/>
      <c r="G925" s="987"/>
      <c r="H925" s="987"/>
      <c r="I925" s="987"/>
      <c r="J925" s="987"/>
      <c r="K925" s="987"/>
      <c r="L925" s="987"/>
      <c r="M925" s="987"/>
      <c r="N925" s="987"/>
      <c r="O925" s="987"/>
      <c r="P925" s="987"/>
      <c r="Q925" s="987"/>
      <c r="R925" s="987"/>
      <c r="S925" s="987"/>
      <c r="T925" s="987"/>
      <c r="U925" s="987"/>
      <c r="V925" s="987"/>
      <c r="W925" s="987"/>
      <c r="X925" s="987"/>
      <c r="Y925" s="987"/>
      <c r="Z925" s="987"/>
    </row>
    <row r="926">
      <c r="A926" s="987"/>
      <c r="B926" s="987"/>
      <c r="C926" s="987"/>
      <c r="D926" s="987"/>
      <c r="E926" s="987"/>
      <c r="F926" s="987"/>
      <c r="G926" s="987"/>
      <c r="H926" s="987"/>
      <c r="I926" s="987"/>
      <c r="J926" s="987"/>
      <c r="K926" s="987"/>
      <c r="L926" s="987"/>
      <c r="M926" s="987"/>
      <c r="N926" s="987"/>
      <c r="O926" s="987"/>
      <c r="P926" s="987"/>
      <c r="Q926" s="987"/>
      <c r="R926" s="987"/>
      <c r="S926" s="987"/>
      <c r="T926" s="987"/>
      <c r="U926" s="987"/>
      <c r="V926" s="987"/>
      <c r="W926" s="987"/>
      <c r="X926" s="987"/>
      <c r="Y926" s="987"/>
      <c r="Z926" s="987"/>
    </row>
    <row r="927">
      <c r="A927" s="987"/>
      <c r="B927" s="987"/>
      <c r="C927" s="987"/>
      <c r="D927" s="987"/>
      <c r="E927" s="987"/>
      <c r="F927" s="987"/>
      <c r="G927" s="987"/>
      <c r="H927" s="987"/>
      <c r="I927" s="987"/>
      <c r="J927" s="987"/>
      <c r="K927" s="987"/>
      <c r="L927" s="987"/>
      <c r="M927" s="987"/>
      <c r="N927" s="987"/>
      <c r="O927" s="987"/>
      <c r="P927" s="987"/>
      <c r="Q927" s="987"/>
      <c r="R927" s="987"/>
      <c r="S927" s="987"/>
      <c r="T927" s="987"/>
      <c r="U927" s="987"/>
      <c r="V927" s="987"/>
      <c r="W927" s="987"/>
      <c r="X927" s="987"/>
      <c r="Y927" s="987"/>
      <c r="Z927" s="987"/>
    </row>
    <row r="928">
      <c r="A928" s="987"/>
      <c r="B928" s="987"/>
      <c r="C928" s="987"/>
      <c r="D928" s="987"/>
      <c r="E928" s="987"/>
      <c r="F928" s="987"/>
      <c r="G928" s="987"/>
      <c r="H928" s="987"/>
      <c r="I928" s="987"/>
      <c r="J928" s="987"/>
      <c r="K928" s="987"/>
      <c r="L928" s="987"/>
      <c r="M928" s="987"/>
      <c r="N928" s="987"/>
      <c r="O928" s="987"/>
      <c r="P928" s="987"/>
      <c r="Q928" s="987"/>
      <c r="R928" s="987"/>
      <c r="S928" s="987"/>
      <c r="T928" s="987"/>
      <c r="U928" s="987"/>
      <c r="V928" s="987"/>
      <c r="W928" s="987"/>
      <c r="X928" s="987"/>
      <c r="Y928" s="987"/>
      <c r="Z928" s="987"/>
    </row>
    <row r="929">
      <c r="A929" s="987"/>
      <c r="B929" s="987"/>
      <c r="C929" s="987"/>
      <c r="D929" s="987"/>
      <c r="E929" s="987"/>
      <c r="F929" s="987"/>
      <c r="G929" s="987"/>
      <c r="H929" s="987"/>
      <c r="I929" s="987"/>
      <c r="J929" s="987"/>
      <c r="K929" s="987"/>
      <c r="L929" s="987"/>
      <c r="M929" s="987"/>
      <c r="N929" s="987"/>
      <c r="O929" s="987"/>
      <c r="P929" s="987"/>
      <c r="Q929" s="987"/>
      <c r="R929" s="987"/>
      <c r="S929" s="987"/>
      <c r="T929" s="987"/>
      <c r="U929" s="987"/>
      <c r="V929" s="987"/>
      <c r="W929" s="987"/>
      <c r="X929" s="987"/>
      <c r="Y929" s="987"/>
      <c r="Z929" s="987"/>
    </row>
    <row r="930">
      <c r="A930" s="987"/>
      <c r="B930" s="987"/>
      <c r="C930" s="987"/>
      <c r="D930" s="987"/>
      <c r="E930" s="987"/>
      <c r="F930" s="987"/>
      <c r="G930" s="987"/>
      <c r="H930" s="987"/>
      <c r="I930" s="987"/>
      <c r="J930" s="987"/>
      <c r="K930" s="987"/>
      <c r="L930" s="987"/>
      <c r="M930" s="987"/>
      <c r="N930" s="987"/>
      <c r="O930" s="987"/>
      <c r="P930" s="987"/>
      <c r="Q930" s="987"/>
      <c r="R930" s="987"/>
      <c r="S930" s="987"/>
      <c r="T930" s="987"/>
      <c r="U930" s="987"/>
      <c r="V930" s="987"/>
      <c r="W930" s="987"/>
      <c r="X930" s="987"/>
      <c r="Y930" s="987"/>
      <c r="Z930" s="987"/>
    </row>
    <row r="931">
      <c r="A931" s="987"/>
      <c r="B931" s="987"/>
      <c r="C931" s="987"/>
      <c r="D931" s="987"/>
      <c r="E931" s="987"/>
      <c r="F931" s="987"/>
      <c r="G931" s="987"/>
      <c r="H931" s="987"/>
      <c r="I931" s="987"/>
      <c r="J931" s="987"/>
      <c r="K931" s="987"/>
      <c r="L931" s="987"/>
      <c r="M931" s="987"/>
      <c r="N931" s="987"/>
      <c r="O931" s="987"/>
      <c r="P931" s="987"/>
      <c r="Q931" s="987"/>
      <c r="R931" s="987"/>
      <c r="S931" s="987"/>
      <c r="T931" s="987"/>
      <c r="U931" s="987"/>
      <c r="V931" s="987"/>
      <c r="W931" s="987"/>
      <c r="X931" s="987"/>
      <c r="Y931" s="987"/>
      <c r="Z931" s="987"/>
    </row>
    <row r="932">
      <c r="A932" s="987"/>
      <c r="B932" s="987"/>
      <c r="C932" s="987"/>
      <c r="D932" s="987"/>
      <c r="E932" s="987"/>
      <c r="F932" s="987"/>
      <c r="G932" s="987"/>
      <c r="H932" s="987"/>
      <c r="I932" s="987"/>
      <c r="J932" s="987"/>
      <c r="K932" s="987"/>
      <c r="L932" s="987"/>
      <c r="M932" s="987"/>
      <c r="N932" s="987"/>
      <c r="O932" s="987"/>
      <c r="P932" s="987"/>
      <c r="Q932" s="987"/>
      <c r="R932" s="987"/>
      <c r="S932" s="987"/>
      <c r="T932" s="987"/>
      <c r="U932" s="987"/>
      <c r="V932" s="987"/>
      <c r="W932" s="987"/>
      <c r="X932" s="987"/>
      <c r="Y932" s="987"/>
      <c r="Z932" s="987"/>
    </row>
    <row r="933">
      <c r="A933" s="987"/>
      <c r="B933" s="987"/>
      <c r="C933" s="987"/>
      <c r="D933" s="987"/>
      <c r="E933" s="987"/>
      <c r="F933" s="987"/>
      <c r="G933" s="987"/>
      <c r="H933" s="987"/>
      <c r="I933" s="987"/>
      <c r="J933" s="987"/>
      <c r="K933" s="987"/>
      <c r="L933" s="987"/>
      <c r="M933" s="987"/>
      <c r="N933" s="987"/>
      <c r="O933" s="987"/>
      <c r="P933" s="987"/>
      <c r="Q933" s="987"/>
      <c r="R933" s="987"/>
      <c r="S933" s="987"/>
      <c r="T933" s="987"/>
      <c r="U933" s="987"/>
      <c r="V933" s="987"/>
      <c r="W933" s="987"/>
      <c r="X933" s="987"/>
      <c r="Y933" s="987"/>
      <c r="Z933" s="987"/>
    </row>
    <row r="934">
      <c r="A934" s="987"/>
      <c r="B934" s="987"/>
      <c r="C934" s="987"/>
      <c r="D934" s="987"/>
      <c r="E934" s="987"/>
      <c r="F934" s="987"/>
      <c r="G934" s="987"/>
      <c r="H934" s="987"/>
      <c r="I934" s="987"/>
      <c r="J934" s="987"/>
      <c r="K934" s="987"/>
      <c r="L934" s="987"/>
      <c r="M934" s="987"/>
      <c r="N934" s="987"/>
      <c r="O934" s="987"/>
      <c r="P934" s="987"/>
      <c r="Q934" s="987"/>
      <c r="R934" s="987"/>
      <c r="S934" s="987"/>
      <c r="T934" s="987"/>
      <c r="U934" s="987"/>
      <c r="V934" s="987"/>
      <c r="W934" s="987"/>
      <c r="X934" s="987"/>
      <c r="Y934" s="987"/>
      <c r="Z934" s="987"/>
    </row>
    <row r="935">
      <c r="A935" s="987"/>
      <c r="B935" s="987"/>
      <c r="C935" s="987"/>
      <c r="D935" s="987"/>
      <c r="E935" s="987"/>
      <c r="F935" s="987"/>
      <c r="G935" s="987"/>
      <c r="H935" s="987"/>
      <c r="I935" s="987"/>
      <c r="J935" s="987"/>
      <c r="K935" s="987"/>
      <c r="L935" s="987"/>
      <c r="M935" s="987"/>
      <c r="N935" s="987"/>
      <c r="O935" s="987"/>
      <c r="P935" s="987"/>
      <c r="Q935" s="987"/>
      <c r="R935" s="987"/>
      <c r="S935" s="987"/>
      <c r="T935" s="987"/>
      <c r="U935" s="987"/>
      <c r="V935" s="987"/>
      <c r="W935" s="987"/>
      <c r="X935" s="987"/>
      <c r="Y935" s="987"/>
      <c r="Z935" s="987"/>
    </row>
    <row r="936">
      <c r="A936" s="987"/>
      <c r="B936" s="987"/>
      <c r="C936" s="987"/>
      <c r="D936" s="987"/>
      <c r="E936" s="987"/>
      <c r="F936" s="987"/>
      <c r="G936" s="987"/>
      <c r="H936" s="987"/>
      <c r="I936" s="987"/>
      <c r="J936" s="987"/>
      <c r="K936" s="987"/>
      <c r="L936" s="987"/>
      <c r="M936" s="987"/>
      <c r="N936" s="987"/>
      <c r="O936" s="987"/>
      <c r="P936" s="987"/>
      <c r="Q936" s="987"/>
      <c r="R936" s="987"/>
      <c r="S936" s="987"/>
      <c r="T936" s="987"/>
      <c r="U936" s="987"/>
      <c r="V936" s="987"/>
      <c r="W936" s="987"/>
      <c r="X936" s="987"/>
      <c r="Y936" s="987"/>
      <c r="Z936" s="987"/>
    </row>
    <row r="937">
      <c r="A937" s="987"/>
      <c r="B937" s="987"/>
      <c r="C937" s="987"/>
      <c r="D937" s="987"/>
      <c r="E937" s="987"/>
      <c r="F937" s="987"/>
      <c r="G937" s="987"/>
      <c r="H937" s="987"/>
      <c r="I937" s="987"/>
      <c r="J937" s="987"/>
      <c r="K937" s="987"/>
      <c r="L937" s="987"/>
      <c r="M937" s="987"/>
      <c r="N937" s="987"/>
      <c r="O937" s="987"/>
      <c r="P937" s="987"/>
      <c r="Q937" s="987"/>
      <c r="R937" s="987"/>
      <c r="S937" s="987"/>
      <c r="T937" s="987"/>
      <c r="U937" s="987"/>
      <c r="V937" s="987"/>
      <c r="W937" s="987"/>
      <c r="X937" s="987"/>
      <c r="Y937" s="987"/>
      <c r="Z937" s="987"/>
    </row>
    <row r="938">
      <c r="A938" s="987"/>
      <c r="B938" s="987"/>
      <c r="C938" s="987"/>
      <c r="D938" s="987"/>
      <c r="E938" s="987"/>
      <c r="F938" s="987"/>
      <c r="G938" s="987"/>
      <c r="H938" s="987"/>
      <c r="I938" s="987"/>
      <c r="J938" s="987"/>
      <c r="K938" s="987"/>
      <c r="L938" s="987"/>
      <c r="M938" s="987"/>
      <c r="N938" s="987"/>
      <c r="O938" s="987"/>
      <c r="P938" s="987"/>
      <c r="Q938" s="987"/>
      <c r="R938" s="987"/>
      <c r="S938" s="987"/>
      <c r="T938" s="987"/>
      <c r="U938" s="987"/>
      <c r="V938" s="987"/>
      <c r="W938" s="987"/>
      <c r="X938" s="987"/>
      <c r="Y938" s="987"/>
      <c r="Z938" s="987"/>
    </row>
    <row r="939">
      <c r="A939" s="987"/>
      <c r="B939" s="987"/>
      <c r="C939" s="987"/>
      <c r="D939" s="987"/>
      <c r="E939" s="987"/>
      <c r="F939" s="987"/>
      <c r="G939" s="987"/>
      <c r="H939" s="987"/>
      <c r="I939" s="987"/>
      <c r="J939" s="987"/>
      <c r="K939" s="987"/>
      <c r="L939" s="987"/>
      <c r="M939" s="987"/>
      <c r="N939" s="987"/>
      <c r="O939" s="987"/>
      <c r="P939" s="987"/>
      <c r="Q939" s="987"/>
      <c r="R939" s="987"/>
      <c r="S939" s="987"/>
      <c r="T939" s="987"/>
      <c r="U939" s="987"/>
      <c r="V939" s="987"/>
      <c r="W939" s="987"/>
      <c r="X939" s="987"/>
      <c r="Y939" s="987"/>
      <c r="Z939" s="987"/>
    </row>
    <row r="940">
      <c r="A940" s="987"/>
      <c r="B940" s="987"/>
      <c r="C940" s="987"/>
      <c r="D940" s="987"/>
      <c r="E940" s="987"/>
      <c r="F940" s="987"/>
      <c r="G940" s="987"/>
      <c r="H940" s="987"/>
      <c r="I940" s="987"/>
      <c r="J940" s="987"/>
      <c r="K940" s="987"/>
      <c r="L940" s="987"/>
      <c r="M940" s="987"/>
      <c r="N940" s="987"/>
      <c r="O940" s="987"/>
      <c r="P940" s="987"/>
      <c r="Q940" s="987"/>
      <c r="R940" s="987"/>
      <c r="S940" s="987"/>
      <c r="T940" s="987"/>
      <c r="U940" s="987"/>
      <c r="V940" s="987"/>
      <c r="W940" s="987"/>
      <c r="X940" s="987"/>
      <c r="Y940" s="987"/>
      <c r="Z940" s="987"/>
    </row>
    <row r="941">
      <c r="A941" s="987"/>
      <c r="B941" s="987"/>
      <c r="C941" s="987"/>
      <c r="D941" s="987"/>
      <c r="E941" s="987"/>
      <c r="F941" s="987"/>
      <c r="G941" s="987"/>
      <c r="H941" s="987"/>
      <c r="I941" s="987"/>
      <c r="J941" s="987"/>
      <c r="K941" s="987"/>
      <c r="L941" s="987"/>
      <c r="M941" s="987"/>
      <c r="N941" s="987"/>
      <c r="O941" s="987"/>
      <c r="P941" s="987"/>
      <c r="Q941" s="987"/>
      <c r="R941" s="987"/>
      <c r="S941" s="987"/>
      <c r="T941" s="987"/>
      <c r="U941" s="987"/>
      <c r="V941" s="987"/>
      <c r="W941" s="987"/>
      <c r="X941" s="987"/>
      <c r="Y941" s="987"/>
      <c r="Z941" s="987"/>
    </row>
    <row r="942">
      <c r="A942" s="987"/>
      <c r="B942" s="987"/>
      <c r="C942" s="987"/>
      <c r="D942" s="987"/>
      <c r="E942" s="987"/>
      <c r="F942" s="987"/>
      <c r="G942" s="987"/>
      <c r="H942" s="987"/>
      <c r="I942" s="987"/>
      <c r="J942" s="987"/>
      <c r="K942" s="987"/>
      <c r="L942" s="987"/>
      <c r="M942" s="987"/>
      <c r="N942" s="987"/>
      <c r="O942" s="987"/>
      <c r="P942" s="987"/>
      <c r="Q942" s="987"/>
      <c r="R942" s="987"/>
      <c r="S942" s="987"/>
      <c r="T942" s="987"/>
      <c r="U942" s="987"/>
      <c r="V942" s="987"/>
      <c r="W942" s="987"/>
      <c r="X942" s="987"/>
      <c r="Y942" s="987"/>
      <c r="Z942" s="987"/>
    </row>
    <row r="943">
      <c r="A943" s="987"/>
      <c r="B943" s="987"/>
      <c r="C943" s="987"/>
      <c r="D943" s="987"/>
      <c r="E943" s="987"/>
      <c r="F943" s="987"/>
      <c r="G943" s="987"/>
      <c r="H943" s="987"/>
      <c r="I943" s="987"/>
      <c r="J943" s="987"/>
      <c r="K943" s="987"/>
      <c r="L943" s="987"/>
      <c r="M943" s="987"/>
      <c r="N943" s="987"/>
      <c r="O943" s="987"/>
      <c r="P943" s="987"/>
      <c r="Q943" s="987"/>
      <c r="R943" s="987"/>
      <c r="S943" s="987"/>
      <c r="T943" s="987"/>
      <c r="U943" s="987"/>
      <c r="V943" s="987"/>
      <c r="W943" s="987"/>
      <c r="X943" s="987"/>
      <c r="Y943" s="987"/>
      <c r="Z943" s="987"/>
    </row>
    <row r="944">
      <c r="A944" s="987"/>
      <c r="B944" s="987"/>
      <c r="C944" s="987"/>
      <c r="D944" s="987"/>
      <c r="E944" s="987"/>
      <c r="F944" s="987"/>
      <c r="G944" s="987"/>
      <c r="H944" s="987"/>
      <c r="I944" s="987"/>
      <c r="J944" s="987"/>
      <c r="K944" s="987"/>
      <c r="L944" s="987"/>
      <c r="M944" s="987"/>
      <c r="N944" s="987"/>
      <c r="O944" s="987"/>
      <c r="P944" s="987"/>
      <c r="Q944" s="987"/>
      <c r="R944" s="987"/>
      <c r="S944" s="987"/>
      <c r="T944" s="987"/>
      <c r="U944" s="987"/>
      <c r="V944" s="987"/>
      <c r="W944" s="987"/>
      <c r="X944" s="987"/>
      <c r="Y944" s="987"/>
      <c r="Z944" s="987"/>
    </row>
    <row r="945">
      <c r="A945" s="987"/>
      <c r="B945" s="987"/>
      <c r="C945" s="987"/>
      <c r="D945" s="987"/>
      <c r="E945" s="987"/>
      <c r="F945" s="987"/>
      <c r="G945" s="987"/>
      <c r="H945" s="987"/>
      <c r="I945" s="987"/>
      <c r="J945" s="987"/>
      <c r="K945" s="987"/>
      <c r="L945" s="987"/>
      <c r="M945" s="987"/>
      <c r="N945" s="987"/>
      <c r="O945" s="987"/>
      <c r="P945" s="987"/>
      <c r="Q945" s="987"/>
      <c r="R945" s="987"/>
      <c r="S945" s="987"/>
      <c r="T945" s="987"/>
      <c r="U945" s="987"/>
      <c r="V945" s="987"/>
      <c r="W945" s="987"/>
      <c r="X945" s="987"/>
      <c r="Y945" s="987"/>
      <c r="Z945" s="987"/>
    </row>
    <row r="946">
      <c r="A946" s="987"/>
      <c r="B946" s="987"/>
      <c r="C946" s="987"/>
      <c r="D946" s="987"/>
      <c r="E946" s="987"/>
      <c r="F946" s="987"/>
      <c r="G946" s="987"/>
      <c r="H946" s="987"/>
      <c r="I946" s="987"/>
      <c r="J946" s="987"/>
      <c r="K946" s="987"/>
      <c r="L946" s="987"/>
      <c r="M946" s="987"/>
      <c r="N946" s="987"/>
      <c r="O946" s="987"/>
      <c r="P946" s="987"/>
      <c r="Q946" s="987"/>
      <c r="R946" s="987"/>
      <c r="S946" s="987"/>
      <c r="T946" s="987"/>
      <c r="U946" s="987"/>
      <c r="V946" s="987"/>
      <c r="W946" s="987"/>
      <c r="X946" s="987"/>
      <c r="Y946" s="987"/>
      <c r="Z946" s="987"/>
    </row>
    <row r="947">
      <c r="A947" s="987"/>
      <c r="B947" s="987"/>
      <c r="C947" s="987"/>
      <c r="D947" s="987"/>
      <c r="E947" s="987"/>
      <c r="F947" s="987"/>
      <c r="G947" s="987"/>
      <c r="H947" s="987"/>
      <c r="I947" s="987"/>
      <c r="J947" s="987"/>
      <c r="K947" s="987"/>
      <c r="L947" s="987"/>
      <c r="M947" s="987"/>
      <c r="N947" s="987"/>
      <c r="O947" s="987"/>
      <c r="P947" s="987"/>
      <c r="Q947" s="987"/>
      <c r="R947" s="987"/>
      <c r="S947" s="987"/>
      <c r="T947" s="987"/>
      <c r="U947" s="987"/>
      <c r="V947" s="987"/>
      <c r="W947" s="987"/>
      <c r="X947" s="987"/>
      <c r="Y947" s="987"/>
      <c r="Z947" s="987"/>
    </row>
    <row r="948">
      <c r="A948" s="987"/>
      <c r="B948" s="987"/>
      <c r="C948" s="987"/>
      <c r="D948" s="987"/>
      <c r="E948" s="987"/>
      <c r="F948" s="987"/>
      <c r="G948" s="987"/>
      <c r="H948" s="987"/>
      <c r="I948" s="987"/>
      <c r="J948" s="987"/>
      <c r="K948" s="987"/>
      <c r="L948" s="987"/>
      <c r="M948" s="987"/>
      <c r="N948" s="987"/>
      <c r="O948" s="987"/>
      <c r="P948" s="987"/>
      <c r="Q948" s="987"/>
      <c r="R948" s="987"/>
      <c r="S948" s="987"/>
      <c r="T948" s="987"/>
      <c r="U948" s="987"/>
      <c r="V948" s="987"/>
      <c r="W948" s="987"/>
      <c r="X948" s="987"/>
      <c r="Y948" s="987"/>
      <c r="Z948" s="987"/>
    </row>
    <row r="949">
      <c r="A949" s="987"/>
      <c r="B949" s="987"/>
      <c r="C949" s="987"/>
      <c r="D949" s="987"/>
      <c r="E949" s="987"/>
      <c r="F949" s="987"/>
      <c r="G949" s="987"/>
      <c r="H949" s="987"/>
      <c r="I949" s="987"/>
      <c r="J949" s="987"/>
      <c r="K949" s="987"/>
      <c r="L949" s="987"/>
      <c r="M949" s="987"/>
      <c r="N949" s="987"/>
      <c r="O949" s="987"/>
      <c r="P949" s="987"/>
      <c r="Q949" s="987"/>
      <c r="R949" s="987"/>
      <c r="S949" s="987"/>
      <c r="T949" s="987"/>
      <c r="U949" s="987"/>
      <c r="V949" s="987"/>
      <c r="W949" s="987"/>
      <c r="X949" s="987"/>
      <c r="Y949" s="987"/>
      <c r="Z949" s="987"/>
    </row>
    <row r="950">
      <c r="A950" s="987"/>
      <c r="B950" s="987"/>
      <c r="C950" s="987"/>
      <c r="D950" s="987"/>
      <c r="E950" s="987"/>
      <c r="F950" s="987"/>
      <c r="G950" s="987"/>
      <c r="H950" s="987"/>
      <c r="I950" s="987"/>
      <c r="J950" s="987"/>
      <c r="K950" s="987"/>
      <c r="L950" s="987"/>
      <c r="M950" s="987"/>
      <c r="N950" s="987"/>
      <c r="O950" s="987"/>
      <c r="P950" s="987"/>
      <c r="Q950" s="987"/>
      <c r="R950" s="987"/>
      <c r="S950" s="987"/>
      <c r="T950" s="987"/>
      <c r="U950" s="987"/>
      <c r="V950" s="987"/>
      <c r="W950" s="987"/>
      <c r="X950" s="987"/>
      <c r="Y950" s="987"/>
      <c r="Z950" s="987"/>
    </row>
    <row r="951">
      <c r="A951" s="987"/>
      <c r="B951" s="987"/>
      <c r="C951" s="987"/>
      <c r="D951" s="987"/>
      <c r="E951" s="987"/>
      <c r="F951" s="987"/>
      <c r="G951" s="987"/>
      <c r="H951" s="987"/>
      <c r="I951" s="987"/>
      <c r="J951" s="987"/>
      <c r="K951" s="987"/>
      <c r="L951" s="987"/>
      <c r="M951" s="987"/>
      <c r="N951" s="987"/>
      <c r="O951" s="987"/>
      <c r="P951" s="987"/>
      <c r="Q951" s="987"/>
      <c r="R951" s="987"/>
      <c r="S951" s="987"/>
      <c r="T951" s="987"/>
      <c r="U951" s="987"/>
      <c r="V951" s="987"/>
      <c r="W951" s="987"/>
      <c r="X951" s="987"/>
      <c r="Y951" s="987"/>
      <c r="Z951" s="987"/>
    </row>
    <row r="952">
      <c r="A952" s="987"/>
      <c r="B952" s="987"/>
      <c r="C952" s="987"/>
      <c r="D952" s="987"/>
      <c r="E952" s="987"/>
      <c r="F952" s="987"/>
      <c r="G952" s="987"/>
      <c r="H952" s="987"/>
      <c r="I952" s="987"/>
      <c r="J952" s="987"/>
      <c r="K952" s="987"/>
      <c r="L952" s="987"/>
      <c r="M952" s="987"/>
      <c r="N952" s="987"/>
      <c r="O952" s="987"/>
      <c r="P952" s="987"/>
      <c r="Q952" s="987"/>
      <c r="R952" s="987"/>
      <c r="S952" s="987"/>
      <c r="T952" s="987"/>
      <c r="U952" s="987"/>
      <c r="V952" s="987"/>
      <c r="W952" s="987"/>
      <c r="X952" s="987"/>
      <c r="Y952" s="987"/>
      <c r="Z952" s="987"/>
    </row>
    <row r="953">
      <c r="A953" s="987"/>
      <c r="B953" s="987"/>
      <c r="C953" s="987"/>
      <c r="D953" s="987"/>
      <c r="E953" s="987"/>
      <c r="F953" s="987"/>
      <c r="G953" s="987"/>
      <c r="H953" s="987"/>
      <c r="I953" s="987"/>
      <c r="J953" s="987"/>
      <c r="K953" s="987"/>
      <c r="L953" s="987"/>
      <c r="M953" s="987"/>
      <c r="N953" s="987"/>
      <c r="O953" s="987"/>
      <c r="P953" s="987"/>
      <c r="Q953" s="987"/>
      <c r="R953" s="987"/>
      <c r="S953" s="987"/>
      <c r="T953" s="987"/>
      <c r="U953" s="987"/>
      <c r="V953" s="987"/>
      <c r="W953" s="987"/>
      <c r="X953" s="987"/>
      <c r="Y953" s="987"/>
      <c r="Z953" s="987"/>
    </row>
    <row r="954">
      <c r="A954" s="987"/>
      <c r="B954" s="987"/>
      <c r="C954" s="987"/>
      <c r="D954" s="987"/>
      <c r="E954" s="987"/>
      <c r="F954" s="987"/>
      <c r="G954" s="987"/>
      <c r="H954" s="987"/>
      <c r="I954" s="987"/>
      <c r="J954" s="987"/>
      <c r="K954" s="987"/>
      <c r="L954" s="987"/>
      <c r="M954" s="987"/>
      <c r="N954" s="987"/>
      <c r="O954" s="987"/>
      <c r="P954" s="987"/>
      <c r="Q954" s="987"/>
      <c r="R954" s="987"/>
      <c r="S954" s="987"/>
      <c r="T954" s="987"/>
      <c r="U954" s="987"/>
      <c r="V954" s="987"/>
      <c r="W954" s="987"/>
      <c r="X954" s="987"/>
      <c r="Y954" s="987"/>
      <c r="Z954" s="987"/>
    </row>
    <row r="955">
      <c r="A955" s="987"/>
      <c r="B955" s="987"/>
      <c r="C955" s="987"/>
      <c r="D955" s="987"/>
      <c r="E955" s="987"/>
      <c r="F955" s="987"/>
      <c r="G955" s="987"/>
      <c r="H955" s="987"/>
      <c r="I955" s="987"/>
      <c r="J955" s="987"/>
      <c r="K955" s="987"/>
      <c r="L955" s="987"/>
      <c r="M955" s="987"/>
      <c r="N955" s="987"/>
      <c r="O955" s="987"/>
      <c r="P955" s="987"/>
      <c r="Q955" s="987"/>
      <c r="R955" s="987"/>
      <c r="S955" s="987"/>
      <c r="T955" s="987"/>
      <c r="U955" s="987"/>
      <c r="V955" s="987"/>
      <c r="W955" s="987"/>
      <c r="X955" s="987"/>
      <c r="Y955" s="987"/>
      <c r="Z955" s="987"/>
    </row>
    <row r="956">
      <c r="A956" s="987"/>
      <c r="B956" s="987"/>
      <c r="C956" s="987"/>
      <c r="D956" s="987"/>
      <c r="E956" s="987"/>
      <c r="F956" s="987"/>
      <c r="G956" s="987"/>
      <c r="H956" s="987"/>
      <c r="I956" s="987"/>
      <c r="J956" s="987"/>
      <c r="K956" s="987"/>
      <c r="L956" s="987"/>
      <c r="M956" s="987"/>
      <c r="N956" s="987"/>
      <c r="O956" s="987"/>
      <c r="P956" s="987"/>
      <c r="Q956" s="987"/>
      <c r="R956" s="987"/>
      <c r="S956" s="987"/>
      <c r="T956" s="987"/>
      <c r="U956" s="987"/>
      <c r="V956" s="987"/>
      <c r="W956" s="987"/>
      <c r="X956" s="987"/>
      <c r="Y956" s="987"/>
      <c r="Z956" s="987"/>
    </row>
    <row r="957">
      <c r="A957" s="987"/>
      <c r="B957" s="987"/>
      <c r="C957" s="987"/>
      <c r="D957" s="987"/>
      <c r="E957" s="987"/>
      <c r="F957" s="987"/>
      <c r="G957" s="987"/>
      <c r="H957" s="987"/>
      <c r="I957" s="987"/>
      <c r="J957" s="987"/>
      <c r="K957" s="987"/>
      <c r="L957" s="987"/>
      <c r="M957" s="987"/>
      <c r="N957" s="987"/>
      <c r="O957" s="987"/>
      <c r="P957" s="987"/>
      <c r="Q957" s="987"/>
      <c r="R957" s="987"/>
      <c r="S957" s="987"/>
      <c r="T957" s="987"/>
      <c r="U957" s="987"/>
      <c r="V957" s="987"/>
      <c r="W957" s="987"/>
      <c r="X957" s="987"/>
      <c r="Y957" s="987"/>
      <c r="Z957" s="987"/>
    </row>
    <row r="958">
      <c r="A958" s="987"/>
      <c r="B958" s="987"/>
      <c r="C958" s="987"/>
      <c r="D958" s="987"/>
      <c r="E958" s="987"/>
      <c r="F958" s="987"/>
      <c r="G958" s="987"/>
      <c r="H958" s="987"/>
      <c r="I958" s="987"/>
      <c r="J958" s="987"/>
      <c r="K958" s="987"/>
      <c r="L958" s="987"/>
      <c r="M958" s="987"/>
      <c r="N958" s="987"/>
      <c r="O958" s="987"/>
      <c r="P958" s="987"/>
      <c r="Q958" s="987"/>
      <c r="R958" s="987"/>
      <c r="S958" s="987"/>
      <c r="T958" s="987"/>
      <c r="U958" s="987"/>
      <c r="V958" s="987"/>
      <c r="W958" s="987"/>
      <c r="X958" s="987"/>
      <c r="Y958" s="987"/>
      <c r="Z958" s="987"/>
    </row>
    <row r="959">
      <c r="A959" s="987"/>
      <c r="B959" s="987"/>
      <c r="C959" s="987"/>
      <c r="D959" s="987"/>
      <c r="E959" s="987"/>
      <c r="F959" s="987"/>
      <c r="G959" s="987"/>
      <c r="H959" s="987"/>
      <c r="I959" s="987"/>
      <c r="J959" s="987"/>
      <c r="K959" s="987"/>
      <c r="L959" s="987"/>
      <c r="M959" s="987"/>
      <c r="N959" s="987"/>
      <c r="O959" s="987"/>
      <c r="P959" s="987"/>
      <c r="Q959" s="987"/>
      <c r="R959" s="987"/>
      <c r="S959" s="987"/>
      <c r="T959" s="987"/>
      <c r="U959" s="987"/>
      <c r="V959" s="987"/>
      <c r="W959" s="987"/>
      <c r="X959" s="987"/>
      <c r="Y959" s="987"/>
      <c r="Z959" s="987"/>
    </row>
    <row r="960">
      <c r="A960" s="987"/>
      <c r="B960" s="987"/>
      <c r="C960" s="987"/>
      <c r="D960" s="987"/>
      <c r="E960" s="987"/>
      <c r="F960" s="987"/>
      <c r="G960" s="987"/>
      <c r="H960" s="987"/>
      <c r="I960" s="987"/>
      <c r="J960" s="987"/>
      <c r="K960" s="987"/>
      <c r="L960" s="987"/>
      <c r="M960" s="987"/>
      <c r="N960" s="987"/>
      <c r="O960" s="987"/>
      <c r="P960" s="987"/>
      <c r="Q960" s="987"/>
      <c r="R960" s="987"/>
      <c r="S960" s="987"/>
      <c r="T960" s="987"/>
      <c r="U960" s="987"/>
      <c r="V960" s="987"/>
      <c r="W960" s="987"/>
      <c r="X960" s="987"/>
      <c r="Y960" s="987"/>
      <c r="Z960" s="987"/>
    </row>
    <row r="961">
      <c r="A961" s="987"/>
      <c r="B961" s="987"/>
      <c r="C961" s="987"/>
      <c r="D961" s="987"/>
      <c r="E961" s="987"/>
      <c r="F961" s="987"/>
      <c r="G961" s="987"/>
      <c r="H961" s="987"/>
      <c r="I961" s="987"/>
      <c r="J961" s="987"/>
      <c r="K961" s="987"/>
      <c r="L961" s="987"/>
      <c r="M961" s="987"/>
      <c r="N961" s="987"/>
      <c r="O961" s="987"/>
      <c r="P961" s="987"/>
      <c r="Q961" s="987"/>
      <c r="R961" s="987"/>
      <c r="S961" s="987"/>
      <c r="T961" s="987"/>
      <c r="U961" s="987"/>
      <c r="V961" s="987"/>
      <c r="W961" s="987"/>
      <c r="X961" s="987"/>
      <c r="Y961" s="987"/>
      <c r="Z961" s="987"/>
    </row>
    <row r="962">
      <c r="A962" s="987"/>
      <c r="B962" s="987"/>
      <c r="C962" s="987"/>
      <c r="D962" s="987"/>
      <c r="E962" s="987"/>
      <c r="F962" s="987"/>
      <c r="G962" s="987"/>
      <c r="H962" s="987"/>
      <c r="I962" s="987"/>
      <c r="J962" s="987"/>
      <c r="K962" s="987"/>
      <c r="L962" s="987"/>
      <c r="M962" s="987"/>
      <c r="N962" s="987"/>
      <c r="O962" s="987"/>
      <c r="P962" s="987"/>
      <c r="Q962" s="987"/>
      <c r="R962" s="987"/>
      <c r="S962" s="987"/>
      <c r="T962" s="987"/>
      <c r="U962" s="987"/>
      <c r="V962" s="987"/>
      <c r="W962" s="987"/>
      <c r="X962" s="987"/>
      <c r="Y962" s="987"/>
      <c r="Z962" s="987"/>
    </row>
    <row r="963">
      <c r="A963" s="987"/>
      <c r="B963" s="987"/>
      <c r="C963" s="987"/>
      <c r="D963" s="987"/>
      <c r="E963" s="987"/>
      <c r="F963" s="987"/>
      <c r="G963" s="987"/>
      <c r="H963" s="987"/>
      <c r="I963" s="987"/>
      <c r="J963" s="987"/>
      <c r="K963" s="987"/>
      <c r="L963" s="987"/>
      <c r="M963" s="987"/>
      <c r="N963" s="987"/>
      <c r="O963" s="987"/>
      <c r="P963" s="987"/>
      <c r="Q963" s="987"/>
      <c r="R963" s="987"/>
      <c r="S963" s="987"/>
      <c r="T963" s="987"/>
      <c r="U963" s="987"/>
      <c r="V963" s="987"/>
      <c r="W963" s="987"/>
      <c r="X963" s="987"/>
      <c r="Y963" s="987"/>
      <c r="Z963" s="987"/>
    </row>
    <row r="964">
      <c r="A964" s="987"/>
      <c r="B964" s="987"/>
      <c r="C964" s="987"/>
      <c r="D964" s="987"/>
      <c r="E964" s="987"/>
      <c r="F964" s="987"/>
      <c r="G964" s="987"/>
      <c r="H964" s="987"/>
      <c r="I964" s="987"/>
      <c r="J964" s="987"/>
      <c r="K964" s="987"/>
      <c r="L964" s="987"/>
      <c r="M964" s="987"/>
      <c r="N964" s="987"/>
      <c r="O964" s="987"/>
      <c r="P964" s="987"/>
      <c r="Q964" s="987"/>
      <c r="R964" s="987"/>
      <c r="S964" s="987"/>
      <c r="T964" s="987"/>
      <c r="U964" s="987"/>
      <c r="V964" s="987"/>
      <c r="W964" s="987"/>
      <c r="X964" s="987"/>
      <c r="Y964" s="987"/>
      <c r="Z964" s="987"/>
    </row>
    <row r="965">
      <c r="A965" s="987"/>
      <c r="B965" s="987"/>
      <c r="C965" s="987"/>
      <c r="D965" s="987"/>
      <c r="E965" s="987"/>
      <c r="F965" s="987"/>
      <c r="G965" s="987"/>
      <c r="H965" s="987"/>
      <c r="I965" s="987"/>
      <c r="J965" s="987"/>
      <c r="K965" s="987"/>
      <c r="L965" s="987"/>
      <c r="M965" s="987"/>
      <c r="N965" s="987"/>
      <c r="O965" s="987"/>
      <c r="P965" s="987"/>
      <c r="Q965" s="987"/>
      <c r="R965" s="987"/>
      <c r="S965" s="987"/>
      <c r="T965" s="987"/>
      <c r="U965" s="987"/>
      <c r="V965" s="987"/>
      <c r="W965" s="987"/>
      <c r="X965" s="987"/>
      <c r="Y965" s="987"/>
      <c r="Z965" s="987"/>
    </row>
    <row r="966">
      <c r="A966" s="987"/>
      <c r="B966" s="987"/>
      <c r="C966" s="987"/>
      <c r="D966" s="987"/>
      <c r="E966" s="987"/>
      <c r="F966" s="987"/>
      <c r="G966" s="987"/>
      <c r="H966" s="987"/>
      <c r="I966" s="987"/>
      <c r="J966" s="987"/>
      <c r="K966" s="987"/>
      <c r="L966" s="987"/>
      <c r="M966" s="987"/>
      <c r="N966" s="987"/>
      <c r="O966" s="987"/>
      <c r="P966" s="987"/>
      <c r="Q966" s="987"/>
      <c r="R966" s="987"/>
      <c r="S966" s="987"/>
      <c r="T966" s="987"/>
      <c r="U966" s="987"/>
      <c r="V966" s="987"/>
      <c r="W966" s="987"/>
      <c r="X966" s="987"/>
      <c r="Y966" s="987"/>
      <c r="Z966" s="987"/>
    </row>
    <row r="967">
      <c r="A967" s="987"/>
      <c r="B967" s="987"/>
      <c r="C967" s="987"/>
      <c r="D967" s="987"/>
      <c r="E967" s="987"/>
      <c r="F967" s="987"/>
      <c r="G967" s="987"/>
      <c r="H967" s="987"/>
      <c r="I967" s="987"/>
      <c r="J967" s="987"/>
      <c r="K967" s="987"/>
      <c r="L967" s="987"/>
      <c r="M967" s="987"/>
      <c r="N967" s="987"/>
      <c r="O967" s="987"/>
      <c r="P967" s="987"/>
      <c r="Q967" s="987"/>
      <c r="R967" s="987"/>
      <c r="S967" s="987"/>
      <c r="T967" s="987"/>
      <c r="U967" s="987"/>
      <c r="V967" s="987"/>
      <c r="W967" s="987"/>
      <c r="X967" s="987"/>
      <c r="Y967" s="987"/>
      <c r="Z967" s="987"/>
    </row>
    <row r="968">
      <c r="A968" s="987"/>
      <c r="B968" s="987"/>
      <c r="C968" s="987"/>
      <c r="D968" s="987"/>
      <c r="E968" s="987"/>
      <c r="F968" s="987"/>
      <c r="G968" s="987"/>
      <c r="H968" s="987"/>
      <c r="I968" s="987"/>
      <c r="J968" s="987"/>
      <c r="K968" s="987"/>
      <c r="L968" s="987"/>
      <c r="M968" s="987"/>
      <c r="N968" s="987"/>
      <c r="O968" s="987"/>
      <c r="P968" s="987"/>
      <c r="Q968" s="987"/>
      <c r="R968" s="987"/>
      <c r="S968" s="987"/>
      <c r="T968" s="987"/>
      <c r="U968" s="987"/>
      <c r="V968" s="987"/>
      <c r="W968" s="987"/>
      <c r="X968" s="987"/>
      <c r="Y968" s="987"/>
      <c r="Z968" s="987"/>
    </row>
    <row r="969">
      <c r="A969" s="987"/>
      <c r="B969" s="987"/>
      <c r="C969" s="987"/>
      <c r="D969" s="987"/>
      <c r="E969" s="987"/>
      <c r="F969" s="987"/>
      <c r="G969" s="987"/>
      <c r="H969" s="987"/>
      <c r="I969" s="987"/>
      <c r="J969" s="987"/>
      <c r="K969" s="987"/>
      <c r="L969" s="987"/>
      <c r="M969" s="987"/>
      <c r="N969" s="987"/>
      <c r="O969" s="987"/>
      <c r="P969" s="987"/>
      <c r="Q969" s="987"/>
      <c r="R969" s="987"/>
      <c r="S969" s="987"/>
      <c r="T969" s="987"/>
      <c r="U969" s="987"/>
      <c r="V969" s="987"/>
      <c r="W969" s="987"/>
      <c r="X969" s="987"/>
      <c r="Y969" s="987"/>
      <c r="Z969" s="987"/>
    </row>
    <row r="970">
      <c r="A970" s="987"/>
      <c r="B970" s="987"/>
      <c r="C970" s="987"/>
      <c r="D970" s="987"/>
      <c r="E970" s="987"/>
      <c r="F970" s="987"/>
      <c r="G970" s="987"/>
      <c r="H970" s="987"/>
      <c r="I970" s="987"/>
      <c r="J970" s="987"/>
      <c r="K970" s="987"/>
      <c r="L970" s="987"/>
      <c r="M970" s="987"/>
      <c r="N970" s="987"/>
      <c r="O970" s="987"/>
      <c r="P970" s="987"/>
      <c r="Q970" s="987"/>
      <c r="R970" s="987"/>
      <c r="S970" s="987"/>
      <c r="T970" s="987"/>
      <c r="U970" s="987"/>
      <c r="V970" s="987"/>
      <c r="W970" s="987"/>
      <c r="X970" s="987"/>
      <c r="Y970" s="987"/>
      <c r="Z970" s="987"/>
    </row>
    <row r="971">
      <c r="A971" s="987"/>
      <c r="B971" s="987"/>
      <c r="C971" s="987"/>
      <c r="D971" s="987"/>
      <c r="E971" s="987"/>
      <c r="F971" s="987"/>
      <c r="G971" s="987"/>
      <c r="H971" s="987"/>
      <c r="I971" s="987"/>
      <c r="J971" s="987"/>
      <c r="K971" s="987"/>
      <c r="L971" s="987"/>
      <c r="M971" s="987"/>
      <c r="N971" s="987"/>
      <c r="O971" s="987"/>
      <c r="P971" s="987"/>
      <c r="Q971" s="987"/>
      <c r="R971" s="987"/>
      <c r="S971" s="987"/>
      <c r="T971" s="987"/>
      <c r="U971" s="987"/>
      <c r="V971" s="987"/>
      <c r="W971" s="987"/>
      <c r="X971" s="987"/>
      <c r="Y971" s="987"/>
      <c r="Z971" s="987"/>
    </row>
    <row r="972">
      <c r="A972" s="987"/>
      <c r="B972" s="987"/>
      <c r="C972" s="987"/>
      <c r="D972" s="987"/>
      <c r="E972" s="987"/>
      <c r="F972" s="987"/>
      <c r="G972" s="987"/>
      <c r="H972" s="987"/>
      <c r="I972" s="987"/>
      <c r="J972" s="987"/>
      <c r="K972" s="987"/>
      <c r="L972" s="987"/>
      <c r="M972" s="987"/>
      <c r="N972" s="987"/>
      <c r="O972" s="987"/>
      <c r="P972" s="987"/>
      <c r="Q972" s="987"/>
      <c r="R972" s="987"/>
      <c r="S972" s="987"/>
      <c r="T972" s="987"/>
      <c r="U972" s="987"/>
      <c r="V972" s="987"/>
      <c r="W972" s="987"/>
      <c r="X972" s="987"/>
      <c r="Y972" s="987"/>
      <c r="Z972" s="987"/>
    </row>
    <row r="973">
      <c r="A973" s="987"/>
      <c r="B973" s="987"/>
      <c r="C973" s="987"/>
      <c r="D973" s="987"/>
      <c r="E973" s="987"/>
      <c r="F973" s="987"/>
      <c r="G973" s="987"/>
      <c r="H973" s="987"/>
      <c r="I973" s="987"/>
      <c r="J973" s="987"/>
      <c r="K973" s="987"/>
      <c r="L973" s="987"/>
      <c r="M973" s="987"/>
      <c r="N973" s="987"/>
      <c r="O973" s="987"/>
      <c r="P973" s="987"/>
      <c r="Q973" s="987"/>
      <c r="R973" s="987"/>
      <c r="S973" s="987"/>
      <c r="T973" s="987"/>
      <c r="U973" s="987"/>
      <c r="V973" s="987"/>
      <c r="W973" s="987"/>
      <c r="X973" s="987"/>
      <c r="Y973" s="987"/>
      <c r="Z973" s="987"/>
    </row>
    <row r="974">
      <c r="A974" s="987"/>
      <c r="B974" s="987"/>
      <c r="C974" s="987"/>
      <c r="D974" s="987"/>
      <c r="E974" s="987"/>
      <c r="F974" s="987"/>
      <c r="G974" s="987"/>
      <c r="H974" s="987"/>
      <c r="I974" s="987"/>
      <c r="J974" s="987"/>
      <c r="K974" s="987"/>
      <c r="L974" s="987"/>
      <c r="M974" s="987"/>
      <c r="N974" s="987"/>
      <c r="O974" s="987"/>
      <c r="P974" s="987"/>
      <c r="Q974" s="987"/>
      <c r="R974" s="987"/>
      <c r="S974" s="987"/>
      <c r="T974" s="987"/>
      <c r="U974" s="987"/>
      <c r="V974" s="987"/>
      <c r="W974" s="987"/>
      <c r="X974" s="987"/>
      <c r="Y974" s="987"/>
      <c r="Z974" s="987"/>
    </row>
    <row r="975">
      <c r="A975" s="987"/>
      <c r="B975" s="987"/>
      <c r="C975" s="987"/>
      <c r="D975" s="987"/>
      <c r="E975" s="987"/>
      <c r="F975" s="987"/>
      <c r="G975" s="987"/>
      <c r="H975" s="987"/>
      <c r="I975" s="987"/>
      <c r="J975" s="987"/>
      <c r="K975" s="987"/>
      <c r="L975" s="987"/>
      <c r="M975" s="987"/>
      <c r="N975" s="987"/>
      <c r="O975" s="987"/>
      <c r="P975" s="987"/>
      <c r="Q975" s="987"/>
      <c r="R975" s="987"/>
      <c r="S975" s="987"/>
      <c r="T975" s="987"/>
      <c r="U975" s="987"/>
      <c r="V975" s="987"/>
      <c r="W975" s="987"/>
      <c r="X975" s="987"/>
      <c r="Y975" s="987"/>
      <c r="Z975" s="987"/>
    </row>
    <row r="976">
      <c r="A976" s="987"/>
      <c r="B976" s="987"/>
      <c r="C976" s="987"/>
      <c r="D976" s="987"/>
      <c r="E976" s="987"/>
      <c r="F976" s="987"/>
      <c r="G976" s="987"/>
      <c r="H976" s="987"/>
      <c r="I976" s="987"/>
      <c r="J976" s="987"/>
      <c r="K976" s="987"/>
      <c r="L976" s="987"/>
      <c r="M976" s="987"/>
      <c r="N976" s="987"/>
      <c r="O976" s="987"/>
      <c r="P976" s="987"/>
      <c r="Q976" s="987"/>
      <c r="R976" s="987"/>
      <c r="S976" s="987"/>
      <c r="T976" s="987"/>
      <c r="U976" s="987"/>
      <c r="V976" s="987"/>
      <c r="W976" s="987"/>
      <c r="X976" s="987"/>
      <c r="Y976" s="987"/>
      <c r="Z976" s="987"/>
    </row>
    <row r="977">
      <c r="A977" s="987"/>
      <c r="B977" s="987"/>
      <c r="C977" s="987"/>
      <c r="D977" s="987"/>
      <c r="E977" s="987"/>
      <c r="F977" s="987"/>
      <c r="G977" s="987"/>
      <c r="H977" s="987"/>
      <c r="I977" s="987"/>
      <c r="J977" s="987"/>
      <c r="K977" s="987"/>
      <c r="L977" s="987"/>
      <c r="M977" s="987"/>
      <c r="N977" s="987"/>
      <c r="O977" s="987"/>
      <c r="P977" s="987"/>
      <c r="Q977" s="987"/>
      <c r="R977" s="987"/>
      <c r="S977" s="987"/>
      <c r="T977" s="987"/>
      <c r="U977" s="987"/>
      <c r="V977" s="987"/>
      <c r="W977" s="987"/>
      <c r="X977" s="987"/>
      <c r="Y977" s="987"/>
      <c r="Z977" s="987"/>
    </row>
    <row r="978">
      <c r="A978" s="987"/>
      <c r="B978" s="987"/>
      <c r="C978" s="987"/>
      <c r="D978" s="987"/>
      <c r="E978" s="987"/>
      <c r="F978" s="987"/>
      <c r="G978" s="987"/>
      <c r="H978" s="987"/>
      <c r="I978" s="987"/>
      <c r="J978" s="987"/>
      <c r="K978" s="987"/>
      <c r="L978" s="987"/>
      <c r="M978" s="987"/>
      <c r="N978" s="987"/>
      <c r="O978" s="987"/>
      <c r="P978" s="987"/>
      <c r="Q978" s="987"/>
      <c r="R978" s="987"/>
      <c r="S978" s="987"/>
      <c r="T978" s="987"/>
      <c r="U978" s="987"/>
      <c r="V978" s="987"/>
      <c r="W978" s="987"/>
      <c r="X978" s="987"/>
      <c r="Y978" s="987"/>
      <c r="Z978" s="987"/>
    </row>
    <row r="979">
      <c r="A979" s="987"/>
      <c r="B979" s="987"/>
      <c r="C979" s="987"/>
      <c r="D979" s="987"/>
      <c r="E979" s="987"/>
      <c r="F979" s="987"/>
      <c r="G979" s="987"/>
      <c r="H979" s="987"/>
      <c r="I979" s="987"/>
      <c r="J979" s="987"/>
      <c r="K979" s="987"/>
      <c r="L979" s="987"/>
      <c r="M979" s="987"/>
      <c r="N979" s="987"/>
      <c r="O979" s="987"/>
      <c r="P979" s="987"/>
      <c r="Q979" s="987"/>
      <c r="R979" s="987"/>
      <c r="S979" s="987"/>
      <c r="T979" s="987"/>
      <c r="U979" s="987"/>
      <c r="V979" s="987"/>
      <c r="W979" s="987"/>
      <c r="X979" s="987"/>
      <c r="Y979" s="987"/>
      <c r="Z979" s="987"/>
    </row>
    <row r="980">
      <c r="A980" s="987"/>
      <c r="B980" s="987"/>
      <c r="C980" s="987"/>
      <c r="D980" s="987"/>
      <c r="E980" s="987"/>
      <c r="F980" s="987"/>
      <c r="G980" s="987"/>
      <c r="H980" s="987"/>
      <c r="I980" s="987"/>
      <c r="J980" s="987"/>
      <c r="K980" s="987"/>
      <c r="L980" s="987"/>
      <c r="M980" s="987"/>
      <c r="N980" s="987"/>
      <c r="O980" s="987"/>
      <c r="P980" s="987"/>
      <c r="Q980" s="987"/>
      <c r="R980" s="987"/>
      <c r="S980" s="987"/>
      <c r="T980" s="987"/>
      <c r="U980" s="987"/>
      <c r="V980" s="987"/>
      <c r="W980" s="987"/>
      <c r="X980" s="987"/>
      <c r="Y980" s="987"/>
      <c r="Z980" s="987"/>
    </row>
    <row r="981">
      <c r="A981" s="987"/>
      <c r="B981" s="987"/>
      <c r="C981" s="987"/>
      <c r="D981" s="987"/>
      <c r="E981" s="987"/>
      <c r="F981" s="987"/>
      <c r="G981" s="987"/>
      <c r="H981" s="987"/>
      <c r="I981" s="987"/>
      <c r="J981" s="987"/>
      <c r="K981" s="987"/>
      <c r="L981" s="987"/>
      <c r="M981" s="987"/>
      <c r="N981" s="987"/>
      <c r="O981" s="987"/>
      <c r="P981" s="987"/>
      <c r="Q981" s="987"/>
      <c r="R981" s="987"/>
      <c r="S981" s="987"/>
      <c r="T981" s="987"/>
      <c r="U981" s="987"/>
      <c r="V981" s="987"/>
      <c r="W981" s="987"/>
      <c r="X981" s="987"/>
      <c r="Y981" s="987"/>
      <c r="Z981" s="987"/>
    </row>
    <row r="982">
      <c r="A982" s="987"/>
      <c r="B982" s="987"/>
      <c r="C982" s="987"/>
      <c r="D982" s="987"/>
      <c r="E982" s="987"/>
      <c r="F982" s="987"/>
      <c r="G982" s="987"/>
      <c r="H982" s="987"/>
      <c r="I982" s="987"/>
      <c r="J982" s="987"/>
      <c r="K982" s="987"/>
      <c r="L982" s="987"/>
      <c r="M982" s="987"/>
      <c r="N982" s="987"/>
      <c r="O982" s="987"/>
      <c r="P982" s="987"/>
      <c r="Q982" s="987"/>
      <c r="R982" s="987"/>
      <c r="S982" s="987"/>
      <c r="T982" s="987"/>
      <c r="U982" s="987"/>
      <c r="V982" s="987"/>
      <c r="W982" s="987"/>
      <c r="X982" s="987"/>
      <c r="Y982" s="987"/>
      <c r="Z982" s="987"/>
    </row>
    <row r="983">
      <c r="A983" s="987"/>
      <c r="B983" s="987"/>
      <c r="C983" s="987"/>
      <c r="D983" s="987"/>
      <c r="E983" s="987"/>
      <c r="F983" s="987"/>
      <c r="G983" s="987"/>
      <c r="H983" s="987"/>
      <c r="I983" s="987"/>
      <c r="J983" s="987"/>
      <c r="K983" s="987"/>
      <c r="L983" s="987"/>
      <c r="M983" s="987"/>
      <c r="N983" s="987"/>
      <c r="O983" s="987"/>
      <c r="P983" s="987"/>
      <c r="Q983" s="987"/>
      <c r="R983" s="987"/>
      <c r="S983" s="987"/>
      <c r="T983" s="987"/>
      <c r="U983" s="987"/>
      <c r="V983" s="987"/>
      <c r="W983" s="987"/>
      <c r="X983" s="987"/>
      <c r="Y983" s="987"/>
      <c r="Z983" s="987"/>
    </row>
    <row r="984">
      <c r="A984" s="987"/>
      <c r="B984" s="987"/>
      <c r="C984" s="987"/>
      <c r="D984" s="987"/>
      <c r="E984" s="987"/>
      <c r="F984" s="987"/>
      <c r="G984" s="987"/>
      <c r="H984" s="987"/>
      <c r="I984" s="987"/>
      <c r="J984" s="987"/>
      <c r="K984" s="987"/>
      <c r="L984" s="987"/>
      <c r="M984" s="987"/>
      <c r="N984" s="987"/>
      <c r="O984" s="987"/>
      <c r="P984" s="987"/>
      <c r="Q984" s="987"/>
      <c r="R984" s="987"/>
      <c r="S984" s="987"/>
      <c r="T984" s="987"/>
      <c r="U984" s="987"/>
      <c r="V984" s="987"/>
      <c r="W984" s="987"/>
      <c r="X984" s="987"/>
      <c r="Y984" s="987"/>
      <c r="Z984" s="987"/>
    </row>
    <row r="985">
      <c r="A985" s="987"/>
      <c r="B985" s="987"/>
      <c r="C985" s="987"/>
      <c r="D985" s="987"/>
      <c r="E985" s="987"/>
      <c r="F985" s="987"/>
      <c r="G985" s="987"/>
      <c r="H985" s="987"/>
      <c r="I985" s="987"/>
      <c r="J985" s="987"/>
      <c r="K985" s="987"/>
      <c r="L985" s="987"/>
      <c r="M985" s="987"/>
      <c r="N985" s="987"/>
      <c r="O985" s="987"/>
      <c r="P985" s="987"/>
      <c r="Q985" s="987"/>
      <c r="R985" s="987"/>
      <c r="S985" s="987"/>
      <c r="T985" s="987"/>
      <c r="U985" s="987"/>
      <c r="V985" s="987"/>
      <c r="W985" s="987"/>
      <c r="X985" s="987"/>
      <c r="Y985" s="987"/>
      <c r="Z985" s="987"/>
    </row>
    <row r="986">
      <c r="A986" s="987"/>
      <c r="B986" s="987"/>
      <c r="C986" s="987"/>
      <c r="D986" s="987"/>
      <c r="E986" s="987"/>
      <c r="F986" s="987"/>
      <c r="G986" s="987"/>
      <c r="H986" s="987"/>
      <c r="I986" s="987"/>
      <c r="J986" s="987"/>
      <c r="K986" s="987"/>
      <c r="L986" s="987"/>
      <c r="M986" s="987"/>
      <c r="N986" s="987"/>
      <c r="O986" s="987"/>
      <c r="P986" s="987"/>
      <c r="Q986" s="987"/>
      <c r="R986" s="987"/>
      <c r="S986" s="987"/>
      <c r="T986" s="987"/>
      <c r="U986" s="987"/>
      <c r="V986" s="987"/>
      <c r="W986" s="987"/>
      <c r="X986" s="987"/>
      <c r="Y986" s="987"/>
      <c r="Z986" s="987"/>
    </row>
    <row r="987">
      <c r="A987" s="987"/>
      <c r="B987" s="987"/>
      <c r="C987" s="987"/>
      <c r="D987" s="987"/>
      <c r="E987" s="987"/>
      <c r="F987" s="987"/>
      <c r="G987" s="987"/>
      <c r="H987" s="987"/>
      <c r="I987" s="987"/>
      <c r="J987" s="987"/>
      <c r="K987" s="987"/>
      <c r="L987" s="987"/>
      <c r="M987" s="987"/>
      <c r="N987" s="987"/>
      <c r="O987" s="987"/>
      <c r="P987" s="987"/>
      <c r="Q987" s="987"/>
      <c r="R987" s="987"/>
      <c r="S987" s="987"/>
      <c r="T987" s="987"/>
      <c r="U987" s="987"/>
      <c r="V987" s="987"/>
      <c r="W987" s="987"/>
      <c r="X987" s="987"/>
      <c r="Y987" s="987"/>
      <c r="Z987" s="987"/>
    </row>
    <row r="988">
      <c r="A988" s="987"/>
      <c r="B988" s="987"/>
      <c r="C988" s="987"/>
      <c r="D988" s="987"/>
      <c r="E988" s="987"/>
      <c r="F988" s="987"/>
      <c r="G988" s="987"/>
      <c r="H988" s="987"/>
      <c r="I988" s="987"/>
      <c r="J988" s="987"/>
      <c r="K988" s="987"/>
      <c r="L988" s="987"/>
      <c r="M988" s="987"/>
      <c r="N988" s="987"/>
      <c r="O988" s="987"/>
      <c r="P988" s="987"/>
      <c r="Q988" s="987"/>
      <c r="R988" s="987"/>
      <c r="S988" s="987"/>
      <c r="T988" s="987"/>
      <c r="U988" s="987"/>
      <c r="V988" s="987"/>
      <c r="W988" s="987"/>
      <c r="X988" s="987"/>
      <c r="Y988" s="987"/>
      <c r="Z988" s="987"/>
    </row>
    <row r="989">
      <c r="A989" s="987"/>
      <c r="B989" s="987"/>
      <c r="C989" s="987"/>
      <c r="D989" s="987"/>
      <c r="E989" s="987"/>
      <c r="F989" s="987"/>
      <c r="G989" s="987"/>
      <c r="H989" s="987"/>
      <c r="I989" s="987"/>
      <c r="J989" s="987"/>
      <c r="K989" s="987"/>
      <c r="L989" s="987"/>
      <c r="M989" s="987"/>
      <c r="N989" s="987"/>
      <c r="O989" s="987"/>
      <c r="P989" s="987"/>
      <c r="Q989" s="987"/>
      <c r="R989" s="987"/>
      <c r="S989" s="987"/>
      <c r="T989" s="987"/>
      <c r="U989" s="987"/>
      <c r="V989" s="987"/>
      <c r="W989" s="987"/>
      <c r="X989" s="987"/>
      <c r="Y989" s="987"/>
      <c r="Z989" s="987"/>
    </row>
    <row r="990">
      <c r="A990" s="987"/>
      <c r="B990" s="987"/>
      <c r="C990" s="987"/>
      <c r="D990" s="987"/>
      <c r="E990" s="987"/>
      <c r="F990" s="987"/>
      <c r="G990" s="987"/>
      <c r="H990" s="987"/>
      <c r="I990" s="987"/>
      <c r="J990" s="987"/>
      <c r="K990" s="987"/>
      <c r="L990" s="987"/>
      <c r="M990" s="987"/>
      <c r="N990" s="987"/>
      <c r="O990" s="987"/>
      <c r="P990" s="987"/>
      <c r="Q990" s="987"/>
      <c r="R990" s="987"/>
      <c r="S990" s="987"/>
      <c r="T990" s="987"/>
      <c r="U990" s="987"/>
      <c r="V990" s="987"/>
      <c r="W990" s="987"/>
      <c r="X990" s="987"/>
      <c r="Y990" s="987"/>
      <c r="Z990" s="987"/>
    </row>
    <row r="991">
      <c r="A991" s="987"/>
      <c r="B991" s="987"/>
      <c r="C991" s="987"/>
      <c r="D991" s="987"/>
      <c r="E991" s="987"/>
      <c r="F991" s="987"/>
      <c r="G991" s="987"/>
      <c r="H991" s="987"/>
      <c r="I991" s="987"/>
      <c r="J991" s="987"/>
      <c r="K991" s="987"/>
      <c r="L991" s="987"/>
      <c r="M991" s="987"/>
      <c r="N991" s="987"/>
      <c r="O991" s="987"/>
      <c r="P991" s="987"/>
      <c r="Q991" s="987"/>
      <c r="R991" s="987"/>
      <c r="S991" s="987"/>
      <c r="T991" s="987"/>
      <c r="U991" s="987"/>
      <c r="V991" s="987"/>
      <c r="W991" s="987"/>
      <c r="X991" s="987"/>
      <c r="Y991" s="987"/>
      <c r="Z991" s="987"/>
    </row>
    <row r="992">
      <c r="A992" s="987"/>
      <c r="B992" s="987"/>
      <c r="C992" s="987"/>
      <c r="D992" s="987"/>
      <c r="E992" s="987"/>
      <c r="F992" s="987"/>
      <c r="G992" s="987"/>
      <c r="H992" s="987"/>
      <c r="I992" s="987"/>
      <c r="J992" s="987"/>
      <c r="K992" s="987"/>
      <c r="L992" s="987"/>
      <c r="M992" s="987"/>
      <c r="N992" s="987"/>
      <c r="O992" s="987"/>
      <c r="P992" s="987"/>
      <c r="Q992" s="987"/>
      <c r="R992" s="987"/>
      <c r="S992" s="987"/>
      <c r="T992" s="987"/>
      <c r="U992" s="987"/>
      <c r="V992" s="987"/>
      <c r="W992" s="987"/>
      <c r="X992" s="987"/>
      <c r="Y992" s="987"/>
      <c r="Z992" s="987"/>
    </row>
    <row r="993">
      <c r="A993" s="987"/>
      <c r="B993" s="987"/>
      <c r="C993" s="987"/>
      <c r="D993" s="987"/>
      <c r="E993" s="987"/>
      <c r="F993" s="987"/>
      <c r="G993" s="987"/>
      <c r="H993" s="987"/>
      <c r="I993" s="987"/>
      <c r="J993" s="987"/>
      <c r="K993" s="987"/>
      <c r="L993" s="987"/>
      <c r="M993" s="987"/>
      <c r="N993" s="987"/>
      <c r="O993" s="987"/>
      <c r="P993" s="987"/>
      <c r="Q993" s="987"/>
      <c r="R993" s="987"/>
      <c r="S993" s="987"/>
      <c r="T993" s="987"/>
      <c r="U993" s="987"/>
      <c r="V993" s="987"/>
      <c r="W993" s="987"/>
      <c r="X993" s="987"/>
      <c r="Y993" s="987"/>
      <c r="Z993" s="987"/>
    </row>
    <row r="994">
      <c r="A994" s="987"/>
      <c r="B994" s="987"/>
      <c r="C994" s="987"/>
      <c r="D994" s="987"/>
      <c r="E994" s="987"/>
      <c r="F994" s="987"/>
      <c r="G994" s="987"/>
      <c r="H994" s="987"/>
      <c r="I994" s="987"/>
      <c r="J994" s="987"/>
      <c r="K994" s="987"/>
      <c r="L994" s="987"/>
      <c r="M994" s="987"/>
      <c r="N994" s="987"/>
      <c r="O994" s="987"/>
      <c r="P994" s="987"/>
      <c r="Q994" s="987"/>
      <c r="R994" s="987"/>
      <c r="S994" s="987"/>
      <c r="T994" s="987"/>
      <c r="U994" s="987"/>
      <c r="V994" s="987"/>
      <c r="W994" s="987"/>
      <c r="X994" s="987"/>
      <c r="Y994" s="987"/>
      <c r="Z994" s="987"/>
    </row>
    <row r="995">
      <c r="A995" s="987"/>
      <c r="B995" s="987"/>
      <c r="C995" s="987"/>
      <c r="D995" s="987"/>
      <c r="E995" s="987"/>
      <c r="F995" s="987"/>
      <c r="G995" s="987"/>
      <c r="H995" s="987"/>
      <c r="I995" s="987"/>
      <c r="J995" s="987"/>
      <c r="K995" s="987"/>
      <c r="L995" s="987"/>
      <c r="M995" s="987"/>
      <c r="N995" s="987"/>
      <c r="O995" s="987"/>
      <c r="P995" s="987"/>
      <c r="Q995" s="987"/>
      <c r="R995" s="987"/>
      <c r="S995" s="987"/>
      <c r="T995" s="987"/>
      <c r="U995" s="987"/>
      <c r="V995" s="987"/>
      <c r="W995" s="987"/>
      <c r="X995" s="987"/>
      <c r="Y995" s="987"/>
      <c r="Z995" s="987"/>
    </row>
    <row r="996">
      <c r="A996" s="987"/>
      <c r="B996" s="987"/>
      <c r="C996" s="987"/>
      <c r="D996" s="987"/>
      <c r="E996" s="987"/>
      <c r="F996" s="987"/>
      <c r="G996" s="987"/>
      <c r="H996" s="987"/>
      <c r="I996" s="987"/>
      <c r="J996" s="987"/>
      <c r="K996" s="987"/>
      <c r="L996" s="987"/>
      <c r="M996" s="987"/>
      <c r="N996" s="987"/>
      <c r="O996" s="987"/>
      <c r="P996" s="987"/>
      <c r="Q996" s="987"/>
      <c r="R996" s="987"/>
      <c r="S996" s="987"/>
      <c r="T996" s="987"/>
      <c r="U996" s="987"/>
      <c r="V996" s="987"/>
      <c r="W996" s="987"/>
      <c r="X996" s="987"/>
      <c r="Y996" s="987"/>
      <c r="Z996" s="987"/>
    </row>
    <row r="997">
      <c r="A997" s="987"/>
      <c r="B997" s="987"/>
      <c r="C997" s="987"/>
      <c r="D997" s="987"/>
      <c r="E997" s="987"/>
      <c r="F997" s="987"/>
      <c r="G997" s="987"/>
      <c r="H997" s="987"/>
      <c r="I997" s="987"/>
      <c r="J997" s="987"/>
      <c r="K997" s="987"/>
      <c r="L997" s="987"/>
      <c r="M997" s="987"/>
      <c r="N997" s="987"/>
      <c r="O997" s="987"/>
      <c r="P997" s="987"/>
      <c r="Q997" s="987"/>
      <c r="R997" s="987"/>
      <c r="S997" s="987"/>
      <c r="T997" s="987"/>
      <c r="U997" s="987"/>
      <c r="V997" s="987"/>
      <c r="W997" s="987"/>
      <c r="X997" s="987"/>
      <c r="Y997" s="987"/>
      <c r="Z997" s="987"/>
    </row>
    <row r="998">
      <c r="A998" s="987"/>
      <c r="B998" s="987"/>
      <c r="C998" s="987"/>
      <c r="D998" s="987"/>
      <c r="E998" s="987"/>
      <c r="F998" s="987"/>
      <c r="G998" s="987"/>
      <c r="H998" s="987"/>
      <c r="I998" s="987"/>
      <c r="J998" s="987"/>
      <c r="K998" s="987"/>
      <c r="L998" s="987"/>
      <c r="M998" s="987"/>
      <c r="N998" s="987"/>
      <c r="O998" s="987"/>
      <c r="P998" s="987"/>
      <c r="Q998" s="987"/>
      <c r="R998" s="987"/>
      <c r="S998" s="987"/>
      <c r="T998" s="987"/>
      <c r="U998" s="987"/>
      <c r="V998" s="987"/>
      <c r="W998" s="987"/>
      <c r="X998" s="987"/>
      <c r="Y998" s="987"/>
      <c r="Z998" s="987"/>
    </row>
    <row r="999">
      <c r="A999" s="987"/>
      <c r="B999" s="987"/>
      <c r="C999" s="987"/>
      <c r="D999" s="987"/>
      <c r="E999" s="987"/>
      <c r="F999" s="987"/>
      <c r="G999" s="987"/>
      <c r="H999" s="987"/>
      <c r="I999" s="987"/>
      <c r="J999" s="987"/>
      <c r="K999" s="987"/>
      <c r="L999" s="987"/>
      <c r="M999" s="987"/>
      <c r="N999" s="987"/>
      <c r="O999" s="987"/>
      <c r="P999" s="987"/>
      <c r="Q999" s="987"/>
      <c r="R999" s="987"/>
      <c r="S999" s="987"/>
      <c r="T999" s="987"/>
      <c r="U999" s="987"/>
      <c r="V999" s="987"/>
      <c r="W999" s="987"/>
      <c r="X999" s="987"/>
      <c r="Y999" s="987"/>
      <c r="Z999" s="987"/>
    </row>
    <row r="1000">
      <c r="A1000" s="987"/>
      <c r="B1000" s="987"/>
      <c r="C1000" s="987"/>
      <c r="D1000" s="987"/>
      <c r="E1000" s="987"/>
      <c r="F1000" s="987"/>
      <c r="G1000" s="987"/>
      <c r="H1000" s="987"/>
      <c r="I1000" s="987"/>
      <c r="J1000" s="987"/>
      <c r="K1000" s="987"/>
      <c r="L1000" s="987"/>
      <c r="M1000" s="987"/>
      <c r="N1000" s="987"/>
      <c r="O1000" s="987"/>
      <c r="P1000" s="987"/>
      <c r="Q1000" s="987"/>
      <c r="R1000" s="987"/>
      <c r="S1000" s="987"/>
      <c r="T1000" s="987"/>
      <c r="U1000" s="987"/>
      <c r="V1000" s="987"/>
      <c r="W1000" s="987"/>
      <c r="X1000" s="987"/>
      <c r="Y1000" s="987"/>
      <c r="Z1000" s="987"/>
    </row>
    <row r="1001">
      <c r="A1001" s="987"/>
      <c r="B1001" s="987"/>
      <c r="C1001" s="987"/>
      <c r="D1001" s="987"/>
      <c r="E1001" s="987"/>
      <c r="F1001" s="987"/>
      <c r="G1001" s="987"/>
      <c r="H1001" s="987"/>
      <c r="I1001" s="987"/>
      <c r="J1001" s="987"/>
      <c r="K1001" s="987"/>
      <c r="L1001" s="987"/>
      <c r="M1001" s="987"/>
      <c r="N1001" s="987"/>
      <c r="O1001" s="987"/>
      <c r="P1001" s="987"/>
      <c r="Q1001" s="987"/>
      <c r="R1001" s="987"/>
      <c r="S1001" s="987"/>
      <c r="T1001" s="987"/>
      <c r="U1001" s="987"/>
      <c r="V1001" s="987"/>
      <c r="W1001" s="987"/>
      <c r="X1001" s="987"/>
      <c r="Y1001" s="987"/>
      <c r="Z1001" s="987"/>
    </row>
    <row r="1002">
      <c r="A1002" s="987"/>
      <c r="B1002" s="987"/>
      <c r="C1002" s="987"/>
      <c r="D1002" s="987"/>
      <c r="E1002" s="987"/>
      <c r="F1002" s="987"/>
      <c r="G1002" s="987"/>
      <c r="H1002" s="987"/>
      <c r="I1002" s="987"/>
      <c r="J1002" s="987"/>
      <c r="K1002" s="987"/>
      <c r="L1002" s="987"/>
      <c r="M1002" s="987"/>
      <c r="N1002" s="987"/>
      <c r="O1002" s="987"/>
      <c r="P1002" s="987"/>
      <c r="Q1002" s="987"/>
      <c r="R1002" s="987"/>
      <c r="S1002" s="987"/>
      <c r="T1002" s="987"/>
      <c r="U1002" s="987"/>
      <c r="V1002" s="987"/>
      <c r="W1002" s="987"/>
      <c r="X1002" s="987"/>
      <c r="Y1002" s="987"/>
      <c r="Z1002" s="987"/>
    </row>
    <row r="1003">
      <c r="A1003" s="987"/>
      <c r="B1003" s="987"/>
      <c r="C1003" s="987"/>
      <c r="D1003" s="987"/>
      <c r="E1003" s="987"/>
      <c r="F1003" s="987"/>
      <c r="G1003" s="987"/>
      <c r="H1003" s="987"/>
      <c r="I1003" s="987"/>
      <c r="J1003" s="987"/>
      <c r="K1003" s="987"/>
      <c r="L1003" s="987"/>
      <c r="M1003" s="987"/>
      <c r="N1003" s="987"/>
      <c r="O1003" s="987"/>
      <c r="P1003" s="987"/>
      <c r="Q1003" s="987"/>
      <c r="R1003" s="987"/>
      <c r="S1003" s="987"/>
      <c r="T1003" s="987"/>
      <c r="U1003" s="987"/>
      <c r="V1003" s="987"/>
      <c r="W1003" s="987"/>
      <c r="X1003" s="987"/>
      <c r="Y1003" s="987"/>
      <c r="Z1003" s="987"/>
    </row>
    <row r="1004">
      <c r="A1004" s="987"/>
      <c r="B1004" s="987"/>
      <c r="C1004" s="987"/>
      <c r="D1004" s="987"/>
      <c r="E1004" s="987"/>
      <c r="F1004" s="987"/>
      <c r="G1004" s="987"/>
      <c r="H1004" s="987"/>
      <c r="I1004" s="987"/>
      <c r="J1004" s="987"/>
      <c r="K1004" s="987"/>
      <c r="L1004" s="987"/>
      <c r="M1004" s="987"/>
      <c r="N1004" s="987"/>
      <c r="O1004" s="987"/>
      <c r="P1004" s="987"/>
      <c r="Q1004" s="987"/>
      <c r="R1004" s="987"/>
      <c r="S1004" s="987"/>
      <c r="T1004" s="987"/>
      <c r="U1004" s="987"/>
      <c r="V1004" s="987"/>
      <c r="W1004" s="987"/>
      <c r="X1004" s="987"/>
      <c r="Y1004" s="987"/>
      <c r="Z1004" s="987"/>
    </row>
    <row r="1005">
      <c r="A1005" s="987"/>
      <c r="B1005" s="987"/>
      <c r="C1005" s="987"/>
      <c r="D1005" s="987"/>
      <c r="E1005" s="987"/>
      <c r="F1005" s="987"/>
      <c r="G1005" s="987"/>
      <c r="H1005" s="987"/>
      <c r="I1005" s="987"/>
      <c r="J1005" s="987"/>
      <c r="K1005" s="987"/>
      <c r="L1005" s="987"/>
      <c r="M1005" s="987"/>
      <c r="N1005" s="987"/>
      <c r="O1005" s="987"/>
      <c r="P1005" s="987"/>
      <c r="Q1005" s="987"/>
      <c r="R1005" s="987"/>
      <c r="S1005" s="987"/>
      <c r="T1005" s="987"/>
      <c r="U1005" s="987"/>
      <c r="V1005" s="987"/>
      <c r="W1005" s="987"/>
      <c r="X1005" s="987"/>
      <c r="Y1005" s="987"/>
      <c r="Z1005" s="987"/>
    </row>
    <row r="1006">
      <c r="A1006" s="987"/>
      <c r="B1006" s="987"/>
      <c r="C1006" s="987"/>
      <c r="D1006" s="987"/>
      <c r="E1006" s="987"/>
      <c r="F1006" s="987"/>
      <c r="G1006" s="987"/>
      <c r="H1006" s="987"/>
      <c r="I1006" s="987"/>
      <c r="J1006" s="987"/>
      <c r="K1006" s="987"/>
      <c r="L1006" s="987"/>
      <c r="M1006" s="987"/>
      <c r="N1006" s="987"/>
      <c r="O1006" s="987"/>
      <c r="P1006" s="987"/>
      <c r="Q1006" s="987"/>
      <c r="R1006" s="987"/>
      <c r="S1006" s="987"/>
      <c r="T1006" s="987"/>
      <c r="U1006" s="987"/>
      <c r="V1006" s="987"/>
      <c r="W1006" s="987"/>
      <c r="X1006" s="987"/>
      <c r="Y1006" s="987"/>
      <c r="Z1006" s="987"/>
    </row>
    <row r="1007">
      <c r="A1007" s="987"/>
      <c r="B1007" s="987"/>
      <c r="C1007" s="987"/>
      <c r="D1007" s="987"/>
      <c r="E1007" s="987"/>
      <c r="F1007" s="987"/>
      <c r="G1007" s="987"/>
      <c r="H1007" s="987"/>
      <c r="I1007" s="987"/>
      <c r="J1007" s="987"/>
      <c r="K1007" s="987"/>
      <c r="L1007" s="987"/>
      <c r="M1007" s="987"/>
      <c r="N1007" s="987"/>
      <c r="O1007" s="987"/>
      <c r="P1007" s="987"/>
      <c r="Q1007" s="987"/>
      <c r="R1007" s="987"/>
      <c r="S1007" s="987"/>
      <c r="T1007" s="987"/>
      <c r="U1007" s="987"/>
      <c r="V1007" s="987"/>
      <c r="W1007" s="987"/>
      <c r="X1007" s="987"/>
      <c r="Y1007" s="987"/>
      <c r="Z1007" s="987"/>
    </row>
    <row r="1008">
      <c r="A1008" s="987"/>
      <c r="B1008" s="987"/>
      <c r="C1008" s="987"/>
      <c r="D1008" s="987"/>
      <c r="E1008" s="987"/>
      <c r="F1008" s="987"/>
      <c r="G1008" s="987"/>
      <c r="H1008" s="987"/>
      <c r="I1008" s="987"/>
      <c r="J1008" s="987"/>
      <c r="K1008" s="987"/>
      <c r="L1008" s="987"/>
      <c r="M1008" s="987"/>
      <c r="N1008" s="987"/>
      <c r="O1008" s="987"/>
      <c r="P1008" s="987"/>
      <c r="Q1008" s="987"/>
      <c r="R1008" s="987"/>
      <c r="S1008" s="987"/>
      <c r="T1008" s="987"/>
      <c r="U1008" s="987"/>
      <c r="V1008" s="987"/>
      <c r="W1008" s="987"/>
      <c r="X1008" s="987"/>
      <c r="Y1008" s="987"/>
      <c r="Z1008" s="987"/>
    </row>
    <row r="1009">
      <c r="A1009" s="987"/>
      <c r="B1009" s="987"/>
      <c r="C1009" s="987"/>
      <c r="D1009" s="987"/>
      <c r="E1009" s="987"/>
      <c r="F1009" s="987"/>
      <c r="G1009" s="987"/>
      <c r="H1009" s="987"/>
      <c r="I1009" s="987"/>
      <c r="J1009" s="987"/>
      <c r="K1009" s="987"/>
      <c r="L1009" s="987"/>
      <c r="M1009" s="987"/>
      <c r="N1009" s="987"/>
      <c r="O1009" s="987"/>
      <c r="P1009" s="987"/>
      <c r="Q1009" s="987"/>
      <c r="R1009" s="987"/>
      <c r="S1009" s="987"/>
      <c r="T1009" s="987"/>
      <c r="U1009" s="987"/>
      <c r="V1009" s="987"/>
      <c r="W1009" s="987"/>
      <c r="X1009" s="987"/>
      <c r="Y1009" s="987"/>
      <c r="Z1009" s="987"/>
    </row>
    <row r="1010">
      <c r="A1010" s="987"/>
      <c r="B1010" s="987"/>
      <c r="C1010" s="987"/>
      <c r="D1010" s="987"/>
      <c r="E1010" s="987"/>
      <c r="F1010" s="987"/>
      <c r="G1010" s="987"/>
      <c r="H1010" s="987"/>
      <c r="I1010" s="987"/>
      <c r="J1010" s="987"/>
      <c r="K1010" s="987"/>
      <c r="L1010" s="987"/>
      <c r="M1010" s="987"/>
      <c r="N1010" s="987"/>
      <c r="O1010" s="987"/>
      <c r="P1010" s="987"/>
      <c r="Q1010" s="987"/>
      <c r="R1010" s="987"/>
      <c r="S1010" s="987"/>
      <c r="T1010" s="987"/>
      <c r="U1010" s="987"/>
      <c r="V1010" s="987"/>
      <c r="W1010" s="987"/>
      <c r="X1010" s="987"/>
      <c r="Y1010" s="987"/>
      <c r="Z1010" s="987"/>
    </row>
    <row r="1011">
      <c r="A1011" s="987"/>
      <c r="B1011" s="987"/>
      <c r="C1011" s="987"/>
      <c r="D1011" s="987"/>
      <c r="E1011" s="987"/>
      <c r="F1011" s="987"/>
      <c r="G1011" s="987"/>
      <c r="H1011" s="987"/>
      <c r="I1011" s="987"/>
      <c r="J1011" s="987"/>
      <c r="K1011" s="987"/>
      <c r="L1011" s="987"/>
      <c r="M1011" s="987"/>
      <c r="N1011" s="987"/>
      <c r="O1011" s="987"/>
      <c r="P1011" s="987"/>
      <c r="Q1011" s="987"/>
      <c r="R1011" s="987"/>
      <c r="S1011" s="987"/>
      <c r="T1011" s="987"/>
      <c r="U1011" s="987"/>
      <c r="V1011" s="987"/>
      <c r="W1011" s="987"/>
      <c r="X1011" s="987"/>
      <c r="Y1011" s="987"/>
      <c r="Z1011" s="987"/>
    </row>
    <row r="1012">
      <c r="A1012" s="987"/>
      <c r="B1012" s="987"/>
      <c r="C1012" s="987"/>
      <c r="D1012" s="987"/>
      <c r="E1012" s="987"/>
      <c r="F1012" s="987"/>
      <c r="G1012" s="987"/>
      <c r="H1012" s="987"/>
      <c r="I1012" s="987"/>
      <c r="J1012" s="987"/>
      <c r="K1012" s="987"/>
      <c r="L1012" s="987"/>
      <c r="M1012" s="987"/>
      <c r="N1012" s="987"/>
      <c r="O1012" s="987"/>
      <c r="P1012" s="987"/>
      <c r="Q1012" s="987"/>
      <c r="R1012" s="987"/>
      <c r="S1012" s="987"/>
      <c r="T1012" s="987"/>
      <c r="U1012" s="987"/>
      <c r="V1012" s="987"/>
      <c r="W1012" s="987"/>
      <c r="X1012" s="987"/>
      <c r="Y1012" s="987"/>
      <c r="Z1012" s="987"/>
    </row>
    <row r="1013">
      <c r="A1013" s="987"/>
      <c r="B1013" s="987"/>
      <c r="C1013" s="987"/>
      <c r="D1013" s="987"/>
      <c r="E1013" s="987"/>
      <c r="F1013" s="987"/>
      <c r="G1013" s="987"/>
      <c r="H1013" s="987"/>
      <c r="I1013" s="987"/>
      <c r="J1013" s="987"/>
      <c r="K1013" s="987"/>
      <c r="L1013" s="987"/>
      <c r="M1013" s="987"/>
      <c r="N1013" s="987"/>
      <c r="O1013" s="987"/>
      <c r="P1013" s="987"/>
      <c r="Q1013" s="987"/>
      <c r="R1013" s="987"/>
      <c r="S1013" s="987"/>
      <c r="T1013" s="987"/>
      <c r="U1013" s="987"/>
      <c r="V1013" s="987"/>
      <c r="W1013" s="987"/>
      <c r="X1013" s="987"/>
      <c r="Y1013" s="987"/>
      <c r="Z1013" s="987"/>
    </row>
    <row r="1014">
      <c r="A1014" s="987"/>
      <c r="B1014" s="987"/>
      <c r="C1014" s="987"/>
      <c r="D1014" s="987"/>
      <c r="E1014" s="987"/>
      <c r="F1014" s="987"/>
      <c r="G1014" s="987"/>
      <c r="H1014" s="987"/>
      <c r="I1014" s="987"/>
      <c r="J1014" s="987"/>
      <c r="K1014" s="987"/>
      <c r="L1014" s="987"/>
      <c r="M1014" s="987"/>
      <c r="N1014" s="987"/>
      <c r="O1014" s="987"/>
      <c r="P1014" s="987"/>
      <c r="Q1014" s="987"/>
      <c r="R1014" s="987"/>
      <c r="S1014" s="987"/>
      <c r="T1014" s="987"/>
      <c r="U1014" s="987"/>
      <c r="V1014" s="987"/>
      <c r="W1014" s="987"/>
      <c r="X1014" s="987"/>
      <c r="Y1014" s="987"/>
      <c r="Z1014" s="987"/>
    </row>
    <row r="1015">
      <c r="A1015" s="987"/>
      <c r="B1015" s="987"/>
      <c r="C1015" s="987"/>
      <c r="D1015" s="987"/>
      <c r="E1015" s="987"/>
      <c r="F1015" s="987"/>
      <c r="G1015" s="987"/>
      <c r="H1015" s="623"/>
      <c r="I1015" s="623"/>
      <c r="J1015" s="623"/>
      <c r="K1015" s="623"/>
      <c r="L1015" s="623"/>
      <c r="M1015" s="623"/>
      <c r="N1015" s="987"/>
      <c r="O1015" s="987"/>
      <c r="P1015" s="987"/>
      <c r="Q1015" s="987"/>
      <c r="R1015" s="987"/>
      <c r="S1015" s="987"/>
      <c r="T1015" s="987"/>
      <c r="U1015" s="987"/>
      <c r="V1015" s="987"/>
      <c r="W1015" s="987"/>
      <c r="X1015" s="987"/>
      <c r="Y1015" s="987"/>
      <c r="Z1015" s="987"/>
    </row>
    <row r="1016">
      <c r="A1016" s="987"/>
      <c r="B1016" s="987"/>
      <c r="C1016" s="987"/>
      <c r="D1016" s="987"/>
      <c r="E1016" s="987"/>
      <c r="F1016" s="987"/>
      <c r="G1016" s="987"/>
      <c r="H1016" s="623"/>
      <c r="I1016" s="623"/>
      <c r="J1016" s="623"/>
      <c r="K1016" s="623"/>
      <c r="L1016" s="623"/>
      <c r="M1016" s="623"/>
      <c r="N1016" s="987"/>
      <c r="O1016" s="987"/>
      <c r="P1016" s="987"/>
      <c r="Q1016" s="987"/>
      <c r="R1016" s="987"/>
      <c r="S1016" s="987"/>
      <c r="T1016" s="987"/>
      <c r="U1016" s="987"/>
      <c r="V1016" s="987"/>
      <c r="W1016" s="987"/>
      <c r="X1016" s="987"/>
      <c r="Y1016" s="987"/>
      <c r="Z1016" s="987"/>
    </row>
    <row r="1017">
      <c r="A1017" s="987"/>
      <c r="B1017" s="987"/>
      <c r="C1017" s="987"/>
      <c r="D1017" s="987"/>
      <c r="E1017" s="987"/>
      <c r="F1017" s="987"/>
      <c r="G1017" s="987"/>
      <c r="H1017" s="623"/>
      <c r="I1017" s="623"/>
      <c r="J1017" s="623"/>
      <c r="K1017" s="623"/>
      <c r="L1017" s="623"/>
      <c r="M1017" s="623"/>
      <c r="N1017" s="987"/>
      <c r="O1017" s="987"/>
      <c r="P1017" s="987"/>
      <c r="Q1017" s="987"/>
      <c r="R1017" s="987"/>
      <c r="S1017" s="987"/>
      <c r="T1017" s="987"/>
      <c r="U1017" s="987"/>
      <c r="V1017" s="987"/>
      <c r="W1017" s="987"/>
      <c r="X1017" s="987"/>
      <c r="Y1017" s="987"/>
      <c r="Z1017" s="987"/>
    </row>
    <row r="1018">
      <c r="A1018" s="987"/>
      <c r="B1018" s="987"/>
      <c r="C1018" s="987"/>
      <c r="D1018" s="987"/>
      <c r="E1018" s="987"/>
      <c r="F1018" s="987"/>
      <c r="G1018" s="987"/>
      <c r="H1018" s="623"/>
      <c r="I1018" s="623"/>
      <c r="J1018" s="623"/>
      <c r="K1018" s="623"/>
      <c r="L1018" s="623"/>
      <c r="M1018" s="623"/>
      <c r="N1018" s="987"/>
      <c r="O1018" s="987"/>
      <c r="P1018" s="987"/>
      <c r="Q1018" s="987"/>
      <c r="R1018" s="987"/>
      <c r="S1018" s="987"/>
      <c r="T1018" s="987"/>
      <c r="U1018" s="987"/>
      <c r="V1018" s="987"/>
      <c r="W1018" s="987"/>
      <c r="X1018" s="987"/>
      <c r="Y1018" s="987"/>
      <c r="Z1018" s="987"/>
    </row>
    <row r="1019">
      <c r="A1019" s="987"/>
      <c r="B1019" s="987"/>
      <c r="C1019" s="987"/>
      <c r="D1019" s="987"/>
      <c r="E1019" s="987"/>
      <c r="F1019" s="987"/>
      <c r="G1019" s="987"/>
      <c r="H1019" s="623"/>
      <c r="I1019" s="623"/>
      <c r="J1019" s="623"/>
      <c r="K1019" s="623"/>
      <c r="L1019" s="623"/>
      <c r="M1019" s="623"/>
      <c r="N1019" s="987"/>
      <c r="O1019" s="987"/>
      <c r="P1019" s="987"/>
      <c r="Q1019" s="987"/>
      <c r="R1019" s="987"/>
      <c r="S1019" s="987"/>
      <c r="T1019" s="987"/>
      <c r="U1019" s="987"/>
      <c r="V1019" s="987"/>
      <c r="W1019" s="987"/>
      <c r="X1019" s="987"/>
      <c r="Y1019" s="987"/>
      <c r="Z1019" s="987"/>
    </row>
    <row r="1020">
      <c r="A1020" s="987"/>
      <c r="B1020" s="987"/>
      <c r="C1020" s="987"/>
      <c r="D1020" s="987"/>
      <c r="E1020" s="987"/>
      <c r="F1020" s="987"/>
      <c r="G1020" s="987"/>
      <c r="H1020" s="623"/>
      <c r="I1020" s="623"/>
      <c r="J1020" s="623"/>
      <c r="K1020" s="623"/>
      <c r="L1020" s="623"/>
      <c r="M1020" s="623"/>
      <c r="N1020" s="987"/>
      <c r="O1020" s="987"/>
      <c r="P1020" s="987"/>
      <c r="Q1020" s="987"/>
      <c r="R1020" s="987"/>
      <c r="S1020" s="987"/>
      <c r="T1020" s="987"/>
      <c r="U1020" s="987"/>
      <c r="V1020" s="987"/>
      <c r="W1020" s="987"/>
      <c r="X1020" s="987"/>
      <c r="Y1020" s="987"/>
      <c r="Z1020" s="987"/>
    </row>
    <row r="1021">
      <c r="A1021" s="987"/>
      <c r="B1021" s="987"/>
      <c r="C1021" s="987"/>
      <c r="D1021" s="987"/>
      <c r="E1021" s="987"/>
      <c r="F1021" s="987"/>
      <c r="G1021" s="987"/>
      <c r="H1021" s="623"/>
      <c r="I1021" s="623"/>
      <c r="J1021" s="623"/>
      <c r="K1021" s="623"/>
      <c r="L1021" s="623"/>
      <c r="M1021" s="623"/>
      <c r="N1021" s="987"/>
      <c r="O1021" s="987"/>
      <c r="P1021" s="987"/>
      <c r="Q1021" s="987"/>
      <c r="R1021" s="987"/>
      <c r="S1021" s="987"/>
      <c r="T1021" s="987"/>
      <c r="U1021" s="987"/>
      <c r="V1021" s="987"/>
      <c r="W1021" s="987"/>
      <c r="X1021" s="987"/>
      <c r="Y1021" s="987"/>
      <c r="Z1021" s="987"/>
    </row>
    <row r="1022">
      <c r="A1022" s="987"/>
      <c r="B1022" s="987"/>
      <c r="C1022" s="987"/>
      <c r="D1022" s="987"/>
      <c r="E1022" s="987"/>
      <c r="F1022" s="987"/>
      <c r="G1022" s="987"/>
      <c r="H1022" s="623"/>
      <c r="I1022" s="623"/>
      <c r="J1022" s="623"/>
      <c r="K1022" s="623"/>
      <c r="L1022" s="623"/>
      <c r="M1022" s="623"/>
      <c r="N1022" s="987"/>
      <c r="O1022" s="987"/>
      <c r="P1022" s="987"/>
      <c r="Q1022" s="987"/>
      <c r="R1022" s="987"/>
      <c r="S1022" s="987"/>
      <c r="T1022" s="987"/>
      <c r="U1022" s="987"/>
      <c r="V1022" s="987"/>
      <c r="W1022" s="987"/>
      <c r="X1022" s="987"/>
      <c r="Y1022" s="987"/>
      <c r="Z1022" s="987"/>
    </row>
    <row r="1023">
      <c r="A1023" s="987"/>
      <c r="B1023" s="987"/>
      <c r="C1023" s="987"/>
      <c r="D1023" s="987"/>
      <c r="E1023" s="987"/>
      <c r="F1023" s="987"/>
      <c r="G1023" s="987"/>
      <c r="H1023" s="623"/>
      <c r="I1023" s="623"/>
      <c r="J1023" s="623"/>
      <c r="K1023" s="623"/>
      <c r="L1023" s="623"/>
      <c r="M1023" s="623"/>
      <c r="N1023" s="987"/>
      <c r="O1023" s="987"/>
      <c r="P1023" s="987"/>
      <c r="Q1023" s="987"/>
      <c r="R1023" s="987"/>
      <c r="S1023" s="987"/>
      <c r="T1023" s="987"/>
      <c r="U1023" s="987"/>
      <c r="V1023" s="987"/>
      <c r="W1023" s="987"/>
      <c r="X1023" s="987"/>
      <c r="Y1023" s="987"/>
      <c r="Z1023" s="987"/>
    </row>
    <row r="1024">
      <c r="A1024" s="987"/>
      <c r="B1024" s="987"/>
      <c r="C1024" s="987"/>
      <c r="D1024" s="987"/>
      <c r="E1024" s="987"/>
      <c r="F1024" s="987"/>
      <c r="G1024" s="987"/>
      <c r="H1024" s="623"/>
      <c r="I1024" s="623"/>
      <c r="J1024" s="623"/>
      <c r="K1024" s="623"/>
      <c r="L1024" s="623"/>
      <c r="M1024" s="623"/>
      <c r="N1024" s="987"/>
      <c r="O1024" s="987"/>
      <c r="P1024" s="987"/>
      <c r="Q1024" s="987"/>
      <c r="R1024" s="987"/>
      <c r="S1024" s="987"/>
      <c r="T1024" s="987"/>
      <c r="U1024" s="987"/>
      <c r="V1024" s="987"/>
      <c r="W1024" s="987"/>
      <c r="X1024" s="987"/>
      <c r="Y1024" s="987"/>
      <c r="Z1024" s="987"/>
    </row>
    <row r="1025">
      <c r="A1025" s="987"/>
      <c r="B1025" s="987"/>
      <c r="C1025" s="987"/>
      <c r="D1025" s="987"/>
      <c r="E1025" s="987"/>
      <c r="F1025" s="987"/>
      <c r="G1025" s="987"/>
      <c r="H1025" s="623"/>
      <c r="I1025" s="623"/>
      <c r="J1025" s="623"/>
      <c r="K1025" s="623"/>
      <c r="L1025" s="623"/>
      <c r="M1025" s="623"/>
      <c r="N1025" s="987"/>
      <c r="O1025" s="987"/>
      <c r="P1025" s="987"/>
      <c r="Q1025" s="987"/>
      <c r="R1025" s="987"/>
      <c r="S1025" s="987"/>
      <c r="T1025" s="987"/>
      <c r="U1025" s="987"/>
      <c r="V1025" s="987"/>
      <c r="W1025" s="987"/>
      <c r="X1025" s="987"/>
      <c r="Y1025" s="987"/>
      <c r="Z1025" s="987"/>
    </row>
    <row r="1026">
      <c r="A1026" s="987"/>
      <c r="B1026" s="987"/>
      <c r="C1026" s="987"/>
      <c r="D1026" s="987"/>
      <c r="E1026" s="987"/>
      <c r="F1026" s="987"/>
      <c r="G1026" s="987"/>
      <c r="H1026" s="623"/>
      <c r="I1026" s="623"/>
      <c r="J1026" s="623"/>
      <c r="K1026" s="623"/>
      <c r="L1026" s="623"/>
      <c r="M1026" s="623"/>
      <c r="N1026" s="987"/>
      <c r="O1026" s="987"/>
      <c r="P1026" s="987"/>
      <c r="Q1026" s="987"/>
      <c r="R1026" s="987"/>
      <c r="S1026" s="987"/>
      <c r="T1026" s="987"/>
      <c r="U1026" s="987"/>
      <c r="V1026" s="987"/>
      <c r="W1026" s="987"/>
      <c r="X1026" s="987"/>
      <c r="Y1026" s="987"/>
      <c r="Z1026" s="987"/>
    </row>
    <row r="1027">
      <c r="A1027" s="987"/>
      <c r="B1027" s="987"/>
      <c r="C1027" s="987"/>
      <c r="D1027" s="987"/>
      <c r="E1027" s="987"/>
      <c r="F1027" s="987"/>
      <c r="G1027" s="987"/>
      <c r="H1027" s="623"/>
      <c r="I1027" s="623"/>
      <c r="J1027" s="623"/>
      <c r="K1027" s="623"/>
      <c r="L1027" s="623"/>
      <c r="M1027" s="623"/>
      <c r="N1027" s="987"/>
      <c r="O1027" s="987"/>
      <c r="P1027" s="987"/>
      <c r="Q1027" s="987"/>
      <c r="R1027" s="987"/>
      <c r="S1027" s="987"/>
      <c r="T1027" s="987"/>
      <c r="U1027" s="987"/>
      <c r="V1027" s="987"/>
      <c r="W1027" s="987"/>
      <c r="X1027" s="987"/>
      <c r="Y1027" s="987"/>
      <c r="Z1027" s="987"/>
    </row>
    <row r="1028">
      <c r="A1028" s="987"/>
      <c r="B1028" s="987"/>
      <c r="C1028" s="987"/>
      <c r="D1028" s="987"/>
      <c r="E1028" s="987"/>
      <c r="F1028" s="987"/>
      <c r="G1028" s="987"/>
      <c r="H1028" s="623"/>
      <c r="I1028" s="623"/>
      <c r="J1028" s="623"/>
      <c r="K1028" s="623"/>
      <c r="L1028" s="623"/>
      <c r="M1028" s="623"/>
      <c r="N1028" s="987"/>
      <c r="O1028" s="987"/>
      <c r="P1028" s="987"/>
      <c r="Q1028" s="987"/>
      <c r="R1028" s="987"/>
      <c r="S1028" s="987"/>
      <c r="T1028" s="987"/>
      <c r="U1028" s="987"/>
      <c r="V1028" s="987"/>
      <c r="W1028" s="987"/>
      <c r="X1028" s="987"/>
      <c r="Y1028" s="987"/>
      <c r="Z1028" s="987"/>
    </row>
    <row r="1029">
      <c r="A1029" s="987"/>
      <c r="B1029" s="987"/>
      <c r="C1029" s="987"/>
      <c r="D1029" s="987"/>
      <c r="E1029" s="987"/>
      <c r="F1029" s="987"/>
      <c r="G1029" s="987"/>
      <c r="H1029" s="623"/>
      <c r="I1029" s="623"/>
      <c r="J1029" s="623"/>
      <c r="K1029" s="623"/>
      <c r="L1029" s="623"/>
      <c r="M1029" s="623"/>
      <c r="N1029" s="987"/>
      <c r="O1029" s="987"/>
      <c r="P1029" s="987"/>
      <c r="Q1029" s="987"/>
      <c r="R1029" s="987"/>
      <c r="S1029" s="987"/>
      <c r="T1029" s="987"/>
      <c r="U1029" s="987"/>
      <c r="V1029" s="987"/>
      <c r="W1029" s="987"/>
      <c r="X1029" s="987"/>
      <c r="Y1029" s="987"/>
      <c r="Z1029" s="987"/>
    </row>
  </sheetData>
  <mergeCells count="65">
    <mergeCell ref="A97:F97"/>
    <mergeCell ref="H97:M97"/>
    <mergeCell ref="B98:F98"/>
    <mergeCell ref="I98:M98"/>
    <mergeCell ref="G100:G101"/>
    <mergeCell ref="A105:F105"/>
    <mergeCell ref="H108:M108"/>
    <mergeCell ref="A135:F135"/>
    <mergeCell ref="B136:F136"/>
    <mergeCell ref="A143:F143"/>
    <mergeCell ref="B144:F144"/>
    <mergeCell ref="A151:F151"/>
    <mergeCell ref="A153:F154"/>
    <mergeCell ref="C155:F169"/>
    <mergeCell ref="A108:F108"/>
    <mergeCell ref="A109:F109"/>
    <mergeCell ref="B110:F110"/>
    <mergeCell ref="A119:F119"/>
    <mergeCell ref="B120:F120"/>
    <mergeCell ref="A127:F127"/>
    <mergeCell ref="B128:F128"/>
    <mergeCell ref="A9:F9"/>
    <mergeCell ref="A10:F11"/>
    <mergeCell ref="A12:F12"/>
    <mergeCell ref="A13:F13"/>
    <mergeCell ref="A15:F15"/>
    <mergeCell ref="H15:M15"/>
    <mergeCell ref="O15:T15"/>
    <mergeCell ref="A18:F18"/>
    <mergeCell ref="H18:M18"/>
    <mergeCell ref="O18:T18"/>
    <mergeCell ref="A19:F19"/>
    <mergeCell ref="H19:M19"/>
    <mergeCell ref="B20:F20"/>
    <mergeCell ref="I20:M20"/>
    <mergeCell ref="O19:T19"/>
    <mergeCell ref="P20:T20"/>
    <mergeCell ref="G23:G24"/>
    <mergeCell ref="A25:F25"/>
    <mergeCell ref="H25:M25"/>
    <mergeCell ref="O25:T25"/>
    <mergeCell ref="H32:M32"/>
    <mergeCell ref="A32:F32"/>
    <mergeCell ref="B33:F33"/>
    <mergeCell ref="I33:M33"/>
    <mergeCell ref="A39:F39"/>
    <mergeCell ref="B40:F40"/>
    <mergeCell ref="A46:F46"/>
    <mergeCell ref="A49:F49"/>
    <mergeCell ref="B52:F52"/>
    <mergeCell ref="A54:F54"/>
    <mergeCell ref="B55:F55"/>
    <mergeCell ref="A60:F61"/>
    <mergeCell ref="A62:F62"/>
    <mergeCell ref="B63:F63"/>
    <mergeCell ref="A70:F70"/>
    <mergeCell ref="A73:F73"/>
    <mergeCell ref="A74:F74"/>
    <mergeCell ref="B75:F75"/>
    <mergeCell ref="G76:G77"/>
    <mergeCell ref="B85:F85"/>
    <mergeCell ref="A88:F88"/>
    <mergeCell ref="B89:F89"/>
    <mergeCell ref="H109:M109"/>
    <mergeCell ref="I110:M110"/>
  </mergeCells>
  <dataValidations>
    <dataValidation type="decimal" operator="greaterThanOrEqual" allowBlank="1" showDropDown="1" showErrorMessage="1" sqref="F41:F44 F48 F50 F56:F59 F64:F67">
      <formula1>0.0</formula1>
    </dataValidation>
    <dataValidation type="decimal" operator="greaterThanOrEqual" allowBlank="1" showDropDown="1" sqref="F76:F80 F82">
      <formula1>0.0</formula1>
    </dataValidation>
  </dataValidations>
  <drawing r:id="rId2"/>
  <legacyDrawing r:id="rId3"/>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96" t="str">
        <f>'MSW30'!A1</f>
        <v/>
      </c>
    </row>
    <row r="8">
      <c r="A8" s="11"/>
      <c r="B8" s="11"/>
      <c r="C8" s="11"/>
      <c r="D8" s="11"/>
      <c r="E8" s="11"/>
      <c r="F8" s="11"/>
      <c r="G8" s="11"/>
      <c r="H8" s="11"/>
      <c r="I8" s="11"/>
      <c r="J8" s="11"/>
      <c r="K8" s="11"/>
      <c r="L8" s="11"/>
      <c r="M8" s="11"/>
      <c r="N8" s="11"/>
      <c r="O8" s="11"/>
      <c r="P8" s="11"/>
      <c r="Q8" s="11"/>
      <c r="R8" s="11"/>
      <c r="S8" s="11"/>
      <c r="T8" s="11"/>
    </row>
    <row r="9">
      <c r="A9" s="990" t="str">
        <f>'MSW30'!A9</f>
        <v>Week 30</v>
      </c>
      <c r="B9" s="11"/>
      <c r="C9" s="11"/>
      <c r="D9" s="11"/>
      <c r="E9" s="11"/>
      <c r="F9" s="46"/>
      <c r="G9" s="1097"/>
      <c r="H9" s="24" t="s">
        <v>35</v>
      </c>
      <c r="I9" s="25"/>
      <c r="J9" s="25"/>
      <c r="K9" s="25"/>
      <c r="L9" s="25"/>
      <c r="M9" s="26"/>
      <c r="N9" s="1097"/>
    </row>
    <row r="10">
      <c r="A10" s="991" t="str">
        <f>'MSW30'!A10</f>
        <v>PRESS TO RECORD BODY WEIGHT</v>
      </c>
      <c r="F10" s="28"/>
      <c r="H10" s="27" t="s">
        <v>320</v>
      </c>
      <c r="M10" s="28"/>
    </row>
    <row r="11">
      <c r="A11" s="336"/>
      <c r="B11" s="11"/>
      <c r="C11" s="11"/>
      <c r="D11" s="11"/>
      <c r="E11" s="11"/>
      <c r="F11" s="46"/>
      <c r="H11" s="29" t="s">
        <v>321</v>
      </c>
      <c r="I11" s="30"/>
      <c r="J11" s="30"/>
      <c r="K11" s="30"/>
      <c r="L11" s="30"/>
      <c r="M11" s="31"/>
    </row>
    <row r="12">
      <c r="A12" s="992" t="str">
        <f>'MSW30'!A12</f>
        <v>This Weeks Goals</v>
      </c>
      <c r="B12" s="11"/>
      <c r="C12" s="11"/>
      <c r="D12" s="11"/>
      <c r="E12" s="11"/>
      <c r="F12" s="46"/>
      <c r="H12" s="1097"/>
    </row>
    <row r="13">
      <c r="A13" s="993" t="str">
        <f>'MSW30'!A13</f>
        <v>Today is a continuation of the work you have already been building on. Keep up the great work and push for new hights!</v>
      </c>
      <c r="B13" s="11"/>
      <c r="C13" s="11"/>
      <c r="D13" s="11"/>
      <c r="E13" s="11"/>
      <c r="F13" s="46"/>
    </row>
    <row r="14">
      <c r="A14" s="994" t="str">
        <f>'MSW30'!A14</f>
        <v/>
      </c>
      <c r="B14" s="994" t="str">
        <f>'MSW30'!B14</f>
        <v/>
      </c>
      <c r="C14" s="994" t="str">
        <f>'MSW30'!C14</f>
        <v/>
      </c>
      <c r="D14" s="994" t="str">
        <f>'MSW30'!D14</f>
        <v/>
      </c>
      <c r="E14" s="994" t="str">
        <f>'MSW30'!E14</f>
        <v/>
      </c>
      <c r="F14" s="995" t="str">
        <f>'MSW30'!F14</f>
        <v/>
      </c>
    </row>
    <row r="15">
      <c r="A15" s="996" t="str">
        <f>'MSW30'!A15</f>
        <v>DAY 1 </v>
      </c>
      <c r="B15" s="11"/>
      <c r="C15" s="11"/>
      <c r="D15" s="11"/>
      <c r="E15" s="11"/>
      <c r="F15" s="46"/>
      <c r="G15" s="997" t="str">
        <f>'MSW30'!G15</f>
        <v/>
      </c>
      <c r="H15" s="1098" t="str">
        <f>'MSW30'!H15</f>
        <v>ALTERNATE WORKOUTS</v>
      </c>
      <c r="I15" s="36"/>
      <c r="J15" s="36"/>
      <c r="K15" s="36"/>
      <c r="L15" s="36"/>
      <c r="M15" s="37"/>
      <c r="N15" s="999" t="str">
        <f>'MSW30'!N15</f>
        <v/>
      </c>
      <c r="O15" s="1098" t="str">
        <f>'MSW30'!O15</f>
        <v>ALTERNATE WORKOUTS</v>
      </c>
      <c r="P15" s="36"/>
      <c r="Q15" s="36"/>
      <c r="R15" s="36"/>
      <c r="S15" s="36"/>
      <c r="T15" s="37"/>
    </row>
    <row r="16">
      <c r="A16" s="987" t="str">
        <f>'MSW30'!A16</f>
        <v/>
      </c>
    </row>
    <row r="18">
      <c r="A18" s="51" t="str">
        <f>'MSW30'!A18</f>
        <v>CHEST &amp; BACK </v>
      </c>
      <c r="B18" s="36"/>
      <c r="C18" s="36"/>
      <c r="D18" s="36"/>
      <c r="E18" s="36"/>
      <c r="F18" s="37"/>
      <c r="G18" s="987" t="str">
        <f>'MSW30'!G18</f>
        <v/>
      </c>
      <c r="H18" s="1099" t="str">
        <f>'MSW30'!H18</f>
        <v>CHEST &amp; BACK </v>
      </c>
      <c r="I18" s="36"/>
      <c r="J18" s="36"/>
      <c r="K18" s="36"/>
      <c r="L18" s="36"/>
      <c r="M18" s="37"/>
      <c r="N18" s="623" t="str">
        <f>'MSW30'!N18</f>
        <v/>
      </c>
      <c r="O18" s="1099" t="str">
        <f>'MSW30'!H18</f>
        <v>CHEST &amp; BACK </v>
      </c>
      <c r="P18" s="36"/>
      <c r="Q18" s="36"/>
      <c r="R18" s="36"/>
      <c r="S18" s="36"/>
      <c r="T18" s="37"/>
    </row>
    <row r="19">
      <c r="A19" s="93" t="str">
        <f>'MSW30'!A19</f>
        <v>1. BENCH PRESS</v>
      </c>
      <c r="B19" s="53"/>
      <c r="C19" s="53"/>
      <c r="D19" s="53"/>
      <c r="E19" s="53"/>
      <c r="F19" s="54"/>
      <c r="H19" s="1100" t="str">
        <f>'MSW30'!H19</f>
        <v>1. DUMBBELL INCLINE PRESS</v>
      </c>
      <c r="I19" s="13"/>
      <c r="J19" s="13"/>
      <c r="K19" s="13"/>
      <c r="L19" s="13"/>
      <c r="M19" s="57"/>
      <c r="O19" s="93" t="str">
        <f>'MSW30'!O19</f>
        <v>1. MACHINE PRESS</v>
      </c>
      <c r="P19" s="53"/>
      <c r="Q19" s="53"/>
      <c r="R19" s="53"/>
      <c r="S19" s="53"/>
      <c r="T19" s="54"/>
    </row>
    <row r="20">
      <c r="A20" s="226" t="str">
        <f>'MSW30'!A20</f>
        <v>CURRENT MAX</v>
      </c>
      <c r="B20" s="691">
        <f>'MSW30'!B20</f>
        <v>265</v>
      </c>
      <c r="C20" s="13"/>
      <c r="D20" s="13"/>
      <c r="E20" s="13"/>
      <c r="F20" s="57"/>
      <c r="H20" s="961" t="str">
        <f>'MSW30'!H20</f>
        <v>CURRENT MAX</v>
      </c>
      <c r="I20" s="76">
        <f>'MSW30'!I20</f>
        <v>95</v>
      </c>
      <c r="J20" s="13"/>
      <c r="K20" s="13"/>
      <c r="L20" s="13"/>
      <c r="M20" s="57"/>
      <c r="O20" s="226" t="str">
        <f>'MSW30'!O20</f>
        <v>CURRENT MAX</v>
      </c>
      <c r="P20" s="691" t="str">
        <f>'MSW30'!P20</f>
        <v/>
      </c>
      <c r="Q20" s="13"/>
      <c r="R20" s="13"/>
      <c r="S20" s="13"/>
      <c r="T20" s="57"/>
    </row>
    <row r="21">
      <c r="A21" s="96" t="str">
        <f>'MSW30'!A21</f>
        <v>SET</v>
      </c>
      <c r="B21" s="97" t="str">
        <f>'MSW30'!B21</f>
        <v>WEIGHT</v>
      </c>
      <c r="C21" s="97" t="str">
        <f>'MSW30'!C21</f>
        <v>REPS</v>
      </c>
      <c r="D21" s="97" t="str">
        <f>'MSW30'!D21</f>
        <v>REST</v>
      </c>
      <c r="E21" s="341" t="str">
        <f>'MSW30'!E21</f>
        <v>PREVIOUS</v>
      </c>
      <c r="F21" s="1003" t="str">
        <f>'MSW30'!F21</f>
        <v>REP LOG</v>
      </c>
      <c r="H21" s="962" t="str">
        <f>'MSW30'!H21</f>
        <v>SET</v>
      </c>
      <c r="I21" s="963" t="str">
        <f>'MSW30'!I21</f>
        <v>WEIGHT</v>
      </c>
      <c r="J21" s="963" t="str">
        <f>'MSW30'!J21</f>
        <v>REPS</v>
      </c>
      <c r="K21" s="963" t="str">
        <f>'MSW30'!K21</f>
        <v>REST</v>
      </c>
      <c r="L21" s="1005" t="str">
        <f>'MSW30'!L21</f>
        <v>PREVIOUS</v>
      </c>
      <c r="M21" s="1006" t="str">
        <f>'MSW30'!M21</f>
        <v>REP LOG</v>
      </c>
      <c r="O21" s="96" t="str">
        <f>'MSW30'!O21</f>
        <v>SET</v>
      </c>
      <c r="P21" s="97" t="str">
        <f>'MSW30'!P21</f>
        <v>WEIGHT</v>
      </c>
      <c r="Q21" s="97" t="str">
        <f>'MSW30'!Q21</f>
        <v>REPS</v>
      </c>
      <c r="R21" s="97" t="str">
        <f>'MSW30'!R21</f>
        <v>REST</v>
      </c>
      <c r="S21" s="341" t="str">
        <f>'MSW30'!S21</f>
        <v>PREVIOUS</v>
      </c>
      <c r="T21" s="235" t="str">
        <f>'MSW30'!T21</f>
        <v>REP LOG</v>
      </c>
    </row>
    <row r="22">
      <c r="A22" s="725">
        <f>'MSW30'!A22</f>
        <v>1</v>
      </c>
      <c r="B22" s="344">
        <f>'MSW30'!B22</f>
        <v>85</v>
      </c>
      <c r="C22" s="344">
        <f>'MSW30'!C22</f>
        <v>6</v>
      </c>
      <c r="D22" s="343" t="str">
        <f>'MSW30'!D22</f>
        <v>30 sec</v>
      </c>
      <c r="E22" s="727" t="str">
        <f>'MSW30'!E22</f>
        <v/>
      </c>
      <c r="F22" s="85">
        <v>6.0</v>
      </c>
      <c r="H22" s="967">
        <f>'MSW30'!H22</f>
        <v>1</v>
      </c>
      <c r="I22" s="968">
        <f>'MSW30'!I22</f>
        <v>30</v>
      </c>
      <c r="J22" s="968">
        <f>'MSW30'!J22</f>
        <v>6</v>
      </c>
      <c r="K22" s="968" t="str">
        <f>'MSW30'!K22</f>
        <v>1-3 MIN</v>
      </c>
      <c r="L22" s="1010" t="str">
        <f>'MSW30'!L22</f>
        <v/>
      </c>
      <c r="M22" s="1017"/>
      <c r="O22" s="725">
        <f>'MSW30'!O22</f>
        <v>1</v>
      </c>
      <c r="P22" s="344">
        <f>'MSW30'!P22</f>
        <v>0</v>
      </c>
      <c r="Q22" s="344">
        <f>'MSW30'!Q22</f>
        <v>6</v>
      </c>
      <c r="R22" s="343" t="str">
        <f>'MSW30'!R22</f>
        <v>30 sec</v>
      </c>
      <c r="S22" s="727" t="str">
        <f>'MSW30'!S22</f>
        <v/>
      </c>
      <c r="T22" s="85"/>
    </row>
    <row r="23">
      <c r="A23" s="725">
        <f>'MSW30'!A23</f>
        <v>2</v>
      </c>
      <c r="B23" s="344">
        <f>'MSW30'!B23</f>
        <v>170</v>
      </c>
      <c r="C23" s="344">
        <f>'MSW30'!C23</f>
        <v>1</v>
      </c>
      <c r="D23" s="343" t="str">
        <f>'MSW30'!D23</f>
        <v>45 sec</v>
      </c>
      <c r="E23" s="727" t="str">
        <f>'MSW30'!E23</f>
        <v/>
      </c>
      <c r="F23" s="85">
        <v>1.0</v>
      </c>
      <c r="G23" s="1101" t="str">
        <f>'MSW30'!G23</f>
        <v>ALTERNATE</v>
      </c>
      <c r="H23" s="967">
        <f>'MSW30'!H23</f>
        <v>2</v>
      </c>
      <c r="I23" s="968">
        <f>'MSW30'!I23</f>
        <v>60</v>
      </c>
      <c r="J23" s="968">
        <f>'MSW30'!J23</f>
        <v>1</v>
      </c>
      <c r="K23" s="968" t="str">
        <f>'MSW30'!K23</f>
        <v>1-3 MIN</v>
      </c>
      <c r="L23" s="1010" t="str">
        <f>'MSW30'!L23</f>
        <v/>
      </c>
      <c r="M23" s="1017"/>
      <c r="O23" s="725">
        <f>'MSW30'!O23</f>
        <v>2</v>
      </c>
      <c r="P23" s="344">
        <f>'MSW30'!P23</f>
        <v>0</v>
      </c>
      <c r="Q23" s="344">
        <f>'MSW30'!Q23</f>
        <v>1</v>
      </c>
      <c r="R23" s="343" t="str">
        <f>'MSW30'!R23</f>
        <v>45 sec</v>
      </c>
      <c r="S23" s="727" t="str">
        <f>'MSW30'!S23</f>
        <v/>
      </c>
      <c r="T23" s="85"/>
    </row>
    <row r="24">
      <c r="A24" s="725">
        <f>'MSW30'!A24</f>
        <v>3</v>
      </c>
      <c r="B24" s="344">
        <f>'MSW30'!B24</f>
        <v>215</v>
      </c>
      <c r="C24" s="344">
        <f>'MSW30'!C24</f>
        <v>1</v>
      </c>
      <c r="D24" s="343" t="str">
        <f>'MSW30'!D24</f>
        <v>1 MIN</v>
      </c>
      <c r="E24" s="727" t="str">
        <f>'MSW30'!E24</f>
        <v/>
      </c>
      <c r="F24" s="85">
        <v>1.0</v>
      </c>
      <c r="G24" s="28"/>
      <c r="H24" s="967">
        <f>'MSW30'!H24</f>
        <v>3</v>
      </c>
      <c r="I24" s="968">
        <f>'MSW30'!I24</f>
        <v>75</v>
      </c>
      <c r="J24" s="968">
        <f>'MSW30'!J24</f>
        <v>1</v>
      </c>
      <c r="K24" s="968" t="str">
        <f>'MSW30'!K24</f>
        <v>1-3 MIN</v>
      </c>
      <c r="L24" s="1010" t="str">
        <f>'MSW30'!L24</f>
        <v/>
      </c>
      <c r="M24" s="1017"/>
      <c r="O24" s="725">
        <f>'MSW30'!O24</f>
        <v>3</v>
      </c>
      <c r="P24" s="344">
        <f>'MSW30'!P24</f>
        <v>0</v>
      </c>
      <c r="Q24" s="344">
        <f>'MSW30'!Q24</f>
        <v>1</v>
      </c>
      <c r="R24" s="343" t="str">
        <f>'MSW30'!R24</f>
        <v>1 MIN</v>
      </c>
      <c r="S24" s="727" t="str">
        <f>'MSW30'!S24</f>
        <v/>
      </c>
      <c r="T24" s="85"/>
    </row>
    <row r="25">
      <c r="A25" s="730" t="str">
        <f>'MSW30'!A25</f>
        <v>Working Set</v>
      </c>
      <c r="B25" s="13"/>
      <c r="C25" s="13"/>
      <c r="D25" s="13"/>
      <c r="E25" s="13"/>
      <c r="F25" s="57"/>
      <c r="G25" s="999" t="str">
        <f>'MSW30'!G25</f>
        <v/>
      </c>
      <c r="H25" s="1102" t="str">
        <f>'MSW30'!H25</f>
        <v>WORKING SETS</v>
      </c>
      <c r="I25" s="13"/>
      <c r="J25" s="13"/>
      <c r="K25" s="13"/>
      <c r="L25" s="13"/>
      <c r="M25" s="57"/>
      <c r="O25" s="730" t="str">
        <f>'MSW30'!O25</f>
        <v>Working Set</v>
      </c>
      <c r="P25" s="13"/>
      <c r="Q25" s="13"/>
      <c r="R25" s="13"/>
      <c r="S25" s="13"/>
      <c r="T25" s="57"/>
    </row>
    <row r="26">
      <c r="A26" s="96" t="str">
        <f>'MSW30'!A26</f>
        <v>SET</v>
      </c>
      <c r="B26" s="97" t="str">
        <f>'MSW30'!B26</f>
        <v>WEIGHT</v>
      </c>
      <c r="C26" s="97" t="str">
        <f>'MSW30'!C26</f>
        <v>REPS</v>
      </c>
      <c r="D26" s="97" t="str">
        <f>'MSW30'!D26</f>
        <v>REST</v>
      </c>
      <c r="E26" s="341" t="str">
        <f>'MSW30'!E26</f>
        <v>PREVIOUS</v>
      </c>
      <c r="F26" s="1003" t="str">
        <f>'MSW30'!F26</f>
        <v>REP LOG</v>
      </c>
      <c r="G26" s="28"/>
      <c r="H26" s="962" t="str">
        <f>'MSW30'!H26</f>
        <v>SET</v>
      </c>
      <c r="I26" s="963" t="str">
        <f>'MSW30'!I26</f>
        <v>WEIGHT</v>
      </c>
      <c r="J26" s="963" t="str">
        <f>'MSW30'!J26</f>
        <v>REPS</v>
      </c>
      <c r="K26" s="963" t="str">
        <f>'MSW30'!K26</f>
        <v>REST</v>
      </c>
      <c r="L26" s="1005" t="str">
        <f>'MSW30'!L26</f>
        <v>PREVIOUS</v>
      </c>
      <c r="M26" s="1006" t="str">
        <f>'MSW30'!M26</f>
        <v>REP LOG</v>
      </c>
      <c r="O26" s="96" t="str">
        <f>'MSW30'!O26</f>
        <v>SET</v>
      </c>
      <c r="P26" s="97" t="str">
        <f>'MSW30'!P26</f>
        <v>WEIGHT</v>
      </c>
      <c r="Q26" s="97" t="str">
        <f>'MSW30'!Q26</f>
        <v>REPS</v>
      </c>
      <c r="R26" s="97" t="str">
        <f>'MSW30'!R26</f>
        <v>REST</v>
      </c>
      <c r="S26" s="341" t="str">
        <f>'MSW30'!S26</f>
        <v>PREVIOUS</v>
      </c>
      <c r="T26" s="235" t="str">
        <f>'MSW30'!T26</f>
        <v>REP LOG</v>
      </c>
    </row>
    <row r="27">
      <c r="A27" s="342">
        <f>'MSW30'!A27</f>
        <v>1</v>
      </c>
      <c r="B27" s="348">
        <f>'MSW30'!B27</f>
        <v>240</v>
      </c>
      <c r="C27" s="437" t="str">
        <f>'MSW30'!C27</f>
        <v>REP OUT</v>
      </c>
      <c r="D27" s="343" t="str">
        <f>'MSW30'!D27</f>
        <v>1-5 MIN</v>
      </c>
      <c r="E27" s="727" t="str">
        <f>'MSW30'!E27</f>
        <v/>
      </c>
      <c r="F27" s="85">
        <v>1.0</v>
      </c>
      <c r="G27" s="28"/>
      <c r="H27" s="967">
        <f>'MSW30'!H27</f>
        <v>1</v>
      </c>
      <c r="I27" s="1015">
        <f>'MSW30'!I27</f>
        <v>85</v>
      </c>
      <c r="J27" s="1016" t="str">
        <f>'MSW30'!J27</f>
        <v>REP OUT</v>
      </c>
      <c r="K27" s="968" t="str">
        <f>'MSW30'!K27</f>
        <v>1-3 MIN</v>
      </c>
      <c r="L27" s="1010" t="str">
        <f>'MSW30'!L27</f>
        <v/>
      </c>
      <c r="M27" s="1011"/>
      <c r="O27" s="725">
        <f>'MSW30'!O27</f>
        <v>1</v>
      </c>
      <c r="P27" s="348">
        <f>'MSW30'!P27</f>
        <v>0</v>
      </c>
      <c r="Q27" s="437" t="str">
        <f>'MSW30'!Q27</f>
        <v>REP OUT</v>
      </c>
      <c r="R27" s="343" t="str">
        <f>'MSW30'!R27</f>
        <v>1-5 MIN</v>
      </c>
      <c r="S27" s="727" t="str">
        <f>'MSW30'!S27</f>
        <v/>
      </c>
      <c r="T27" s="85"/>
    </row>
    <row r="28">
      <c r="A28" s="725">
        <f>'MSW30'!A28</f>
        <v>2</v>
      </c>
      <c r="B28" s="348">
        <f>'MSW30'!B28</f>
        <v>180</v>
      </c>
      <c r="C28" s="437" t="str">
        <f>'MSW30'!C28</f>
        <v>REP OUT</v>
      </c>
      <c r="D28" s="343" t="str">
        <f>'MSW30'!D28</f>
        <v>1-5 MIN</v>
      </c>
      <c r="E28" s="727" t="str">
        <f>'MSW30'!E28</f>
        <v/>
      </c>
      <c r="F28" s="85">
        <v>9.0</v>
      </c>
      <c r="G28" s="28"/>
      <c r="H28" s="967">
        <f>'MSW30'!H28</f>
        <v>2</v>
      </c>
      <c r="I28" s="1015">
        <f>'MSW30'!I28</f>
        <v>70</v>
      </c>
      <c r="J28" s="1016" t="str">
        <f>'MSW30'!J28</f>
        <v>REP OUT</v>
      </c>
      <c r="K28" s="968" t="str">
        <f>'MSW30'!K28</f>
        <v>1-3 MIN</v>
      </c>
      <c r="L28" s="1010" t="str">
        <f>'MSW30'!L28</f>
        <v/>
      </c>
      <c r="M28" s="1011"/>
      <c r="O28" s="725">
        <f>'MSW30'!O28</f>
        <v>2</v>
      </c>
      <c r="P28" s="348">
        <f>'MSW30'!P28</f>
        <v>0</v>
      </c>
      <c r="Q28" s="437" t="str">
        <f>'MSW30'!Q28</f>
        <v>REP OUT</v>
      </c>
      <c r="R28" s="343" t="str">
        <f>'MSW30'!R28</f>
        <v>1-5 MIN</v>
      </c>
      <c r="S28" s="727" t="str">
        <f>'MSW30'!S28</f>
        <v/>
      </c>
      <c r="T28" s="85"/>
    </row>
    <row r="29">
      <c r="A29" s="485">
        <f>'MSW30'!A29</f>
        <v>3</v>
      </c>
      <c r="B29" s="732">
        <f>'MSW30'!B29</f>
        <v>160</v>
      </c>
      <c r="C29" s="733" t="str">
        <f>'MSW30'!C29</f>
        <v>REP OUT</v>
      </c>
      <c r="D29" s="486" t="str">
        <f>'MSW30'!D29</f>
        <v>1-5 MIN</v>
      </c>
      <c r="E29" s="734" t="str">
        <f>'MSW30'!E29</f>
        <v/>
      </c>
      <c r="F29" s="85"/>
      <c r="G29" s="28"/>
      <c r="H29" s="971">
        <f>'MSW30'!H29</f>
        <v>3</v>
      </c>
      <c r="I29" s="1019">
        <f>'MSW30'!I29</f>
        <v>60</v>
      </c>
      <c r="J29" s="1020" t="str">
        <f>'MSW30'!J29</f>
        <v>REP OUT</v>
      </c>
      <c r="K29" s="972" t="str">
        <f>'MSW30'!K29</f>
        <v>1-3 MIN</v>
      </c>
      <c r="L29" s="1021" t="str">
        <f>'MSW30'!L29</f>
        <v/>
      </c>
      <c r="M29" s="1011"/>
      <c r="O29" s="753">
        <f>'MSW30'!O29</f>
        <v>3</v>
      </c>
      <c r="P29" s="732">
        <f>'MSW30'!P29</f>
        <v>0</v>
      </c>
      <c r="Q29" s="733" t="str">
        <f>'MSW30'!Q29</f>
        <v>REP OUT</v>
      </c>
      <c r="R29" s="486" t="str">
        <f>'MSW30'!R29</f>
        <v>1-5 MIN</v>
      </c>
      <c r="S29" s="734" t="str">
        <f>'MSW30'!S29</f>
        <v/>
      </c>
      <c r="T29" s="85"/>
    </row>
    <row r="30">
      <c r="A30" s="1103" t="str">
        <f>'MSW30'!A31</f>
        <v/>
      </c>
      <c r="G30" s="623" t="str">
        <f>'MSW30'!G30</f>
        <v/>
      </c>
      <c r="H30" s="623"/>
      <c r="N30" s="623"/>
    </row>
    <row r="31">
      <c r="A31" s="11"/>
      <c r="B31" s="11"/>
      <c r="C31" s="11"/>
      <c r="D31" s="11"/>
      <c r="E31" s="11"/>
      <c r="F31" s="11"/>
    </row>
    <row r="32">
      <c r="A32" s="1023" t="str">
        <f>'MSW30'!A32</f>
        <v>2. DB CHEST FLY</v>
      </c>
      <c r="B32" s="13"/>
      <c r="C32" s="13"/>
      <c r="D32" s="13"/>
      <c r="E32" s="13"/>
      <c r="F32" s="57"/>
      <c r="H32" s="1023" t="str">
        <f>'MSW30'!H32</f>
        <v>2. MACHINE CHEST FLY</v>
      </c>
      <c r="I32" s="13"/>
      <c r="J32" s="13"/>
      <c r="K32" s="13"/>
      <c r="L32" s="13"/>
      <c r="M32" s="57"/>
    </row>
    <row r="33">
      <c r="A33" s="961" t="str">
        <f>'MSW30'!A33</f>
        <v>DB INCL MAX</v>
      </c>
      <c r="B33" s="76">
        <f>'MSW30'!B33</f>
        <v>95</v>
      </c>
      <c r="C33" s="13"/>
      <c r="D33" s="13"/>
      <c r="E33" s="13"/>
      <c r="F33" s="57"/>
      <c r="H33" s="961" t="str">
        <f>'MSW30'!H33</f>
        <v>CURRENT MAX</v>
      </c>
      <c r="I33" s="76">
        <f>'MSW30'!I33</f>
        <v>95</v>
      </c>
      <c r="J33" s="13"/>
      <c r="K33" s="13"/>
      <c r="L33" s="13"/>
      <c r="M33" s="57"/>
    </row>
    <row r="34">
      <c r="A34" s="1024" t="str">
        <f>'MSW30'!A34</f>
        <v>SET</v>
      </c>
      <c r="B34" s="1025" t="str">
        <f>'MSW30'!B34</f>
        <v>WEIGHT</v>
      </c>
      <c r="C34" s="1025" t="str">
        <f>'MSW30'!C34</f>
        <v>REPS</v>
      </c>
      <c r="D34" s="1025" t="str">
        <f>'MSW30'!D34</f>
        <v>REST</v>
      </c>
      <c r="E34" s="1026" t="str">
        <f>'MSW30'!E34</f>
        <v>PREVIOUS</v>
      </c>
      <c r="F34" s="1027" t="str">
        <f>'MSW30'!F34</f>
        <v>REP LOG</v>
      </c>
      <c r="H34" s="1024" t="str">
        <f>'MSW30'!H34</f>
        <v>SET</v>
      </c>
      <c r="I34" s="1025" t="str">
        <f>'MSW30'!I34</f>
        <v>WEIGHT</v>
      </c>
      <c r="J34" s="1025" t="str">
        <f>'MSW30'!J34</f>
        <v>REPS</v>
      </c>
      <c r="K34" s="1025" t="str">
        <f>'MSW30'!K34</f>
        <v>REST</v>
      </c>
      <c r="L34" s="1026" t="str">
        <f>'MSW30'!L34</f>
        <v>PREVIOUS</v>
      </c>
      <c r="M34" s="1027" t="str">
        <f>'MSW30'!M34</f>
        <v>REP LOG</v>
      </c>
    </row>
    <row r="35">
      <c r="A35" s="967">
        <f>'MSW30'!A35</f>
        <v>1</v>
      </c>
      <c r="B35" s="1028">
        <f>'MSW30'!B35</f>
        <v>27.5</v>
      </c>
      <c r="C35" s="968">
        <f>'MSW30'!C35</f>
        <v>15</v>
      </c>
      <c r="D35" s="968" t="str">
        <f>'MSW30'!D35</f>
        <v>1-3 MIN</v>
      </c>
      <c r="E35" s="1010" t="str">
        <f>'MSW30'!E35</f>
        <v/>
      </c>
      <c r="F35" s="1017"/>
      <c r="H35" s="967">
        <f>'MSW30'!H35</f>
        <v>1</v>
      </c>
      <c r="I35" s="1028">
        <f>'MSW30'!I35</f>
        <v>140</v>
      </c>
      <c r="J35" s="968">
        <f>'MSW30'!J35</f>
        <v>15</v>
      </c>
      <c r="K35" s="968" t="str">
        <f>'MSW30'!K35</f>
        <v>1-3 MIN</v>
      </c>
      <c r="L35" s="1104" t="str">
        <f>'MSW30'!L35</f>
        <v/>
      </c>
      <c r="M35" s="1017" t="str">
        <f>'MSW30'!M35</f>
        <v/>
      </c>
    </row>
    <row r="36">
      <c r="A36" s="971">
        <f>'MSW30'!A36</f>
        <v>2</v>
      </c>
      <c r="B36" s="972">
        <f>'MSW30'!B36</f>
        <v>27.5</v>
      </c>
      <c r="C36" s="972">
        <f>'MSW30'!C36</f>
        <v>15</v>
      </c>
      <c r="D36" s="972" t="str">
        <f>'MSW30'!D36</f>
        <v>1-3 MIN</v>
      </c>
      <c r="E36" s="1021" t="str">
        <f>'MSW30'!E36</f>
        <v/>
      </c>
      <c r="F36" s="1017"/>
      <c r="H36" s="971">
        <f>'MSW30'!H36</f>
        <v>2</v>
      </c>
      <c r="I36" s="972">
        <f>'MSW30'!I36</f>
        <v>140</v>
      </c>
      <c r="J36" s="972">
        <f>'MSW30'!J36</f>
        <v>15</v>
      </c>
      <c r="K36" s="972" t="str">
        <f>'MSW30'!K36</f>
        <v>1-3 MIN</v>
      </c>
      <c r="L36" s="1105" t="str">
        <f>'MSW30'!L36</f>
        <v/>
      </c>
      <c r="M36" s="1017" t="str">
        <f>'MSW30'!M36</f>
        <v/>
      </c>
    </row>
    <row r="37">
      <c r="A37" s="987" t="str">
        <f>'MSW30'!A37</f>
        <v/>
      </c>
      <c r="G37" s="623"/>
    </row>
    <row r="39">
      <c r="A39" s="73" t="str">
        <f>'MSW30'!A39</f>
        <v>3. MACHINE LOW ROW </v>
      </c>
      <c r="B39" s="53"/>
      <c r="C39" s="53"/>
      <c r="D39" s="53"/>
      <c r="E39" s="53"/>
      <c r="F39" s="54"/>
    </row>
    <row r="40">
      <c r="A40" s="226" t="str">
        <f>'MSW30'!A40</f>
        <v>CURRENT MAX</v>
      </c>
      <c r="B40" s="227">
        <f>'MSW30'!B40</f>
        <v>195</v>
      </c>
      <c r="C40" s="20"/>
      <c r="D40" s="20"/>
      <c r="E40" s="20"/>
      <c r="F40" s="95"/>
    </row>
    <row r="41">
      <c r="A41" s="231" t="str">
        <f>'MSW30'!A41</f>
        <v>SET</v>
      </c>
      <c r="B41" s="232" t="str">
        <f>'MSW30'!B41</f>
        <v>WEIGHT</v>
      </c>
      <c r="C41" s="232" t="str">
        <f>'MSW30'!C41</f>
        <v>REPS</v>
      </c>
      <c r="D41" s="232" t="str">
        <f>'MSW30'!D41</f>
        <v>REST</v>
      </c>
      <c r="E41" s="233" t="str">
        <f>'MSW30'!E41</f>
        <v>PREVIOUS</v>
      </c>
      <c r="F41" s="61" t="str">
        <f>'MSW30'!F41</f>
        <v>REP LOG</v>
      </c>
    </row>
    <row r="42">
      <c r="A42" s="236">
        <f>'MSW30'!A42</f>
        <v>1</v>
      </c>
      <c r="B42" s="237">
        <f>'MSW30'!B42</f>
        <v>70</v>
      </c>
      <c r="C42" s="237">
        <f>'MSW30'!C42</f>
        <v>6</v>
      </c>
      <c r="D42" s="238" t="str">
        <f>'MSW30'!D42</f>
        <v>30s</v>
      </c>
      <c r="E42" s="66" t="str">
        <f>'MSW30'!E42</f>
        <v/>
      </c>
      <c r="F42" s="67">
        <v>6.0</v>
      </c>
    </row>
    <row r="43">
      <c r="A43" s="236">
        <f>'MSW30'!A43</f>
        <v>2</v>
      </c>
      <c r="B43" s="237">
        <f>'MSW30'!B43</f>
        <v>125</v>
      </c>
      <c r="C43" s="238">
        <f>'MSW30'!C43</f>
        <v>3</v>
      </c>
      <c r="D43" s="238" t="str">
        <f>'MSW30'!D43</f>
        <v>1-2 MIN</v>
      </c>
      <c r="E43" s="66" t="str">
        <f>'MSW30'!E43</f>
        <v/>
      </c>
      <c r="F43" s="67">
        <v>3.0</v>
      </c>
    </row>
    <row r="44">
      <c r="A44" s="242">
        <f>'MSW30'!A44</f>
        <v>3</v>
      </c>
      <c r="B44" s="237">
        <f>'MSW30'!B44</f>
        <v>175</v>
      </c>
      <c r="C44" s="63">
        <f>'MSW30'!C44</f>
        <v>2</v>
      </c>
      <c r="D44" s="238" t="str">
        <f>'MSW30'!D44</f>
        <v>1-2 MIN</v>
      </c>
      <c r="E44" s="66" t="str">
        <f>'MSW30'!E44</f>
        <v/>
      </c>
      <c r="F44" s="67">
        <v>2.0</v>
      </c>
    </row>
    <row r="45">
      <c r="A45" s="243">
        <f>'MSW30'!A45</f>
        <v>4</v>
      </c>
      <c r="B45" s="237">
        <f>'MSW30'!B45</f>
        <v>195</v>
      </c>
      <c r="C45" s="257">
        <f>'MSW30'!C45</f>
        <v>3</v>
      </c>
      <c r="D45" s="238" t="str">
        <f>'MSW30'!D45</f>
        <v>1-5 MIN</v>
      </c>
      <c r="E45" s="66" t="str">
        <f>'MSW30'!E45</f>
        <v/>
      </c>
      <c r="F45" s="67">
        <v>3.0</v>
      </c>
    </row>
    <row r="46">
      <c r="A46" s="246" t="str">
        <f>'MSW30'!A46</f>
        <v>NEW 4 REP MAX ATTEMPT</v>
      </c>
      <c r="B46" s="20"/>
      <c r="C46" s="20"/>
      <c r="D46" s="20"/>
      <c r="E46" s="20"/>
      <c r="F46" s="95"/>
    </row>
    <row r="47">
      <c r="A47" s="249">
        <f>'MSW30'!A47</f>
        <v>5</v>
      </c>
      <c r="B47" s="175">
        <f>'MSW30'!B47</f>
        <v>200</v>
      </c>
      <c r="C47" s="238">
        <f>'MSW30'!C47</f>
        <v>4</v>
      </c>
      <c r="D47" s="238" t="str">
        <f>'MSW30'!D47</f>
        <v>1-5 MIN</v>
      </c>
      <c r="E47" s="250" t="str">
        <f>'MSW30'!E47</f>
        <v/>
      </c>
      <c r="F47" s="67">
        <v>2.0</v>
      </c>
    </row>
    <row r="48">
      <c r="A48" s="259" t="str">
        <f>'MSW30'!A48</f>
        <v/>
      </c>
      <c r="B48" s="237" t="str">
        <f>'MSW30'!B48</f>
        <v/>
      </c>
      <c r="C48" s="257" t="str">
        <f>'MSW30'!C48</f>
        <v/>
      </c>
      <c r="D48" s="257" t="str">
        <f>'MSW30'!D48</f>
        <v/>
      </c>
      <c r="E48" s="258" t="str">
        <f>'MSW30'!E48</f>
        <v/>
      </c>
      <c r="F48" s="67"/>
    </row>
    <row r="49">
      <c r="A49" s="246" t="str">
        <f>'MSW30'!A49</f>
        <v>DOWN SETS</v>
      </c>
      <c r="B49" s="20"/>
      <c r="C49" s="20"/>
      <c r="D49" s="20"/>
      <c r="E49" s="20"/>
      <c r="F49" s="95"/>
    </row>
    <row r="50">
      <c r="A50" s="264">
        <f>'MSW30'!A50</f>
        <v>6</v>
      </c>
      <c r="B50" s="265">
        <f>'MSW30'!B50</f>
        <v>160</v>
      </c>
      <c r="C50" s="1106" t="str">
        <f>'MSW30'!C50</f>
        <v>REP OUT</v>
      </c>
      <c r="D50" s="265" t="str">
        <f>'MSW30'!D50</f>
        <v>1-3 MIN</v>
      </c>
      <c r="E50" s="265" t="str">
        <f>'MSW30'!E50</f>
        <v/>
      </c>
      <c r="F50" s="67">
        <v>10.0</v>
      </c>
    </row>
    <row r="51">
      <c r="A51" s="264">
        <f>'MSW30'!A51</f>
        <v>7</v>
      </c>
      <c r="B51" s="265">
        <f>'MSW30'!B51</f>
        <v>140</v>
      </c>
      <c r="C51" s="1106" t="str">
        <f>'MSW30'!C51</f>
        <v>REP OUT</v>
      </c>
      <c r="D51" s="265" t="str">
        <f>'MSW30'!D51</f>
        <v>1-3 MIN</v>
      </c>
      <c r="E51" s="258"/>
      <c r="F51" s="271">
        <v>13.0</v>
      </c>
    </row>
    <row r="52">
      <c r="A52" s="272" t="str">
        <f>'MSW30'!A52</f>
        <v>FINAL MAX</v>
      </c>
      <c r="B52" s="273">
        <f>'MSW30'!B52</f>
        <v>200</v>
      </c>
      <c r="C52" s="11"/>
      <c r="D52" s="11"/>
      <c r="E52" s="11"/>
      <c r="F52" s="46"/>
    </row>
    <row r="53">
      <c r="A53" s="292"/>
      <c r="B53" s="292"/>
      <c r="C53" s="292"/>
      <c r="D53" s="292"/>
      <c r="E53" s="292"/>
      <c r="F53" s="292"/>
    </row>
    <row r="54">
      <c r="A54" s="73" t="str">
        <f>'MSW30'!A54</f>
        <v>4. HIGH ROW</v>
      </c>
      <c r="B54" s="53"/>
      <c r="C54" s="53"/>
      <c r="D54" s="53"/>
      <c r="E54" s="53"/>
      <c r="F54" s="54"/>
    </row>
    <row r="55">
      <c r="A55" s="282" t="str">
        <f>'MSW30'!A55</f>
        <v>CURRENT MAX</v>
      </c>
      <c r="B55" s="56">
        <f>'MSW30'!B55</f>
        <v>170</v>
      </c>
      <c r="C55" s="13"/>
      <c r="D55" s="13"/>
      <c r="E55" s="13"/>
      <c r="F55" s="57"/>
    </row>
    <row r="56">
      <c r="A56" s="96" t="s">
        <v>50</v>
      </c>
      <c r="B56" s="97" t="s">
        <v>51</v>
      </c>
      <c r="C56" s="97" t="s">
        <v>52</v>
      </c>
      <c r="D56" s="97" t="s">
        <v>53</v>
      </c>
      <c r="E56" s="341" t="s">
        <v>54</v>
      </c>
      <c r="F56" s="235" t="s">
        <v>55</v>
      </c>
    </row>
    <row r="57">
      <c r="A57" s="725">
        <v>1.0</v>
      </c>
      <c r="B57" s="344">
        <f> mround('WEEK 30'!B55*0.9,5)</f>
        <v>155</v>
      </c>
      <c r="C57" s="437" t="s">
        <v>65</v>
      </c>
      <c r="D57" s="343" t="s">
        <v>57</v>
      </c>
      <c r="E57" s="752"/>
      <c r="F57" s="85">
        <v>15.0</v>
      </c>
    </row>
    <row r="58">
      <c r="A58" s="725">
        <v>2.0</v>
      </c>
      <c r="B58" s="344">
        <f>IF('WEEK 30'!F57&lt;6,MROUND('WEEK 30'!B55*0.75,5),IF('WEEK 30'!F57&lt;=11,MROUND('WEEK 30'!B55*0.85,5),'WEEK 30'!B57))</f>
        <v>155</v>
      </c>
      <c r="C58" s="437" t="s">
        <v>65</v>
      </c>
      <c r="D58" s="343" t="s">
        <v>57</v>
      </c>
      <c r="E58" s="752"/>
      <c r="F58" s="85">
        <v>15.0</v>
      </c>
    </row>
    <row r="59">
      <c r="A59" s="753">
        <v>3.0</v>
      </c>
      <c r="B59" s="754">
        <f>IF('WEEK 30'!F58&lt;6,MROUND('WEEK 30'!B55*0.75,5),IF('WEEK 30'!F58&lt;=11,MROUND('WEEK 30'!B55*0.85,5),'WEEK 30'!B58))</f>
        <v>155</v>
      </c>
      <c r="C59" s="733" t="s">
        <v>65</v>
      </c>
      <c r="D59" s="486" t="s">
        <v>57</v>
      </c>
      <c r="E59" s="755"/>
      <c r="F59" s="85">
        <v>14.0</v>
      </c>
    </row>
    <row r="60">
      <c r="A60" t="str">
        <f>'MSW30'!A60</f>
        <v/>
      </c>
    </row>
    <row r="62">
      <c r="A62" s="440" t="str">
        <f>'MSW30'!A62</f>
        <v>5. LAT PULL DOWN</v>
      </c>
      <c r="B62" s="53"/>
      <c r="C62" s="53"/>
      <c r="D62" s="53"/>
      <c r="E62" s="53"/>
      <c r="F62" s="54"/>
    </row>
    <row r="63">
      <c r="A63" s="282" t="str">
        <f>'MSW30'!A63</f>
        <v>CURRENT MAX</v>
      </c>
      <c r="B63" s="56">
        <f>'MSW30'!B63</f>
        <v>225</v>
      </c>
      <c r="C63" s="13"/>
      <c r="D63" s="13"/>
      <c r="E63" s="13"/>
      <c r="F63" s="57"/>
    </row>
    <row r="64">
      <c r="A64" s="96" t="s">
        <v>50</v>
      </c>
      <c r="B64" s="97" t="s">
        <v>51</v>
      </c>
      <c r="C64" s="97" t="s">
        <v>52</v>
      </c>
      <c r="D64" s="97" t="s">
        <v>53</v>
      </c>
      <c r="E64" s="341" t="s">
        <v>54</v>
      </c>
      <c r="F64" s="235" t="s">
        <v>55</v>
      </c>
    </row>
    <row r="65">
      <c r="A65" s="725">
        <v>1.0</v>
      </c>
      <c r="B65" s="344">
        <f> mround('WEEK 30'!B63*0.9,5)</f>
        <v>205</v>
      </c>
      <c r="C65" s="437" t="s">
        <v>65</v>
      </c>
      <c r="D65" s="343" t="s">
        <v>57</v>
      </c>
      <c r="E65" s="752"/>
      <c r="F65" s="85">
        <v>0.0</v>
      </c>
    </row>
    <row r="66">
      <c r="A66" s="725">
        <v>2.0</v>
      </c>
      <c r="B66" s="344">
        <f>IF('WEEK 30'!F65&lt;6,MROUND('WEEK 30'!B63*0.75,5),IF('WEEK 30'!F65&lt;=11,MROUND('WEEK 30'!B63*0.85,5),'WEEK 30'!B65))</f>
        <v>170</v>
      </c>
      <c r="C66" s="437" t="s">
        <v>65</v>
      </c>
      <c r="D66" s="343" t="s">
        <v>57</v>
      </c>
      <c r="E66" s="752"/>
      <c r="F66" s="85">
        <v>7.0</v>
      </c>
    </row>
    <row r="67">
      <c r="A67" s="753">
        <v>3.0</v>
      </c>
      <c r="B67" s="754">
        <f>IF('WEEK 30'!F66&lt;6,MROUND('WEEK 30'!B63*0.75,5),IF('WEEK 30'!F66&lt;=11,MROUND('WEEK 30'!B63*0.85,5),'WEEK 30'!B66))</f>
        <v>190</v>
      </c>
      <c r="C67" s="733" t="s">
        <v>65</v>
      </c>
      <c r="D67" s="486" t="s">
        <v>57</v>
      </c>
      <c r="E67" s="755"/>
      <c r="F67" s="85"/>
    </row>
    <row r="68">
      <c r="A68" s="1107" t="str">
        <f>'MSW30'!A68</f>
        <v/>
      </c>
      <c r="B68" s="1107" t="str">
        <f>'MSW30'!B68</f>
        <v/>
      </c>
      <c r="C68" s="1107" t="str">
        <f>'MSW30'!C68</f>
        <v/>
      </c>
      <c r="D68" s="1107" t="str">
        <f>'MSW30'!D68</f>
        <v/>
      </c>
      <c r="E68" s="1107" t="str">
        <f>'MSW30'!E68</f>
        <v/>
      </c>
      <c r="F68" s="1107" t="str">
        <f>'MSW30'!F68</f>
        <v/>
      </c>
    </row>
    <row r="69">
      <c r="A69" s="989" t="str">
        <f>'MSW30'!A68</f>
        <v/>
      </c>
      <c r="B69" s="989" t="str">
        <f>'MSW30'!B68</f>
        <v/>
      </c>
      <c r="C69" s="989" t="str">
        <f>'MSW30'!C68</f>
        <v/>
      </c>
      <c r="D69" s="989" t="str">
        <f>'MSW30'!D68</f>
        <v/>
      </c>
      <c r="E69" s="989" t="str">
        <f>'MSW30'!E68</f>
        <v/>
      </c>
      <c r="F69" s="989" t="str">
        <f>'MSW30'!F68</f>
        <v/>
      </c>
    </row>
    <row r="70">
      <c r="A70" s="996" t="str">
        <f>'MSW30'!A70</f>
        <v>DAY 2 </v>
      </c>
      <c r="B70" s="11"/>
      <c r="C70" s="11"/>
      <c r="D70" s="11"/>
      <c r="E70" s="11"/>
      <c r="F70" s="46"/>
    </row>
    <row r="71">
      <c r="A71" s="1012"/>
      <c r="B71" s="1012"/>
      <c r="C71" s="1012"/>
      <c r="D71" s="1012"/>
      <c r="E71" s="1012"/>
      <c r="F71" s="1012"/>
    </row>
    <row r="72">
      <c r="A72" s="30" t="str">
        <f>'MSW30'!A71</f>
        <v/>
      </c>
      <c r="B72" s="30" t="str">
        <f>'MSW30'!B71</f>
        <v/>
      </c>
      <c r="C72" s="30" t="str">
        <f>'MSW30'!C71</f>
        <v/>
      </c>
      <c r="D72" s="30" t="str">
        <f>'MSW30'!D71</f>
        <v/>
      </c>
      <c r="E72" s="30" t="str">
        <f>'MSW30'!E71</f>
        <v/>
      </c>
      <c r="F72" s="30" t="str">
        <f>'MSW30'!F71</f>
        <v/>
      </c>
    </row>
    <row r="73">
      <c r="A73" s="1099" t="str">
        <f>'MSW30'!A73</f>
        <v>LEGS </v>
      </c>
      <c r="B73" s="36"/>
      <c r="C73" s="36"/>
      <c r="D73" s="36"/>
      <c r="E73" s="36"/>
      <c r="F73" s="37"/>
    </row>
    <row r="74">
      <c r="A74" s="960" t="str">
        <f>'MSW30'!A74</f>
        <v>2. LEG PRESS</v>
      </c>
      <c r="B74" s="53"/>
      <c r="C74" s="53"/>
      <c r="D74" s="53"/>
      <c r="E74" s="53"/>
      <c r="F74" s="54"/>
    </row>
    <row r="75">
      <c r="A75" s="961" t="str">
        <f>'MSW30'!A75</f>
        <v>CURRENT MAX</v>
      </c>
      <c r="B75" s="1035">
        <f>'MSW30'!B75</f>
        <v>250</v>
      </c>
      <c r="C75" s="13"/>
      <c r="D75" s="13"/>
      <c r="E75" s="13"/>
      <c r="F75" s="57"/>
    </row>
    <row r="76">
      <c r="A76" s="231" t="str">
        <f>'MSW30'!A76</f>
        <v>SET</v>
      </c>
      <c r="B76" s="232" t="str">
        <f>'MSW30'!B76</f>
        <v>WEIGHT</v>
      </c>
      <c r="C76" s="232" t="str">
        <f>'MSW30'!C76</f>
        <v>REPS</v>
      </c>
      <c r="D76" s="232" t="str">
        <f>'MSW30'!D76</f>
        <v>REST</v>
      </c>
      <c r="E76" s="233" t="str">
        <f>'MSW30'!E76</f>
        <v>PREVIOUS</v>
      </c>
      <c r="F76" s="61" t="str">
        <f>'MSW30'!F76</f>
        <v>REP LOG</v>
      </c>
    </row>
    <row r="77">
      <c r="A77" s="236">
        <f>'MSW30'!A77</f>
        <v>1</v>
      </c>
      <c r="B77" s="237">
        <f>'MSW30'!B77</f>
        <v>90</v>
      </c>
      <c r="C77" s="238">
        <f>'MSW30'!C77</f>
        <v>20</v>
      </c>
      <c r="D77" s="238" t="str">
        <f>'MSW30'!D77</f>
        <v>30s</v>
      </c>
      <c r="E77" s="66" t="str">
        <f>'MSW30'!E77</f>
        <v/>
      </c>
      <c r="F77" s="67"/>
    </row>
    <row r="78">
      <c r="A78" s="236">
        <f>'MSW30'!A78</f>
        <v>2</v>
      </c>
      <c r="B78" s="237">
        <f>'MSW30'!B78</f>
        <v>165</v>
      </c>
      <c r="C78" s="238">
        <f>'MSW30'!C78</f>
        <v>20</v>
      </c>
      <c r="D78" s="238" t="str">
        <f>'MSW30'!D78</f>
        <v>1-2 MIN</v>
      </c>
      <c r="E78" s="66" t="str">
        <f>'MSW30'!E78</f>
        <v/>
      </c>
      <c r="F78" s="67"/>
    </row>
    <row r="79">
      <c r="A79" s="242">
        <f>'MSW30'!A79</f>
        <v>3</v>
      </c>
      <c r="B79" s="237">
        <f>'MSW30'!B79</f>
        <v>225</v>
      </c>
      <c r="C79" s="238">
        <f>'MSW30'!C79</f>
        <v>20</v>
      </c>
      <c r="D79" s="238" t="str">
        <f>'MSW30'!D79</f>
        <v>1-2 MIN</v>
      </c>
      <c r="E79" s="66" t="str">
        <f>'MSW30'!E79</f>
        <v/>
      </c>
      <c r="F79" s="67"/>
    </row>
    <row r="80">
      <c r="A80" s="249">
        <f>'MSW30'!A80</f>
        <v>4</v>
      </c>
      <c r="B80" s="175">
        <f>'MSW30'!B80</f>
        <v>220</v>
      </c>
      <c r="C80" s="238">
        <f>'MSW30'!C80</f>
        <v>20</v>
      </c>
      <c r="D80" s="238" t="str">
        <f>'MSW30'!D80</f>
        <v>1-5 MIN</v>
      </c>
      <c r="E80" s="66" t="str">
        <f>'MSW30'!E80</f>
        <v/>
      </c>
      <c r="F80" s="67"/>
    </row>
    <row r="81">
      <c r="A81" s="249">
        <f>'MSW30'!A81</f>
        <v>5</v>
      </c>
      <c r="B81" s="175">
        <f>'MSW30'!B81</f>
        <v>215</v>
      </c>
      <c r="C81" s="238">
        <f>'MSW30'!C81</f>
        <v>20</v>
      </c>
      <c r="D81" s="238" t="str">
        <f>'MSW30'!D81</f>
        <v>1-5 MIN</v>
      </c>
      <c r="E81" s="1108"/>
      <c r="F81" s="1037"/>
    </row>
    <row r="82">
      <c r="A82" s="249">
        <f>'MSW30'!A82</f>
        <v>6</v>
      </c>
      <c r="B82" s="175">
        <f>'MSW30'!B82</f>
        <v>210</v>
      </c>
      <c r="C82" s="238">
        <f>'MSW30'!C82</f>
        <v>20</v>
      </c>
      <c r="D82" s="238" t="str">
        <f>'MSW30'!D82</f>
        <v>1-5 MIN</v>
      </c>
      <c r="E82" s="1108" t="str">
        <f>'MSW30'!E82</f>
        <v/>
      </c>
      <c r="F82" s="67"/>
    </row>
    <row r="83">
      <c r="A83" s="1038">
        <f>'MSW30'!A83</f>
        <v>7</v>
      </c>
      <c r="B83" s="175">
        <f>'MSW30'!B83</f>
        <v>205</v>
      </c>
      <c r="C83" s="238">
        <f>'MSW30'!C83</f>
        <v>20</v>
      </c>
      <c r="D83" s="238" t="str">
        <f>'MSW30'!D83</f>
        <v>1-5 MIN</v>
      </c>
      <c r="E83" s="1108" t="str">
        <f>'MSW30'!E83</f>
        <v/>
      </c>
      <c r="F83" s="67"/>
    </row>
    <row r="84">
      <c r="A84" s="249">
        <f>'MSW30'!A84</f>
        <v>8</v>
      </c>
      <c r="B84" s="175">
        <f>'MSW30'!B84</f>
        <v>200</v>
      </c>
      <c r="C84" s="238">
        <f>'MSW30'!C84</f>
        <v>20</v>
      </c>
      <c r="D84" s="238" t="str">
        <f>'MSW30'!D84</f>
        <v>1-5 MIN</v>
      </c>
      <c r="E84" s="1108" t="str">
        <f>'MSW30'!E84</f>
        <v/>
      </c>
      <c r="F84" s="67"/>
    </row>
    <row r="85">
      <c r="A85" s="272" t="str">
        <f>'MSW30'!A85</f>
        <v>20 REP MAX</v>
      </c>
      <c r="B85" s="1109">
        <f>'MSW30'!B85</f>
        <v>250</v>
      </c>
      <c r="C85" s="11"/>
      <c r="D85" s="11"/>
      <c r="E85" s="11"/>
      <c r="F85" s="46"/>
    </row>
    <row r="86">
      <c r="A86" s="1042"/>
      <c r="B86" s="1043"/>
      <c r="C86" s="1043"/>
      <c r="D86" s="1043"/>
      <c r="E86" s="1043"/>
      <c r="F86" s="1043"/>
    </row>
    <row r="87">
      <c r="A87" s="1042"/>
      <c r="B87" s="1043"/>
      <c r="C87" s="1043"/>
      <c r="D87" s="1043"/>
      <c r="E87" s="1043"/>
      <c r="F87" s="1043"/>
    </row>
    <row r="88">
      <c r="A88" s="1044" t="str">
        <f>'MSW30'!A88</f>
        <v>2. LEG EXTENSION</v>
      </c>
      <c r="B88" s="13"/>
      <c r="C88" s="13"/>
      <c r="D88" s="13"/>
      <c r="E88" s="13"/>
      <c r="F88" s="57"/>
    </row>
    <row r="89">
      <c r="A89" s="1045" t="str">
        <f>'MSW30'!A89</f>
        <v>CURRENT MAX</v>
      </c>
      <c r="B89" s="1046">
        <f>'MSW30'!B89</f>
        <v>50</v>
      </c>
      <c r="C89" s="13"/>
      <c r="D89" s="13"/>
      <c r="E89" s="13"/>
      <c r="F89" s="57"/>
    </row>
    <row r="90">
      <c r="A90" s="567" t="str">
        <f>'MSW30'!A90</f>
        <v>SET</v>
      </c>
      <c r="B90" s="568" t="str">
        <f>'MSW30'!B90</f>
        <v>WEIGHT</v>
      </c>
      <c r="C90" s="568" t="str">
        <f>'MSW30'!C90</f>
        <v>REPS</v>
      </c>
      <c r="D90" s="568" t="str">
        <f>'MSW30'!D90</f>
        <v>REST</v>
      </c>
      <c r="E90" s="1047" t="str">
        <f>'MSW30'!E90</f>
        <v>PREVIOUS</v>
      </c>
      <c r="F90" s="1048" t="str">
        <f>'MSW30'!F90</f>
        <v>REP LOG</v>
      </c>
    </row>
    <row r="91">
      <c r="A91" s="1049">
        <f>'MSW30'!A91</f>
        <v>1</v>
      </c>
      <c r="B91" s="1050">
        <f>'MSW30'!B91</f>
        <v>50</v>
      </c>
      <c r="C91" s="1110" t="s">
        <v>144</v>
      </c>
      <c r="D91" s="1052" t="str">
        <f>'MSW30'!D91</f>
        <v>1 MIN</v>
      </c>
      <c r="E91" s="1010" t="str">
        <f>'MSW30'!E91</f>
        <v/>
      </c>
      <c r="F91" s="1111"/>
    </row>
    <row r="92">
      <c r="A92" s="1049">
        <f>'MSW30'!A92</f>
        <v>2</v>
      </c>
      <c r="B92" s="1050">
        <f>'MSW30'!B92</f>
        <v>40</v>
      </c>
      <c r="C92" s="1110" t="s">
        <v>144</v>
      </c>
      <c r="D92" s="1052" t="str">
        <f>'MSW30'!D92</f>
        <v>1 MIN</v>
      </c>
      <c r="E92" s="1010" t="str">
        <f>'MSW30'!E92</f>
        <v/>
      </c>
      <c r="F92" s="1111"/>
    </row>
    <row r="93">
      <c r="A93" s="1053">
        <f>'MSW30'!A93</f>
        <v>3</v>
      </c>
      <c r="B93" s="1054">
        <f>'MSW30'!B93</f>
        <v>30</v>
      </c>
      <c r="C93" s="1112" t="s">
        <v>144</v>
      </c>
      <c r="D93" s="1056" t="str">
        <f>'MSW30'!D93</f>
        <v>1 MIN</v>
      </c>
      <c r="E93" s="1021" t="str">
        <f>'MSW30'!E93</f>
        <v/>
      </c>
      <c r="F93" s="1113"/>
    </row>
    <row r="94">
      <c r="A94" s="1057" t="str">
        <f>'MSW30'!A94</f>
        <v/>
      </c>
      <c r="B94" s="1057" t="str">
        <f>'MSW30'!B94</f>
        <v/>
      </c>
      <c r="C94" s="1057" t="str">
        <f>'MSW30'!C94</f>
        <v/>
      </c>
      <c r="D94" s="1057" t="str">
        <f>'MSW30'!D94</f>
        <v/>
      </c>
      <c r="E94" s="1057" t="str">
        <f>'MSW30'!E94</f>
        <v/>
      </c>
      <c r="F94" s="1057" t="str">
        <f>'MSW30'!F94</f>
        <v/>
      </c>
    </row>
    <row r="95">
      <c r="A95" s="1058" t="str">
        <f>'MSW30'!A95</f>
        <v/>
      </c>
      <c r="B95" s="1058" t="str">
        <f>'MSW30'!B95</f>
        <v/>
      </c>
      <c r="C95" s="1058" t="str">
        <f>'MSW30'!C95</f>
        <v/>
      </c>
      <c r="D95" s="1058" t="str">
        <f>'MSW30'!D95</f>
        <v/>
      </c>
      <c r="E95" s="1058" t="str">
        <f>'MSW30'!E95</f>
        <v/>
      </c>
      <c r="F95" s="1058" t="str">
        <f>'MSW30'!F95</f>
        <v/>
      </c>
    </row>
    <row r="96">
      <c r="A96" s="1058" t="str">
        <f>'MSW30'!A96</f>
        <v/>
      </c>
      <c r="B96" s="1058" t="str">
        <f>'MSW30'!B96</f>
        <v/>
      </c>
      <c r="C96" s="1058" t="str">
        <f>'MSW30'!C96</f>
        <v/>
      </c>
      <c r="D96" s="1058" t="str">
        <f>'MSW30'!D96</f>
        <v/>
      </c>
      <c r="E96" s="1058" t="str">
        <f>'MSW30'!E96</f>
        <v/>
      </c>
      <c r="F96" s="1058" t="str">
        <f>'MSW30'!F96</f>
        <v/>
      </c>
    </row>
    <row r="97">
      <c r="A97" s="1114" t="str">
        <f>'MSW30'!A97</f>
        <v>3.MACHINE LEG CURL</v>
      </c>
      <c r="B97" s="53"/>
      <c r="C97" s="53"/>
      <c r="D97" s="53"/>
      <c r="E97" s="53"/>
      <c r="F97" s="54"/>
      <c r="G97" s="997" t="str">
        <f>'MSW30'!G97</f>
        <v/>
      </c>
      <c r="H97" s="1115" t="str">
        <f>'MSW30'!H97</f>
        <v>3.PRONE LEG CURL</v>
      </c>
      <c r="I97" s="20"/>
      <c r="J97" s="20"/>
      <c r="K97" s="20"/>
      <c r="L97" s="20"/>
      <c r="M97" s="95"/>
      <c r="N97" s="987" t="str">
        <f>'MSW30'!N97</f>
        <v/>
      </c>
    </row>
    <row r="98">
      <c r="A98" s="1045" t="str">
        <f>'MSW30'!A98</f>
        <v>CURRENT MAX</v>
      </c>
      <c r="B98" s="1061">
        <f>'MSW30'!B98</f>
        <v>15</v>
      </c>
      <c r="C98" s="13"/>
      <c r="D98" s="13"/>
      <c r="E98" s="13"/>
      <c r="F98" s="57"/>
      <c r="G98" s="997" t="str">
        <f>'MSW30'!G98</f>
        <v/>
      </c>
      <c r="H98" s="1116" t="str">
        <f>'MSW30'!H98</f>
        <v>CURRENT MAX</v>
      </c>
      <c r="I98" s="1061">
        <f>'MSW30'!I98</f>
        <v>15</v>
      </c>
      <c r="J98" s="13"/>
      <c r="K98" s="13"/>
      <c r="L98" s="13"/>
      <c r="M98" s="57"/>
    </row>
    <row r="99">
      <c r="A99" s="567" t="str">
        <f>'MSW30'!A99</f>
        <v>SET</v>
      </c>
      <c r="B99" s="568" t="str">
        <f>'MSW30'!B99</f>
        <v>WEIGHT</v>
      </c>
      <c r="C99" s="568" t="str">
        <f>'MSW30'!C99</f>
        <v>REPS</v>
      </c>
      <c r="D99" s="568" t="str">
        <f>'MSW30'!D99</f>
        <v>REST</v>
      </c>
      <c r="E99" s="1047" t="str">
        <f>'MSW30'!E99</f>
        <v>PREVIOUS</v>
      </c>
      <c r="F99" s="1048" t="str">
        <f>'MSW30'!F99</f>
        <v>REP LOG</v>
      </c>
      <c r="G99" s="997" t="str">
        <f>'MSW30'!G99</f>
        <v/>
      </c>
      <c r="H99" s="568" t="str">
        <f>'MSW30'!H99</f>
        <v>SET</v>
      </c>
      <c r="I99" s="568" t="str">
        <f>'MSW30'!I99</f>
        <v>WEIGHT</v>
      </c>
      <c r="J99" s="568" t="str">
        <f>'MSW30'!J99</f>
        <v>REPS</v>
      </c>
      <c r="K99" s="568" t="str">
        <f>'MSW30'!K99</f>
        <v>REST</v>
      </c>
      <c r="L99" s="1047" t="str">
        <f>'MSW30'!L99</f>
        <v>PREVIOUS</v>
      </c>
      <c r="M99" s="1048" t="str">
        <f>'MSW30'!M99</f>
        <v>REP LOG</v>
      </c>
    </row>
    <row r="100">
      <c r="A100" s="1049">
        <f>'MSW30'!A100</f>
        <v>1</v>
      </c>
      <c r="B100" s="1050">
        <f>'MSW30'!B100</f>
        <v>15</v>
      </c>
      <c r="C100" s="1110" t="s">
        <v>144</v>
      </c>
      <c r="D100" s="1052" t="str">
        <f>'MSW30'!D100</f>
        <v>1 MIN</v>
      </c>
      <c r="E100" s="1010" t="str">
        <f>'MSW30'!E100</f>
        <v/>
      </c>
      <c r="F100" s="1017" t="str">
        <f>'MSW30'!F100</f>
        <v/>
      </c>
      <c r="G100" s="1117" t="str">
        <f>'MSW30'!G100</f>
        <v>ALTERNATE</v>
      </c>
      <c r="H100" s="1118">
        <f>'MSW30'!H100</f>
        <v>1</v>
      </c>
      <c r="I100" s="1050">
        <f>'MSW30'!I100</f>
        <v>15</v>
      </c>
      <c r="J100" s="1110" t="s">
        <v>144</v>
      </c>
      <c r="K100" s="1052" t="str">
        <f>'MSW30'!K100</f>
        <v>1 MIN</v>
      </c>
      <c r="L100" s="1010" t="str">
        <f>'MSW30'!L100</f>
        <v/>
      </c>
      <c r="M100" s="1017" t="str">
        <f>'MSW30'!M100</f>
        <v/>
      </c>
    </row>
    <row r="101">
      <c r="A101" s="1049">
        <f>'MSW30'!A101</f>
        <v>2</v>
      </c>
      <c r="B101" s="1050">
        <f>'MSW30'!B101</f>
        <v>10</v>
      </c>
      <c r="C101" s="1110" t="s">
        <v>144</v>
      </c>
      <c r="D101" s="1052" t="str">
        <f>'MSW30'!D101</f>
        <v>1 MIN</v>
      </c>
      <c r="E101" s="1010" t="str">
        <f>'MSW30'!E101</f>
        <v/>
      </c>
      <c r="F101" s="1017" t="str">
        <f>'MSW30'!F101</f>
        <v/>
      </c>
      <c r="G101" s="28"/>
      <c r="H101" s="1118">
        <f>'MSW30'!H101</f>
        <v>2</v>
      </c>
      <c r="I101" s="1050">
        <f>'MSW30'!I101</f>
        <v>10</v>
      </c>
      <c r="J101" s="1110" t="s">
        <v>144</v>
      </c>
      <c r="K101" s="1052" t="str">
        <f>'MSW30'!K101</f>
        <v>1 MIN</v>
      </c>
      <c r="L101" s="1010" t="str">
        <f>'MSW30'!L101</f>
        <v/>
      </c>
      <c r="M101" s="1017" t="str">
        <f>'MSW30'!M101</f>
        <v/>
      </c>
    </row>
    <row r="102">
      <c r="A102" s="1053">
        <f>'MSW30'!A102</f>
        <v>3</v>
      </c>
      <c r="B102" s="1054">
        <f>'MSW30'!B102</f>
        <v>10</v>
      </c>
      <c r="C102" s="1112" t="s">
        <v>144</v>
      </c>
      <c r="D102" s="1056" t="str">
        <f>'MSW30'!D102</f>
        <v>1 MIN</v>
      </c>
      <c r="E102" s="1021" t="str">
        <f>'MSW30'!E102</f>
        <v/>
      </c>
      <c r="F102" s="1017" t="str">
        <f>'MSW30'!F102</f>
        <v/>
      </c>
      <c r="G102" s="1065" t="str">
        <f>'MSW30'!G102</f>
        <v/>
      </c>
      <c r="H102" s="1119">
        <f>'MSW30'!H102</f>
        <v>3</v>
      </c>
      <c r="I102" s="1054">
        <f>'MSW30'!I102</f>
        <v>10</v>
      </c>
      <c r="J102" s="1112" t="s">
        <v>144</v>
      </c>
      <c r="K102" s="1056" t="str">
        <f>'MSW30'!K102</f>
        <v>1 MIN</v>
      </c>
      <c r="L102" s="1021" t="str">
        <f>'MSW30'!L102</f>
        <v/>
      </c>
      <c r="M102" s="1017" t="str">
        <f>'MSW30'!M102</f>
        <v/>
      </c>
    </row>
    <row r="103">
      <c r="A103" s="1057" t="str">
        <f>'MSW30'!A103</f>
        <v/>
      </c>
      <c r="B103" s="1057" t="str">
        <f>'MSW30'!B103</f>
        <v/>
      </c>
      <c r="C103" s="1057" t="str">
        <f>'MSW30'!C103</f>
        <v/>
      </c>
      <c r="D103" s="1057" t="str">
        <f>'MSW30'!D103</f>
        <v/>
      </c>
      <c r="E103" s="1057" t="str">
        <f>'MSW30'!E103</f>
        <v/>
      </c>
      <c r="F103" s="1057" t="str">
        <f>'MSW30'!F103</f>
        <v/>
      </c>
      <c r="G103" s="623" t="str">
        <f>'MSW30'!G103</f>
        <v/>
      </c>
    </row>
    <row r="104">
      <c r="A104" s="987" t="str">
        <f>'MSW30'!A104</f>
        <v/>
      </c>
      <c r="B104" s="987" t="str">
        <f>'MSW30'!B104</f>
        <v/>
      </c>
      <c r="C104" s="987" t="str">
        <f>'MSW30'!C104</f>
        <v/>
      </c>
      <c r="D104" s="987" t="str">
        <f>'MSW30'!D104</f>
        <v/>
      </c>
      <c r="E104" s="987" t="str">
        <f>'MSW30'!E104</f>
        <v/>
      </c>
      <c r="F104" s="987" t="str">
        <f>'MSW30'!F104</f>
        <v/>
      </c>
    </row>
    <row r="105">
      <c r="A105" s="1120" t="str">
        <f>'MSW30'!A105</f>
        <v>DAY 3</v>
      </c>
      <c r="B105" s="36"/>
      <c r="C105" s="36"/>
      <c r="D105" s="36"/>
      <c r="E105" s="36"/>
      <c r="F105" s="37"/>
    </row>
    <row r="106">
      <c r="A106" s="987" t="str">
        <f>'MSW30'!A106</f>
        <v/>
      </c>
      <c r="B106" s="987" t="str">
        <f>'MSW30'!B106</f>
        <v/>
      </c>
      <c r="C106" s="987" t="str">
        <f>'MSW30'!C106</f>
        <v/>
      </c>
      <c r="D106" s="987" t="str">
        <f>'MSW30'!D106</f>
        <v/>
      </c>
      <c r="E106" s="987" t="str">
        <f>'MSW30'!E106</f>
        <v/>
      </c>
      <c r="F106" s="987" t="str">
        <f>'MSW30'!F106</f>
        <v/>
      </c>
    </row>
    <row r="107">
      <c r="A107" s="989" t="str">
        <f>'MSW30'!A107</f>
        <v/>
      </c>
      <c r="B107" s="989" t="str">
        <f>'MSW30'!B107</f>
        <v/>
      </c>
      <c r="C107" s="989" t="str">
        <f>'MSW30'!C107</f>
        <v/>
      </c>
      <c r="D107" s="989" t="str">
        <f>'MSW30'!D107</f>
        <v/>
      </c>
      <c r="E107" s="989" t="str">
        <f>'MSW30'!E107</f>
        <v/>
      </c>
      <c r="F107" s="989" t="str">
        <f>'MSW30'!F107</f>
        <v/>
      </c>
    </row>
    <row r="108">
      <c r="A108" s="51" t="str">
        <f>'MSW30'!A108</f>
        <v>SHOULDERS &amp; ARMS</v>
      </c>
      <c r="B108" s="36"/>
      <c r="C108" s="36"/>
      <c r="D108" s="36"/>
      <c r="E108" s="36"/>
      <c r="F108" s="37"/>
      <c r="G108" s="987" t="str">
        <f>'MSW30'!G108</f>
        <v/>
      </c>
      <c r="H108" s="51" t="str">
        <f>'MSW30'!H108</f>
        <v>SHOULDERS &amp; ARMS</v>
      </c>
      <c r="I108" s="36"/>
      <c r="J108" s="36"/>
      <c r="K108" s="36"/>
      <c r="L108" s="36"/>
      <c r="M108" s="37"/>
    </row>
    <row r="109">
      <c r="A109" s="504" t="str">
        <f>'MSW30'!A109</f>
        <v>1. SHOULDER PRESS</v>
      </c>
      <c r="B109" s="53"/>
      <c r="C109" s="53"/>
      <c r="D109" s="53"/>
      <c r="E109" s="53"/>
      <c r="F109" s="54"/>
      <c r="H109" s="778" t="str">
        <f>'MSW30'!H109</f>
        <v>1. MACHINE SHOULDER PRESS</v>
      </c>
      <c r="I109" s="53"/>
      <c r="J109" s="53"/>
      <c r="K109" s="53"/>
      <c r="L109" s="53"/>
      <c r="M109" s="54"/>
    </row>
    <row r="110">
      <c r="A110" s="589" t="str">
        <f>'MSW30'!A110</f>
        <v>CURRENT MAX</v>
      </c>
      <c r="B110" s="227">
        <f>'MSW30'!B110</f>
        <v>80</v>
      </c>
      <c r="C110" s="20"/>
      <c r="D110" s="20"/>
      <c r="E110" s="20"/>
      <c r="F110" s="95"/>
      <c r="H110" s="589" t="str">
        <f>'MSW30'!H110</f>
        <v>CURRENT MAX</v>
      </c>
      <c r="I110" s="227">
        <f>'MSW30'!I110</f>
        <v>0</v>
      </c>
      <c r="J110" s="20"/>
      <c r="K110" s="20"/>
      <c r="L110" s="20"/>
      <c r="M110" s="95"/>
    </row>
    <row r="111">
      <c r="A111" s="364" t="str">
        <f>'MSW30'!A111</f>
        <v>SET</v>
      </c>
      <c r="B111" s="365" t="str">
        <f>'MSW30'!B111</f>
        <v>WEIGHT</v>
      </c>
      <c r="C111" s="365" t="str">
        <f>'MSW30'!C111</f>
        <v>REPS</v>
      </c>
      <c r="D111" s="365" t="str">
        <f>'MSW30'!D111</f>
        <v>REST</v>
      </c>
      <c r="E111" s="609" t="str">
        <f>'MSW30'!E111</f>
        <v>PREVIOUS</v>
      </c>
      <c r="F111" s="61" t="str">
        <f>'MSW30'!F111</f>
        <v>REP LOG</v>
      </c>
      <c r="H111" s="364" t="str">
        <f>'MSW30'!H111</f>
        <v>SET</v>
      </c>
      <c r="I111" s="365" t="str">
        <f>'MSW30'!I111</f>
        <v>WEIGHT</v>
      </c>
      <c r="J111" s="365" t="str">
        <f>'MSW30'!J111</f>
        <v>REPS</v>
      </c>
      <c r="K111" s="365" t="str">
        <f>'MSW30'!K111</f>
        <v>REST</v>
      </c>
      <c r="L111" s="609" t="str">
        <f>'MSW30'!L111</f>
        <v>PREVIOUS</v>
      </c>
      <c r="M111" s="61" t="str">
        <f>'MSW30'!M111</f>
        <v>REP LOG</v>
      </c>
    </row>
    <row r="112">
      <c r="A112" s="236">
        <f>'MSW30'!A112</f>
        <v>1</v>
      </c>
      <c r="B112" s="237">
        <f>'MSW30'!B112</f>
        <v>30</v>
      </c>
      <c r="C112" s="237">
        <f>'MSW30'!C112</f>
        <v>6</v>
      </c>
      <c r="D112" s="238" t="str">
        <f>'MSW30'!D112</f>
        <v>30s</v>
      </c>
      <c r="E112" s="66" t="str">
        <f>'MSW30'!E112</f>
        <v/>
      </c>
      <c r="F112" s="67">
        <v>6.0</v>
      </c>
      <c r="H112" s="236">
        <f>'MSW30'!H112</f>
        <v>1</v>
      </c>
      <c r="I112" s="237">
        <f>'MSW30'!I112</f>
        <v>20</v>
      </c>
      <c r="J112" s="237">
        <f>'MSW30'!J112</f>
        <v>6</v>
      </c>
      <c r="K112" s="238" t="str">
        <f>'MSW30'!K112</f>
        <v>30s</v>
      </c>
      <c r="L112" s="66" t="str">
        <f>'MSW30'!L112</f>
        <v/>
      </c>
      <c r="M112" s="67"/>
    </row>
    <row r="113">
      <c r="A113" s="236">
        <f>'MSW30'!A113</f>
        <v>2</v>
      </c>
      <c r="B113" s="237">
        <f>'MSW30'!B113</f>
        <v>50</v>
      </c>
      <c r="C113" s="237">
        <f>'MSW30'!C113</f>
        <v>1</v>
      </c>
      <c r="D113" s="238" t="str">
        <f>'MSW30'!D113</f>
        <v>1 MIN</v>
      </c>
      <c r="E113" s="66" t="str">
        <f>'MSW30'!E113</f>
        <v/>
      </c>
      <c r="F113" s="67">
        <v>1.0</v>
      </c>
      <c r="H113" s="236">
        <f>'MSW30'!H113</f>
        <v>2</v>
      </c>
      <c r="I113" s="237">
        <f>'MSW30'!I113</f>
        <v>0</v>
      </c>
      <c r="J113" s="237">
        <f>'MSW30'!J113</f>
        <v>1</v>
      </c>
      <c r="K113" s="238" t="str">
        <f>'MSW30'!K113</f>
        <v>1 MIN</v>
      </c>
      <c r="L113" s="66" t="str">
        <f>'MSW30'!L113</f>
        <v/>
      </c>
      <c r="M113" s="67"/>
    </row>
    <row r="114">
      <c r="A114" s="779">
        <f>'MSW30'!A114</f>
        <v>3</v>
      </c>
      <c r="B114" s="780">
        <f>'MSW30'!B114</f>
        <v>70</v>
      </c>
      <c r="C114" s="781" t="str">
        <f>'MSW30'!C114</f>
        <v>REP OUT</v>
      </c>
      <c r="D114" s="782" t="str">
        <f>'MSW30'!D114</f>
        <v>1 MIN</v>
      </c>
      <c r="E114" s="783" t="str">
        <f>'MSW30'!E114</f>
        <v/>
      </c>
      <c r="F114" s="1121">
        <v>5.0</v>
      </c>
      <c r="H114" s="779">
        <f>'MSW30'!H114</f>
        <v>3</v>
      </c>
      <c r="I114" s="780">
        <f>'MSW30'!I114</f>
        <v>0</v>
      </c>
      <c r="J114" s="781" t="str">
        <f>'MSW30'!J114</f>
        <v>REP OUT</v>
      </c>
      <c r="K114" s="782" t="str">
        <f>'MSW30'!K114</f>
        <v>1 MIN</v>
      </c>
      <c r="L114" s="783" t="str">
        <f>'MSW30'!L114</f>
        <v/>
      </c>
      <c r="M114" s="784"/>
    </row>
    <row r="115">
      <c r="A115" s="785">
        <f>'MSW30'!A115</f>
        <v>4</v>
      </c>
      <c r="B115" s="388">
        <f>'MSW30'!B115</f>
        <v>60</v>
      </c>
      <c r="C115" s="781" t="str">
        <f>'MSW30'!C115</f>
        <v>REP OUT</v>
      </c>
      <c r="D115" s="390" t="str">
        <f>'MSW30'!D115</f>
        <v>1 MIN</v>
      </c>
      <c r="E115" s="786" t="str">
        <f>'MSW30'!E115</f>
        <v/>
      </c>
      <c r="F115" s="1122">
        <v>10.0</v>
      </c>
      <c r="H115" s="785">
        <f>'MSW30'!H115</f>
        <v>4</v>
      </c>
      <c r="I115" s="388">
        <f>'MSW30'!I115</f>
        <v>0</v>
      </c>
      <c r="J115" s="781" t="str">
        <f>'MSW30'!J115</f>
        <v>REP OUT</v>
      </c>
      <c r="K115" s="390" t="str">
        <f>'MSW30'!K115</f>
        <v>1 MIN</v>
      </c>
      <c r="L115" s="786" t="str">
        <f>'MSW30'!L115</f>
        <v/>
      </c>
      <c r="M115" s="392"/>
    </row>
    <row r="116">
      <c r="A116" s="787">
        <f>'MSW30'!A116</f>
        <v>5</v>
      </c>
      <c r="B116" s="395">
        <f>'MSW30'!B116</f>
        <v>50</v>
      </c>
      <c r="C116" s="789" t="str">
        <f>'MSW30'!C116</f>
        <v>REP OUT</v>
      </c>
      <c r="D116" s="397" t="str">
        <f>'MSW30'!D116</f>
        <v>1 MIN</v>
      </c>
      <c r="E116" s="790" t="str">
        <f>'MSW30'!E116</f>
        <v/>
      </c>
      <c r="F116" s="1122">
        <v>11.0</v>
      </c>
      <c r="H116" s="787">
        <f>'MSW30'!H116</f>
        <v>5</v>
      </c>
      <c r="I116" s="788">
        <f>'MSW30'!I116</f>
        <v>0</v>
      </c>
      <c r="J116" s="789" t="str">
        <f>'MSW30'!J116</f>
        <v>REP OUT</v>
      </c>
      <c r="K116" s="397" t="str">
        <f>'MSW30'!K116</f>
        <v>1 MIN</v>
      </c>
      <c r="L116" s="790" t="str">
        <f>'MSW30'!L116</f>
        <v/>
      </c>
      <c r="M116" s="392"/>
    </row>
    <row r="117">
      <c r="A117" s="623" t="str">
        <f>'MSW30'!A117</f>
        <v/>
      </c>
      <c r="B117" s="623" t="str">
        <f>'MSW30'!B117</f>
        <v/>
      </c>
      <c r="C117" s="623" t="str">
        <f>'MSW30'!C117</f>
        <v/>
      </c>
      <c r="D117" s="623" t="str">
        <f>'MSW30'!D117</f>
        <v/>
      </c>
      <c r="E117" s="1058" t="str">
        <f>'MSW30'!E117</f>
        <v/>
      </c>
      <c r="F117" s="623" t="str">
        <f>'MSW30'!F117</f>
        <v/>
      </c>
      <c r="G117" s="987" t="str">
        <f>'MSW30'!G117</f>
        <v/>
      </c>
    </row>
    <row r="118">
      <c r="A118" s="995" t="str">
        <f>'MSW30'!A118</f>
        <v/>
      </c>
      <c r="B118" s="995" t="str">
        <f>'MSW30'!B118</f>
        <v/>
      </c>
      <c r="C118" s="995" t="str">
        <f>'MSW30'!C118</f>
        <v/>
      </c>
      <c r="D118" s="995" t="str">
        <f>'MSW30'!D118</f>
        <v/>
      </c>
      <c r="E118" s="1066" t="str">
        <f>'MSW30'!E118</f>
        <v/>
      </c>
      <c r="F118" s="995" t="str">
        <f>'MSW30'!F118</f>
        <v/>
      </c>
    </row>
    <row r="119">
      <c r="A119" s="361" t="str">
        <f>'MSW30'!A119</f>
        <v>2.  CABLE HIGH PULLEY ROW</v>
      </c>
      <c r="B119" s="53"/>
      <c r="C119" s="53"/>
      <c r="D119" s="53"/>
      <c r="E119" s="53"/>
      <c r="F119" s="54"/>
    </row>
    <row r="120">
      <c r="A120" s="961" t="str">
        <f>'MSW30'!A120</f>
        <v>CURRENT MAX</v>
      </c>
      <c r="B120" s="1294">
        <v>70.0</v>
      </c>
      <c r="C120" s="13"/>
      <c r="D120" s="13"/>
      <c r="E120" s="13"/>
      <c r="F120" s="57"/>
    </row>
    <row r="121">
      <c r="A121" s="962" t="str">
        <f>'MSW30'!A121</f>
        <v>SET</v>
      </c>
      <c r="B121" s="963" t="str">
        <f>'MSW30'!B121</f>
        <v>WEIGHT</v>
      </c>
      <c r="C121" s="963" t="str">
        <f>'MSW30'!C121</f>
        <v>REPS</v>
      </c>
      <c r="D121" s="963" t="str">
        <f>'MSW30'!D121</f>
        <v>REST</v>
      </c>
      <c r="E121" s="1005" t="str">
        <f>'MSW30'!E121</f>
        <v>PREVIOUS</v>
      </c>
      <c r="F121" s="1006" t="str">
        <f>'MSW30'!F121</f>
        <v>REP LOG</v>
      </c>
    </row>
    <row r="122">
      <c r="A122" s="967">
        <f>'MSW30'!A122</f>
        <v>1</v>
      </c>
      <c r="B122" s="1028">
        <f>'MSW30'!B122</f>
        <v>70</v>
      </c>
      <c r="C122" s="968" t="str">
        <f>'MSW30'!C122</f>
        <v>10 - 15</v>
      </c>
      <c r="D122" s="968" t="str">
        <f>'MSW30'!D122</f>
        <v>1-2 MIN</v>
      </c>
      <c r="E122" s="1010" t="str">
        <f>'MSW30'!E122</f>
        <v/>
      </c>
      <c r="F122" s="1011">
        <v>15.0</v>
      </c>
    </row>
    <row r="123">
      <c r="A123" s="967">
        <f>'MSW30'!A123</f>
        <v>2</v>
      </c>
      <c r="B123" s="1028">
        <f>'MSW30'!B123</f>
        <v>70</v>
      </c>
      <c r="C123" s="968" t="str">
        <f>'MSW30'!C123</f>
        <v>10 - 15</v>
      </c>
      <c r="D123" s="968" t="str">
        <f>'MSW30'!D123</f>
        <v>1-2 MIN</v>
      </c>
      <c r="E123" s="1010" t="str">
        <f>'MSW30'!E123</f>
        <v/>
      </c>
      <c r="F123" s="1011">
        <v>15.0</v>
      </c>
    </row>
    <row r="124">
      <c r="A124" s="971">
        <f>'MSW30'!A124</f>
        <v>3</v>
      </c>
      <c r="B124" s="1123">
        <f>'MSW30'!B124</f>
        <v>70</v>
      </c>
      <c r="C124" s="972" t="str">
        <f>'MSW30'!C124</f>
        <v>10 - 15</v>
      </c>
      <c r="D124" s="972" t="str">
        <f>'MSW30'!D124</f>
        <v>1-2 MIN</v>
      </c>
      <c r="E124" s="1021" t="str">
        <f>'MSW30'!E124</f>
        <v/>
      </c>
      <c r="F124" s="1011">
        <v>15.0</v>
      </c>
    </row>
    <row r="125">
      <c r="A125" s="1068" t="str">
        <f>'MSW30'!A125</f>
        <v/>
      </c>
      <c r="B125" s="1068" t="str">
        <f>'MSW30'!B125</f>
        <v/>
      </c>
      <c r="C125" s="1068" t="str">
        <f>'MSW30'!C125</f>
        <v/>
      </c>
      <c r="D125" s="623" t="str">
        <f>'MSW30'!D125</f>
        <v/>
      </c>
      <c r="E125" s="1058" t="str">
        <f>'MSW30'!E125</f>
        <v/>
      </c>
      <c r="F125" s="623" t="str">
        <f>'MSW30'!F125</f>
        <v/>
      </c>
    </row>
    <row r="126">
      <c r="A126" s="1069" t="str">
        <f>'MSW30'!A126</f>
        <v/>
      </c>
      <c r="B126" s="1069" t="str">
        <f>'MSW30'!B126</f>
        <v/>
      </c>
      <c r="C126" s="1069" t="str">
        <f>'MSW30'!C126</f>
        <v/>
      </c>
      <c r="D126" s="995" t="str">
        <f>'MSW30'!D126</f>
        <v/>
      </c>
      <c r="E126" s="1066" t="str">
        <f>'MSW30'!E126</f>
        <v/>
      </c>
      <c r="F126" s="995" t="str">
        <f>'MSW30'!F126</f>
        <v/>
      </c>
    </row>
    <row r="127">
      <c r="A127" s="1070" t="str">
        <f>'MSW30'!A127</f>
        <v>3. DUMBBELL SIDE LATERAL RAISE</v>
      </c>
      <c r="B127" s="13"/>
      <c r="C127" s="13"/>
      <c r="D127" s="13"/>
      <c r="E127" s="13"/>
      <c r="F127" s="57"/>
    </row>
    <row r="128">
      <c r="A128" s="961" t="str">
        <f>'MSW30'!A128</f>
        <v>SHLDR PRSS MAX</v>
      </c>
      <c r="B128" s="76">
        <f>'MSW30'!B128</f>
        <v>80</v>
      </c>
      <c r="C128" s="13"/>
      <c r="D128" s="13"/>
      <c r="E128" s="13"/>
      <c r="F128" s="57"/>
    </row>
    <row r="129">
      <c r="A129" s="1071" t="str">
        <f>'MSW30'!A129</f>
        <v>SET</v>
      </c>
      <c r="B129" s="1072" t="str">
        <f>'MSW30'!B129</f>
        <v>WEIGHT</v>
      </c>
      <c r="C129" s="1072" t="str">
        <f>'MSW30'!C129</f>
        <v>REPS</v>
      </c>
      <c r="D129" s="1072" t="str">
        <f>'MSW30'!D129</f>
        <v>REST</v>
      </c>
      <c r="E129" s="1073" t="str">
        <f>'MSW30'!E129</f>
        <v>PREVIOUS</v>
      </c>
      <c r="F129" s="1006" t="str">
        <f>'MSW30'!F129</f>
        <v>REP LOG</v>
      </c>
    </row>
    <row r="130">
      <c r="A130" s="1074">
        <f>'MSW30'!A130</f>
        <v>1</v>
      </c>
      <c r="B130" s="968">
        <f>'MSW30'!B130</f>
        <v>15</v>
      </c>
      <c r="C130" s="1015" t="str">
        <f>'MSW30'!C130</f>
        <v>10 - 15</v>
      </c>
      <c r="D130" s="1076" t="str">
        <f>'MSW30'!D130</f>
        <v>1 MIN</v>
      </c>
      <c r="E130" s="1077" t="str">
        <f>'MSW30'!E130</f>
        <v/>
      </c>
      <c r="F130" s="1011">
        <v>15.0</v>
      </c>
    </row>
    <row r="131">
      <c r="A131" s="1074">
        <f>'MSW30'!A131</f>
        <v>2</v>
      </c>
      <c r="B131" s="968">
        <f>'MSW30'!B131</f>
        <v>12.5</v>
      </c>
      <c r="C131" s="1015" t="str">
        <f>'MSW30'!C131</f>
        <v>10 - 15</v>
      </c>
      <c r="D131" s="1076" t="str">
        <f>'MSW30'!D131</f>
        <v>1 MIN</v>
      </c>
      <c r="E131" s="1077" t="str">
        <f>'MSW30'!E131</f>
        <v/>
      </c>
      <c r="F131" s="1011">
        <v>15.0</v>
      </c>
    </row>
    <row r="132">
      <c r="A132" s="1078">
        <f>'MSW30'!A132</f>
        <v>3</v>
      </c>
      <c r="B132" s="972">
        <f>'MSW30'!B132</f>
        <v>7.5</v>
      </c>
      <c r="C132" s="1019" t="str">
        <f>'MSW30'!C132</f>
        <v>10 - 15</v>
      </c>
      <c r="D132" s="1080" t="str">
        <f>'MSW30'!D132</f>
        <v>1 MIN</v>
      </c>
      <c r="E132" s="31" t="str">
        <f>'MSW30'!E132</f>
        <v/>
      </c>
      <c r="F132" s="1011">
        <v>15.0</v>
      </c>
    </row>
    <row r="133">
      <c r="A133" s="1068" t="str">
        <f>'MSW30'!A133</f>
        <v/>
      </c>
      <c r="B133" s="1068" t="str">
        <f>'MSW30'!B133</f>
        <v/>
      </c>
      <c r="C133" s="1068" t="str">
        <f>'MSW30'!C133</f>
        <v/>
      </c>
      <c r="D133" s="623" t="str">
        <f>'MSW30'!D133</f>
        <v/>
      </c>
      <c r="E133" s="1058" t="str">
        <f>'MSW30'!E133</f>
        <v/>
      </c>
      <c r="F133" s="623" t="str">
        <f>'MSW30'!F133</f>
        <v/>
      </c>
    </row>
    <row r="134">
      <c r="A134" s="1069" t="str">
        <f>'MSW30'!A134</f>
        <v/>
      </c>
      <c r="B134" s="1069" t="str">
        <f>'MSW30'!B134</f>
        <v/>
      </c>
      <c r="C134" s="1069" t="str">
        <f>'MSW30'!C134</f>
        <v/>
      </c>
      <c r="D134" s="995" t="str">
        <f>'MSW30'!D134</f>
        <v/>
      </c>
      <c r="E134" s="1066" t="str">
        <f>'MSW30'!E134</f>
        <v/>
      </c>
      <c r="F134" s="995" t="str">
        <f>'MSW30'!F134</f>
        <v/>
      </c>
    </row>
    <row r="135">
      <c r="A135" s="1295" t="str">
        <f>'MSW30'!A135</f>
        <v>3. DUMBBELL TRICEP EXTENSIONS</v>
      </c>
      <c r="B135" s="53"/>
      <c r="C135" s="53"/>
      <c r="D135" s="53"/>
      <c r="E135" s="53"/>
      <c r="F135" s="54"/>
    </row>
    <row r="136">
      <c r="A136" s="1268" t="str">
        <f>'MSW30'!A136</f>
        <v>CURRENT MAX</v>
      </c>
      <c r="B136" s="1367">
        <f>'MSW30'!B136</f>
        <v>30</v>
      </c>
      <c r="C136" s="20"/>
      <c r="D136" s="20"/>
      <c r="E136" s="20"/>
      <c r="F136" s="95"/>
    </row>
    <row r="137">
      <c r="A137" s="1071" t="str">
        <f>'MSW30'!A137</f>
        <v>SET</v>
      </c>
      <c r="B137" s="1071" t="str">
        <f>'MSW30'!B137</f>
        <v>WEIGHT</v>
      </c>
      <c r="C137" s="1071" t="str">
        <f>'MSW30'!C137</f>
        <v>REPS</v>
      </c>
      <c r="D137" s="1071" t="str">
        <f>'MSW30'!D137</f>
        <v>REST</v>
      </c>
      <c r="E137" s="1071" t="str">
        <f>'MSW30'!E137</f>
        <v>PREVIOUS</v>
      </c>
      <c r="F137" s="1071" t="str">
        <f>'MSW30'!F137</f>
        <v>REP LOG</v>
      </c>
    </row>
    <row r="138">
      <c r="A138" s="1074">
        <f>'MSW30'!A138</f>
        <v>1</v>
      </c>
      <c r="B138" s="968">
        <f>'MSW30'!B138</f>
        <v>30</v>
      </c>
      <c r="C138" s="1075" t="str">
        <f>'MSW30'!C138</f>
        <v>5 - 15</v>
      </c>
      <c r="D138" s="1076" t="str">
        <f>'MSW30'!D138</f>
        <v>1 MIN</v>
      </c>
      <c r="E138" s="1235" t="str">
        <f>'MSW30'!E138</f>
        <v/>
      </c>
      <c r="F138" s="1017" t="str">
        <f>'MSW30'!F138</f>
        <v/>
      </c>
    </row>
    <row r="139">
      <c r="A139" s="1074">
        <f>'MSW30'!A139</f>
        <v>2</v>
      </c>
      <c r="B139" s="968">
        <f>'MSW30'!B139</f>
        <v>27.5</v>
      </c>
      <c r="C139" s="1075" t="str">
        <f>'MSW30'!C139</f>
        <v>5 - 15</v>
      </c>
      <c r="D139" s="1076" t="str">
        <f>'MSW30'!D139</f>
        <v>1 MIN</v>
      </c>
      <c r="E139" s="1235" t="str">
        <f>'MSW30'!E139</f>
        <v/>
      </c>
      <c r="F139" s="1017" t="str">
        <f>'MSW30'!F139</f>
        <v/>
      </c>
    </row>
    <row r="140">
      <c r="A140" s="1078">
        <f>'MSW30'!A140</f>
        <v>3</v>
      </c>
      <c r="B140" s="972">
        <f>'MSW30'!B140</f>
        <v>25</v>
      </c>
      <c r="C140" s="1079" t="str">
        <f>'MSW30'!C140</f>
        <v>5 - 15</v>
      </c>
      <c r="D140" s="1080" t="str">
        <f>'MSW30'!D140</f>
        <v>1 MIN</v>
      </c>
      <c r="E140" s="1271" t="str">
        <f>'MSW30'!E140</f>
        <v/>
      </c>
      <c r="F140" s="1017" t="str">
        <f>'MSW30'!F140</f>
        <v/>
      </c>
    </row>
    <row r="141">
      <c r="A141" s="623" t="str">
        <f>'MSW30'!A141</f>
        <v/>
      </c>
      <c r="B141" s="623" t="str">
        <f>'MSW30'!B141</f>
        <v/>
      </c>
      <c r="C141" s="623" t="str">
        <f>'MSW30'!C141</f>
        <v/>
      </c>
      <c r="D141" s="623" t="str">
        <f>'MSW30'!D141</f>
        <v/>
      </c>
      <c r="E141" s="623" t="str">
        <f>'MSW30'!E141</f>
        <v/>
      </c>
      <c r="F141" s="623" t="str">
        <f>'MSW30'!F141</f>
        <v/>
      </c>
    </row>
    <row r="142">
      <c r="A142" s="995" t="str">
        <f>'MSW30'!A142</f>
        <v/>
      </c>
      <c r="B142" s="995" t="str">
        <f>'MSW30'!B142</f>
        <v/>
      </c>
      <c r="C142" s="995" t="str">
        <f>'MSW30'!C142</f>
        <v/>
      </c>
      <c r="D142" s="995" t="str">
        <f>'MSW30'!D142</f>
        <v/>
      </c>
      <c r="E142" s="995" t="str">
        <f>'MSW30'!E142</f>
        <v/>
      </c>
      <c r="F142" s="995" t="str">
        <f>'MSW30'!F142</f>
        <v/>
      </c>
    </row>
    <row r="143">
      <c r="A143" s="944" t="str">
        <f>'MSW30'!A143</f>
        <v>5. ALTERNATING BICEP CURLS </v>
      </c>
      <c r="B143" s="53"/>
      <c r="C143" s="53"/>
      <c r="D143" s="53"/>
      <c r="E143" s="53"/>
      <c r="F143" s="54"/>
    </row>
    <row r="144">
      <c r="A144" s="226" t="str">
        <f>'MSW30'!A144</f>
        <v>CURRENT MAX</v>
      </c>
      <c r="B144" s="76">
        <f>'MSW30'!B144</f>
        <v>25</v>
      </c>
      <c r="C144" s="13"/>
      <c r="D144" s="13"/>
      <c r="E144" s="13"/>
      <c r="F144" s="57"/>
    </row>
    <row r="145">
      <c r="A145" s="77" t="str">
        <f>'MSW30'!A145</f>
        <v>SET</v>
      </c>
      <c r="B145" s="78" t="str">
        <f>'MSW30'!B145</f>
        <v>WEIGHT</v>
      </c>
      <c r="C145" s="78" t="str">
        <f>'MSW30'!C145</f>
        <v>REPS</v>
      </c>
      <c r="D145" s="78" t="str">
        <f>'MSW30'!D145</f>
        <v>REST</v>
      </c>
      <c r="E145" s="80" t="str">
        <f>'MSW30'!E145</f>
        <v>PREVIOUS</v>
      </c>
      <c r="F145" s="235" t="str">
        <f>'MSW30'!F145</f>
        <v>REP LOG</v>
      </c>
    </row>
    <row r="146">
      <c r="A146" s="81">
        <f>'MSW30'!A146</f>
        <v>1</v>
      </c>
      <c r="B146" s="82">
        <f>'MSW30'!B146</f>
        <v>20</v>
      </c>
      <c r="C146" s="65" t="str">
        <f>'MSW30'!C146</f>
        <v>10 - 15</v>
      </c>
      <c r="D146" s="83" t="str">
        <f>'MSW30'!D146</f>
        <v>1MIN</v>
      </c>
      <c r="E146" s="84" t="str">
        <f>'MSW30'!E146</f>
        <v/>
      </c>
      <c r="F146" s="85" t="str">
        <f>'MSW30'!F146</f>
        <v/>
      </c>
    </row>
    <row r="147">
      <c r="A147" s="81">
        <f>'MSW30'!A147</f>
        <v>2</v>
      </c>
      <c r="B147" s="82">
        <f>'MSW30'!B147</f>
        <v>15</v>
      </c>
      <c r="C147" s="65" t="str">
        <f>'MSW30'!C147</f>
        <v>10 - 15</v>
      </c>
      <c r="D147" s="83" t="str">
        <f>'MSW30'!D147</f>
        <v>1MIN</v>
      </c>
      <c r="E147" s="84" t="str">
        <f>'MSW30'!E147</f>
        <v/>
      </c>
      <c r="F147" s="85"/>
    </row>
    <row r="148">
      <c r="A148" s="86">
        <f>'MSW30'!A148</f>
        <v>3</v>
      </c>
      <c r="B148" s="87">
        <f>'MSW30'!B148</f>
        <v>10</v>
      </c>
      <c r="C148" s="71" t="str">
        <f>'MSW30'!C148</f>
        <v>10 - 15</v>
      </c>
      <c r="D148" s="88" t="str">
        <f>'MSW30'!D148</f>
        <v>1MIN</v>
      </c>
      <c r="E148" s="89" t="str">
        <f>'MSW30'!E148</f>
        <v/>
      </c>
      <c r="F148" s="85" t="str">
        <f>'MSW30'!F148</f>
        <v/>
      </c>
    </row>
    <row r="149">
      <c r="A149" s="1126"/>
      <c r="B149" s="1057"/>
      <c r="C149" s="1057"/>
      <c r="D149" s="1057"/>
      <c r="E149" s="1057"/>
      <c r="F149" s="1057"/>
    </row>
    <row r="150">
      <c r="A150" s="1090" t="str">
        <f>'MSW30'!A149</f>
        <v/>
      </c>
      <c r="B150" s="1091" t="str">
        <f>'MSW30'!B149</f>
        <v/>
      </c>
      <c r="C150" s="1091" t="str">
        <f>'MSW30'!C149</f>
        <v/>
      </c>
      <c r="D150" s="1091" t="str">
        <f>'MSW30'!D149</f>
        <v/>
      </c>
      <c r="E150" s="1091" t="str">
        <f>'MSW30'!E149</f>
        <v/>
      </c>
      <c r="F150" s="1091" t="str">
        <f>'MSW30'!F149</f>
        <v/>
      </c>
    </row>
    <row r="151">
      <c r="A151" s="1092" t="str">
        <f>'MSW30'!A151</f>
        <v>WORKOUT COMPLETE!</v>
      </c>
      <c r="B151" s="11"/>
      <c r="C151" s="11"/>
      <c r="D151" s="11"/>
      <c r="E151" s="11"/>
      <c r="F151" s="46"/>
    </row>
    <row r="152">
      <c r="A152" s="1093" t="str">
        <f>'MSW30'!A152</f>
        <v/>
      </c>
      <c r="B152" s="1093" t="str">
        <f>'MSW30'!B152</f>
        <v/>
      </c>
      <c r="C152" s="1093" t="str">
        <f>'MSW30'!C152</f>
        <v/>
      </c>
      <c r="D152" s="1093" t="str">
        <f>'MSW30'!D152</f>
        <v/>
      </c>
      <c r="E152" s="1093" t="str">
        <f>'MSW30'!E152</f>
        <v/>
      </c>
      <c r="F152" s="1093" t="str">
        <f>'MSW30'!F152</f>
        <v/>
      </c>
    </row>
    <row r="153">
      <c r="A153" s="1094" t="str">
        <f>'MSW30'!A153</f>
        <v>WANT TO LEARN MORE?</v>
      </c>
      <c r="F153" s="39"/>
    </row>
    <row r="154">
      <c r="A154" s="18"/>
      <c r="B154" s="13"/>
      <c r="C154" s="13"/>
      <c r="D154" s="13"/>
      <c r="E154" s="13"/>
      <c r="F154" s="14"/>
    </row>
    <row r="155">
      <c r="A155" s="987" t="str">
        <f>'MSW30'!A155</f>
        <v/>
      </c>
      <c r="B155" s="999" t="str">
        <f>'MSW30'!B155</f>
        <v/>
      </c>
      <c r="C155" s="1095" t="str">
        <f>'MSW30'!C155</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55" s="28"/>
    </row>
    <row r="156">
      <c r="A156" s="987" t="str">
        <f>'MSW30'!A156</f>
        <v/>
      </c>
      <c r="B156" s="999" t="str">
        <f>'MSW30'!B156</f>
        <v/>
      </c>
      <c r="F156" s="28"/>
    </row>
    <row r="157">
      <c r="A157" s="987" t="str">
        <f>'MSW30'!A157</f>
        <v/>
      </c>
      <c r="B157" s="999" t="str">
        <f>'MSW30'!B157</f>
        <v/>
      </c>
      <c r="F157" s="28"/>
    </row>
    <row r="158">
      <c r="A158" s="987" t="str">
        <f>'MSW30'!A158</f>
        <v/>
      </c>
      <c r="B158" s="999" t="str">
        <f>'MSW30'!B158</f>
        <v/>
      </c>
      <c r="F158" s="28"/>
    </row>
    <row r="159">
      <c r="A159" s="987" t="str">
        <f>'MSW30'!A159</f>
        <v/>
      </c>
      <c r="B159" s="999" t="str">
        <f>'MSW30'!B159</f>
        <v/>
      </c>
      <c r="F159" s="28"/>
    </row>
    <row r="160">
      <c r="A160" s="987" t="str">
        <f>'MSW30'!A160</f>
        <v/>
      </c>
      <c r="B160" s="999" t="str">
        <f>'MSW30'!B160</f>
        <v/>
      </c>
      <c r="F160" s="28"/>
    </row>
    <row r="161">
      <c r="A161" s="623" t="str">
        <f>'MSW30'!A161</f>
        <v/>
      </c>
      <c r="B161" s="999" t="str">
        <f>'MSW30'!B161</f>
        <v/>
      </c>
      <c r="F161" s="28"/>
    </row>
    <row r="162">
      <c r="A162" s="987" t="str">
        <f>'MSW30'!A162</f>
        <v/>
      </c>
      <c r="B162" s="999" t="str">
        <f>'MSW30'!B162</f>
        <v/>
      </c>
      <c r="F162" s="28"/>
    </row>
    <row r="163">
      <c r="A163" s="987" t="str">
        <f>'MSW30'!A163</f>
        <v/>
      </c>
      <c r="B163" s="999" t="str">
        <f>'MSW30'!B163</f>
        <v/>
      </c>
      <c r="F163" s="28"/>
    </row>
    <row r="164">
      <c r="A164" s="1034" t="str">
        <f>'MSW30'!A164</f>
        <v/>
      </c>
      <c r="B164" s="999" t="str">
        <f>'MSW30'!B164</f>
        <v/>
      </c>
      <c r="F164" s="28"/>
    </row>
    <row r="165">
      <c r="A165" s="987" t="str">
        <f>'MSW30'!A165</f>
        <v/>
      </c>
      <c r="B165" s="999" t="str">
        <f>'MSW30'!B165</f>
        <v/>
      </c>
      <c r="F165" s="28"/>
    </row>
    <row r="166">
      <c r="A166" s="987" t="str">
        <f>'MSW30'!A166</f>
        <v/>
      </c>
      <c r="B166" s="999" t="str">
        <f>'MSW30'!B166</f>
        <v/>
      </c>
      <c r="F166" s="28"/>
    </row>
    <row r="167">
      <c r="A167" s="987" t="str">
        <f>'MSW30'!A167</f>
        <v/>
      </c>
      <c r="B167" s="999" t="str">
        <f>'MSW30'!B167</f>
        <v/>
      </c>
      <c r="F167" s="28"/>
    </row>
    <row r="168">
      <c r="A168" s="987" t="str">
        <f>'MSW30'!A168</f>
        <v/>
      </c>
      <c r="B168" s="999" t="str">
        <f>'MSW30'!B168</f>
        <v/>
      </c>
      <c r="F168" s="28"/>
    </row>
    <row r="169">
      <c r="A169" s="987" t="str">
        <f>'MSW30'!A169</f>
        <v/>
      </c>
      <c r="B169" s="999" t="str">
        <f>'MSW30'!B169</f>
        <v/>
      </c>
      <c r="C169" s="11"/>
      <c r="D169" s="11"/>
      <c r="E169" s="11"/>
      <c r="F169" s="46"/>
    </row>
  </sheetData>
  <mergeCells count="84">
    <mergeCell ref="B40:F40"/>
    <mergeCell ref="A46:F46"/>
    <mergeCell ref="A49:F49"/>
    <mergeCell ref="B52:F52"/>
    <mergeCell ref="A54:F54"/>
    <mergeCell ref="B55:F55"/>
    <mergeCell ref="A60:F61"/>
    <mergeCell ref="A62:F62"/>
    <mergeCell ref="B63:F63"/>
    <mergeCell ref="A70:F70"/>
    <mergeCell ref="A73:F73"/>
    <mergeCell ref="A74:F74"/>
    <mergeCell ref="B75:F75"/>
    <mergeCell ref="B85:F85"/>
    <mergeCell ref="H109:M109"/>
    <mergeCell ref="I110:M110"/>
    <mergeCell ref="H97:M97"/>
    <mergeCell ref="N97:T116"/>
    <mergeCell ref="I98:M98"/>
    <mergeCell ref="G100:G101"/>
    <mergeCell ref="G103:M107"/>
    <mergeCell ref="G108:G116"/>
    <mergeCell ref="H108:M108"/>
    <mergeCell ref="G117:T169"/>
    <mergeCell ref="A88:F88"/>
    <mergeCell ref="B89:F89"/>
    <mergeCell ref="A97:F97"/>
    <mergeCell ref="B98:F98"/>
    <mergeCell ref="A105:F105"/>
    <mergeCell ref="A108:F108"/>
    <mergeCell ref="A109:F109"/>
    <mergeCell ref="A151:F151"/>
    <mergeCell ref="A153:F154"/>
    <mergeCell ref="C155:F169"/>
    <mergeCell ref="B110:F110"/>
    <mergeCell ref="A119:F119"/>
    <mergeCell ref="B120:F120"/>
    <mergeCell ref="A127:F127"/>
    <mergeCell ref="B128:F128"/>
    <mergeCell ref="A135:F135"/>
    <mergeCell ref="B136:F136"/>
    <mergeCell ref="O15:T15"/>
    <mergeCell ref="A16:T17"/>
    <mergeCell ref="O18:T18"/>
    <mergeCell ref="O19:T19"/>
    <mergeCell ref="P20:T20"/>
    <mergeCell ref="A1:T8"/>
    <mergeCell ref="A9:F9"/>
    <mergeCell ref="G9:G14"/>
    <mergeCell ref="H9:M9"/>
    <mergeCell ref="N9:T14"/>
    <mergeCell ref="A10:F11"/>
    <mergeCell ref="A12:F12"/>
    <mergeCell ref="H10:M10"/>
    <mergeCell ref="H12:M14"/>
    <mergeCell ref="H15:M15"/>
    <mergeCell ref="H18:M18"/>
    <mergeCell ref="N18:N29"/>
    <mergeCell ref="H19:M19"/>
    <mergeCell ref="I20:M20"/>
    <mergeCell ref="H30:M31"/>
    <mergeCell ref="A13:F13"/>
    <mergeCell ref="A15:F15"/>
    <mergeCell ref="A18:F18"/>
    <mergeCell ref="G18:G22"/>
    <mergeCell ref="A19:F19"/>
    <mergeCell ref="B20:F20"/>
    <mergeCell ref="G23:G24"/>
    <mergeCell ref="A25:F25"/>
    <mergeCell ref="A30:F31"/>
    <mergeCell ref="G30:G36"/>
    <mergeCell ref="A32:F32"/>
    <mergeCell ref="B33:F33"/>
    <mergeCell ref="A37:F38"/>
    <mergeCell ref="A39:F39"/>
    <mergeCell ref="G25:G29"/>
    <mergeCell ref="H25:M25"/>
    <mergeCell ref="O25:T25"/>
    <mergeCell ref="N30:T36"/>
    <mergeCell ref="H32:M32"/>
    <mergeCell ref="I33:M33"/>
    <mergeCell ref="G37:T96"/>
    <mergeCell ref="A143:F143"/>
    <mergeCell ref="B144:F144"/>
  </mergeCells>
  <dataValidations>
    <dataValidation type="decimal" allowBlank="1" showDropDown="1" showInputMessage="1" showErrorMessage="1" prompt="Enter a number between 0 and 30" sqref="F14 F21:F24 M21:M24 T21:T24 F26:F29 M26:M29 T26:T29 F34:F36 M34:M36 F41:F45 F47:F48 F50:F51 F53 F56:F59 F64:F69 F71:F72 F76:F84 F86:F87 F90:F96 M99:M102 F99:F104 F106:F107 M111:M116 F111:F118 F121:F126 F129:F134 F138:F142 F145:F150 F152">
      <formula1>0.0</formula1>
      <formula2>30.0</formula2>
    </dataValidation>
    <dataValidation type="decimal" operator="greaterThan" allowBlank="1" showDropDown="1" showErrorMessage="1" sqref="M11">
      <formula1>0.0</formula1>
    </dataValidation>
  </dataValidations>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305" t="s">
        <v>322</v>
      </c>
      <c r="B9" s="36"/>
      <c r="C9" s="36"/>
      <c r="D9" s="36"/>
      <c r="E9" s="36"/>
      <c r="F9" s="37"/>
      <c r="G9" s="987"/>
      <c r="H9" s="24" t="s">
        <v>35</v>
      </c>
      <c r="I9" s="25"/>
      <c r="J9" s="25"/>
      <c r="K9" s="25"/>
      <c r="L9" s="25"/>
      <c r="M9" s="26"/>
    </row>
    <row r="10">
      <c r="A10" s="991" t="str">
        <f>HYPERLINK("https://goo.gl/forms/3ibooB993Hi7SS2d2","PRESS TO RECORD BODY WEIGHT")</f>
        <v>PRESS TO RECORD BODY WEIGHT</v>
      </c>
      <c r="F10" s="28"/>
      <c r="G10" s="987"/>
      <c r="H10" s="147" t="s">
        <v>323</v>
      </c>
      <c r="M10" s="28"/>
    </row>
    <row r="11">
      <c r="A11" s="336"/>
      <c r="B11" s="11"/>
      <c r="C11" s="11"/>
      <c r="D11" s="11"/>
      <c r="E11" s="11"/>
      <c r="F11" s="46"/>
      <c r="G11" s="987"/>
      <c r="H11" s="29" t="s">
        <v>324</v>
      </c>
      <c r="I11" s="30"/>
      <c r="J11" s="30"/>
      <c r="K11" s="30"/>
      <c r="L11" s="30"/>
      <c r="M11" s="31"/>
    </row>
    <row r="12">
      <c r="A12" s="992" t="s">
        <v>69</v>
      </c>
      <c r="B12" s="11"/>
      <c r="C12" s="11"/>
      <c r="D12" s="11"/>
      <c r="E12" s="11"/>
      <c r="F12" s="46"/>
      <c r="G12" s="987"/>
      <c r="H12" s="987"/>
      <c r="I12" s="987"/>
      <c r="J12" s="987"/>
      <c r="K12" s="987"/>
      <c r="L12" s="987"/>
      <c r="M12" s="987"/>
    </row>
    <row r="13">
      <c r="A13" s="1128" t="s">
        <v>190</v>
      </c>
      <c r="B13" s="11"/>
      <c r="C13" s="11"/>
      <c r="D13" s="11"/>
      <c r="E13" s="11"/>
      <c r="F13" s="46"/>
      <c r="G13" s="987"/>
      <c r="H13" s="987"/>
      <c r="I13" s="987"/>
      <c r="J13" s="987"/>
      <c r="K13" s="987"/>
      <c r="L13" s="987"/>
      <c r="M13" s="987"/>
    </row>
    <row r="14">
      <c r="A14" s="994"/>
      <c r="B14" s="994"/>
      <c r="C14" s="994"/>
      <c r="D14" s="994"/>
      <c r="E14" s="994"/>
      <c r="F14" s="995"/>
      <c r="G14" s="987"/>
      <c r="H14" s="989"/>
      <c r="I14" s="989"/>
      <c r="J14" s="989"/>
      <c r="K14" s="989"/>
      <c r="L14" s="989"/>
      <c r="M14" s="989"/>
    </row>
    <row r="15">
      <c r="A15" s="996" t="s">
        <v>47</v>
      </c>
      <c r="B15" s="11"/>
      <c r="C15" s="11"/>
      <c r="D15" s="11"/>
      <c r="E15" s="11"/>
      <c r="F15" s="46"/>
      <c r="G15" s="997"/>
      <c r="H15" s="998" t="s">
        <v>118</v>
      </c>
      <c r="I15" s="11"/>
      <c r="J15" s="11"/>
      <c r="K15" s="11"/>
      <c r="L15" s="11"/>
      <c r="M15" s="46"/>
    </row>
    <row r="16">
      <c r="A16" s="987"/>
      <c r="B16" s="987"/>
      <c r="C16" s="987"/>
      <c r="D16" s="987"/>
      <c r="E16" s="987"/>
      <c r="F16" s="987"/>
      <c r="G16" s="623"/>
      <c r="H16" s="987"/>
      <c r="I16" s="987"/>
      <c r="J16" s="987"/>
      <c r="K16" s="987"/>
      <c r="L16" s="987"/>
      <c r="M16" s="987"/>
    </row>
    <row r="19">
      <c r="A19" s="51" t="s">
        <v>48</v>
      </c>
      <c r="B19" s="36"/>
      <c r="C19" s="36"/>
      <c r="D19" s="36"/>
      <c r="E19" s="36"/>
      <c r="F19" s="37"/>
      <c r="H19" s="51" t="s">
        <v>48</v>
      </c>
      <c r="I19" s="36"/>
      <c r="J19" s="36"/>
      <c r="K19" s="36"/>
      <c r="L19" s="36"/>
      <c r="M19" s="37"/>
      <c r="N19" s="141"/>
      <c r="O19" s="51" t="s">
        <v>48</v>
      </c>
      <c r="P19" s="36"/>
      <c r="Q19" s="36"/>
      <c r="R19" s="36"/>
      <c r="S19" s="36"/>
      <c r="T19" s="37"/>
    </row>
    <row r="20">
      <c r="A20" s="225" t="str">
        <f>HYPERLINK("https://www.youtube.com/watch?v=iLgUDezDMbU","1. BENCH PRESS")</f>
        <v>1. BENCH PRESS</v>
      </c>
      <c r="B20" s="13"/>
      <c r="C20" s="13"/>
      <c r="D20" s="13"/>
      <c r="E20" s="13"/>
      <c r="F20" s="57"/>
      <c r="H20" s="52" t="str">
        <f>HYPERLINK("https://youtu.be/ujVN-A0Z-ic","1. DUMBBELL INCLINE PRESS")</f>
        <v>1. DUMBBELL INCLINE PRESS</v>
      </c>
      <c r="I20" s="53"/>
      <c r="J20" s="53"/>
      <c r="K20" s="53"/>
      <c r="L20" s="53"/>
      <c r="M20" s="54"/>
      <c r="O20" s="52" t="str">
        <f>HYPERLINK("https://youtu.be/75e_H9Vq_Lw","1. MACHINE PRESS")</f>
        <v>1. MACHINE PRESS</v>
      </c>
      <c r="P20" s="53"/>
      <c r="Q20" s="53"/>
      <c r="R20" s="53"/>
      <c r="S20" s="53"/>
      <c r="T20" s="54"/>
    </row>
    <row r="21">
      <c r="A21" s="226" t="s">
        <v>119</v>
      </c>
      <c r="B21" s="227">
        <f>'WEEK 30'!B20</f>
        <v>265</v>
      </c>
      <c r="C21" s="20"/>
      <c r="D21" s="20"/>
      <c r="E21" s="20"/>
      <c r="F21" s="95"/>
      <c r="H21" s="228" t="s">
        <v>119</v>
      </c>
      <c r="I21" s="229">
        <f>'WEEK 29'!B34</f>
        <v>95</v>
      </c>
      <c r="J21" s="16"/>
      <c r="K21" s="16"/>
      <c r="L21" s="16"/>
      <c r="M21" s="230"/>
      <c r="O21" s="228" t="s">
        <v>119</v>
      </c>
      <c r="P21" s="229" t="str">
        <f>'WEEK 25'!I32</f>
        <v/>
      </c>
      <c r="Q21" s="16"/>
      <c r="R21" s="16"/>
      <c r="S21" s="16"/>
      <c r="T21" s="230"/>
    </row>
    <row r="22">
      <c r="A22" s="231" t="s">
        <v>50</v>
      </c>
      <c r="B22" s="232" t="s">
        <v>51</v>
      </c>
      <c r="C22" s="232" t="s">
        <v>52</v>
      </c>
      <c r="D22" s="232" t="s">
        <v>53</v>
      </c>
      <c r="E22" s="233" t="s">
        <v>54</v>
      </c>
      <c r="F22" s="61" t="s">
        <v>55</v>
      </c>
      <c r="H22" s="96" t="s">
        <v>50</v>
      </c>
      <c r="I22" s="97" t="s">
        <v>51</v>
      </c>
      <c r="J22" s="97" t="s">
        <v>52</v>
      </c>
      <c r="K22" s="97" t="s">
        <v>53</v>
      </c>
      <c r="L22" s="98" t="s">
        <v>54</v>
      </c>
      <c r="M22" s="235" t="s">
        <v>55</v>
      </c>
      <c r="O22" s="96" t="s">
        <v>50</v>
      </c>
      <c r="P22" s="97" t="s">
        <v>51</v>
      </c>
      <c r="Q22" s="97" t="s">
        <v>52</v>
      </c>
      <c r="R22" s="97" t="s">
        <v>53</v>
      </c>
      <c r="S22" s="98" t="s">
        <v>54</v>
      </c>
      <c r="T22" s="235" t="s">
        <v>55</v>
      </c>
    </row>
    <row r="23">
      <c r="A23" s="236">
        <v>1.0</v>
      </c>
      <c r="B23" s="237">
        <f>IF( 'WEEK 31'!B20&lt;125,45,mround('WEEK 31'!B21*0.35,5))</f>
        <v>45</v>
      </c>
      <c r="C23" s="237">
        <v>6.0</v>
      </c>
      <c r="D23" s="238" t="s">
        <v>120</v>
      </c>
      <c r="E23" s="84" t="str">
        <f>IF('WEEK 28'!B22='WEEK 31'!B23,'WEEK 28'!F22,"")</f>
        <v/>
      </c>
      <c r="F23" s="67">
        <v>6.0</v>
      </c>
      <c r="H23" s="244">
        <v>1.0</v>
      </c>
      <c r="I23" s="241">
        <f>mround('WEEK 31'!J21*0.35,5)</f>
        <v>35</v>
      </c>
      <c r="J23" s="63">
        <v>6.0</v>
      </c>
      <c r="K23" s="83" t="s">
        <v>127</v>
      </c>
      <c r="L23" s="84" t="str">
        <f>IF('WEEK 28'!I22='WEEK 31'!J23,'WEEK 28'!M22,"")</f>
        <v/>
      </c>
      <c r="M23" s="85"/>
      <c r="O23" s="244">
        <v>1.0</v>
      </c>
      <c r="P23" s="241">
        <f>mround('WEEK 31'!Q21*0.35,5)</f>
        <v>0</v>
      </c>
      <c r="Q23" s="63">
        <v>6.0</v>
      </c>
      <c r="R23" s="83" t="s">
        <v>127</v>
      </c>
      <c r="S23" s="84" t="str">
        <f>IF('WEEK 28'!P22='WEEK 31'!Q23,'WEEK 28'!T22,"")</f>
        <v/>
      </c>
      <c r="T23" s="85">
        <v>6.0</v>
      </c>
    </row>
    <row r="24">
      <c r="A24" s="236">
        <v>2.0</v>
      </c>
      <c r="B24" s="237">
        <f>mround('WEEK 31'!B21*0.8,5)</f>
        <v>210</v>
      </c>
      <c r="C24" s="237">
        <v>1.0</v>
      </c>
      <c r="D24" s="238" t="s">
        <v>121</v>
      </c>
      <c r="E24" s="84" t="str">
        <f>IF('WEEK 28'!B23='WEEK 31'!B24,'WEEK 28'!F23,"")</f>
        <v/>
      </c>
      <c r="F24" s="67">
        <v>1.0</v>
      </c>
      <c r="G24" s="1129" t="s">
        <v>191</v>
      </c>
      <c r="H24" s="240">
        <v>2.0</v>
      </c>
      <c r="I24" s="241">
        <f>mround('WEEK 31'!J21*0.65,5)</f>
        <v>60</v>
      </c>
      <c r="J24" s="241">
        <v>1.0</v>
      </c>
      <c r="K24" s="83" t="s">
        <v>127</v>
      </c>
      <c r="L24" s="84" t="str">
        <f>IF('WEEK 28'!I23='WEEK 31'!J24,'WEEK 28'!M23,"")</f>
        <v/>
      </c>
      <c r="M24" s="85"/>
      <c r="O24" s="240">
        <v>2.0</v>
      </c>
      <c r="P24" s="241">
        <f>mround('WEEK 31'!Q21*0.65,5)</f>
        <v>0</v>
      </c>
      <c r="Q24" s="241">
        <v>1.0</v>
      </c>
      <c r="R24" s="83" t="s">
        <v>127</v>
      </c>
      <c r="S24" s="84" t="str">
        <f>IF('WEEK 28'!P23='WEEK 31'!Q24,'WEEK 28'!T23,"")</f>
        <v/>
      </c>
      <c r="T24" s="85">
        <v>1.0</v>
      </c>
    </row>
    <row r="25">
      <c r="A25" s="242">
        <v>3.0</v>
      </c>
      <c r="B25" s="237">
        <f>mround('WEEK 31'!B21*0.9,5)</f>
        <v>240</v>
      </c>
      <c r="C25" s="82">
        <v>1.0</v>
      </c>
      <c r="D25" s="238" t="s">
        <v>121</v>
      </c>
      <c r="E25" s="84" t="str">
        <f>IF('WEEK 28'!B24='WEEK 31'!B25,'WEEK 28'!F24,"")</f>
        <v/>
      </c>
      <c r="F25" s="67">
        <v>1.0</v>
      </c>
      <c r="H25" s="240">
        <v>3.0</v>
      </c>
      <c r="I25" s="241">
        <f>mround('WEEK 31'!J21*0.85,5)</f>
        <v>80</v>
      </c>
      <c r="J25" s="63">
        <v>1.0</v>
      </c>
      <c r="K25" s="83" t="s">
        <v>127</v>
      </c>
      <c r="L25" s="84" t="str">
        <f>IF('WEEK 28'!I24='WEEK 31'!J25,'WEEK 28'!M24,"")</f>
        <v/>
      </c>
      <c r="M25" s="85"/>
      <c r="O25" s="240">
        <v>3.0</v>
      </c>
      <c r="P25" s="241">
        <f>mround('WEEK 31'!Q21*0.85,5)</f>
        <v>0</v>
      </c>
      <c r="Q25" s="241">
        <v>1.0</v>
      </c>
      <c r="R25" s="83" t="s">
        <v>127</v>
      </c>
      <c r="S25" s="84" t="str">
        <f>IF('WEEK 28'!P24='WEEK 31'!Q25,'WEEK 28'!T24,"")</f>
        <v/>
      </c>
      <c r="T25" s="85">
        <v>1.0</v>
      </c>
    </row>
    <row r="26">
      <c r="A26" s="243">
        <v>4.0</v>
      </c>
      <c r="B26" s="237">
        <f>'WEEK 31'!B21</f>
        <v>265</v>
      </c>
      <c r="C26" s="175">
        <v>1.0</v>
      </c>
      <c r="D26" s="238" t="s">
        <v>122</v>
      </c>
      <c r="E26" s="84" t="str">
        <f>IF('WEEK 28'!B25='WEEK 31'!B26,'WEEK 28'!F25,"")</f>
        <v/>
      </c>
      <c r="F26" s="67">
        <v>1.0</v>
      </c>
      <c r="H26" s="240">
        <v>4.0</v>
      </c>
      <c r="I26" s="241">
        <f>mround('WEEK 31'!J21*1,5)</f>
        <v>95</v>
      </c>
      <c r="J26" s="245" t="s">
        <v>65</v>
      </c>
      <c r="K26" s="83" t="s">
        <v>127</v>
      </c>
      <c r="L26" s="84" t="str">
        <f>IF('WEEK 28'!I25='WEEK 31'!J26,'WEEK 28'!M25,"")</f>
        <v/>
      </c>
      <c r="M26" s="85"/>
      <c r="O26" s="240">
        <v>4.0</v>
      </c>
      <c r="P26" s="241">
        <f>mround('WEEK 31'!Q21*1,5)</f>
        <v>0</v>
      </c>
      <c r="Q26" s="245" t="s">
        <v>65</v>
      </c>
      <c r="R26" s="83" t="s">
        <v>127</v>
      </c>
      <c r="S26" s="84" t="str">
        <f>IF('WEEK 28'!P25='WEEK 31'!Q26,'WEEK 28'!T25,"")</f>
        <v/>
      </c>
      <c r="T26" s="85">
        <v>1.0</v>
      </c>
    </row>
    <row r="27">
      <c r="A27" s="246" t="str">
        <f>IF('WEEK 31'!F26&lt;1,"PROCEED TO DOWN SETS","NEW 1 REP MAX ATTEMPT")</f>
        <v>PROCEED TO DOWN SETS</v>
      </c>
      <c r="B27" s="20"/>
      <c r="C27" s="20"/>
      <c r="D27" s="20"/>
      <c r="E27" s="20"/>
      <c r="F27" s="95"/>
      <c r="H27" s="248" t="str">
        <f>IF(OR(ISBLANK('WEEK 31'!N26),ISBLANK('WEEK 31'!N25),ISBLANK('WEEK 31'!N24)),"PROCEED TO DOWNSETS",if('WEEK 31'!N26&gt;=6,"NEW 4 REP MAX ATTEMPT","PROCEED TO DOWN SETS"))</f>
        <v>PROCEED TO DOWN SETS</v>
      </c>
      <c r="M27" s="28"/>
      <c r="N27" s="247" t="s">
        <v>123</v>
      </c>
      <c r="O27" s="248" t="str">
        <f>IF(OR(ISBLANK('WEEK 31'!U26),ISBLANK('WEEK 31'!U25),ISBLANK('WEEK 31'!U24)),"PROCEED TO DOWNSETS",if('WEEK 31'!U26&gt;=6,"NEW 4 REP MAX ATTEMPT","PROCEED TO DOWN SETS"))</f>
        <v>PROCEED TO DOWNSETS</v>
      </c>
      <c r="T27" s="28"/>
    </row>
    <row r="28">
      <c r="A28" s="249" t="str">
        <f>if('WEEK 31'!F26&lt;1,"",5)</f>
        <v/>
      </c>
      <c r="B28" s="175" t="str">
        <f>IF('WEEK 31'!F26&lt;1,"",'WEEK 31'!B26+5)</f>
        <v/>
      </c>
      <c r="C28" s="238" t="str">
        <f>if('WEEK 31'!F26&lt;1,"",1)</f>
        <v/>
      </c>
      <c r="D28" s="238" t="str">
        <f>if('WEEK 31'!F26&lt;1,"","1-5 MIN")</f>
        <v/>
      </c>
      <c r="E28" s="84" t="str">
        <f>IF('WEEK 28'!B27='WEEK 31'!B28,'WEEK 28'!F27,"")</f>
        <v/>
      </c>
      <c r="F28" s="67"/>
      <c r="H28" s="251" t="str">
        <f>IF(OR(ISBLANK('WEEK 31'!N26),ISBLANK('WEEK 31'!N25),ISBLANK('WEEK 31'!N24)),"",IF('WEEK 31'!N26&gt;=6,5,""))</f>
        <v/>
      </c>
      <c r="I28" s="252" t="str">
        <f>IF(OR(ISBLANK('WEEK 31'!N26),ISBLANK('WEEK 31'!N25),ISBLANK('WEEK 31'!N24)),"",IF('WEEK 31'!N26&gt;=6,'WEEK 31'!J21+5,""))</f>
        <v/>
      </c>
      <c r="J28" s="253" t="str">
        <f>IF(OR(ISBLANK('WEEK 31'!N26),ISBLANK('WEEK 31'!N25),ISBLANK('WEEK 31'!N24)),"",IF('WEEK 31'!N26&gt;=6,"REP OUT",""))</f>
        <v/>
      </c>
      <c r="K28" s="254" t="str">
        <f>IF(OR(ISBLANK('WEEK 31'!N26),ISBLANK('WEEK 31'!N25),ISBLANK('WEEK 31'!N24)),"",IF('WEEK 31'!N26&gt;5,"1-3 MIN",""))</f>
        <v/>
      </c>
      <c r="L28" s="84" t="str">
        <f>IF('WEEK 28'!I27='WEEK 31'!J28,'WEEK 28'!M27,"")</f>
        <v/>
      </c>
      <c r="M28" s="67"/>
      <c r="O28" s="251" t="str">
        <f>IF(OR(ISBLANK('WEEK 31'!U26),ISBLANK('WEEK 31'!U25),ISBLANK('WEEK 31'!U24)),"",IF('WEEK 31'!U26&gt;=6,5,""))</f>
        <v/>
      </c>
      <c r="P28" s="252" t="str">
        <f>IF(OR(ISBLANK('WEEK 31'!U26),ISBLANK('WEEK 31'!U25),ISBLANK('WEEK 31'!U24)),"",IF('WEEK 31'!U26&gt;=6,'WEEK 31'!Q21+5,""))</f>
        <v/>
      </c>
      <c r="Q28" s="253" t="str">
        <f>IF(OR(ISBLANK('WEEK 31'!U26),ISBLANK('WEEK 31'!U25),ISBLANK('WEEK 31'!U24)),"",IF('WEEK 31'!U26&gt;=6,"REP OUT",""))</f>
        <v/>
      </c>
      <c r="R28" s="254" t="str">
        <f>IF(OR(ISBLANK('WEEK 31'!U26),ISBLANK('WEEK 31'!U25),ISBLANK('WEEK 31'!U24)),"",IF('WEEK 31'!U26&gt;5,"1-3 MIN",""))</f>
        <v/>
      </c>
      <c r="S28" s="84" t="str">
        <f>IF('WEEK 28'!P27='WEEK 31'!Q28,'WEEK 28'!T27,"")</f>
        <v/>
      </c>
      <c r="T28" s="665">
        <v>5.0</v>
      </c>
    </row>
    <row r="29">
      <c r="A29" s="256" t="str">
        <f>IF('WEEK 31'!F28&lt;1,"","6")</f>
        <v/>
      </c>
      <c r="B29" s="237" t="str">
        <f>IF('WEEK 31'!F28&lt;1,"",'WEEK 31'!B28+5)</f>
        <v/>
      </c>
      <c r="C29" s="257" t="str">
        <f>IF('WEEK 31'!F28&lt;1,"","1")</f>
        <v/>
      </c>
      <c r="D29" s="257" t="str">
        <f>IF('WEEK 31'!F28&lt;1,"","1-5 MIN")</f>
        <v/>
      </c>
      <c r="E29" s="84" t="str">
        <f>IF('WEEK 28'!B28='WEEK 31'!B29,'WEEK 28'!F28,"")</f>
        <v/>
      </c>
      <c r="F29" s="67"/>
      <c r="H29" s="260" t="str">
        <f>IF(OR(ISBLANK('WEEK 31'!N26),ISBLANK('WEEK 31'!N25),ISBLANK('WEEK 31'!N24)),"FILL OUT REP LOG FIRST","DOWN SETS")</f>
        <v>DOWN SETS</v>
      </c>
      <c r="I29" s="16"/>
      <c r="J29" s="16"/>
      <c r="K29" s="16"/>
      <c r="L29" s="16"/>
      <c r="M29" s="230"/>
      <c r="N29" s="141"/>
      <c r="O29" s="260" t="str">
        <f>IF(OR(ISBLANK('WEEK 31'!U26),ISBLANK('WEEK 31'!U25),ISBLANK('WEEK 31'!U24)),"FILL OUT REP LOG FIRST","DOWN SETS")</f>
        <v>FILL OUT REP LOG FIRST</v>
      </c>
      <c r="P29" s="16"/>
      <c r="Q29" s="16"/>
      <c r="R29" s="16"/>
      <c r="S29" s="16"/>
      <c r="T29" s="230"/>
    </row>
    <row r="30">
      <c r="A30" s="246" t="str">
        <f>IF(OR(ISBLANK('WEEK 31'!F26),ISBLANK('WEEK 31'!F25),ISBLANK('WEEK 31'!F24)),"FILL OUT REP LOG FOR DOWN SETS","DOWN SETS")</f>
        <v>FILL OUT REP LOG FOR DOWN SETS</v>
      </c>
      <c r="B30" s="20"/>
      <c r="C30" s="20"/>
      <c r="D30" s="20"/>
      <c r="E30" s="20"/>
      <c r="F30" s="95"/>
      <c r="H30" s="91">
        <f>IF('WEEK 31'!N28&gt;=4,"",IF(OR(ISBLANK('WEEK 31'!N26),ISBLANK('WEEK 31'!N25),ISBLANK('WEEK 31'!N24)),"",IF('WEEK 31'!N26&gt;5,6,5)))</f>
        <v>5</v>
      </c>
      <c r="I30" s="261">
        <f>IF('WEEK 31'!N28&gt;=4,"",IF(OR(ISBLANK('WEEK 31'!N26),ISBLANK('WEEK 31'!N25),ISBLANK('WEEK 31'!N24)),"",IF('WEEK 31'!N26&lt;6,mround('WEEK 31'!J21*0.8,5),IF('WEEK 31'!N26&lt;10,mround('WEEK 31'!J21*0.93,5),mround('WEEK 31'!J21*0.7,5)))))</f>
        <v>75</v>
      </c>
      <c r="J30" s="262" t="str">
        <f>IF('WEEK 31'!N28&gt;=4,"",IF(OR(ISBLANK('WEEK 31'!N26),ISBLANK('WEEK 31'!N25),ISBLANK('WEEK 31'!N24)),"","REP OUT"))</f>
        <v>REP OUT</v>
      </c>
      <c r="K30" s="65" t="str">
        <f>IF('WEEK 31'!N28&gt;=4,"",IF(OR(ISBLANK('WEEK 31'!N26),ISBLANK('WEEK 31'!N25),ISBLANK('WEEK 31'!N24)),"","1-3 MIN"))</f>
        <v>1-3 MIN</v>
      </c>
      <c r="L30" s="84" t="str">
        <f>IF('WEEK 28'!I29='WEEK 31'!J30,'WEEK 28'!M29,"")</f>
        <v/>
      </c>
      <c r="M30" s="263"/>
      <c r="O30" s="91" t="str">
        <f>IF('WEEK 31'!U28&gt;=4,"",IF(OR(ISBLANK('WEEK 31'!U26),ISBLANK('WEEK 31'!U25),ISBLANK('WEEK 31'!U24)),"",IF('WEEK 31'!U26&gt;5,6,5)))</f>
        <v/>
      </c>
      <c r="P30" s="261" t="str">
        <f>IF('WEEK 31'!U28&gt;=4,"",IF(OR(ISBLANK('WEEK 31'!U26),ISBLANK('WEEK 31'!U25),ISBLANK('WEEK 31'!U24)),"",IF('WEEK 31'!U26&lt;6,mround('WEEK 31'!Q21*0.8,5),IF('WEEK 31'!U26&lt;10,mround('WEEK 31'!Q21*0.93,5),mround('WEEK 31'!Q21*0.7,5)))))</f>
        <v/>
      </c>
      <c r="Q30" s="262" t="str">
        <f>IF('WEEK 31'!U28&gt;=4,"",IF(OR(ISBLANK('WEEK 31'!U26),ISBLANK('WEEK 31'!U25),ISBLANK('WEEK 31'!U24)),"","REP OUT"))</f>
        <v/>
      </c>
      <c r="R30" s="65" t="str">
        <f>IF('WEEK 31'!U28&gt;=4,"",IF(OR(ISBLANK('WEEK 31'!U26),ISBLANK('WEEK 31'!U25),ISBLANK('WEEK 31'!U24)),"","1-3 MIN"))</f>
        <v/>
      </c>
      <c r="S30" s="84" t="str">
        <f>IF('WEEK 28'!P29='WEEK 31'!Q30,'WEEK 28'!T29,"")</f>
        <v/>
      </c>
      <c r="T30" s="263"/>
    </row>
    <row r="31">
      <c r="A31" s="264" t="str">
        <f>IF(OR(ISBLANK('WEEK 31'!F26),ISBLANK('WEEK 31'!F25),ISBLANK('WEEK 31'!F24)),"",IF((AND('WEEK 31'!A28="",'WEEK 31'!A29="")),5,IF((AND('WEEK 31'!A28&gt;1,'WEEK 31'!A29="")),6,7)))</f>
        <v/>
      </c>
      <c r="B31" s="265" t="str">
        <f>IF(OR(ISBLANK('WEEK 31'!F26),ISBLANK('WEEK 31'!F25),ISBLANK('WEEK 31'!F24)),"",MROUND('WEEK 31'!B33*0.9,5))</f>
        <v/>
      </c>
      <c r="C31" s="266" t="str">
        <f>IF(OR(ISBLANK('WEEK 31'!F26),ISBLANK('WEEK 31'!F25),ISBLANK('WEEK 31'!F24)),"","REP OUT")</f>
        <v/>
      </c>
      <c r="D31" s="267" t="str">
        <f>IF(OR(ISBLANK('WEEK 31'!F26),ISBLANK('WEEK 31'!F25),ISBLANK('WEEK 31'!F24)),"","1-3 MIN")</f>
        <v/>
      </c>
      <c r="E31" s="84" t="str">
        <f>IF('WEEK 28'!B30='WEEK 31'!B31,'WEEK 28'!F30,"")</f>
        <v/>
      </c>
      <c r="F31" s="67"/>
      <c r="H31" s="269">
        <f>IF('WEEK 31'!N28&gt;=4,"",IF(OR(ISBLANK('WEEK 31'!N26),ISBLANK('WEEK 31'!N25),ISBLANK('WEEK 31'!N24)),"",IF('WEEK 31'!N26&gt;5,7,6)))</f>
        <v>6</v>
      </c>
      <c r="I31" s="254">
        <f>IF('WEEK 31'!N28&gt;=4,"",IF(OR(ISBLANK('WEEK 31'!N26),ISBLANK('WEEK 31'!N25),ISBLANK('WEEK 31'!N24)),"",IF('WEEK 31'!N26&lt;6,mround('WEEK 31'!J21*0.65,5),IF('WEEK 31'!N26&lt;10,mround('WEEK 31'!J21*0.7,5),mround('WEEK 31'!J21*0.65,5)))))</f>
        <v>60</v>
      </c>
      <c r="J31" s="253" t="str">
        <f>IF('WEEK 31'!N28&gt;=4,"",IF(OR(ISBLANK('WEEK 31'!N26),ISBLANK('WEEK 31'!N25),ISBLANK('WEEK 31'!N24)),"","REP OUT"))</f>
        <v>REP OUT</v>
      </c>
      <c r="K31" s="65" t="str">
        <f>IF('WEEK 31'!N28&gt;=4,"",IF(OR(ISBLANK('WEEK 31'!N26),ISBLANK('WEEK 31'!N25),ISBLANK('WEEK 31'!N24)),"","1-3 MIN"))</f>
        <v>1-3 MIN</v>
      </c>
      <c r="L31" s="84" t="str">
        <f>IF('WEEK 28'!I30='WEEK 31'!J31,'WEEK 28'!M30,"")</f>
        <v/>
      </c>
      <c r="M31" s="270"/>
      <c r="O31" s="269" t="str">
        <f>IF('WEEK 31'!U28&gt;=4,"",IF(OR(ISBLANK('WEEK 31'!U26),ISBLANK('WEEK 31'!U25),ISBLANK('WEEK 31'!U24)),"",IF('WEEK 31'!U26&gt;5,7,6)))</f>
        <v/>
      </c>
      <c r="P31" s="254" t="str">
        <f>IF('WEEK 31'!U28&gt;=4,"",IF(OR(ISBLANK('WEEK 31'!U26),ISBLANK('WEEK 31'!U25),ISBLANK('WEEK 31'!U24)),"",IF('WEEK 31'!U26&lt;6,mround('WEEK 31'!Q21*0.65,5),IF('WEEK 31'!U26&lt;10,mround('WEEK 31'!Q21*0.7,5),mround('WEEK 31'!Q21*0.65,5)))))</f>
        <v/>
      </c>
      <c r="Q31" s="253" t="str">
        <f>IF('WEEK 31'!U28&gt;=4,"",IF(OR(ISBLANK('WEEK 31'!U26),ISBLANK('WEEK 31'!U25),ISBLANK('WEEK 31'!U24)),"","REP OUT"))</f>
        <v/>
      </c>
      <c r="R31" s="65" t="str">
        <f>IF('WEEK 31'!U28&gt;=4,"",IF(OR(ISBLANK('WEEK 31'!U26),ISBLANK('WEEK 31'!U25),ISBLANK('WEEK 31'!U24)),"","1 MIN"))</f>
        <v/>
      </c>
      <c r="S31" s="84" t="str">
        <f>IF('WEEK 28'!P30='WEEK 31'!Q31,'WEEK 28'!T30,"")</f>
        <v/>
      </c>
      <c r="T31" s="270"/>
    </row>
    <row r="32">
      <c r="A32" s="243" t="str">
        <f>IF(OR(ISBLANK('WEEK 31'!F26),ISBLANK('WEEK 31'!F25),ISBLANK('WEEK 31'!F24)),"",IF((AND('WEEK 31'!A28="",'WEEK 31'!A29="")),6,IF((AND('WEEK 31'!A28&gt;1,'WEEK 31'!A29="")),7,8)))</f>
        <v/>
      </c>
      <c r="B32" s="237" t="str">
        <f>IF(OR(ISBLANK('WEEK 31'!F26),ISBLANK('WEEK 31'!F25),ISBLANK('WEEK 31'!F24)),"",mround('WEEK 31'!B33*0.78,5))</f>
        <v/>
      </c>
      <c r="C32" s="245" t="str">
        <f>IF(OR(ISBLANK('WEEK 31'!F26),ISBLANK('WEEK 31'!F25),ISBLANK('WEEK 31'!F24)),"","REP OUT")</f>
        <v/>
      </c>
      <c r="D32" s="65" t="str">
        <f>IF(OR(ISBLANK('WEEK 31'!F26),ISBLANK('WEEK 31'!F25),ISBLANK('WEEK 31'!F24)),"","1-3 MIN")</f>
        <v/>
      </c>
      <c r="E32" s="84" t="str">
        <f>IF('WEEK 28'!B31='WEEK 31'!B32,'WEEK 28'!F31,"")</f>
        <v/>
      </c>
      <c r="F32" s="271"/>
      <c r="H32" s="269" t="str">
        <f>IF('WEEK 31'!N28&lt;4,"",IF(OR(ISBLANK('WEEK 31'!N26),ISBLANK('WEEK 31'!N25),ISBLANK('WEEK 31'!N24)),"",IF('WEEK 31'!N28&gt;3,6,5)))</f>
        <v/>
      </c>
      <c r="I32" s="254" t="str">
        <f>IF('WEEK 31'!N28&lt;4,"",IF(OR(ISBLANK('WEEK 31'!N26),ISBLANK('WEEK 31'!N25),ISBLANK('WEEK 31'!N24)),"",IF('WEEK 31'!N28&lt;6,mround('WEEK 31'!J34*0.7,5),IF('WEEK 31'!N28&lt;10,mround('WEEK 31'!J34*0.8,5),mround(I34*0.93,5)))))</f>
        <v/>
      </c>
      <c r="J32" s="253" t="str">
        <f>IF('WEEK 31'!N28&lt;4,"",IF(OR(ISBLANK('WEEK 31'!N26),ISBLANK('WEEK 31'!N25),ISBLANK('WEEK 31'!N24)),"","REP OUT"))</f>
        <v/>
      </c>
      <c r="K32" s="65" t="str">
        <f>IF('WEEK 31'!N28&lt;4,"",IF(OR(ISBLANK('WEEK 31'!N26),ISBLANK('WEEK 31'!N25),ISBLANK('WEEK 31'!N24)),"","1-3 MIN"))</f>
        <v/>
      </c>
      <c r="L32" s="84" t="str">
        <f>IF('WEEK 28'!I31='WEEK 31'!J32,'WEEK 28'!M31,"")</f>
        <v/>
      </c>
      <c r="M32" s="270"/>
      <c r="N32" s="141"/>
      <c r="O32" s="269" t="str">
        <f>IF('WEEK 31'!U28&lt;4,"",IF(OR(ISBLANK('WEEK 31'!U26),ISBLANK('WEEK 31'!U25),ISBLANK('WEEK 31'!U24)),"",IF('WEEK 31'!U28&gt;3,6,5)))</f>
        <v/>
      </c>
      <c r="P32" s="254" t="str">
        <f>IF('WEEK 31'!U28&lt;4,"",IF(OR(ISBLANK('WEEK 31'!U26),ISBLANK('WEEK 31'!U25),ISBLANK('WEEK 31'!U24)),"",IF('WEEK 31'!U28&lt;6,mround('WEEK 31'!Q34*0.7,5),IF('WEEK 31'!U28&lt;10,mround('WEEK 31'!Q34*0.8,5),mround(P34*0.93,5)))))</f>
        <v/>
      </c>
      <c r="Q32" s="253" t="str">
        <f>IF('WEEK 31'!U28&lt;4,"",IF(OR(ISBLANK('WEEK 31'!U26),ISBLANK('WEEK 31'!U25),ISBLANK('WEEK 31'!U24)),"","REP OUT"))</f>
        <v/>
      </c>
      <c r="R32" s="65" t="str">
        <f>IF('WEEK 31'!U28&lt;4,"",IF(OR(ISBLANK('WEEK 31'!U26),ISBLANK('WEEK 31'!U25),ISBLANK('WEEK 31'!U24)),"","1-3 MIN"))</f>
        <v/>
      </c>
      <c r="S32" s="84" t="str">
        <f>IF('WEEK 28'!P31='WEEK 31'!Q32,'WEEK 28'!T31,"")</f>
        <v/>
      </c>
      <c r="T32" s="263">
        <v>15.0</v>
      </c>
    </row>
    <row r="33">
      <c r="A33" s="272" t="s">
        <v>124</v>
      </c>
      <c r="B33" s="273" t="str">
        <f>IF(OR(ISBLANK('WEEK 31'!F26),ISBLANK('WEEK 31'!F25),ISBLANK('WEEK 31'!F24)),"",IF('WEEK 31'!F29&gt;=1,'WEEK 31'!B29,IF('WEEK 31'!F28&gt;=1,'WEEK 31'!B28,IF('WEEK 31'!F26&lt;1,'WEEK 31'!B26-5,'WEEK 31'!B26))))</f>
        <v/>
      </c>
      <c r="C33" s="11"/>
      <c r="D33" s="11"/>
      <c r="E33" s="11"/>
      <c r="F33" s="46"/>
      <c r="H33" s="269" t="str">
        <f>IF('WEEK 31'!N28&lt;4,"",IF(OR(ISBLANK('WEEK 31'!N26),ISBLANK('WEEK 31'!N25),ISBLANK('WEEK 31'!N24)),"",IF('WEEK 31'!N28&gt;3,7,"")))</f>
        <v/>
      </c>
      <c r="I33" s="254" t="str">
        <f>IF('WEEK 31'!N28&lt;4,"",IF(OR(ISBLANK('WEEK 31'!N26),ISBLANK('WEEK 31'!N25),ISBLANK('WEEK 31'!N24)),"",IF('WEEK 31'!N28&lt;6,mround('WEEK 31'!J34*0.65,5),IF('WEEK 31'!N28&lt;10,mround('WEEK 31'!J34*0.7,5),mround(I34*0.75,5)))))</f>
        <v/>
      </c>
      <c r="J33" s="253" t="str">
        <f>IF('WEEK 31'!N28&lt;4,"",IF(OR(ISBLANK('WEEK 31'!N26),ISBLANK('WEEK 31'!N25),ISBLANK('WEEK 31'!N24)),"","REP OUT"))</f>
        <v/>
      </c>
      <c r="K33" s="65" t="str">
        <f>IF('WEEK 31'!N28&lt;4,"",IF(OR(ISBLANK('WEEK 31'!N26),ISBLANK('WEEK 31'!N25),ISBLANK('WEEK 31'!N24)),"","1-3 MIN"))</f>
        <v/>
      </c>
      <c r="L33" s="84" t="str">
        <f>IF('WEEK 28'!I32='WEEK 31'!J33,'WEEK 28'!M32,"")</f>
        <v/>
      </c>
      <c r="M33" s="270"/>
      <c r="N33" s="141"/>
      <c r="O33" s="269" t="str">
        <f>IF('WEEK 31'!U28&lt;4,"",IF(OR(ISBLANK('WEEK 31'!U26),ISBLANK('WEEK 31'!U25),ISBLANK('WEEK 31'!U24)),"",IF('WEEK 31'!U28&gt;3,7,"")))</f>
        <v/>
      </c>
      <c r="P33" s="254" t="str">
        <f>IF('WEEK 31'!U28&lt;4,"",IF(OR(ISBLANK('WEEK 31'!U26),ISBLANK('WEEK 31'!U25),ISBLANK('WEEK 31'!U24)),"",IF('WEEK 31'!U28&lt;6,mround('WEEK 31'!Q34*0.65,5),IF('WEEK 31'!U28&lt;10,mround('WEEK 31'!Q34*0.7,5),mround(P34*0.75,5)))))</f>
        <v/>
      </c>
      <c r="Q33" s="253" t="str">
        <f>IF('WEEK 31'!U28&lt;4,"",IF(OR(ISBLANK('WEEK 31'!U26),ISBLANK('WEEK 31'!U25),ISBLANK('WEEK 31'!U24)),"","REP OUT"))</f>
        <v/>
      </c>
      <c r="R33" s="65" t="str">
        <f>IF('WEEK 31'!U28&lt;4,"",IF(OR(ISBLANK('WEEK 31'!U26),ISBLANK('WEEK 31'!U25),ISBLANK('WEEK 31'!U24)),"","1-3 MIN"))</f>
        <v/>
      </c>
      <c r="S33" s="84" t="str">
        <f>IF('WEEK 28'!P32='WEEK 31'!Q33,'WEEK 28'!T32,"")</f>
        <v/>
      </c>
      <c r="T33" s="263">
        <v>15.0</v>
      </c>
    </row>
    <row r="34">
      <c r="H34" s="280" t="s">
        <v>124</v>
      </c>
      <c r="I34" s="273">
        <f>IF(OR(ISBLANK('WEEK 31'!N24),ISBLANK('WEEK 31'!N25),ISBLANK('WEEK 31'!N26)),"",IF('WEEK 31'!N28&gt;=4,'WEEK 31'!J28,IF('WEEK 31'!N26&lt;=3,'WEEK 31'!J26-5,'WEEK 31'!J26)))</f>
        <v>90</v>
      </c>
      <c r="J34" s="11"/>
      <c r="K34" s="11"/>
      <c r="L34" s="11"/>
      <c r="M34" s="46"/>
      <c r="N34" s="141"/>
      <c r="O34" s="280" t="s">
        <v>124</v>
      </c>
      <c r="P34" s="273" t="str">
        <f>IF(OR(ISBLANK('WEEK 31'!U24),ISBLANK('WEEK 31'!U25),ISBLANK('WEEK 31'!U26)),"",IF('WEEK 31'!U28&gt;=4,'WEEK 31'!Q28,IF('WEEK 31'!U26&lt;=3,'WEEK 31'!Q26-5,'WEEK 31'!Q26)))</f>
        <v/>
      </c>
      <c r="Q34" s="11"/>
      <c r="R34" s="11"/>
      <c r="S34" s="11"/>
      <c r="T34" s="46"/>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153</v>
      </c>
      <c r="B38" s="548">
        <f>IF('WEEK 31'!J34="",'WEEK 29'!B34,'WEEK 31'!J34)</f>
        <v>90</v>
      </c>
      <c r="C38" s="13"/>
      <c r="D38" s="13"/>
      <c r="E38" s="13"/>
      <c r="F38" s="57"/>
      <c r="H38" s="226" t="s">
        <v>119</v>
      </c>
      <c r="I38" s="548">
        <f>'WEEK 31'!B38</f>
        <v>90</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31'!B38*0.29,2.5)</f>
        <v>25</v>
      </c>
      <c r="C40" s="241">
        <v>15.0</v>
      </c>
      <c r="D40" s="83" t="s">
        <v>127</v>
      </c>
      <c r="E40" s="84" t="str">
        <f>IF('WEEK 30'!P35='WEEK 31'!B40,'WEEK 30'!F35,"")</f>
        <v/>
      </c>
      <c r="F40" s="85"/>
      <c r="H40" s="240">
        <v>1.0</v>
      </c>
      <c r="I40" s="254">
        <f>mround('WEEK 31'!J38*2*0.75,10)</f>
        <v>140</v>
      </c>
      <c r="J40" s="241">
        <v>15.0</v>
      </c>
      <c r="K40" s="83" t="s">
        <v>127</v>
      </c>
      <c r="L40" s="84" t="str">
        <f>IF('WEEK 30'!I35='WEEK 31'!J40,'WEEK 30'!M35,"")</f>
        <v/>
      </c>
      <c r="M40" s="85"/>
    </row>
    <row r="41">
      <c r="A41" s="661">
        <v>2.0</v>
      </c>
      <c r="B41" s="662">
        <f>mround('WEEK 31'!B38*0.29,2.5)</f>
        <v>25</v>
      </c>
      <c r="C41" s="662">
        <v>15.0</v>
      </c>
      <c r="D41" s="88" t="s">
        <v>127</v>
      </c>
      <c r="E41" s="89" t="str">
        <f>IF('WEEK 30'!P36='WEEK 31'!B41,'WEEK 30'!F36,"")</f>
        <v/>
      </c>
      <c r="F41" s="85"/>
      <c r="H41" s="661">
        <v>2.0</v>
      </c>
      <c r="I41" s="662">
        <f>mround('WEEK 31'!J38*2*0.75,10)</f>
        <v>140</v>
      </c>
      <c r="J41" s="662">
        <v>15.0</v>
      </c>
      <c r="K41" s="88" t="s">
        <v>127</v>
      </c>
      <c r="L41" s="84" t="str">
        <f>IF('WEEK 30'!I36='WEEK 31'!J41,'WEEK 30'!M36,"")</f>
        <v/>
      </c>
      <c r="M41" s="85"/>
    </row>
    <row r="44">
      <c r="A44" s="73" t="str">
        <f>HYPERLINK("https://youtu.be/hMUUvL3FlkE","3. MACHINE HIGH ROW")</f>
        <v>3. MACHINE HIGH ROW</v>
      </c>
      <c r="B44" s="53"/>
      <c r="C44" s="53"/>
      <c r="D44" s="53"/>
      <c r="E44" s="53"/>
      <c r="F44" s="54"/>
    </row>
    <row r="45">
      <c r="A45" s="226" t="s">
        <v>119</v>
      </c>
      <c r="B45" s="227">
        <f>'WEEK 30'!B55</f>
        <v>170</v>
      </c>
      <c r="C45" s="20"/>
      <c r="D45" s="20"/>
      <c r="E45" s="20"/>
      <c r="F45" s="95"/>
    </row>
    <row r="46">
      <c r="A46" s="231" t="s">
        <v>50</v>
      </c>
      <c r="B46" s="232" t="s">
        <v>51</v>
      </c>
      <c r="C46" s="232" t="s">
        <v>52</v>
      </c>
      <c r="D46" s="232" t="s">
        <v>53</v>
      </c>
      <c r="E46" s="233" t="s">
        <v>54</v>
      </c>
      <c r="F46" s="61" t="s">
        <v>55</v>
      </c>
    </row>
    <row r="47">
      <c r="A47" s="236">
        <v>1.0</v>
      </c>
      <c r="B47" s="237">
        <f>mround('WEEK 31'!B45*0.35,5)</f>
        <v>60</v>
      </c>
      <c r="C47" s="237">
        <v>6.0</v>
      </c>
      <c r="D47" s="238" t="s">
        <v>120</v>
      </c>
      <c r="E47" s="84" t="str">
        <f>IF('WEEK 27'!B42='WEEK 31'!B47,'WEEK 27'!F42,"")</f>
        <v/>
      </c>
      <c r="F47" s="67"/>
    </row>
    <row r="48">
      <c r="A48" s="236">
        <v>2.0</v>
      </c>
      <c r="B48" s="237">
        <f>mround('WEEK 31'!B45*0.65,5)</f>
        <v>110</v>
      </c>
      <c r="C48" s="238">
        <v>3.0</v>
      </c>
      <c r="D48" s="238" t="s">
        <v>121</v>
      </c>
      <c r="E48" s="84" t="str">
        <f>IF('WEEK 27'!B43='WEEK 31'!B48,'WEEK 27'!F43,"")</f>
        <v/>
      </c>
      <c r="F48" s="67"/>
    </row>
    <row r="49">
      <c r="A49" s="242">
        <v>3.0</v>
      </c>
      <c r="B49" s="237">
        <f>mround('WEEK 31'!B45*0.9,5)</f>
        <v>155</v>
      </c>
      <c r="C49" s="63">
        <v>2.0</v>
      </c>
      <c r="D49" s="238" t="s">
        <v>121</v>
      </c>
      <c r="E49" s="84" t="str">
        <f>IF('WEEK 27'!B44='WEEK 31'!B49,'WEEK 27'!F44,"")</f>
        <v/>
      </c>
      <c r="F49" s="67"/>
    </row>
    <row r="50">
      <c r="A50" s="243">
        <v>4.0</v>
      </c>
      <c r="B50" s="237">
        <f>'WEEK 31'!B45</f>
        <v>170</v>
      </c>
      <c r="C50" s="257">
        <v>3.0</v>
      </c>
      <c r="D50" s="238" t="s">
        <v>122</v>
      </c>
      <c r="E50" s="84" t="str">
        <f>IF('WEEK 27'!B45='WEEK 31'!B50,'WEEK 27'!F45,"")</f>
        <v/>
      </c>
      <c r="F50" s="67"/>
    </row>
    <row r="51">
      <c r="A51" s="246" t="str">
        <f>IF('WEEK 31'!F50&lt;3,"PROCEED TO DOWN SETS","NEW 4 REP MAX ATTEMPT")</f>
        <v>NEW 4 REP MAX ATTEMPT</v>
      </c>
      <c r="B51" s="20"/>
      <c r="C51" s="20"/>
      <c r="D51" s="20"/>
      <c r="E51" s="20"/>
      <c r="F51" s="95"/>
    </row>
    <row r="52">
      <c r="A52" s="249">
        <f>if('WEEK 31'!F50&lt;=2,"",5)</f>
        <v>5</v>
      </c>
      <c r="B52" s="175">
        <f>IF('WEEK 31'!F50&lt;=2,"",'WEEK 31'!B50+5)</f>
        <v>175</v>
      </c>
      <c r="C52" s="238">
        <f>if('WEEK 31'!F50&lt;=2,"",4)</f>
        <v>4</v>
      </c>
      <c r="D52" s="238" t="str">
        <f>if('WEEK 31'!F50&lt;=2,"","1-5 MIN")</f>
        <v>1-5 MIN</v>
      </c>
      <c r="E52" s="84" t="str">
        <f>IF('WEEK 27'!B47='WEEK 31'!B52,'WEEK 27'!F47,"")</f>
        <v/>
      </c>
      <c r="F52" s="67"/>
    </row>
    <row r="53">
      <c r="A53" s="259" t="str">
        <f>IF('WEEK 31'!F52&lt;4,"","6")</f>
        <v>6</v>
      </c>
      <c r="B53" s="237">
        <f>IF('WEEK 31'!F52&lt;4,"",'WEEK 31'!B52+5)</f>
        <v>180</v>
      </c>
      <c r="C53" s="257" t="str">
        <f>IF('WEEK 31'!F52&lt;4,"","4")</f>
        <v>4</v>
      </c>
      <c r="D53" s="257" t="str">
        <f>IF('WEEK 31'!F52&lt;4,"","1-5 MIN")</f>
        <v>1-5 MIN</v>
      </c>
      <c r="E53" s="84" t="str">
        <f>IF('WEEK 27'!B48='WEEK 31'!B53,'WEEK 27'!F48,"")</f>
        <v/>
      </c>
      <c r="F53" s="67"/>
    </row>
    <row r="54">
      <c r="A54" s="246" t="s">
        <v>133</v>
      </c>
      <c r="B54" s="20"/>
      <c r="C54" s="20"/>
      <c r="D54" s="20"/>
      <c r="E54" s="20"/>
      <c r="F54" s="95"/>
    </row>
    <row r="55">
      <c r="A55" s="264">
        <f>IF('WEEK 31'!F52&gt;=1,7,IF('WEEK 31'!F50&lt;1,5,6))</f>
        <v>7</v>
      </c>
      <c r="B55" s="265">
        <f>MROUND('WEEK 31'!B57*0.8,5)</f>
        <v>140</v>
      </c>
      <c r="C55" s="266" t="s">
        <v>65</v>
      </c>
      <c r="D55" s="267" t="s">
        <v>127</v>
      </c>
      <c r="E55" s="84" t="str">
        <f>IF('WEEK 27'!B50='WEEK 31'!B55,'WEEK 27'!F50,"")</f>
        <v/>
      </c>
      <c r="F55" s="67"/>
    </row>
    <row r="56">
      <c r="A56" s="243">
        <f>IF('WEEK 31'!F52&gt;=1,8,IF('WEEK 31'!F50&lt;1,6,7))</f>
        <v>8</v>
      </c>
      <c r="B56" s="237">
        <f>mround('WEEK 31'!B57*0.7,5)</f>
        <v>125</v>
      </c>
      <c r="C56" s="245" t="s">
        <v>65</v>
      </c>
      <c r="D56" s="65" t="s">
        <v>127</v>
      </c>
      <c r="E56" s="84" t="str">
        <f>IF('WEEK 27'!B51='WEEK 31'!B56,'WEEK 27'!F51,"")</f>
        <v/>
      </c>
      <c r="F56" s="271"/>
    </row>
    <row r="57">
      <c r="A57" s="228" t="s">
        <v>124</v>
      </c>
      <c r="B57" s="549">
        <f>IF(OR(ISBLANK('WEEK 31'!F50),ISBLANK('WEEK 31'!F49),ISBLANK('WEEK 31'!F48)),"",IF('WEEK 31'!F53&gt;=4,'WEEK 31'!B53,IF('WEEK 31'!F52&gt;=1,'WEEK 31'!B52,IF('WEEK 31'!F50&lt;3,'WEEK 31'!B50-5,'WEEK 31'!B50))))</f>
        <v>175</v>
      </c>
      <c r="F57" s="28"/>
    </row>
    <row r="58">
      <c r="A58" s="750"/>
      <c r="B58" s="750"/>
      <c r="C58" s="750"/>
      <c r="D58" s="750"/>
      <c r="E58" s="750"/>
      <c r="F58" s="750"/>
    </row>
    <row r="59">
      <c r="A59" s="751" t="str">
        <f>HYPERLINK("https://www.youtube.com/watch?v=PnaDzYh2axA","4. LAT PULL DOWN")</f>
        <v>4. LAT PULL DOWN</v>
      </c>
      <c r="B59" s="13"/>
      <c r="C59" s="13"/>
      <c r="D59" s="13"/>
      <c r="E59" s="13"/>
      <c r="F59" s="57"/>
    </row>
    <row r="60">
      <c r="A60" s="226" t="s">
        <v>119</v>
      </c>
      <c r="B60" s="691">
        <f>'WEEK 30'!B63</f>
        <v>225</v>
      </c>
      <c r="C60" s="13"/>
      <c r="D60" s="13"/>
      <c r="E60" s="13"/>
      <c r="F60" s="57"/>
    </row>
    <row r="61">
      <c r="A61" s="96" t="s">
        <v>50</v>
      </c>
      <c r="B61" s="97" t="s">
        <v>51</v>
      </c>
      <c r="C61" s="97" t="s">
        <v>52</v>
      </c>
      <c r="D61" s="97" t="s">
        <v>53</v>
      </c>
      <c r="E61" s="341" t="s">
        <v>54</v>
      </c>
      <c r="F61" s="235" t="s">
        <v>55</v>
      </c>
    </row>
    <row r="62">
      <c r="A62" s="725">
        <v>1.0</v>
      </c>
      <c r="B62" s="344">
        <f> mround('WEEK 31'!B60*0.85,5)</f>
        <v>190</v>
      </c>
      <c r="C62" s="437" t="s">
        <v>65</v>
      </c>
      <c r="D62" s="343" t="s">
        <v>57</v>
      </c>
      <c r="E62" s="84" t="str">
        <f>IF('WEEK 27'!B57='WEEK 31'!B62,'WEEK 27'!F57,"")</f>
        <v/>
      </c>
      <c r="F62" s="85">
        <v>3.0</v>
      </c>
    </row>
    <row r="63">
      <c r="A63" s="725">
        <v>2.0</v>
      </c>
      <c r="B63" s="344">
        <f>IF('WEEK 31'!F62&lt;6,MROUND('WEEK 31'!B62*0.8,5),IF('WEEK 31'!F62&lt;=11,MROUND('WEEK 31'!B62*0.8,5),'WEEK 31'!B62))</f>
        <v>150</v>
      </c>
      <c r="C63" s="437" t="s">
        <v>65</v>
      </c>
      <c r="D63" s="343" t="s">
        <v>57</v>
      </c>
      <c r="E63" s="84" t="str">
        <f>IF('WEEK 27'!B58='WEEK 31'!B63,'WEEK 27'!F58,"")</f>
        <v/>
      </c>
      <c r="F63" s="85">
        <v>3.0</v>
      </c>
    </row>
    <row r="64">
      <c r="A64" s="753">
        <v>3.0</v>
      </c>
      <c r="B64" s="754">
        <f>IF('WEEK 31'!F63&lt;6,MROUND('WEEK 31'!B63*0.75,5),IF('WEEK 31'!F63&lt;=11,MROUND('WEEK 31'!B63*0.85,5),'WEEK 31'!B63))</f>
        <v>150</v>
      </c>
      <c r="C64" s="733" t="s">
        <v>65</v>
      </c>
      <c r="D64" s="486" t="s">
        <v>57</v>
      </c>
      <c r="E64" s="89" t="str">
        <f>IF('WEEK 27'!B59='WEEK 31'!B64,'WEEK 27'!F59,"")</f>
        <v/>
      </c>
      <c r="F64" s="85"/>
    </row>
    <row r="65">
      <c r="A65" s="756"/>
      <c r="B65" s="756"/>
      <c r="C65" s="756"/>
      <c r="D65" s="756"/>
      <c r="E65" s="757"/>
      <c r="F65" s="419"/>
    </row>
    <row r="66">
      <c r="A66" s="756"/>
      <c r="B66" s="756"/>
      <c r="C66" s="756"/>
      <c r="D66" s="756"/>
      <c r="E66" s="757"/>
      <c r="F66" s="419"/>
    </row>
    <row r="67">
      <c r="A67" s="73" t="str">
        <f>HYPERLINK("https://youtu.be/9YH1YvZbiY0","5. LOW ROW ")</f>
        <v>5. LOW ROW </v>
      </c>
      <c r="B67" s="53"/>
      <c r="C67" s="53"/>
      <c r="D67" s="53"/>
      <c r="E67" s="53"/>
      <c r="F67" s="54"/>
    </row>
    <row r="68">
      <c r="A68" s="226" t="s">
        <v>119</v>
      </c>
      <c r="B68" s="691">
        <f>'WEEK 30'!B63</f>
        <v>225</v>
      </c>
      <c r="C68" s="13"/>
      <c r="D68" s="13"/>
      <c r="E68" s="13"/>
      <c r="F68" s="57"/>
    </row>
    <row r="69">
      <c r="A69" s="96" t="s">
        <v>50</v>
      </c>
      <c r="B69" s="97" t="s">
        <v>51</v>
      </c>
      <c r="C69" s="97" t="s">
        <v>52</v>
      </c>
      <c r="D69" s="97" t="s">
        <v>53</v>
      </c>
      <c r="E69" s="341" t="s">
        <v>54</v>
      </c>
      <c r="F69" s="235" t="s">
        <v>55</v>
      </c>
    </row>
    <row r="70">
      <c r="A70" s="725">
        <v>1.0</v>
      </c>
      <c r="B70" s="344">
        <f>mround('WEEK 31'!B68*0.8,5)</f>
        <v>180</v>
      </c>
      <c r="C70" s="437" t="s">
        <v>65</v>
      </c>
      <c r="D70" s="343" t="s">
        <v>127</v>
      </c>
      <c r="E70" s="84" t="str">
        <f>IF('WEEK 27'!B65='WEEK 31'!B70,'WEEK 27'!F65,"")</f>
        <v/>
      </c>
      <c r="F70" s="85"/>
    </row>
    <row r="71">
      <c r="A71" s="725">
        <v>2.0</v>
      </c>
      <c r="B71" s="344">
        <f>IF('WEEK 31'!F70&lt;6,MROUND('WEEK 31'!B70*0.75,5),IF('WEEK 31'!F70&lt;=11,MROUND('WEEK 31'!B70*0.75,5),'WEEK 31'!B70))</f>
        <v>135</v>
      </c>
      <c r="C71" s="437" t="s">
        <v>65</v>
      </c>
      <c r="D71" s="343" t="s">
        <v>127</v>
      </c>
      <c r="E71" s="84" t="str">
        <f>IF('WEEK 27'!B66='WEEK 31'!B71,'WEEK 27'!F66,"")</f>
        <v/>
      </c>
      <c r="F71" s="85"/>
    </row>
    <row r="72">
      <c r="A72" s="753">
        <v>3.0</v>
      </c>
      <c r="B72" s="754">
        <f>IF('WEEK 31'!F71&lt;6,MROUND('WEEK 31'!B71*0.8,5),IF('WEEK 31'!F71&lt;=11,MROUND('WEEK 31'!B68*0.75,5),'WEEK 31'!B71))</f>
        <v>135</v>
      </c>
      <c r="C72" s="733" t="s">
        <v>65</v>
      </c>
      <c r="D72" s="486" t="s">
        <v>127</v>
      </c>
      <c r="E72" s="84" t="str">
        <f>IF('WEEK 27'!B67='WEEK 31'!B72,'WEEK 27'!F67,"")</f>
        <v/>
      </c>
      <c r="F72" s="85"/>
    </row>
    <row r="73">
      <c r="A73" s="758"/>
      <c r="B73" s="736"/>
      <c r="C73" s="759"/>
      <c r="D73" s="760"/>
      <c r="E73" s="761"/>
      <c r="F73" s="762"/>
    </row>
    <row r="74">
      <c r="A74" s="310" t="str">
        <f>HYPERLINK("https://docs.google.com/a/fitnessresults.com/forms/d/e/1FAIpQLSd7MoczESe8Yjv6BKpmwAZGn9Aiymrs9-UdgfYIUpbr9t5NXg/viewform?usp=pp_url&amp;entry.93370101","CLICK TO COMPLETE WORKOUT")</f>
        <v>CLICK TO COMPLETE WORKOUT</v>
      </c>
      <c r="B74" s="36"/>
      <c r="C74" s="36"/>
      <c r="D74" s="36"/>
      <c r="E74" s="36"/>
      <c r="F74" s="37"/>
    </row>
    <row r="75">
      <c r="A75" s="763"/>
      <c r="B75" s="764"/>
      <c r="C75" s="764"/>
      <c r="D75" s="764"/>
      <c r="E75" s="764"/>
      <c r="F75" s="764"/>
    </row>
    <row r="76">
      <c r="A76" s="50" t="s">
        <v>128</v>
      </c>
      <c r="B76" s="36"/>
      <c r="C76" s="36"/>
      <c r="D76" s="36"/>
      <c r="E76" s="36"/>
      <c r="F76" s="37"/>
    </row>
    <row r="78">
      <c r="A78" s="960" t="str">
        <f>HYPERLINK("https://www.youtube.com/watch?v=dVterVQksD4","2. LEG PRESS")</f>
        <v>2. LEG PRESS</v>
      </c>
      <c r="B78" s="53"/>
      <c r="C78" s="53"/>
      <c r="D78" s="53"/>
      <c r="E78" s="53"/>
      <c r="F78" s="54"/>
    </row>
    <row r="79">
      <c r="A79" s="961" t="s">
        <v>119</v>
      </c>
      <c r="B79" s="1035">
        <f>'WEEK 30'!B85</f>
        <v>250</v>
      </c>
      <c r="C79" s="13"/>
      <c r="D79" s="13"/>
      <c r="E79" s="13"/>
      <c r="F79" s="57"/>
    </row>
    <row r="80">
      <c r="A80" s="231" t="s">
        <v>50</v>
      </c>
      <c r="B80" s="232" t="s">
        <v>51</v>
      </c>
      <c r="C80" s="232" t="s">
        <v>52</v>
      </c>
      <c r="D80" s="232" t="s">
        <v>53</v>
      </c>
      <c r="E80" s="1073" t="s">
        <v>54</v>
      </c>
      <c r="F80" s="1006" t="s">
        <v>55</v>
      </c>
    </row>
    <row r="81">
      <c r="A81" s="236">
        <v>1.0</v>
      </c>
      <c r="B81" s="237">
        <f>mround('WEEK 31'!B79*0.35,5)</f>
        <v>105</v>
      </c>
      <c r="C81" s="238">
        <v>10.0</v>
      </c>
      <c r="D81" s="238" t="s">
        <v>120</v>
      </c>
      <c r="E81" s="1130" t="str">
        <f>IF('WEEK 30'!B77='WEEK 31'!B81,'WEEK 30'!F77,"")</f>
        <v/>
      </c>
      <c r="F81" s="1131"/>
    </row>
    <row r="82">
      <c r="A82" s="236">
        <v>2.0</v>
      </c>
      <c r="B82" s="237">
        <f>mround('WEEK 31'!B79*0.65,5)</f>
        <v>195</v>
      </c>
      <c r="C82" s="238">
        <v>10.0</v>
      </c>
      <c r="D82" s="238" t="s">
        <v>121</v>
      </c>
      <c r="E82" s="1130" t="str">
        <f>IF('WEEK 30'!B78='WEEK 31'!B82,'WEEK 30'!F78,"")</f>
        <v/>
      </c>
      <c r="F82" s="1017"/>
    </row>
    <row r="83">
      <c r="A83" s="242">
        <v>3.0</v>
      </c>
      <c r="B83" s="237">
        <f>mround('WEEK 31'!B79*0.9,5)</f>
        <v>270</v>
      </c>
      <c r="C83" s="238">
        <v>10.0</v>
      </c>
      <c r="D83" s="238" t="s">
        <v>121</v>
      </c>
      <c r="E83" s="1130" t="str">
        <f>IF('WEEK 30'!B79='WEEK 31'!B83,'WEEK 30'!F79,"")</f>
        <v/>
      </c>
      <c r="F83" s="1017"/>
    </row>
    <row r="84">
      <c r="A84" s="249">
        <v>4.0</v>
      </c>
      <c r="B84" s="175">
        <f>if('WEEK 31'!F83&lt;10,MROUND('WEEK 31'!B83-('WEEK 31'!B83*3%),5),'WEEK 31'!B79)</f>
        <v>300</v>
      </c>
      <c r="C84" s="238">
        <v>10.0</v>
      </c>
      <c r="D84" s="238" t="s">
        <v>122</v>
      </c>
      <c r="E84" s="1130" t="str">
        <f>IF('WEEK 30'!B80='WEEK 31'!B84,'WEEK 30'!F80,"")</f>
        <v/>
      </c>
      <c r="F84" s="1132"/>
    </row>
    <row r="85">
      <c r="A85" s="249">
        <v>5.0</v>
      </c>
      <c r="B85" s="175">
        <f>IF((AND('WEEK 31'!B84&lt;='WEEK 31'!B83,'WEEK 31'!F84&gt;=10)),'WEEK 31'!B84,IF('WEEK 31'!F84&lt;10,MROUND('WEEK 31'!B84-('WEEK 31'!B84*3%),5),if( 'WEEK 31'!F84&lt;10,MROUND('WEEK 31'!B84-('WEEK 31'!B84*1.5%),5),MROUND('WEEK 31'!B84+('WEEK 31'!B84*1.5%),5))))</f>
        <v>305</v>
      </c>
      <c r="C85" s="238">
        <v>10.0</v>
      </c>
      <c r="D85" s="238" t="s">
        <v>122</v>
      </c>
      <c r="E85" s="1130" t="str">
        <f>IF('WEEK 30'!B81='WEEK 31'!B85,'WEEK 30'!F81,"")</f>
        <v/>
      </c>
      <c r="F85" s="1017"/>
    </row>
    <row r="86">
      <c r="A86" s="249">
        <f>if(F84&lt;10,6,6)</f>
        <v>6</v>
      </c>
      <c r="B86" s="175">
        <f>IF((AND('WEEK 31'!B85&lt;='WEEK 31'!B84,'WEEK 31'!F85&gt;=10)),'WEEK 31'!B85,IF('WEEK 31'!F85&lt;10,MROUND('WEEK 31'!B85-('WEEK 31'!B85*3%),5),if( 'WEEK 31'!F85&lt;10,MROUND('WEEK 31'!B85-('WEEK 31'!B85*1.5%),5),MROUND('WEEK 31'!B85+('WEEK 31'!B85*1.5%),5))))</f>
        <v>310</v>
      </c>
      <c r="C86" s="238">
        <v>10.0</v>
      </c>
      <c r="D86" s="238" t="s">
        <v>122</v>
      </c>
      <c r="E86" s="1130" t="str">
        <f>IF('WEEK 30'!B82='WEEK 31'!B86,'WEEK 30'!F82,"")</f>
        <v/>
      </c>
      <c r="F86" s="1017"/>
    </row>
    <row r="87">
      <c r="A87" s="1038">
        <f>IF(F86&lt;10,7,"7")</f>
        <v>7</v>
      </c>
      <c r="B87" s="175">
        <f>IF((AND('WEEK 31'!B86&lt;='WEEK 31'!B85,'WEEK 31'!F86&gt;=10)),'WEEK 31'!B86,IF('WEEK 31'!F86&lt;10,MROUND('WEEK 31'!B86-('WEEK 31'!B86*3%),5),if( 'WEEK 31'!F86&lt;10,MROUND('WEEK 31'!B86-('WEEK 31'!B86*1.5%),5),MROUND('WEEK 31'!B86+('WEEK 31'!B86*1.5%),5))))</f>
        <v>315</v>
      </c>
      <c r="C87" s="238">
        <v>10.0</v>
      </c>
      <c r="D87" s="238" t="s">
        <v>122</v>
      </c>
      <c r="E87" s="1130" t="str">
        <f>IF('WEEK 30'!B83='WEEK 31'!B87,'WEEK 30'!F83,"")</f>
        <v/>
      </c>
      <c r="F87" s="1133"/>
    </row>
    <row r="88">
      <c r="A88" s="249">
        <f>IF(F87&lt;10,8,"8")</f>
        <v>8</v>
      </c>
      <c r="B88" s="175">
        <f>IF((AND('WEEK 31'!B87&lt;='WEEK 31'!B86,'WEEK 31'!F87&gt;=10)),'WEEK 31'!B87,IF('WEEK 31'!F87&lt;10,MROUND('WEEK 31'!B87-('WEEK 31'!B87*3%),5),if( 'WEEK 31'!F87&lt;10,MROUND('WEEK 31'!B87-('WEEK 31'!B87*1.5%),5),MROUND('WEEK 31'!B87+('WEEK 31'!B87*1.5%),5))))</f>
        <v>320</v>
      </c>
      <c r="C88" s="238">
        <v>10.0</v>
      </c>
      <c r="D88" s="238" t="s">
        <v>122</v>
      </c>
      <c r="E88" s="1130" t="str">
        <f>IF('WEEK 30'!B84='WEEK 31'!B88,'WEEK 30'!F84,"")</f>
        <v/>
      </c>
      <c r="F88" s="1134"/>
    </row>
    <row r="89">
      <c r="A89" s="1038">
        <f>IF(F88&lt;10,9,"9")</f>
        <v>9</v>
      </c>
      <c r="B89" s="175">
        <f>IF((AND('WEEK 31'!B88&lt;='WEEK 31'!B87,'WEEK 31'!F88&gt;=10)),'WEEK 31'!B88,IF('WEEK 31'!F88&lt;10,MROUND('WEEK 31'!B88-('WEEK 31'!B88*3%),5),if( 'WEEK 31'!F88&lt;10,MROUND('WEEK 31'!B88-('WEEK 31'!B88*1.5%),5),MROUND('WEEK 31'!B88+('WEEK 31'!B88*1.5%),5))))</f>
        <v>325</v>
      </c>
      <c r="C89" s="238">
        <v>10.0</v>
      </c>
      <c r="D89" s="238" t="s">
        <v>122</v>
      </c>
      <c r="E89" s="1130" t="str">
        <f>IF('WEEK 14'!B100='WEEK 31'!B89,'WEEK 14'!F100,"")</f>
        <v/>
      </c>
      <c r="F89" s="1134"/>
    </row>
    <row r="90">
      <c r="A90" s="272" t="s">
        <v>192</v>
      </c>
      <c r="B90" s="1109">
        <f>IF((AND('WEEK 31'!F89&gt;=10,'WEEK 31'!B89&gt;'WEEK 31'!B88)),'WEEK 31'!B89,IF((AND('WEEK 31'!F88&gt;=10,'WEEK 31'!B88&gt;'WEEK 31'!B87)),'WEEK 31'!B88,IF((AND('WEEK 31'!F87&gt;=10,'WEEK 31'!B87&gt;'WEEK 31'!B86)),'WEEK 31'!B87,IF((AND('WEEK 31'!F86&gt;=10,'WEEK 31'!B86&gt;'WEEK 31'!B85)),'WEEK 31'!B86,IF((AND('WEEK 31'!F85&gt;=10,'WEEK 31'!B85&gt;'WEEK 31'!B84)),'WEEK 31'!B85,IF((AND('WEEK 31'!F84&gt;=10,'WEEK 31'!B84&gt;'WEEK 31'!B83)),'WEEK 31'!B84,IF((AND('WEEK 31'!F83&gt;=10,'WEEK 31'!B83&gt;'WEEK 31'!B82)),'WEEK 31'!B83,IF((AND('WEEK 31'!F82&gt;=10,'WEEK 31'!B82&gt;'WEEK 31'!B81)),'WEEK 31'!B82,'WEEK 31'!B79))))))))</f>
        <v>320</v>
      </c>
      <c r="C90" s="11"/>
      <c r="D90" s="11"/>
      <c r="E90" s="11"/>
      <c r="F90" s="46"/>
    </row>
    <row r="93">
      <c r="A93" s="1044" t="str">
        <f>HYPERLINK("https://www.youtube.com/watch?v=NZ9KiFtbiMs","2. LEG EXTENSION")</f>
        <v>2. LEG EXTENSION</v>
      </c>
      <c r="B93" s="13"/>
      <c r="C93" s="13"/>
      <c r="D93" s="13"/>
      <c r="E93" s="13"/>
      <c r="F93" s="57"/>
      <c r="G93" s="141"/>
      <c r="H93" s="141"/>
      <c r="I93" s="141"/>
      <c r="J93" s="141"/>
      <c r="K93" s="141"/>
      <c r="L93" s="141"/>
      <c r="M93" s="141"/>
    </row>
    <row r="94">
      <c r="A94" s="1045" t="s">
        <v>119</v>
      </c>
      <c r="B94" s="1046">
        <f>IF('WEEK 30'!B91='WEEK 30'!B93,'WEEK 30'!B91+5,IF('WEEK 30'!F91&lt;=9,MROUND('WEEK 30'!B89*0.95,5),'WEEK 30'!B91))</f>
        <v>50</v>
      </c>
      <c r="C94" s="13"/>
      <c r="D94" s="13"/>
      <c r="E94" s="13"/>
      <c r="F94" s="57"/>
      <c r="G94" s="141"/>
      <c r="H94" s="141"/>
      <c r="I94" s="141"/>
      <c r="J94" s="141"/>
      <c r="K94" s="141"/>
      <c r="L94" s="141"/>
      <c r="M94" s="141"/>
    </row>
    <row r="95">
      <c r="A95" s="567" t="s">
        <v>50</v>
      </c>
      <c r="B95" s="568" t="s">
        <v>51</v>
      </c>
      <c r="C95" s="568" t="s">
        <v>52</v>
      </c>
      <c r="D95" s="568" t="s">
        <v>53</v>
      </c>
      <c r="E95" s="1047" t="s">
        <v>54</v>
      </c>
      <c r="F95" s="1048" t="s">
        <v>55</v>
      </c>
      <c r="G95" s="141"/>
      <c r="H95" s="141"/>
      <c r="I95" s="141"/>
      <c r="J95" s="141"/>
      <c r="K95" s="141"/>
      <c r="L95" s="141"/>
      <c r="M95" s="141"/>
    </row>
    <row r="96">
      <c r="A96" s="1049">
        <v>1.0</v>
      </c>
      <c r="B96" s="1050">
        <f>'WEEK 31'!B94</f>
        <v>175</v>
      </c>
      <c r="C96" s="1051" t="s">
        <v>61</v>
      </c>
      <c r="D96" s="1052" t="s">
        <v>57</v>
      </c>
      <c r="E96" s="84" t="str">
        <f>IF('WEEK 30'!B91='WEEK 31'!B96,'WEEK 30'!F91,"")</f>
        <v/>
      </c>
      <c r="F96" s="1017"/>
      <c r="G96" s="141"/>
      <c r="H96" s="141"/>
      <c r="I96" s="141"/>
      <c r="J96" s="141"/>
      <c r="K96" s="141"/>
      <c r="L96" s="141"/>
      <c r="M96" s="141"/>
    </row>
    <row r="97">
      <c r="A97" s="1049">
        <v>2.0</v>
      </c>
      <c r="B97" s="1050">
        <f>if('WEEK 31'!F96&lt;8,mround('WEEK 31'!B96*0.8,5),IF('WEEK 31'!F96&lt;=14,MROUND('WEEK 31'!B96*0.95,5),'WEEK 31'!B96))</f>
        <v>140</v>
      </c>
      <c r="C97" s="1051" t="s">
        <v>61</v>
      </c>
      <c r="D97" s="1052" t="s">
        <v>57</v>
      </c>
      <c r="E97" s="84" t="str">
        <f>IF('WEEK 30'!B92='WEEK 31'!B97,'WEEK 30'!F92,"")</f>
        <v/>
      </c>
      <c r="F97" s="1017"/>
      <c r="G97" s="141"/>
      <c r="H97" s="141"/>
      <c r="I97" s="141"/>
      <c r="J97" s="141"/>
      <c r="K97" s="141"/>
      <c r="L97" s="141"/>
      <c r="M97" s="141"/>
    </row>
    <row r="98">
      <c r="A98" s="1135">
        <v>3.0</v>
      </c>
      <c r="B98" s="1136">
        <f>if('WEEK 31'!F97&lt;8,mround('WEEK 31'!B97*0.8,5),IF('WEEK 31'!F97&lt;=14,MROUND('WEEK 31'!B97*0.95,5),'WEEK 31'!B97))</f>
        <v>110</v>
      </c>
      <c r="C98" s="1051" t="s">
        <v>61</v>
      </c>
      <c r="D98" s="1137" t="s">
        <v>57</v>
      </c>
      <c r="E98" s="84" t="str">
        <f>IF('WEEK 30'!B93='WEEK 31'!B98,'WEEK 30'!F93,"")</f>
        <v/>
      </c>
      <c r="F98" s="1085"/>
      <c r="G98" s="141"/>
      <c r="H98" s="141"/>
      <c r="I98" s="141"/>
      <c r="J98" s="141"/>
      <c r="K98" s="141"/>
      <c r="L98" s="141"/>
      <c r="M98" s="141"/>
    </row>
    <row r="99">
      <c r="A99" s="869"/>
      <c r="B99" s="334"/>
      <c r="C99" s="25"/>
      <c r="D99" s="25"/>
      <c r="E99" s="25"/>
      <c r="F99" s="25"/>
      <c r="G99" s="141"/>
      <c r="H99" s="141"/>
      <c r="I99" s="141"/>
      <c r="J99" s="141"/>
      <c r="K99" s="141"/>
      <c r="L99" s="141"/>
      <c r="M99" s="141"/>
    </row>
    <row r="100">
      <c r="A100" s="1138"/>
      <c r="G100" s="141"/>
      <c r="H100" s="141"/>
      <c r="I100" s="141"/>
      <c r="J100" s="141"/>
      <c r="K100" s="141"/>
      <c r="L100" s="141"/>
      <c r="M100" s="141"/>
    </row>
    <row r="101">
      <c r="G101" s="141"/>
      <c r="H101" s="141"/>
      <c r="I101" s="141"/>
      <c r="J101" s="141"/>
      <c r="K101" s="141"/>
      <c r="L101" s="141"/>
      <c r="M101" s="141"/>
    </row>
    <row r="102">
      <c r="A102" s="323" t="str">
        <f>HYPERLINK("https://www.youtube.com/watch?v=XepOfsnGFJg","4. MACHINE LEG CURL")</f>
        <v>4. MACHINE LEG CURL</v>
      </c>
      <c r="B102" s="53"/>
      <c r="C102" s="53"/>
      <c r="D102" s="53"/>
      <c r="E102" s="53"/>
      <c r="F102" s="54"/>
      <c r="G102" s="141"/>
      <c r="H102" s="323" t="str">
        <f>HYPERLINK("https://youtu.be/kmN9cJ79PDE","4. PRONE LEG CURL")</f>
        <v>4. PRONE LEG CURL</v>
      </c>
      <c r="I102" s="53"/>
      <c r="J102" s="53"/>
      <c r="K102" s="53"/>
      <c r="L102" s="53"/>
      <c r="M102" s="54"/>
    </row>
    <row r="103">
      <c r="A103" s="226" t="s">
        <v>119</v>
      </c>
      <c r="B103" s="90">
        <f>IF('WEEK 30'!B100='WEEK 30'!B102,'WEEK 30'!B100+5,IF('WEEK 30'!F100&lt;=9,MROUND('WEEK 30'!B100*0.95,5),'WEEK 30'!B100))</f>
        <v>15</v>
      </c>
      <c r="C103" s="13"/>
      <c r="D103" s="13"/>
      <c r="E103" s="13"/>
      <c r="F103" s="57"/>
      <c r="H103" s="226" t="s">
        <v>119</v>
      </c>
      <c r="I103" s="316">
        <f>B103</f>
        <v>15</v>
      </c>
      <c r="J103" s="20"/>
      <c r="K103" s="20"/>
      <c r="L103" s="20"/>
      <c r="M103" s="95"/>
    </row>
    <row r="104">
      <c r="A104" s="96" t="s">
        <v>50</v>
      </c>
      <c r="B104" s="97" t="s">
        <v>51</v>
      </c>
      <c r="C104" s="97" t="s">
        <v>52</v>
      </c>
      <c r="D104" s="97" t="s">
        <v>53</v>
      </c>
      <c r="E104" s="98" t="s">
        <v>54</v>
      </c>
      <c r="F104" s="235" t="s">
        <v>55</v>
      </c>
      <c r="H104" s="96" t="s">
        <v>50</v>
      </c>
      <c r="I104" s="97" t="s">
        <v>51</v>
      </c>
      <c r="J104" s="97" t="s">
        <v>52</v>
      </c>
      <c r="K104" s="97" t="s">
        <v>53</v>
      </c>
      <c r="L104" s="341" t="s">
        <v>54</v>
      </c>
      <c r="M104" s="235" t="s">
        <v>55</v>
      </c>
    </row>
    <row r="105">
      <c r="A105" s="352">
        <v>1.0</v>
      </c>
      <c r="B105" s="237">
        <f>'WEEK 31'!B103</f>
        <v>15</v>
      </c>
      <c r="C105" s="1051" t="s">
        <v>61</v>
      </c>
      <c r="D105" s="350" t="s">
        <v>57</v>
      </c>
      <c r="E105" s="84" t="str">
        <f>IF('WEEK 30'!B100='WEEK 31'!B105,'WEEK 30'!F100,"")</f>
        <v/>
      </c>
      <c r="F105" s="85"/>
      <c r="G105" s="434" t="s">
        <v>123</v>
      </c>
      <c r="H105" s="352">
        <v>1.0</v>
      </c>
      <c r="I105" s="237">
        <f>'WEEK 31'!J103</f>
        <v>15</v>
      </c>
      <c r="J105" s="1051" t="s">
        <v>61</v>
      </c>
      <c r="K105" s="350" t="s">
        <v>57</v>
      </c>
      <c r="L105" s="84" t="str">
        <f>IF('WEEK 30'!I100='WEEK 31'!J105,'WEEK 30'!M100,"")</f>
        <v/>
      </c>
      <c r="M105" s="85"/>
    </row>
    <row r="106">
      <c r="A106" s="352">
        <v>2.0</v>
      </c>
      <c r="B106" s="237">
        <f>if('WEEK 31'!F105&lt;8,mround('WEEK 31'!B105*0.8,5),IF('WEEK 31'!F105&lt;=14,MROUND('WEEK 31'!B105*0.95,5),'WEEK 31'!B105))</f>
        <v>10</v>
      </c>
      <c r="C106" s="1051" t="s">
        <v>61</v>
      </c>
      <c r="D106" s="515" t="s">
        <v>57</v>
      </c>
      <c r="E106" s="84" t="str">
        <f>IF('WEEK 30'!B101='WEEK 31'!B106,'WEEK 30'!F101,"")</f>
        <v/>
      </c>
      <c r="F106" s="628"/>
      <c r="H106" s="352">
        <v>2.0</v>
      </c>
      <c r="I106" s="237">
        <f>if('WEEK 31'!N105&lt;8,mround('WEEK 31'!J105*0.8,5),IF('WEEK 31'!N105&lt;=14,MROUND('WEEK 31'!J105*0.95,5),'WEEK 31'!J105))</f>
        <v>10</v>
      </c>
      <c r="J106" s="1051" t="s">
        <v>61</v>
      </c>
      <c r="K106" s="515" t="s">
        <v>57</v>
      </c>
      <c r="L106" s="84" t="str">
        <f>IF('WEEK 30'!I101='WEEK 31'!J106,'WEEK 30'!M101,"")</f>
        <v/>
      </c>
      <c r="M106" s="85"/>
    </row>
    <row r="107">
      <c r="A107" s="494">
        <v>3.0</v>
      </c>
      <c r="B107" s="371">
        <f>if('WEEK 31'!F106&lt;8,mround('WEEK 31'!B106*0.8,5),IF('WEEK 31'!F106&lt;=14,MROUND('WEEK 31'!B106*0.95,5),'WEEK 31'!B106))</f>
        <v>10</v>
      </c>
      <c r="C107" s="1055" t="s">
        <v>61</v>
      </c>
      <c r="D107" s="518" t="s">
        <v>57</v>
      </c>
      <c r="E107" s="89" t="str">
        <f>IF('WEEK 30'!B102='WEEK 31'!B107,'WEEK 30'!F102,"")</f>
        <v/>
      </c>
      <c r="F107" s="628"/>
      <c r="G107" s="682"/>
      <c r="H107" s="494">
        <v>3.0</v>
      </c>
      <c r="I107" s="371">
        <f>if('WEEK 31'!N106&lt;8,mround('WEEK 31'!J106*0.8,5),IF('WEEK 31'!N106&lt;=14,MROUND('WEEK 31'!J106*0.95,5),'WEEK 31'!J106))</f>
        <v>10</v>
      </c>
      <c r="J107" s="1055" t="s">
        <v>61</v>
      </c>
      <c r="K107" s="518" t="s">
        <v>57</v>
      </c>
      <c r="L107" s="89" t="str">
        <f>IF('WEEK 30'!I102='WEEK 31'!J107,'WEEK 30'!M102,"")</f>
        <v/>
      </c>
      <c r="M107" s="85"/>
    </row>
    <row r="108">
      <c r="A108" s="849"/>
      <c r="B108" s="850"/>
      <c r="H108" s="849"/>
      <c r="I108" s="850"/>
      <c r="N108" s="635"/>
      <c r="O108" s="635"/>
      <c r="P108" s="635"/>
      <c r="Q108" s="635"/>
      <c r="R108" s="635"/>
      <c r="S108" s="635"/>
      <c r="T108" s="635"/>
      <c r="U108" s="635"/>
    </row>
    <row r="110">
      <c r="A110" s="1120" t="s">
        <v>62</v>
      </c>
      <c r="B110" s="36"/>
      <c r="C110" s="36"/>
      <c r="D110" s="36"/>
      <c r="E110" s="36"/>
      <c r="F110" s="37"/>
    </row>
    <row r="113">
      <c r="A113" s="44" t="s">
        <v>131</v>
      </c>
      <c r="B113" s="36"/>
      <c r="C113" s="36"/>
      <c r="D113" s="36"/>
      <c r="E113" s="36"/>
      <c r="F113" s="37"/>
      <c r="H113" s="44" t="s">
        <v>131</v>
      </c>
      <c r="I113" s="36"/>
      <c r="J113" s="36"/>
      <c r="K113" s="36"/>
      <c r="L113" s="36"/>
      <c r="M113" s="37"/>
    </row>
    <row r="114">
      <c r="A114" s="112" t="str">
        <f>HYPERLINK("https://www.youtube.com/watch?v=rmxOkkd2hUk","1. SHOULDER PRESS")</f>
        <v>1. SHOULDER PRESS</v>
      </c>
      <c r="B114" s="13"/>
      <c r="C114" s="13"/>
      <c r="D114" s="13"/>
      <c r="E114" s="13"/>
      <c r="F114" s="57"/>
      <c r="H114" s="1139" t="str">
        <f>HYPERLINK("https://www.youtube.com/watch?v=-cSBPE-y38M","1. MACHINE SHOULDER PRESS")</f>
        <v>1. MACHINE SHOULDER PRESS</v>
      </c>
      <c r="I114" s="13"/>
      <c r="J114" s="13"/>
      <c r="K114" s="13"/>
      <c r="L114" s="13"/>
      <c r="M114" s="57"/>
    </row>
    <row r="115">
      <c r="A115" s="226" t="s">
        <v>119</v>
      </c>
      <c r="B115" s="227" t="str">
        <f>IF('WEEK 25'!B125="",'WEEK 25'!B113,'WEEK 25'!B125)</f>
        <v/>
      </c>
      <c r="C115" s="20"/>
      <c r="D115" s="20"/>
      <c r="E115" s="20"/>
      <c r="F115" s="95"/>
      <c r="H115" s="226" t="s">
        <v>119</v>
      </c>
      <c r="I115" s="227">
        <f>IF('WEEK 25'!I125="",'WEEK 25'!I113,'WEEK 25'!I125)</f>
        <v>105</v>
      </c>
      <c r="J115" s="20"/>
      <c r="K115" s="20"/>
      <c r="L115" s="20"/>
      <c r="M115" s="95"/>
    </row>
    <row r="116">
      <c r="A116" s="231" t="s">
        <v>50</v>
      </c>
      <c r="B116" s="232" t="s">
        <v>51</v>
      </c>
      <c r="C116" s="232" t="s">
        <v>52</v>
      </c>
      <c r="D116" s="232" t="s">
        <v>53</v>
      </c>
      <c r="E116" s="233" t="s">
        <v>54</v>
      </c>
      <c r="F116" s="61" t="s">
        <v>55</v>
      </c>
      <c r="H116" s="231" t="s">
        <v>50</v>
      </c>
      <c r="I116" s="232" t="s">
        <v>51</v>
      </c>
      <c r="J116" s="232" t="s">
        <v>52</v>
      </c>
      <c r="K116" s="232" t="s">
        <v>53</v>
      </c>
      <c r="L116" s="233" t="s">
        <v>54</v>
      </c>
      <c r="M116" s="61" t="s">
        <v>55</v>
      </c>
    </row>
    <row r="117">
      <c r="A117" s="1140">
        <v>1.0</v>
      </c>
      <c r="B117" s="237">
        <f>mround('WEEK 31'!B115*0.35,5)</f>
        <v>0</v>
      </c>
      <c r="C117" s="237">
        <v>6.0</v>
      </c>
      <c r="D117" s="238" t="s">
        <v>120</v>
      </c>
      <c r="E117" s="84" t="str">
        <f>IF('WEEK 25'!B116='WEEK 31'!B117,'WEEK 25'!F116,"")</f>
        <v/>
      </c>
      <c r="F117" s="67"/>
      <c r="H117" s="1140">
        <v>1.0</v>
      </c>
      <c r="I117" s="237">
        <f>mround('WEEK 31'!J115*0.35,5)</f>
        <v>35</v>
      </c>
      <c r="J117" s="237">
        <v>6.0</v>
      </c>
      <c r="K117" s="238" t="s">
        <v>120</v>
      </c>
      <c r="L117" s="84" t="str">
        <f>IF('WEEK 25'!I116='WEEK 31'!J117,'WEEK 25'!M116,"")</f>
        <v/>
      </c>
      <c r="M117" s="67"/>
    </row>
    <row r="118">
      <c r="A118" s="236">
        <v>2.0</v>
      </c>
      <c r="B118" s="237">
        <f>mround('WEEK 31'!B115*0.65,5)</f>
        <v>0</v>
      </c>
      <c r="C118" s="237">
        <v>1.0</v>
      </c>
      <c r="D118" s="238" t="s">
        <v>121</v>
      </c>
      <c r="E118" s="84" t="str">
        <f>IF('WEEK 25'!B117='WEEK 31'!B118,'WEEK 25'!F117,"")</f>
        <v/>
      </c>
      <c r="F118" s="67"/>
      <c r="H118" s="236">
        <v>2.0</v>
      </c>
      <c r="I118" s="237">
        <f>mround('WEEK 31'!J115*0.65,5)</f>
        <v>70</v>
      </c>
      <c r="J118" s="237">
        <v>1.0</v>
      </c>
      <c r="K118" s="238" t="s">
        <v>121</v>
      </c>
      <c r="L118" s="84" t="str">
        <f>IF('WEEK 25'!I117='WEEK 31'!J118,'WEEK 25'!M117,"")</f>
        <v/>
      </c>
      <c r="M118" s="67"/>
    </row>
    <row r="119">
      <c r="A119" s="242">
        <v>3.0</v>
      </c>
      <c r="B119" s="237">
        <f>mround('WEEK 31'!B115*0.9,5)</f>
        <v>0</v>
      </c>
      <c r="C119" s="82">
        <v>1.0</v>
      </c>
      <c r="D119" s="238" t="s">
        <v>121</v>
      </c>
      <c r="E119" s="84" t="str">
        <f>IF('WEEK 25'!B118='WEEK 31'!B119,'WEEK 25'!F118,"")</f>
        <v/>
      </c>
      <c r="F119" s="67"/>
      <c r="H119" s="242">
        <v>3.0</v>
      </c>
      <c r="I119" s="237">
        <f>mround('WEEK 31'!J115*0.9,5)</f>
        <v>95</v>
      </c>
      <c r="J119" s="82">
        <v>1.0</v>
      </c>
      <c r="K119" s="238" t="s">
        <v>121</v>
      </c>
      <c r="L119" s="84" t="str">
        <f>IF('WEEK 25'!I118='WEEK 31'!J119,'WEEK 25'!M118,"")</f>
        <v/>
      </c>
      <c r="M119" s="67"/>
    </row>
    <row r="120">
      <c r="A120" s="243">
        <v>4.0</v>
      </c>
      <c r="B120" s="237" t="str">
        <f>'WEEK 31'!B115</f>
        <v/>
      </c>
      <c r="C120" s="257">
        <v>1.0</v>
      </c>
      <c r="D120" s="238" t="s">
        <v>122</v>
      </c>
      <c r="E120" s="84" t="str">
        <f>IF('WEEK 25'!B119='WEEK 31'!B120,'WEEK 25'!F119,"")</f>
        <v/>
      </c>
      <c r="F120" s="67"/>
      <c r="H120" s="243">
        <v>4.0</v>
      </c>
      <c r="I120" s="237">
        <f>'WEEK 31'!J115</f>
        <v>105</v>
      </c>
      <c r="J120" s="257">
        <v>1.0</v>
      </c>
      <c r="K120" s="238" t="s">
        <v>122</v>
      </c>
      <c r="L120" s="84" t="str">
        <f>IF('WEEK 25'!I119='WEEK 31'!J120,'WEEK 25'!M119,"")</f>
        <v/>
      </c>
      <c r="M120" s="67"/>
    </row>
    <row r="121">
      <c r="A121" s="246" t="str">
        <f>IF('WEEK 31'!F120&lt;1,"PROCEED TO DOWN SETS","NEW 4 REP MAX ATTEMPT")</f>
        <v>PROCEED TO DOWN SETS</v>
      </c>
      <c r="B121" s="20"/>
      <c r="C121" s="20"/>
      <c r="D121" s="20"/>
      <c r="E121" s="20"/>
      <c r="F121" s="95"/>
      <c r="H121" s="246" t="str">
        <f>IF('WEEK 31'!N120&lt;1,"PROCEED TO DOWN SETS","NEW 4 REP MAX ATTEMPT")</f>
        <v>PROCEED TO DOWN SETS</v>
      </c>
      <c r="I121" s="20"/>
      <c r="J121" s="20"/>
      <c r="K121" s="20"/>
      <c r="L121" s="20"/>
      <c r="M121" s="95"/>
    </row>
    <row r="122">
      <c r="A122" s="249" t="str">
        <f>IF(OR(ISBLANK('WEEK 31'!F120),ISBLANK('WEEK 31'!F119),ISBLANK('WEEK 31'!F118)), "",if('WEEK 31'!F120&lt;1,"",5))</f>
        <v/>
      </c>
      <c r="B122" s="175" t="str">
        <f>IF('WEEK 31'!F120&lt;1,"",'WEEK 31'!B120+5)</f>
        <v/>
      </c>
      <c r="C122" s="238" t="str">
        <f>if('WEEK 31'!F120&lt;1,"",4)</f>
        <v/>
      </c>
      <c r="D122" s="238" t="str">
        <f>if('WEEK 31'!F120&lt;1,"","1-5 MIN")</f>
        <v/>
      </c>
      <c r="E122" s="84" t="str">
        <f>IF('WEEK 25'!B121='WEEK 31'!B122,'WEEK 25'!F121,"")</f>
        <v/>
      </c>
      <c r="F122" s="67"/>
      <c r="H122" s="249" t="str">
        <f>IF(OR(ISBLANK('WEEK 31'!N120),ISBLANK('WEEK 31'!N119),ISBLANK('WEEK 31'!N118)), "",if('WEEK 31'!N120&lt;1,"",5))</f>
        <v/>
      </c>
      <c r="I122" s="175" t="str">
        <f>IF('WEEK 31'!N120&lt;1,"",'WEEK 31'!J120+5)</f>
        <v/>
      </c>
      <c r="J122" s="238" t="str">
        <f>if('WEEK 31'!N120&lt;1,"",4)</f>
        <v/>
      </c>
      <c r="K122" s="238" t="str">
        <f>if('WEEK 31'!N120&lt;1,"","1-5 MIN")</f>
        <v/>
      </c>
      <c r="L122" s="84" t="str">
        <f>IF('WEEK 25'!I121='WEEK 31'!J122,'WEEK 25'!M121,"")</f>
        <v/>
      </c>
      <c r="M122" s="67"/>
    </row>
    <row r="123">
      <c r="A123" s="259" t="str">
        <f>IF(OR(ISBLANK('WEEK 31'!F119),ISBLANK('WEEK 31'!F120),ISBLANK('WEEK 31'!F122)), "",IF('WEEK 31'!F122&lt;4,"","6"))</f>
        <v/>
      </c>
      <c r="B123" s="237" t="str">
        <f>IF(OR(ISBLANK('WEEK 31'!F119),ISBLANK('WEEK 31'!F120),ISBLANK('WEEK 31'!F122)), "",IF('WEEK 31'!F122&lt;4,"",'WEEK 31'!B122+5))</f>
        <v/>
      </c>
      <c r="C123" s="257" t="str">
        <f>IF(OR(ISBLANK('WEEK 31'!F119),ISBLANK('WEEK 31'!F120),ISBLANK('WEEK 31'!F122)), "",IF('WEEK 31'!F122&lt;4,"","4"))</f>
        <v/>
      </c>
      <c r="D123" s="257" t="str">
        <f>IF(OR(ISBLANK('WEEK 31'!F119),ISBLANK('WEEK 31'!F120),ISBLANK('WEEK 31'!F122)), "",IF('WEEK 31'!F122&lt;4,"","1-5 MIN"))</f>
        <v/>
      </c>
      <c r="E123" s="84" t="str">
        <f>IF('WEEK 25'!B122='WEEK 31'!B123,'WEEK 25'!F122,"")</f>
        <v/>
      </c>
      <c r="F123" s="67"/>
      <c r="H123" s="259" t="str">
        <f>IF(OR(ISBLANK('WEEK 31'!N119),ISBLANK('WEEK 31'!N120),ISBLANK('WEEK 31'!N122)), "",IF('WEEK 31'!N122&lt;4,"","6"))</f>
        <v/>
      </c>
      <c r="I123" s="237" t="str">
        <f>IF(OR(ISBLANK('WEEK 31'!N119),ISBLANK('WEEK 31'!N120),ISBLANK('WEEK 31'!N122)), "",IF('WEEK 31'!N122&lt;4,"",'WEEK 31'!J122+5))</f>
        <v/>
      </c>
      <c r="J123" s="257" t="str">
        <f>IF(OR(ISBLANK('WEEK 31'!N119),ISBLANK('WEEK 31'!N120),ISBLANK('WEEK 31'!N122)), "",IF('WEEK 31'!N122&lt;4,"","4"))</f>
        <v/>
      </c>
      <c r="K123" s="257" t="str">
        <f>IF(OR(ISBLANK('WEEK 31'!N119),ISBLANK('WEEK 31'!N120),ISBLANK('WEEK 31'!N122)), "",IF('WEEK 31'!N122&lt;4,"","1-5 MIN"))</f>
        <v/>
      </c>
      <c r="L123" s="84" t="str">
        <f>IF('WEEK 25'!I122='WEEK 31'!J123,'WEEK 25'!M122,"")</f>
        <v/>
      </c>
      <c r="M123" s="67"/>
    </row>
    <row r="124">
      <c r="A124" s="246" t="s">
        <v>133</v>
      </c>
      <c r="B124" s="20"/>
      <c r="C124" s="20"/>
      <c r="D124" s="20"/>
      <c r="E124" s="20"/>
      <c r="F124" s="95"/>
      <c r="H124" s="246" t="s">
        <v>133</v>
      </c>
      <c r="I124" s="20"/>
      <c r="J124" s="20"/>
      <c r="K124" s="20"/>
      <c r="L124" s="20"/>
      <c r="M124" s="95"/>
    </row>
    <row r="125">
      <c r="A125" s="264" t="str">
        <f>IF(OR(ISBLANK('WEEK 31'!F120),ISBLANK('WEEK 31'!F119),ISBLANK('WEEK 31'!F118)),"",IF((AND(A122="",A123="")),5,IF((AND(A122&gt;1,A123="")),6,7)))</f>
        <v/>
      </c>
      <c r="B125" s="265">
        <f>MROUND('WEEK 31'!B127*0.9,5)</f>
        <v>0</v>
      </c>
      <c r="C125" s="266" t="s">
        <v>65</v>
      </c>
      <c r="D125" s="267" t="s">
        <v>127</v>
      </c>
      <c r="E125" s="84" t="str">
        <f>IF('WEEK 25'!B124='WEEK 31'!B125,'WEEK 25'!F124,"")</f>
        <v/>
      </c>
      <c r="F125" s="67"/>
      <c r="H125" s="264" t="str">
        <f>IF(OR(ISBLANK('WEEK 31'!N120),ISBLANK('WEEK 31'!N119),ISBLANK('WEEK 31'!N118)),"",IF((AND(H122="",H123="")),5,IF((AND(H122&gt;1,H123="")),6,7)))</f>
        <v/>
      </c>
      <c r="I125" s="265">
        <f>MROUND('WEEK 31'!J127*0.9,5)</f>
        <v>0</v>
      </c>
      <c r="J125" s="266" t="s">
        <v>65</v>
      </c>
      <c r="K125" s="267" t="s">
        <v>127</v>
      </c>
      <c r="L125" s="84" t="str">
        <f>IF('WEEK 25'!I124='WEEK 31'!J125,'WEEK 25'!M124,"")</f>
        <v/>
      </c>
      <c r="M125" s="67"/>
    </row>
    <row r="126">
      <c r="A126" s="243" t="str">
        <f>IF(OR(ISBLANK('WEEK 31'!F120),ISBLANK('WEEK 31'!F119),ISBLANK('WEEK 31'!F118)),"",IF((AND(A122="",A123="")),6,IF((AND(A122&gt;1,A123="")),7,8)))</f>
        <v/>
      </c>
      <c r="B126" s="237">
        <f>mround('WEEK 31'!B127*0.78,5)</f>
        <v>0</v>
      </c>
      <c r="C126" s="245" t="s">
        <v>65</v>
      </c>
      <c r="D126" s="65" t="s">
        <v>127</v>
      </c>
      <c r="E126" s="84" t="str">
        <f>IF('WEEK 25'!B125='WEEK 31'!B126,'WEEK 25'!F125,"")</f>
        <v/>
      </c>
      <c r="F126" s="271"/>
      <c r="H126" s="243" t="str">
        <f>IF(OR(ISBLANK('WEEK 31'!N120),ISBLANK('WEEK 31'!N119),ISBLANK('WEEK 31'!N118)),"",IF((AND(H122="",H123="")),6,IF((AND(H122&gt;1,H123="")),7,8)))</f>
        <v/>
      </c>
      <c r="I126" s="237">
        <f>mround('WEEK 31'!J127*0.78,5)</f>
        <v>0</v>
      </c>
      <c r="J126" s="245" t="s">
        <v>65</v>
      </c>
      <c r="K126" s="65" t="s">
        <v>127</v>
      </c>
      <c r="L126" s="84" t="str">
        <f>IF('WEEK 25'!I125='WEEK 31'!J126,'WEEK 25'!M125,"")</f>
        <v/>
      </c>
      <c r="M126" s="271"/>
    </row>
    <row r="127">
      <c r="A127" s="272" t="s">
        <v>124</v>
      </c>
      <c r="B127" s="273" t="str">
        <f>IF(OR(ISBLANK('WEEK 31'!F120),ISBLANK('WEEK 31'!F119),ISBLANK('WEEK 31'!F118)),"",IF('WEEK 31'!F123&gt;=1,'WEEK 31'!B123,IF('WEEK 31'!F122&gt;=4,'WEEK 31'!B122,IF('WEEK 31'!F120&lt;1,'WEEK 31'!B120-5,'WEEK 31'!B120))))</f>
        <v/>
      </c>
      <c r="C127" s="11"/>
      <c r="D127" s="11"/>
      <c r="E127" s="11"/>
      <c r="F127" s="46"/>
      <c r="H127" s="272" t="s">
        <v>124</v>
      </c>
      <c r="I127" s="273" t="str">
        <f>IF(OR(ISBLANK('WEEK 31'!N120),ISBLANK('WEEK 31'!N119),ISBLANK('WEEK 31'!N118)),"",IF('WEEK 31'!N123&gt;=1,'WEEK 31'!J123,IF('WEEK 31'!N122&gt;=4,'WEEK 31'!J122,IF('WEEK 31'!N120&lt;1,'WEEK 31'!J120-5,'WEEK 31'!J120))))</f>
        <v/>
      </c>
      <c r="J127" s="11"/>
      <c r="K127" s="11"/>
      <c r="L127" s="11"/>
      <c r="M127" s="46"/>
    </row>
    <row r="130">
      <c r="A130" s="361" t="str">
        <f>HYPERLINK("https://www.youtube.com/watch?v=gxWVN6F_uxo","2.  CABLE HIGH PULLEY ROW")</f>
        <v>2.  CABLE HIGH PULLEY ROW</v>
      </c>
      <c r="B130" s="53"/>
      <c r="C130" s="53"/>
      <c r="D130" s="53"/>
      <c r="E130" s="53"/>
      <c r="F130" s="54"/>
    </row>
    <row r="131">
      <c r="A131" s="226" t="s">
        <v>119</v>
      </c>
      <c r="B131" s="94">
        <f>IF('WEEK 30'!B122='WEEK 30'!B124,'WEEK 30'!B122+5,IF('WEEK 30'!F122&lt;=14,MROUND('WEEK 30'!B120*0.85,5),'WEEK 30'!B122))</f>
        <v>75</v>
      </c>
      <c r="C131" s="20"/>
      <c r="D131" s="20"/>
      <c r="E131" s="20"/>
      <c r="F131" s="95"/>
    </row>
    <row r="132">
      <c r="A132" s="77" t="s">
        <v>50</v>
      </c>
      <c r="B132" s="78" t="s">
        <v>51</v>
      </c>
      <c r="C132" s="78" t="s">
        <v>52</v>
      </c>
      <c r="D132" s="78" t="s">
        <v>53</v>
      </c>
      <c r="E132" s="80" t="s">
        <v>54</v>
      </c>
      <c r="F132" s="235" t="s">
        <v>55</v>
      </c>
    </row>
    <row r="133">
      <c r="A133" s="81">
        <v>1.0</v>
      </c>
      <c r="B133" s="82">
        <f>'WEEK 31'!B131</f>
        <v>75</v>
      </c>
      <c r="C133" s="65" t="s">
        <v>168</v>
      </c>
      <c r="D133" s="83" t="s">
        <v>58</v>
      </c>
      <c r="E133" s="84" t="str">
        <f>IF('WEEK 30'!B122='WEEK 31'!B133,'WEEK 30'!F122,"")</f>
        <v/>
      </c>
      <c r="F133" s="85"/>
    </row>
    <row r="134">
      <c r="A134" s="81">
        <v>2.0</v>
      </c>
      <c r="B134" s="82">
        <f>if('WEEK 31'!F133&lt;10,mround(B133*0.8,10),IF('WEEK 31'!F133&lt;=14,MROUND('WEEK 31'!B133*0.95,10),'WEEK 31'!B133))</f>
        <v>60</v>
      </c>
      <c r="C134" s="65" t="s">
        <v>168</v>
      </c>
      <c r="D134" s="83" t="s">
        <v>58</v>
      </c>
      <c r="E134" s="84" t="str">
        <f>IF('WEEK 30'!B123='WEEK 31'!B134,'WEEK 30'!F123,"")</f>
        <v/>
      </c>
      <c r="F134" s="85"/>
    </row>
    <row r="135">
      <c r="A135" s="86">
        <v>3.0</v>
      </c>
      <c r="B135" s="87">
        <f>if('WEEK 31'!F134&lt;8,mround('WEEK 31'!B134*0.8,10),IF('WEEK 31'!F134&lt;=14,MROUND('WEEK 31'!B134*0.95,10),'WEEK 31'!B134))</f>
        <v>50</v>
      </c>
      <c r="C135" s="71" t="s">
        <v>168</v>
      </c>
      <c r="D135" s="88" t="s">
        <v>58</v>
      </c>
      <c r="E135" s="89" t="str">
        <f>IF('WEEK 30'!B124='WEEK 31'!B135,'WEEK 30'!F124,"")</f>
        <v/>
      </c>
      <c r="F135" s="85"/>
    </row>
    <row r="137">
      <c r="A137" s="513" t="str">
        <f>HYPERLINK("https://youtu.be/QUNZvtb6mnY","3. DUMBBELL SIDE LATERAL RAISE")</f>
        <v>3. DUMBBELL SIDE LATERAL RAISE</v>
      </c>
      <c r="B137" s="53"/>
      <c r="C137" s="53"/>
      <c r="D137" s="53"/>
      <c r="E137" s="53"/>
      <c r="F137" s="54"/>
    </row>
    <row r="138">
      <c r="A138" s="226" t="s">
        <v>119</v>
      </c>
      <c r="B138" s="90" t="str">
        <f>'WEEK 31'!B127</f>
        <v/>
      </c>
      <c r="C138" s="13"/>
      <c r="D138" s="13"/>
      <c r="E138" s="13"/>
      <c r="F138" s="57"/>
    </row>
    <row r="139">
      <c r="A139" s="376" t="s">
        <v>50</v>
      </c>
      <c r="B139" s="79" t="s">
        <v>51</v>
      </c>
      <c r="C139" s="79" t="s">
        <v>52</v>
      </c>
      <c r="D139" s="79" t="s">
        <v>53</v>
      </c>
      <c r="E139" s="98" t="s">
        <v>54</v>
      </c>
      <c r="F139" s="377" t="s">
        <v>55</v>
      </c>
    </row>
    <row r="140">
      <c r="A140" s="81">
        <v>1.0</v>
      </c>
      <c r="B140" s="82">
        <f>mround('WEEK 31'!B138*0.2,5)</f>
        <v>0</v>
      </c>
      <c r="C140" s="65" t="s">
        <v>61</v>
      </c>
      <c r="D140" s="83" t="s">
        <v>57</v>
      </c>
      <c r="E140" s="84" t="str">
        <f>IF('WEEK 30'!B130='WEEK 31'!B140,'WEEK 30'!F130,"")</f>
        <v/>
      </c>
      <c r="F140" s="796"/>
    </row>
    <row r="141">
      <c r="A141" s="81">
        <v>2.0</v>
      </c>
      <c r="B141" s="82">
        <f>if('WEEK 31'!F140&lt;15,mround('WEEK 31'!B138*0.15,2.5),'WEEK 31'!B140)</f>
        <v>0</v>
      </c>
      <c r="C141" s="65" t="s">
        <v>61</v>
      </c>
      <c r="D141" s="83" t="s">
        <v>57</v>
      </c>
      <c r="E141" s="84" t="str">
        <f>IF('WEEK 30'!B131='WEEK 31'!B141,'WEEK 30'!F131,"")</f>
        <v/>
      </c>
      <c r="F141" s="330"/>
    </row>
    <row r="142">
      <c r="A142" s="86">
        <v>3.0</v>
      </c>
      <c r="B142" s="87">
        <f>if('WEEK 31'!F141&lt;15,mround('WEEK 31'!B138*0.1,2.5),'WEEK 31'!B141)</f>
        <v>0</v>
      </c>
      <c r="C142" s="71" t="s">
        <v>61</v>
      </c>
      <c r="D142" s="88" t="s">
        <v>57</v>
      </c>
      <c r="E142" s="89" t="str">
        <f>IF('WEEK 30'!B132='WEEK 31'!B142,'WEEK 30'!F132,"")</f>
        <v/>
      </c>
      <c r="F142" s="85"/>
    </row>
    <row r="144">
      <c r="A144" s="361" t="str">
        <f>HYPERLINK("https://www.youtube.com/watch?v=Zt0LwrUdpNs","2.  TRICEP OVERHEAD ROPE EXTENSION")</f>
        <v>2.  TRICEP OVERHEAD ROPE EXTENSION</v>
      </c>
      <c r="B144" s="53"/>
      <c r="C144" s="53"/>
      <c r="D144" s="53"/>
      <c r="E144" s="53"/>
      <c r="F144" s="54"/>
    </row>
    <row r="145">
      <c r="A145" s="226" t="s">
        <v>155</v>
      </c>
      <c r="B145" s="76">
        <f>IF('WEEK 28'!B139='WEEK 28'!B141,'WEEK 28'!B139+5,IF(F135&lt;=15,MROUND('WEEK 28'!B137*0.85,5),'WEEK 28'!B139))</f>
        <v>15</v>
      </c>
      <c r="C145" s="13"/>
      <c r="D145" s="13"/>
      <c r="E145" s="13"/>
      <c r="F145" s="57"/>
    </row>
    <row r="146">
      <c r="A146" s="77" t="s">
        <v>50</v>
      </c>
      <c r="B146" s="78" t="s">
        <v>51</v>
      </c>
      <c r="C146" s="78" t="s">
        <v>52</v>
      </c>
      <c r="D146" s="78" t="s">
        <v>53</v>
      </c>
      <c r="E146" s="80" t="s">
        <v>54</v>
      </c>
      <c r="F146" s="235" t="s">
        <v>55</v>
      </c>
    </row>
    <row r="147">
      <c r="A147" s="81">
        <v>1.0</v>
      </c>
      <c r="B147" s="82">
        <f>'WEEK 31'!B145</f>
        <v>15</v>
      </c>
      <c r="C147" s="65" t="s">
        <v>61</v>
      </c>
      <c r="D147" s="83" t="s">
        <v>58</v>
      </c>
      <c r="E147" s="84" t="str">
        <f>IF('WEEK 28'!B139='WEEK 31'!B147,'WEEK 28'!B139,"")</f>
        <v/>
      </c>
      <c r="F147" s="85"/>
    </row>
    <row r="148">
      <c r="A148" s="81">
        <v>2.0</v>
      </c>
      <c r="B148" s="82">
        <f>if('WEEK 31'!F147&lt;10,mround('WEEK 31'!B147*0.8,5),IF('WEEK 31'!F147&lt;=14,MROUND('WEEK 31'!B145*0.95,5),'WEEK 31'!B147))</f>
        <v>10</v>
      </c>
      <c r="C148" s="65" t="s">
        <v>61</v>
      </c>
      <c r="D148" s="83" t="s">
        <v>58</v>
      </c>
      <c r="E148" s="84">
        <f>IF('WEEK 28'!B140='WEEK 31'!B148,'WEEK 28'!B140,"")</f>
        <v>10</v>
      </c>
      <c r="F148" s="85"/>
    </row>
    <row r="149">
      <c r="A149" s="86">
        <v>3.0</v>
      </c>
      <c r="B149" s="87">
        <f>if('WEEK 31'!F148&lt;10,mround('WEEK 31'!B148*0.8,5),IF('WEEK 31'!F148&lt;=14,MROUND('WEEK 31'!B146*0.95,5),'WEEK 31'!B148))</f>
        <v>10</v>
      </c>
      <c r="C149" s="71" t="s">
        <v>61</v>
      </c>
      <c r="D149" s="88" t="s">
        <v>58</v>
      </c>
      <c r="E149" s="89">
        <f>IF('WEEK 28'!B141='WEEK 31'!B149,'WEEK 28'!B141,"")</f>
        <v>10</v>
      </c>
      <c r="F149" s="85"/>
    </row>
    <row r="152">
      <c r="A152" s="75" t="str">
        <f>HYPERLINK("https://www.youtube.com/watch?v=Bi6Do6QIlpQ","4. BICEP EZ BAR CURL")</f>
        <v>4. BICEP EZ BAR CURL</v>
      </c>
      <c r="B152" s="53"/>
      <c r="C152" s="53"/>
      <c r="D152" s="53"/>
      <c r="E152" s="53"/>
      <c r="F152" s="54"/>
    </row>
    <row r="153">
      <c r="A153" s="282" t="s">
        <v>119</v>
      </c>
      <c r="B153" s="852" t="str">
        <f>'WEEK 26'!I162</f>
        <v/>
      </c>
      <c r="C153" s="16"/>
      <c r="D153" s="16"/>
      <c r="E153" s="16"/>
      <c r="F153" s="230"/>
    </row>
    <row r="154">
      <c r="A154" s="364" t="s">
        <v>50</v>
      </c>
      <c r="B154" s="365" t="s">
        <v>51</v>
      </c>
      <c r="C154" s="365" t="s">
        <v>52</v>
      </c>
      <c r="D154" s="365" t="s">
        <v>53</v>
      </c>
      <c r="E154" s="367" t="s">
        <v>54</v>
      </c>
      <c r="F154" s="61" t="s">
        <v>55</v>
      </c>
    </row>
    <row r="155">
      <c r="A155" s="308">
        <v>1.0</v>
      </c>
      <c r="B155" s="237">
        <f>mround('WEEK 31'!B153*0.5,5)</f>
        <v>0</v>
      </c>
      <c r="C155" s="64" t="s">
        <v>193</v>
      </c>
      <c r="D155" s="238" t="s">
        <v>57</v>
      </c>
      <c r="E155" s="1143"/>
      <c r="F155" s="67"/>
    </row>
    <row r="156">
      <c r="A156" s="1144" t="s">
        <v>194</v>
      </c>
      <c r="B156" s="20"/>
      <c r="C156" s="20"/>
      <c r="D156" s="20"/>
      <c r="E156" s="20"/>
      <c r="F156" s="95"/>
    </row>
    <row r="157">
      <c r="A157" s="244">
        <v>2.0</v>
      </c>
      <c r="B157" s="237">
        <f>mround('WEEK 31'!B153*1.05,5)</f>
        <v>0</v>
      </c>
      <c r="C157" s="64" t="s">
        <v>193</v>
      </c>
      <c r="D157" s="238" t="s">
        <v>57</v>
      </c>
      <c r="E157" s="66"/>
      <c r="F157" s="67"/>
    </row>
    <row r="158">
      <c r="A158" s="1145" t="str">
        <f>IF('WEEK 31'!F157&gt;=10,"ATTEMPT NEW 4 MAX AGAIN","DOWN SET")</f>
        <v>DOWN SET</v>
      </c>
      <c r="B158" s="20"/>
      <c r="C158" s="20"/>
      <c r="D158" s="20"/>
      <c r="E158" s="20"/>
      <c r="F158" s="95"/>
    </row>
    <row r="159">
      <c r="A159" s="62" t="str">
        <f>IF(OR(ISBLANK('WEEK 31'!F155),ISBLANK('WEEK 31'!F157)),"","1")</f>
        <v/>
      </c>
      <c r="B159" s="237" t="str">
        <f>IF(OR(ISBLANK('WEEK 31'!F155),ISBLANK('WEEK 31'!F157)),"",IF('WEEK 31'!F157&gt;=10,'WEEK 31'!B157+5,mround('WEEK 31'!B157*0.9,5)))</f>
        <v/>
      </c>
      <c r="C159" s="437" t="str">
        <f>IF(OR(ISBLANK('WEEK 31'!F155),ISBLANK('WEEK 31'!F157)),"",if('WEEK 31'!F157&gt;=10,"REP OUT",10))</f>
        <v/>
      </c>
      <c r="D159" s="65" t="str">
        <f>IF(OR(ISBLANK('WEEK 31'!F155),ISBLANK('WEEK 31'!F157)),"","1 MIN")</f>
        <v/>
      </c>
      <c r="E159" s="66"/>
      <c r="F159" s="665"/>
    </row>
    <row r="160">
      <c r="A160" s="62" t="str">
        <f>IF(OR(ISBLANK('WEEK 31'!F155),ISBLANK('WEEK 31'!F157),ISBLANK('WEEK 31'!F159)),"","2")</f>
        <v/>
      </c>
      <c r="B160" s="82" t="str">
        <f>IF(OR(ISBLANK('WEEK 31'!F155),ISBLANK('WEEK 31'!F157),ISBLANK('WEEK 31'!F159)),"",IF('WEEK 31'!F157&lt;10,mround('WEEK 31'!B159*0.85,5),mround('WEEK 31'!B159*0.9,5)))</f>
        <v/>
      </c>
      <c r="C160" s="1146" t="str">
        <f>IF(OR(ISBLANK('WEEK 31'!F155),ISBLANK('WEEK 31'!F157),ISBLANK('WEEK 31'!F159)),"","REP OUT")</f>
        <v/>
      </c>
      <c r="D160" s="63" t="str">
        <f>IF(OR(ISBLANK('WEEK 31'!F155),ISBLANK('WEEK 31'!F157),ISBLANK('WEEK 31'!F159)),"","1 MIN")</f>
        <v/>
      </c>
      <c r="E160" s="66"/>
      <c r="F160" s="67"/>
    </row>
    <row r="161">
      <c r="A161" s="1147" t="s">
        <v>124</v>
      </c>
      <c r="B161" s="925" t="str">
        <f>IF('WEEK 31'!F157&lt;10,'WEEK 31'!B153,IF('WEEK 31'!F159&lt;10,'WEEK 31'!B157,IF((AND('WEEK 31'!F157&lt;=9,'WEEK 31'!F159&gt;=10)),'WEEK 31'!B153,'WEEK 31'!B159)))</f>
        <v/>
      </c>
      <c r="C161" s="33"/>
      <c r="D161" s="33"/>
      <c r="E161" s="33"/>
      <c r="F161" s="34"/>
    </row>
    <row r="162">
      <c r="A162" s="621"/>
      <c r="B162" s="621"/>
      <c r="C162" s="621"/>
      <c r="D162" s="621"/>
      <c r="E162" s="621"/>
      <c r="F162" s="416"/>
    </row>
    <row r="163">
      <c r="A163" s="621"/>
      <c r="B163" s="621"/>
      <c r="C163" s="621"/>
      <c r="D163" s="621"/>
      <c r="E163" s="621"/>
      <c r="F163" s="1510"/>
    </row>
    <row r="166">
      <c r="A166" s="1149" t="s">
        <v>135</v>
      </c>
      <c r="B166" s="36"/>
      <c r="C166" s="36"/>
      <c r="D166" s="36"/>
      <c r="E166" s="36"/>
      <c r="F166" s="37"/>
    </row>
    <row r="167">
      <c r="A167" s="1093"/>
      <c r="B167" s="1093"/>
      <c r="C167" s="1093"/>
      <c r="D167" s="1093"/>
      <c r="E167" s="1093"/>
      <c r="F167" s="1093"/>
    </row>
    <row r="168">
      <c r="A168" s="1094" t="str">
        <f>HYPERLINK("https://www.amazon.com/30-Minute-Body-Investment-Champion/dp/0692791892/ref=sr_1_1?ie=UTF8&amp;qid=1490447969&amp;sr=8-1&amp;keywords=30+minute+body","WANT TO LEARN MORE?")</f>
        <v>WANT TO LEARN MORE?</v>
      </c>
      <c r="F168" s="39"/>
    </row>
    <row r="169">
      <c r="A169" s="18"/>
      <c r="B169" s="13"/>
      <c r="C169" s="13"/>
      <c r="D169" s="13"/>
      <c r="E169" s="13"/>
      <c r="F169" s="14"/>
    </row>
    <row r="170">
      <c r="A170" s="987"/>
      <c r="B170" s="999"/>
      <c r="C170" s="1150" t="s">
        <v>67</v>
      </c>
      <c r="F170" s="28"/>
    </row>
    <row r="171">
      <c r="A171" s="987"/>
      <c r="B171" s="999"/>
      <c r="F171" s="28"/>
    </row>
    <row r="172">
      <c r="A172" s="987"/>
      <c r="B172" s="999"/>
      <c r="F172" s="28"/>
    </row>
    <row r="173">
      <c r="A173" s="987"/>
      <c r="B173" s="999"/>
      <c r="F173" s="28"/>
    </row>
    <row r="174">
      <c r="A174" s="987"/>
      <c r="B174" s="999"/>
      <c r="F174" s="28"/>
    </row>
    <row r="175">
      <c r="A175" s="987"/>
      <c r="B175" s="999"/>
      <c r="F175" s="28"/>
    </row>
    <row r="176">
      <c r="A176" s="623"/>
      <c r="B176" s="999"/>
      <c r="F176" s="28"/>
    </row>
    <row r="177">
      <c r="A177" s="987"/>
      <c r="B177" s="999"/>
      <c r="F177" s="28"/>
    </row>
    <row r="178">
      <c r="A178" s="987"/>
      <c r="B178" s="999"/>
      <c r="F178" s="28"/>
    </row>
    <row r="179">
      <c r="A179" s="1034"/>
      <c r="B179" s="999"/>
      <c r="F179" s="28"/>
    </row>
    <row r="180">
      <c r="A180" s="987"/>
      <c r="B180" s="999"/>
      <c r="F180" s="28"/>
    </row>
    <row r="181">
      <c r="A181" s="987"/>
      <c r="B181" s="999"/>
      <c r="F181" s="28"/>
    </row>
    <row r="182">
      <c r="A182" s="987"/>
      <c r="B182" s="999"/>
      <c r="F182" s="28"/>
    </row>
    <row r="183">
      <c r="A183" s="987"/>
      <c r="B183" s="999"/>
      <c r="F183" s="28"/>
    </row>
    <row r="184">
      <c r="A184" s="987"/>
      <c r="B184" s="999"/>
      <c r="C184" s="11"/>
      <c r="D184" s="11"/>
      <c r="E184" s="11"/>
      <c r="F184" s="46"/>
    </row>
  </sheetData>
  <mergeCells count="91">
    <mergeCell ref="A9:F9"/>
    <mergeCell ref="H9:M9"/>
    <mergeCell ref="A10:F11"/>
    <mergeCell ref="H10:M10"/>
    <mergeCell ref="A12:F12"/>
    <mergeCell ref="A13:F13"/>
    <mergeCell ref="H15:M15"/>
    <mergeCell ref="A20:F20"/>
    <mergeCell ref="B21:F21"/>
    <mergeCell ref="O20:T20"/>
    <mergeCell ref="P21:T21"/>
    <mergeCell ref="N19:N26"/>
    <mergeCell ref="N27:N28"/>
    <mergeCell ref="N29:N31"/>
    <mergeCell ref="N38:N41"/>
    <mergeCell ref="A15:F15"/>
    <mergeCell ref="A19:F19"/>
    <mergeCell ref="H19:M19"/>
    <mergeCell ref="O19:T19"/>
    <mergeCell ref="H20:M20"/>
    <mergeCell ref="I21:M21"/>
    <mergeCell ref="O27:T27"/>
    <mergeCell ref="H37:M37"/>
    <mergeCell ref="I38:M38"/>
    <mergeCell ref="H27:M27"/>
    <mergeCell ref="H29:M29"/>
    <mergeCell ref="O29:T29"/>
    <mergeCell ref="I34:M34"/>
    <mergeCell ref="P34:T34"/>
    <mergeCell ref="A35:N36"/>
    <mergeCell ref="A37:F37"/>
    <mergeCell ref="A113:F113"/>
    <mergeCell ref="A114:F114"/>
    <mergeCell ref="B115:F115"/>
    <mergeCell ref="A121:F121"/>
    <mergeCell ref="A124:F124"/>
    <mergeCell ref="B127:F127"/>
    <mergeCell ref="A130:F130"/>
    <mergeCell ref="B131:F131"/>
    <mergeCell ref="A137:F137"/>
    <mergeCell ref="B138:F138"/>
    <mergeCell ref="A144:F144"/>
    <mergeCell ref="B145:F145"/>
    <mergeCell ref="A152:F152"/>
    <mergeCell ref="B153:F153"/>
    <mergeCell ref="C170:F184"/>
    <mergeCell ref="G24:G25"/>
    <mergeCell ref="A27:F27"/>
    <mergeCell ref="A30:F30"/>
    <mergeCell ref="B33:F33"/>
    <mergeCell ref="G37:G41"/>
    <mergeCell ref="B38:F38"/>
    <mergeCell ref="A44:F44"/>
    <mergeCell ref="B45:F45"/>
    <mergeCell ref="A51:F51"/>
    <mergeCell ref="A54:F54"/>
    <mergeCell ref="B57:F57"/>
    <mergeCell ref="A59:F59"/>
    <mergeCell ref="B60:F60"/>
    <mergeCell ref="A67:F67"/>
    <mergeCell ref="B68:F68"/>
    <mergeCell ref="A74:F74"/>
    <mergeCell ref="A76:F76"/>
    <mergeCell ref="A78:F78"/>
    <mergeCell ref="B79:F79"/>
    <mergeCell ref="B90:F90"/>
    <mergeCell ref="A93:F93"/>
    <mergeCell ref="B94:F94"/>
    <mergeCell ref="B99:F99"/>
    <mergeCell ref="A100:F101"/>
    <mergeCell ref="A102:F102"/>
    <mergeCell ref="H102:M102"/>
    <mergeCell ref="B103:F103"/>
    <mergeCell ref="I103:M103"/>
    <mergeCell ref="H114:M114"/>
    <mergeCell ref="I115:M115"/>
    <mergeCell ref="H121:M121"/>
    <mergeCell ref="H124:M124"/>
    <mergeCell ref="I127:M127"/>
    <mergeCell ref="G102:G104"/>
    <mergeCell ref="G105:G106"/>
    <mergeCell ref="G107:G108"/>
    <mergeCell ref="B108:F108"/>
    <mergeCell ref="I108:M108"/>
    <mergeCell ref="A110:F110"/>
    <mergeCell ref="H113:M113"/>
    <mergeCell ref="A156:F156"/>
    <mergeCell ref="A158:F158"/>
    <mergeCell ref="B161:F161"/>
    <mergeCell ref="A166:F166"/>
    <mergeCell ref="A168:F169"/>
  </mergeCells>
  <dataValidations>
    <dataValidation type="decimal" operator="greaterThanOrEqual" allowBlank="1" showDropDown="1" showErrorMessage="1" sqref="M22:M26 F39:F41 F104:F107 F139:F142 F154:F155 F157">
      <formula1>0.0</formula1>
    </dataValidation>
    <dataValidation type="decimal" operator="greaterThanOrEqual" allowBlank="1" showDropDown="1" sqref="F22:F26 F28 F31">
      <formula1>0.0</formula1>
    </dataValidation>
  </dataValidations>
  <drawing r:id="rId2"/>
  <legacyDrawing r:id="rId3"/>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51" t="str">
        <f>'MSW31'!A1</f>
        <v/>
      </c>
    </row>
    <row r="8">
      <c r="A8" s="11"/>
      <c r="B8" s="11"/>
      <c r="C8" s="11"/>
      <c r="D8" s="11"/>
      <c r="E8" s="11"/>
      <c r="F8" s="11"/>
      <c r="G8" s="11"/>
      <c r="H8" s="11"/>
      <c r="I8" s="11"/>
      <c r="J8" s="11"/>
      <c r="K8" s="11"/>
      <c r="L8" s="11"/>
      <c r="M8" s="11"/>
      <c r="N8" s="11"/>
      <c r="O8" s="11"/>
      <c r="P8" s="11"/>
      <c r="Q8" s="11"/>
      <c r="R8" s="11"/>
      <c r="S8" s="11"/>
      <c r="T8" s="11"/>
      <c r="U8" s="11"/>
    </row>
    <row r="9">
      <c r="A9" s="1127" t="str">
        <f>'MSW31'!A9</f>
        <v>Week 31</v>
      </c>
      <c r="B9" s="36"/>
      <c r="C9" s="36"/>
      <c r="D9" s="36"/>
      <c r="E9" s="36"/>
      <c r="F9" s="37"/>
      <c r="G9" s="1533"/>
      <c r="H9" s="1151"/>
      <c r="I9" s="24" t="s">
        <v>35</v>
      </c>
      <c r="J9" s="25"/>
      <c r="K9" s="25"/>
      <c r="L9" s="25"/>
      <c r="M9" s="25"/>
      <c r="N9" s="26"/>
      <c r="O9" s="1151"/>
    </row>
    <row r="10">
      <c r="A10" s="991" t="str">
        <f>'MSW31'!A10</f>
        <v>PRESS TO RECORD BODY WEIGHT</v>
      </c>
      <c r="F10" s="28"/>
      <c r="G10" s="1534"/>
      <c r="I10" s="27" t="s">
        <v>325</v>
      </c>
      <c r="N10" s="28"/>
    </row>
    <row r="11">
      <c r="A11" s="336"/>
      <c r="B11" s="11"/>
      <c r="C11" s="11"/>
      <c r="D11" s="11"/>
      <c r="E11" s="11"/>
      <c r="F11" s="46"/>
      <c r="G11" s="1534"/>
      <c r="I11" s="29" t="s">
        <v>326</v>
      </c>
      <c r="J11" s="30"/>
      <c r="K11" s="30"/>
      <c r="L11" s="30"/>
      <c r="M11" s="30"/>
      <c r="N11" s="31"/>
    </row>
    <row r="12">
      <c r="A12" s="992" t="str">
        <f>'MSW31'!A12</f>
        <v>This Weeks Goals</v>
      </c>
      <c r="B12" s="11"/>
      <c r="C12" s="11"/>
      <c r="D12" s="11"/>
      <c r="E12" s="11"/>
      <c r="F12" s="46"/>
      <c r="G12" s="1535"/>
      <c r="I12" s="1151" t="str">
        <f>'MSW31'!H12</f>
        <v/>
      </c>
    </row>
    <row r="13">
      <c r="A13" s="1128" t="str">
        <f>'MSW31'!A13</f>
        <v>This week you will be attempting new max weights as well as experiencing high reps on leg day. Stay focused and remember rest and recovery are key to your results. Good luck!</v>
      </c>
      <c r="B13" s="11"/>
      <c r="C13" s="11"/>
      <c r="D13" s="11"/>
      <c r="E13" s="11"/>
      <c r="F13" s="46"/>
      <c r="G13" s="1536"/>
    </row>
    <row r="14">
      <c r="A14" s="1152" t="str">
        <f>'MSW31'!A14</f>
        <v/>
      </c>
      <c r="B14" s="11"/>
      <c r="C14" s="11"/>
      <c r="D14" s="11"/>
      <c r="E14" s="11"/>
      <c r="F14" s="11"/>
      <c r="G14" s="1537"/>
    </row>
    <row r="15">
      <c r="A15" s="996" t="str">
        <f>'MSW31'!A15</f>
        <v>DAY 1 </v>
      </c>
      <c r="B15" s="11"/>
      <c r="C15" s="11"/>
      <c r="D15" s="11"/>
      <c r="E15" s="11"/>
      <c r="F15" s="46"/>
      <c r="G15" s="1538"/>
      <c r="H15" s="1153" t="str">
        <f>'MSW31'!G15</f>
        <v/>
      </c>
      <c r="I15" s="1098" t="str">
        <f>'MSW31'!H15</f>
        <v>ALTERNATE WORKOUTS</v>
      </c>
      <c r="J15" s="36"/>
      <c r="K15" s="36"/>
      <c r="L15" s="36"/>
      <c r="M15" s="36"/>
      <c r="N15" s="37"/>
      <c r="O15" s="1151" t="str">
        <f>'MSW31'!N15</f>
        <v/>
      </c>
    </row>
    <row r="16">
      <c r="A16" s="1151" t="str">
        <f>'MSW31'!A16</f>
        <v/>
      </c>
    </row>
    <row r="19">
      <c r="A19" s="51" t="str">
        <f>'MSW31'!A19</f>
        <v>CHEST &amp; BACK </v>
      </c>
      <c r="B19" s="36"/>
      <c r="C19" s="36"/>
      <c r="D19" s="36"/>
      <c r="E19" s="36"/>
      <c r="F19" s="37"/>
      <c r="G19" s="657"/>
      <c r="H19" s="1151"/>
      <c r="I19" s="51" t="str">
        <f>'MSW31'!H19</f>
        <v>CHEST &amp; BACK </v>
      </c>
      <c r="J19" s="36"/>
      <c r="K19" s="36"/>
      <c r="L19" s="36"/>
      <c r="M19" s="36"/>
      <c r="N19" s="37"/>
      <c r="O19" s="141" t="str">
        <f>'MSW31'!N19</f>
        <v/>
      </c>
      <c r="P19" s="51" t="str">
        <f>'MSW31'!O19</f>
        <v>CHEST &amp; BACK </v>
      </c>
      <c r="Q19" s="36"/>
      <c r="R19" s="36"/>
      <c r="S19" s="36"/>
      <c r="T19" s="36"/>
      <c r="U19" s="37"/>
    </row>
    <row r="20">
      <c r="A20" s="225" t="str">
        <f>'MSW31'!A20</f>
        <v>1. BENCH PRESS</v>
      </c>
      <c r="B20" s="13"/>
      <c r="C20" s="13"/>
      <c r="D20" s="13"/>
      <c r="E20" s="13"/>
      <c r="F20" s="57"/>
      <c r="G20" s="1539"/>
      <c r="I20" s="52" t="str">
        <f>'MSW31'!H20</f>
        <v>1. DUMBBELL INCLINE PRESS</v>
      </c>
      <c r="J20" s="53"/>
      <c r="K20" s="53"/>
      <c r="L20" s="53"/>
      <c r="M20" s="53"/>
      <c r="N20" s="54"/>
      <c r="P20" s="52" t="str">
        <f>'MSW31'!O20</f>
        <v>1. MACHINE PRESS</v>
      </c>
      <c r="Q20" s="53"/>
      <c r="R20" s="53"/>
      <c r="S20" s="53"/>
      <c r="T20" s="53"/>
      <c r="U20" s="53"/>
    </row>
    <row r="21">
      <c r="A21" s="226" t="str">
        <f>'MSW31'!A21</f>
        <v>CURRENT MAX</v>
      </c>
      <c r="B21" s="227">
        <f>'MSW31'!B21</f>
        <v>265</v>
      </c>
      <c r="C21" s="20"/>
      <c r="D21" s="20"/>
      <c r="E21" s="20"/>
      <c r="F21" s="95"/>
      <c r="G21" s="1540"/>
      <c r="I21" s="228" t="str">
        <f>'MSW31'!H21</f>
        <v>CURRENT MAX</v>
      </c>
      <c r="J21" s="229">
        <f>'MSW31'!I21</f>
        <v>95</v>
      </c>
      <c r="K21" s="16"/>
      <c r="L21" s="16"/>
      <c r="M21" s="16"/>
      <c r="N21" s="230"/>
      <c r="P21" s="228" t="str">
        <f>'MSW31'!O21</f>
        <v>CURRENT MAX</v>
      </c>
      <c r="Q21" s="229" t="str">
        <f>'MSW31'!P21</f>
        <v/>
      </c>
      <c r="R21" s="16"/>
      <c r="S21" s="16"/>
      <c r="T21" s="16"/>
      <c r="U21" s="16"/>
    </row>
    <row r="22">
      <c r="A22" s="231" t="str">
        <f>'MSW31'!A22</f>
        <v>SET</v>
      </c>
      <c r="B22" s="232" t="str">
        <f>'MSW31'!B22</f>
        <v>WEIGHT</v>
      </c>
      <c r="C22" s="232" t="str">
        <f>'MSW31'!C22</f>
        <v>REPS</v>
      </c>
      <c r="D22" s="232" t="str">
        <f>'MSW31'!D22</f>
        <v>REST</v>
      </c>
      <c r="E22" s="233" t="str">
        <f>'MSW31'!E22</f>
        <v>PREVIOUS</v>
      </c>
      <c r="F22" s="61" t="str">
        <f>'MSW31'!F22</f>
        <v>REP LOG</v>
      </c>
      <c r="G22" s="1541"/>
      <c r="I22" s="96" t="str">
        <f>'MSW31'!H22</f>
        <v>SET</v>
      </c>
      <c r="J22" s="97" t="str">
        <f>'MSW31'!I22</f>
        <v>WEIGHT</v>
      </c>
      <c r="K22" s="97" t="str">
        <f>'MSW31'!J22</f>
        <v>REPS</v>
      </c>
      <c r="L22" s="97" t="str">
        <f>'MSW31'!K22</f>
        <v>REST</v>
      </c>
      <c r="M22" s="98" t="str">
        <f>'MSW31'!L22</f>
        <v>PREVIOUS</v>
      </c>
      <c r="N22" s="235" t="str">
        <f>'MSW31'!M22</f>
        <v>REP LOG</v>
      </c>
      <c r="P22" s="96" t="str">
        <f>'MSW31'!O22</f>
        <v>SET</v>
      </c>
      <c r="Q22" s="97" t="str">
        <f>'MSW31'!P22</f>
        <v>WEIGHT</v>
      </c>
      <c r="R22" s="97" t="str">
        <f>'MSW31'!Q22</f>
        <v>REPS</v>
      </c>
      <c r="S22" s="97" t="str">
        <f>'MSW31'!R22</f>
        <v>REST</v>
      </c>
      <c r="T22" s="98" t="str">
        <f>'MSW31'!S22</f>
        <v>PREVIOUS</v>
      </c>
      <c r="U22" s="235" t="str">
        <f>'MSW31'!T22</f>
        <v>REP LOG</v>
      </c>
    </row>
    <row r="23">
      <c r="A23" s="236">
        <f>'MSW31'!A23</f>
        <v>1</v>
      </c>
      <c r="B23" s="237">
        <f>'MSW31'!B23</f>
        <v>45</v>
      </c>
      <c r="C23" s="237">
        <f>'MSW31'!C23</f>
        <v>6</v>
      </c>
      <c r="D23" s="238" t="str">
        <f>'MSW31'!D23</f>
        <v>30s</v>
      </c>
      <c r="E23" s="66" t="str">
        <f>'MSW31'!E23</f>
        <v/>
      </c>
      <c r="F23" s="67"/>
      <c r="G23" s="1542"/>
      <c r="I23" s="244">
        <f>'MSW31'!H23</f>
        <v>1</v>
      </c>
      <c r="J23" s="241">
        <f>'MSW31'!I23</f>
        <v>35</v>
      </c>
      <c r="K23" s="63">
        <f>'MSW31'!J23</f>
        <v>6</v>
      </c>
      <c r="L23" s="83" t="str">
        <f>'MSW31'!K23</f>
        <v>1-3 MIN</v>
      </c>
      <c r="M23" s="84" t="str">
        <f>'MSW31'!L23</f>
        <v/>
      </c>
      <c r="N23" s="85">
        <v>6.0</v>
      </c>
      <c r="P23" s="244">
        <f>'MSW31'!O23</f>
        <v>1</v>
      </c>
      <c r="Q23" s="241">
        <f>'MSW31'!P23</f>
        <v>0</v>
      </c>
      <c r="R23" s="63">
        <f>'MSW31'!Q23</f>
        <v>6</v>
      </c>
      <c r="S23" s="83" t="str">
        <f>'MSW31'!R23</f>
        <v>1-3 MIN</v>
      </c>
      <c r="T23" s="84" t="str">
        <f>'MSW31'!S23</f>
        <v/>
      </c>
      <c r="U23" s="85"/>
    </row>
    <row r="24">
      <c r="A24" s="236">
        <f>'MSW31'!A24</f>
        <v>2</v>
      </c>
      <c r="B24" s="237">
        <f>'MSW31'!B24</f>
        <v>210</v>
      </c>
      <c r="C24" s="237">
        <f>'MSW31'!C24</f>
        <v>1</v>
      </c>
      <c r="D24" s="238" t="str">
        <f>'MSW31'!D24</f>
        <v>1-2 MIN</v>
      </c>
      <c r="E24" s="66" t="str">
        <f>'MSW31'!E24</f>
        <v/>
      </c>
      <c r="F24" s="67"/>
      <c r="G24" s="1542"/>
      <c r="H24" s="1154" t="str">
        <f>'MSW31'!G24</f>
        <v>Alternate</v>
      </c>
      <c r="I24" s="240">
        <f>'MSW31'!H24</f>
        <v>2</v>
      </c>
      <c r="J24" s="241">
        <f>'MSW31'!I24</f>
        <v>60</v>
      </c>
      <c r="K24" s="241">
        <f>'MSW31'!J24</f>
        <v>1</v>
      </c>
      <c r="L24" s="83" t="str">
        <f>'MSW31'!K24</f>
        <v>1-3 MIN</v>
      </c>
      <c r="M24" s="84" t="str">
        <f>'MSW31'!L24</f>
        <v/>
      </c>
      <c r="N24" s="85">
        <v>1.0</v>
      </c>
      <c r="P24" s="240">
        <f>'MSW31'!O24</f>
        <v>2</v>
      </c>
      <c r="Q24" s="241">
        <f>'MSW31'!P24</f>
        <v>0</v>
      </c>
      <c r="R24" s="241">
        <f>'MSW31'!Q24</f>
        <v>1</v>
      </c>
      <c r="S24" s="83" t="str">
        <f>'MSW31'!R24</f>
        <v>1-3 MIN</v>
      </c>
      <c r="T24" s="84" t="str">
        <f>'MSW31'!S24</f>
        <v/>
      </c>
      <c r="U24" s="85"/>
    </row>
    <row r="25">
      <c r="A25" s="242">
        <f>'MSW31'!A25</f>
        <v>3</v>
      </c>
      <c r="B25" s="237">
        <f>'MSW31'!B25</f>
        <v>240</v>
      </c>
      <c r="C25" s="82">
        <f>'MSW31'!C25</f>
        <v>1</v>
      </c>
      <c r="D25" s="238" t="str">
        <f>'MSW31'!D25</f>
        <v>1-2 MIN</v>
      </c>
      <c r="E25" s="66" t="str">
        <f>'MSW31'!E25</f>
        <v/>
      </c>
      <c r="F25" s="67"/>
      <c r="G25" s="1542"/>
      <c r="I25" s="240">
        <f>'MSW31'!H25</f>
        <v>3</v>
      </c>
      <c r="J25" s="241">
        <f>'MSW31'!I25</f>
        <v>80</v>
      </c>
      <c r="K25" s="63">
        <f>'MSW31'!J25</f>
        <v>1</v>
      </c>
      <c r="L25" s="83" t="str">
        <f>'MSW31'!K25</f>
        <v>1-3 MIN</v>
      </c>
      <c r="M25" s="84" t="str">
        <f>'MSW31'!L25</f>
        <v/>
      </c>
      <c r="N25" s="85">
        <v>1.0</v>
      </c>
      <c r="P25" s="240">
        <f>'MSW31'!O25</f>
        <v>3</v>
      </c>
      <c r="Q25" s="241">
        <f>'MSW31'!P25</f>
        <v>0</v>
      </c>
      <c r="R25" s="241">
        <f>'MSW31'!Q25</f>
        <v>1</v>
      </c>
      <c r="S25" s="83" t="str">
        <f>'MSW31'!R25</f>
        <v>1-3 MIN</v>
      </c>
      <c r="T25" s="84" t="str">
        <f>'MSW31'!S25</f>
        <v/>
      </c>
      <c r="U25" s="85"/>
    </row>
    <row r="26">
      <c r="A26" s="243">
        <f>'MSW31'!A26</f>
        <v>4</v>
      </c>
      <c r="B26" s="237">
        <f>'MSW31'!B26</f>
        <v>265</v>
      </c>
      <c r="C26" s="175">
        <f>'MSW31'!C26</f>
        <v>1</v>
      </c>
      <c r="D26" s="238" t="str">
        <f>'MSW31'!D26</f>
        <v>1-5 MIN</v>
      </c>
      <c r="E26" s="66" t="str">
        <f>'MSW31'!E26</f>
        <v/>
      </c>
      <c r="F26" s="67"/>
      <c r="G26" s="1542"/>
      <c r="H26" s="1151"/>
      <c r="I26" s="240">
        <f>'MSW31'!H26</f>
        <v>4</v>
      </c>
      <c r="J26" s="241">
        <f>'MSW31'!I26</f>
        <v>95</v>
      </c>
      <c r="K26" s="245" t="str">
        <f>'MSW31'!J26</f>
        <v>REP OUT</v>
      </c>
      <c r="L26" s="83" t="str">
        <f>'MSW31'!K26</f>
        <v>1-3 MIN</v>
      </c>
      <c r="M26" s="84" t="str">
        <f>'MSW31'!L26</f>
        <v/>
      </c>
      <c r="N26" s="85">
        <v>2.0</v>
      </c>
      <c r="P26" s="240">
        <f>'MSW31'!O26</f>
        <v>4</v>
      </c>
      <c r="Q26" s="241">
        <f>'MSW31'!P26</f>
        <v>0</v>
      </c>
      <c r="R26" s="245" t="str">
        <f>'MSW31'!Q26</f>
        <v>REP OUT</v>
      </c>
      <c r="S26" s="83" t="str">
        <f>'MSW31'!R26</f>
        <v>1-3 MIN</v>
      </c>
      <c r="T26" s="84" t="str">
        <f>'MSW31'!S26</f>
        <v/>
      </c>
      <c r="U26" s="85"/>
    </row>
    <row r="27">
      <c r="A27" s="246" t="str">
        <f>'MSW31'!A27</f>
        <v>PROCEED TO DOWN SETS</v>
      </c>
      <c r="B27" s="20"/>
      <c r="C27" s="20"/>
      <c r="D27" s="20"/>
      <c r="E27" s="20"/>
      <c r="F27" s="95"/>
      <c r="G27" s="1543"/>
      <c r="I27" s="248" t="str">
        <f>'MSW31'!H27</f>
        <v>PROCEED TO DOWN SETS</v>
      </c>
      <c r="N27" s="28"/>
      <c r="O27" s="247" t="str">
        <f>'MSW31'!N27</f>
        <v>ALTERNATE</v>
      </c>
      <c r="P27" s="248" t="str">
        <f>'MSW31'!O27</f>
        <v>PROCEED TO DOWNSETS</v>
      </c>
    </row>
    <row r="28">
      <c r="A28" s="249" t="str">
        <f>'MSW31'!A28</f>
        <v/>
      </c>
      <c r="B28" s="175" t="str">
        <f>'MSW31'!B28</f>
        <v/>
      </c>
      <c r="C28" s="238" t="str">
        <f>'MSW31'!C28</f>
        <v/>
      </c>
      <c r="D28" s="238" t="str">
        <f>'MSW31'!D28</f>
        <v/>
      </c>
      <c r="E28" s="250" t="str">
        <f>'MSW31'!E28</f>
        <v/>
      </c>
      <c r="F28" s="67"/>
      <c r="G28" s="1542"/>
      <c r="I28" s="251" t="str">
        <f>'MSW31'!H28</f>
        <v/>
      </c>
      <c r="J28" s="252" t="str">
        <f>'MSW31'!I28</f>
        <v/>
      </c>
      <c r="K28" s="253" t="str">
        <f>'MSW31'!J28</f>
        <v/>
      </c>
      <c r="L28" s="254" t="str">
        <f>'MSW31'!K28</f>
        <v/>
      </c>
      <c r="M28" s="84" t="str">
        <f>'MSW31'!L28</f>
        <v/>
      </c>
      <c r="N28" s="67"/>
      <c r="P28" s="251" t="str">
        <f>'MSW31'!O28</f>
        <v/>
      </c>
      <c r="Q28" s="252" t="str">
        <f>'MSW31'!P28</f>
        <v/>
      </c>
      <c r="R28" s="253" t="str">
        <f>'MSW31'!Q28</f>
        <v/>
      </c>
      <c r="S28" s="254" t="str">
        <f>'MSW31'!R28</f>
        <v/>
      </c>
      <c r="T28" s="84" t="str">
        <f>'MSW31'!S28</f>
        <v/>
      </c>
      <c r="U28" s="665"/>
    </row>
    <row r="29">
      <c r="A29" s="256" t="str">
        <f>'MSW31'!A29</f>
        <v/>
      </c>
      <c r="B29" s="175" t="str">
        <f>'MSW31'!B29</f>
        <v/>
      </c>
      <c r="C29" s="238" t="str">
        <f>'MSW31'!C29</f>
        <v/>
      </c>
      <c r="D29" s="238" t="str">
        <f>'MSW31'!D29</f>
        <v/>
      </c>
      <c r="E29" s="258"/>
      <c r="F29" s="67"/>
      <c r="G29" s="1542"/>
      <c r="I29" s="260" t="str">
        <f>'MSW31'!H29</f>
        <v>DOWN SETS</v>
      </c>
      <c r="J29" s="16"/>
      <c r="K29" s="16"/>
      <c r="L29" s="16"/>
      <c r="M29" s="16"/>
      <c r="N29" s="230"/>
      <c r="O29" s="141" t="str">
        <f>'MSW31'!N29</f>
        <v/>
      </c>
      <c r="P29" s="260" t="str">
        <f>'MSW31'!O29</f>
        <v>FILL OUT REP LOG FIRST</v>
      </c>
      <c r="Q29" s="16"/>
      <c r="R29" s="16"/>
      <c r="S29" s="16"/>
      <c r="T29" s="16"/>
      <c r="U29" s="16"/>
    </row>
    <row r="30">
      <c r="A30" s="246" t="str">
        <f>'MSW31'!A30</f>
        <v>FILL OUT REP LOG FOR DOWN SETS</v>
      </c>
      <c r="B30" s="20"/>
      <c r="C30" s="20"/>
      <c r="D30" s="20"/>
      <c r="E30" s="20"/>
      <c r="F30" s="95"/>
      <c r="G30" s="1543"/>
      <c r="I30" s="91">
        <f>'MSW31'!H30</f>
        <v>5</v>
      </c>
      <c r="J30" s="261">
        <f>'MSW31'!I30</f>
        <v>75</v>
      </c>
      <c r="K30" s="262" t="str">
        <f>'MSW31'!J30</f>
        <v>REP OUT</v>
      </c>
      <c r="L30" s="65" t="str">
        <f>'MSW31'!K30</f>
        <v>1-3 MIN</v>
      </c>
      <c r="M30" s="84" t="str">
        <f>'MSW31'!L30</f>
        <v/>
      </c>
      <c r="N30" s="263">
        <v>8.0</v>
      </c>
      <c r="P30" s="91" t="str">
        <f>'MSW31'!O30</f>
        <v/>
      </c>
      <c r="Q30" s="261" t="str">
        <f>'MSW31'!P30</f>
        <v/>
      </c>
      <c r="R30" s="262" t="str">
        <f>'MSW31'!Q30</f>
        <v/>
      </c>
      <c r="S30" s="65" t="str">
        <f>'MSW31'!R30</f>
        <v/>
      </c>
      <c r="T30" s="84" t="str">
        <f>'MSW31'!S30</f>
        <v/>
      </c>
      <c r="U30" s="263" t="str">
        <f>'MSW31'!T30</f>
        <v/>
      </c>
    </row>
    <row r="31">
      <c r="A31" s="264" t="str">
        <f>'MSW31'!A31</f>
        <v/>
      </c>
      <c r="B31" s="265" t="str">
        <f>'MSW31'!B31</f>
        <v/>
      </c>
      <c r="C31" s="266" t="str">
        <f>'MSW31'!C31</f>
        <v/>
      </c>
      <c r="D31" s="267" t="str">
        <f>'MSW31'!D31</f>
        <v/>
      </c>
      <c r="E31" s="268" t="str">
        <f>'MSW31'!E31</f>
        <v/>
      </c>
      <c r="F31" s="67"/>
      <c r="G31" s="1542"/>
      <c r="I31" s="269">
        <f>'MSW31'!H31</f>
        <v>6</v>
      </c>
      <c r="J31" s="254">
        <f>'MSW31'!I31</f>
        <v>60</v>
      </c>
      <c r="K31" s="253" t="str">
        <f>'MSW31'!J31</f>
        <v>REP OUT</v>
      </c>
      <c r="L31" s="65" t="str">
        <f>'MSW31'!K31</f>
        <v>1-3 MIN</v>
      </c>
      <c r="M31" s="84" t="str">
        <f>'MSW31'!L31</f>
        <v/>
      </c>
      <c r="N31" s="263">
        <v>13.0</v>
      </c>
      <c r="P31" s="269" t="str">
        <f>'MSW31'!O31</f>
        <v/>
      </c>
      <c r="Q31" s="254" t="str">
        <f>'MSW31'!P31</f>
        <v/>
      </c>
      <c r="R31" s="253" t="str">
        <f>'MSW31'!Q31</f>
        <v/>
      </c>
      <c r="S31" s="65" t="str">
        <f>'MSW31'!R31</f>
        <v/>
      </c>
      <c r="T31" s="84" t="str">
        <f>'MSW31'!S31</f>
        <v/>
      </c>
      <c r="U31" s="270" t="str">
        <f>'MSW31'!T31</f>
        <v/>
      </c>
    </row>
    <row r="32">
      <c r="A32" s="243" t="str">
        <f>'MSW31'!A32</f>
        <v/>
      </c>
      <c r="B32" s="237" t="str">
        <f>'MSW31'!B32</f>
        <v/>
      </c>
      <c r="C32" s="245" t="str">
        <f>'MSW31'!C32</f>
        <v/>
      </c>
      <c r="D32" s="65" t="str">
        <f>'MSW31'!D32</f>
        <v/>
      </c>
      <c r="E32" s="258" t="str">
        <f>'MSW31'!E32</f>
        <v/>
      </c>
      <c r="F32" s="271"/>
      <c r="G32" s="1542"/>
      <c r="I32" s="269" t="str">
        <f>'MSW31'!H32</f>
        <v/>
      </c>
      <c r="J32" s="254" t="str">
        <f>'MSW31'!I32</f>
        <v/>
      </c>
      <c r="K32" s="253" t="str">
        <f>'MSW31'!J32</f>
        <v/>
      </c>
      <c r="L32" s="65" t="str">
        <f>'MSW31'!K32</f>
        <v/>
      </c>
      <c r="M32" s="84" t="str">
        <f>'MSW31'!L32</f>
        <v/>
      </c>
      <c r="N32" s="263"/>
      <c r="P32" s="269" t="str">
        <f>'MSW31'!O32</f>
        <v/>
      </c>
      <c r="Q32" s="261" t="str">
        <f>'MSW31'!P32</f>
        <v/>
      </c>
      <c r="R32" s="1155" t="str">
        <f>'MSW31'!Q32</f>
        <v/>
      </c>
      <c r="S32" s="261" t="str">
        <f>'MSW31'!R32</f>
        <v/>
      </c>
      <c r="T32" s="1156" t="str">
        <f>'MSW31'!S32</f>
        <v/>
      </c>
      <c r="U32" s="263"/>
    </row>
    <row r="33">
      <c r="A33" s="272" t="str">
        <f>'MSW31'!A33</f>
        <v>FINAL MAX</v>
      </c>
      <c r="B33" s="273" t="str">
        <f>'MSW31'!B33</f>
        <v/>
      </c>
      <c r="C33" s="11"/>
      <c r="D33" s="11"/>
      <c r="E33" s="11"/>
      <c r="F33" s="46"/>
      <c r="G33" s="1544"/>
      <c r="I33" s="269" t="str">
        <f>'MSW31'!H33</f>
        <v/>
      </c>
      <c r="J33" s="254" t="str">
        <f>'MSW31'!I33</f>
        <v/>
      </c>
      <c r="K33" s="253" t="str">
        <f>'MSW31'!J33</f>
        <v/>
      </c>
      <c r="L33" s="65" t="str">
        <f>'MSW31'!K33</f>
        <v/>
      </c>
      <c r="M33" s="84" t="str">
        <f>'MSW31'!L33</f>
        <v/>
      </c>
      <c r="N33" s="263"/>
      <c r="P33" s="269" t="str">
        <f>'MSW31'!O33</f>
        <v/>
      </c>
      <c r="Q33" s="261" t="str">
        <f>'MSW31'!P33</f>
        <v/>
      </c>
      <c r="R33" s="1155" t="str">
        <f>'MSW31'!Q33</f>
        <v/>
      </c>
      <c r="S33" s="261" t="str">
        <f>'MSW31'!R33</f>
        <v/>
      </c>
      <c r="T33" s="1156" t="str">
        <f>'MSW31'!S33</f>
        <v/>
      </c>
      <c r="U33" s="263"/>
    </row>
    <row r="34">
      <c r="A34" s="1151"/>
      <c r="G34" s="1151"/>
      <c r="I34" s="280" t="str">
        <f>'MSW31'!H34</f>
        <v>FINAL MAX</v>
      </c>
      <c r="J34" s="273">
        <f>'MSW31'!I34</f>
        <v>90</v>
      </c>
      <c r="K34" s="11"/>
      <c r="L34" s="11"/>
      <c r="M34" s="11"/>
      <c r="N34" s="46"/>
      <c r="P34" s="280" t="str">
        <f>'MSW31'!O34</f>
        <v>FINAL MAX</v>
      </c>
      <c r="Q34" s="273" t="str">
        <f>'MSW31'!P34</f>
        <v/>
      </c>
      <c r="R34" s="11"/>
      <c r="S34" s="11"/>
      <c r="T34" s="11"/>
      <c r="U34" s="11"/>
    </row>
    <row r="35">
      <c r="A35" s="658" t="str">
        <f>'MSW31'!A35</f>
        <v/>
      </c>
      <c r="P35" s="1151" t="str">
        <f>'MSW31'!O35</f>
        <v/>
      </c>
    </row>
    <row r="37">
      <c r="A37" s="440" t="str">
        <f>'MSW31'!A37</f>
        <v>2. DUMBBELL CHEST FLY</v>
      </c>
      <c r="B37" s="53"/>
      <c r="C37" s="53"/>
      <c r="D37" s="53"/>
      <c r="E37" s="53"/>
      <c r="F37" s="54"/>
      <c r="G37" s="1545"/>
      <c r="H37" s="659" t="str">
        <f>'MSW31'!G37</f>
        <v/>
      </c>
      <c r="I37" s="504" t="str">
        <f>'MSW31'!H37</f>
        <v>2. MACHINE CHEST FLY</v>
      </c>
      <c r="J37" s="53"/>
      <c r="K37" s="53"/>
      <c r="L37" s="53"/>
      <c r="M37" s="53"/>
      <c r="N37" s="54"/>
      <c r="O37" s="660" t="str">
        <f>'MSW31'!N37</f>
        <v/>
      </c>
    </row>
    <row r="38">
      <c r="A38" s="226" t="str">
        <f>'MSW31'!A38</f>
        <v>DB INCL MAX</v>
      </c>
      <c r="B38" s="548">
        <f>'MSW31'!B38</f>
        <v>90</v>
      </c>
      <c r="C38" s="13"/>
      <c r="D38" s="13"/>
      <c r="E38" s="13"/>
      <c r="F38" s="57"/>
      <c r="G38" s="1544"/>
      <c r="I38" s="226" t="str">
        <f>'MSW31'!H38</f>
        <v>CURRENT MAX</v>
      </c>
      <c r="J38" s="548">
        <f>'MSW31'!I38</f>
        <v>90</v>
      </c>
      <c r="K38" s="13"/>
      <c r="L38" s="13"/>
      <c r="M38" s="13"/>
      <c r="N38" s="57"/>
    </row>
    <row r="39">
      <c r="A39" s="96" t="str">
        <f>'MSW31'!A39</f>
        <v>SET</v>
      </c>
      <c r="B39" s="97" t="str">
        <f>'MSW31'!B39</f>
        <v>WEIGHT</v>
      </c>
      <c r="C39" s="97" t="str">
        <f>'MSW31'!C39</f>
        <v>REPS</v>
      </c>
      <c r="D39" s="97" t="str">
        <f>'MSW31'!D39</f>
        <v>REST</v>
      </c>
      <c r="E39" s="98" t="str">
        <f>'MSW31'!E39</f>
        <v>PREVIOUS</v>
      </c>
      <c r="F39" s="235" t="str">
        <f>'MSW31'!F39</f>
        <v>REP LOG</v>
      </c>
      <c r="G39" s="1546"/>
      <c r="I39" s="96" t="str">
        <f>'MSW31'!H39</f>
        <v>SET</v>
      </c>
      <c r="J39" s="97" t="str">
        <f>'MSW31'!I39</f>
        <v>WEIGHT</v>
      </c>
      <c r="K39" s="97" t="str">
        <f>'MSW31'!J39</f>
        <v>REPS</v>
      </c>
      <c r="L39" s="97" t="str">
        <f>'MSW31'!K39</f>
        <v>REST</v>
      </c>
      <c r="M39" s="341" t="str">
        <f>'MSW31'!L39</f>
        <v>PREVIOUS</v>
      </c>
      <c r="N39" s="235" t="str">
        <f>'MSW31'!M39</f>
        <v>REP LOG</v>
      </c>
    </row>
    <row r="40">
      <c r="A40" s="240">
        <f>'MSW31'!A40</f>
        <v>1</v>
      </c>
      <c r="B40" s="254">
        <f>'MSW31'!B40</f>
        <v>25</v>
      </c>
      <c r="C40" s="241">
        <f>'MSW31'!C40</f>
        <v>15</v>
      </c>
      <c r="D40" s="83" t="str">
        <f>'MSW31'!D40</f>
        <v>1-3 MIN</v>
      </c>
      <c r="E40" s="84" t="str">
        <f>'MSW31'!E40</f>
        <v/>
      </c>
      <c r="F40" s="85"/>
      <c r="G40" s="173"/>
      <c r="I40" s="240">
        <f>'MSW31'!H40</f>
        <v>1</v>
      </c>
      <c r="J40" s="254">
        <f>'MSW31'!I40</f>
        <v>140</v>
      </c>
      <c r="K40" s="241">
        <f>'MSW31'!J40</f>
        <v>15</v>
      </c>
      <c r="L40" s="83" t="str">
        <f>'MSW31'!K40</f>
        <v>1-3 MIN</v>
      </c>
      <c r="M40" s="84" t="str">
        <f>'MSW31'!L40</f>
        <v/>
      </c>
      <c r="N40" s="85">
        <v>15.0</v>
      </c>
    </row>
    <row r="41">
      <c r="A41" s="661">
        <f>'MSW31'!A41</f>
        <v>2</v>
      </c>
      <c r="B41" s="662">
        <f>'MSW31'!B41</f>
        <v>25</v>
      </c>
      <c r="C41" s="662">
        <f>'MSW31'!C41</f>
        <v>15</v>
      </c>
      <c r="D41" s="88" t="str">
        <f>'MSW31'!D41</f>
        <v>1-3 MIN</v>
      </c>
      <c r="E41" s="89" t="str">
        <f>'MSW31'!E41</f>
        <v/>
      </c>
      <c r="F41" s="85"/>
      <c r="G41" s="173"/>
      <c r="I41" s="661">
        <f>'MSW31'!H41</f>
        <v>2</v>
      </c>
      <c r="J41" s="662">
        <f>'MSW31'!I41</f>
        <v>140</v>
      </c>
      <c r="K41" s="662">
        <f>'MSW31'!J41</f>
        <v>15</v>
      </c>
      <c r="L41" s="88" t="str">
        <f>'MSW31'!K41</f>
        <v>1-3 MIN</v>
      </c>
      <c r="M41" s="89" t="str">
        <f>'MSW31'!L41</f>
        <v/>
      </c>
      <c r="N41" s="85">
        <v>15.0</v>
      </c>
    </row>
    <row r="42">
      <c r="A42" s="1151" t="str">
        <f>'MSW31'!A42</f>
        <v/>
      </c>
      <c r="G42" s="1151"/>
      <c r="H42" s="1151" t="str">
        <f>'MSW31'!G42</f>
        <v/>
      </c>
    </row>
    <row r="43">
      <c r="G43" s="1151"/>
    </row>
    <row r="44">
      <c r="A44" s="73" t="str">
        <f>'MSW31'!A44</f>
        <v>3. MACHINE HIGH ROW</v>
      </c>
      <c r="B44" s="53"/>
      <c r="C44" s="53"/>
      <c r="D44" s="53"/>
      <c r="E44" s="53"/>
      <c r="F44" s="54"/>
      <c r="G44" s="1539"/>
    </row>
    <row r="45">
      <c r="A45" s="226" t="str">
        <f>'MSW31'!A45</f>
        <v>CURRENT MAX</v>
      </c>
      <c r="B45" s="227">
        <f>'MSW31'!B45</f>
        <v>170</v>
      </c>
      <c r="C45" s="20"/>
      <c r="D45" s="20"/>
      <c r="E45" s="20"/>
      <c r="F45" s="95"/>
      <c r="G45" s="1540"/>
    </row>
    <row r="46">
      <c r="A46" s="231" t="str">
        <f>'MSW31'!A46</f>
        <v>SET</v>
      </c>
      <c r="B46" s="232" t="str">
        <f>'MSW31'!B46</f>
        <v>WEIGHT</v>
      </c>
      <c r="C46" s="232" t="str">
        <f>'MSW31'!C46</f>
        <v>REPS</v>
      </c>
      <c r="D46" s="232" t="str">
        <f>'MSW31'!D46</f>
        <v>REST</v>
      </c>
      <c r="E46" s="233" t="str">
        <f>'MSW31'!E46</f>
        <v>PREVIOUS</v>
      </c>
      <c r="F46" s="61" t="str">
        <f>'MSW31'!F46</f>
        <v>REP LOG</v>
      </c>
      <c r="G46" s="1541"/>
    </row>
    <row r="47">
      <c r="A47" s="236">
        <f>'MSW31'!A47</f>
        <v>1</v>
      </c>
      <c r="B47" s="237">
        <f>'MSW31'!B47</f>
        <v>60</v>
      </c>
      <c r="C47" s="237">
        <f>'MSW31'!C47</f>
        <v>6</v>
      </c>
      <c r="D47" s="238" t="str">
        <f>'MSW31'!D47</f>
        <v>30s</v>
      </c>
      <c r="E47" s="66" t="str">
        <f>'MSW31'!E47</f>
        <v/>
      </c>
      <c r="F47" s="67">
        <v>6.0</v>
      </c>
      <c r="G47" s="1542"/>
    </row>
    <row r="48">
      <c r="A48" s="236">
        <f>'MSW31'!A48</f>
        <v>2</v>
      </c>
      <c r="B48" s="237">
        <f>'MSW31'!B48</f>
        <v>110</v>
      </c>
      <c r="C48" s="238">
        <f>'MSW31'!C48</f>
        <v>3</v>
      </c>
      <c r="D48" s="238" t="str">
        <f>'MSW31'!D48</f>
        <v>1-2 MIN</v>
      </c>
      <c r="E48" s="66" t="str">
        <f>'MSW31'!E48</f>
        <v/>
      </c>
      <c r="F48" s="67">
        <v>3.0</v>
      </c>
      <c r="G48" s="1542"/>
    </row>
    <row r="49">
      <c r="A49" s="242">
        <f>'MSW31'!A49</f>
        <v>3</v>
      </c>
      <c r="B49" s="237">
        <f>'MSW31'!B49</f>
        <v>155</v>
      </c>
      <c r="C49" s="63">
        <f>'MSW31'!C49</f>
        <v>2</v>
      </c>
      <c r="D49" s="238" t="str">
        <f>'MSW31'!D49</f>
        <v>1-2 MIN</v>
      </c>
      <c r="E49" s="66" t="str">
        <f>'MSW31'!E49</f>
        <v/>
      </c>
      <c r="F49" s="67">
        <v>2.0</v>
      </c>
      <c r="G49" s="1542"/>
    </row>
    <row r="50">
      <c r="A50" s="243">
        <f>'MSW31'!A50</f>
        <v>4</v>
      </c>
      <c r="B50" s="237">
        <f>'MSW31'!B50</f>
        <v>170</v>
      </c>
      <c r="C50" s="257">
        <f>'MSW31'!C50</f>
        <v>3</v>
      </c>
      <c r="D50" s="238" t="str">
        <f>'MSW31'!D50</f>
        <v>1-5 MIN</v>
      </c>
      <c r="E50" s="66" t="str">
        <f>'MSW31'!E50</f>
        <v/>
      </c>
      <c r="F50" s="67">
        <v>3.0</v>
      </c>
      <c r="G50" s="1542"/>
    </row>
    <row r="51">
      <c r="A51" s="246" t="str">
        <f>'MSW31'!A51</f>
        <v>NEW 4 REP MAX ATTEMPT</v>
      </c>
      <c r="B51" s="20"/>
      <c r="C51" s="20"/>
      <c r="D51" s="20"/>
      <c r="E51" s="20"/>
      <c r="F51" s="95"/>
      <c r="G51" s="1543"/>
    </row>
    <row r="52">
      <c r="A52" s="249">
        <f>'MSW31'!A52</f>
        <v>5</v>
      </c>
      <c r="B52" s="175">
        <f>'MSW31'!B52</f>
        <v>175</v>
      </c>
      <c r="C52" s="238">
        <f>'MSW31'!C52</f>
        <v>4</v>
      </c>
      <c r="D52" s="238" t="str">
        <f>'MSW31'!D52</f>
        <v>1-5 MIN</v>
      </c>
      <c r="E52" s="250" t="str">
        <f>'MSW31'!E52</f>
        <v/>
      </c>
      <c r="F52" s="67">
        <v>4.0</v>
      </c>
      <c r="G52" s="1542"/>
    </row>
    <row r="53">
      <c r="A53" s="259" t="str">
        <f>'MSW31'!A53</f>
        <v>6</v>
      </c>
      <c r="B53" s="238">
        <v>185.0</v>
      </c>
      <c r="C53" s="257" t="str">
        <f>'MSW31'!C53</f>
        <v>4</v>
      </c>
      <c r="D53" s="257" t="str">
        <f>'MSW31'!D53</f>
        <v>1-5 MIN</v>
      </c>
      <c r="E53" s="258" t="str">
        <f>'MSW31'!E53</f>
        <v/>
      </c>
      <c r="F53" s="67"/>
      <c r="G53" s="1542"/>
    </row>
    <row r="54">
      <c r="A54" s="246" t="str">
        <f>'MSW31'!A54</f>
        <v>DOWN SETS</v>
      </c>
      <c r="B54" s="20"/>
      <c r="C54" s="20"/>
      <c r="D54" s="20"/>
      <c r="E54" s="20"/>
      <c r="F54" s="95"/>
      <c r="G54" s="1543"/>
    </row>
    <row r="55">
      <c r="A55" s="264">
        <f>'MSW31'!A55</f>
        <v>7</v>
      </c>
      <c r="B55" s="265">
        <f>'MSW31'!B55</f>
        <v>140</v>
      </c>
      <c r="C55" s="266" t="str">
        <f>'MSW31'!C55</f>
        <v>REP OUT</v>
      </c>
      <c r="D55" s="267" t="str">
        <f>'MSW31'!D55</f>
        <v>1-3 MIN</v>
      </c>
      <c r="E55" s="268" t="str">
        <f>'MSW31'!E55</f>
        <v/>
      </c>
      <c r="F55" s="67">
        <v>15.0</v>
      </c>
      <c r="G55" s="1542"/>
    </row>
    <row r="56">
      <c r="A56" s="243">
        <f>'MSW31'!A56</f>
        <v>8</v>
      </c>
      <c r="B56" s="237">
        <f>'MSW31'!B56</f>
        <v>125</v>
      </c>
      <c r="C56" s="245" t="str">
        <f>'MSW31'!C56</f>
        <v>REP OUT</v>
      </c>
      <c r="D56" s="65" t="str">
        <f>'MSW31'!D56</f>
        <v>1-3 MIN</v>
      </c>
      <c r="E56" s="258" t="str">
        <f>'MSW31'!E56</f>
        <v/>
      </c>
      <c r="F56" s="271">
        <v>19.0</v>
      </c>
      <c r="G56" s="1542"/>
    </row>
    <row r="57">
      <c r="A57" s="228" t="str">
        <f>'MSW31'!A57</f>
        <v>FINAL MAX</v>
      </c>
      <c r="B57" s="549">
        <f>'MSW31'!B57</f>
        <v>175</v>
      </c>
      <c r="F57" s="28"/>
      <c r="G57" s="1544"/>
    </row>
    <row r="58">
      <c r="A58" s="750" t="str">
        <f>'MSW31'!A58</f>
        <v/>
      </c>
      <c r="B58" s="36"/>
      <c r="C58" s="36"/>
      <c r="D58" s="36"/>
      <c r="E58" s="36"/>
      <c r="F58" s="36"/>
      <c r="G58" s="1547"/>
    </row>
    <row r="59">
      <c r="A59" s="751" t="str">
        <f>'MSW31'!A59</f>
        <v>4. LAT PULL DOWN</v>
      </c>
      <c r="B59" s="13"/>
      <c r="C59" s="13"/>
      <c r="D59" s="13"/>
      <c r="E59" s="13"/>
      <c r="F59" s="57"/>
      <c r="G59" s="1545"/>
    </row>
    <row r="60">
      <c r="A60" s="226" t="str">
        <f>'MSW31'!A60</f>
        <v>CURRENT MAX</v>
      </c>
      <c r="B60" s="691">
        <f>'MSW31'!B60</f>
        <v>225</v>
      </c>
      <c r="C60" s="13"/>
      <c r="D60" s="13"/>
      <c r="E60" s="13"/>
      <c r="F60" s="57"/>
      <c r="G60" s="1544"/>
    </row>
    <row r="61">
      <c r="A61" s="96" t="str">
        <f>'MSW31'!A61</f>
        <v>SET</v>
      </c>
      <c r="B61" s="97" t="str">
        <f>'MSW31'!B61</f>
        <v>WEIGHT</v>
      </c>
      <c r="C61" s="97" t="str">
        <f>'MSW31'!C61</f>
        <v>REPS</v>
      </c>
      <c r="D61" s="97" t="str">
        <f>'MSW31'!D61</f>
        <v>REST</v>
      </c>
      <c r="E61" s="341" t="str">
        <f>'MSW31'!E61</f>
        <v>PREVIOUS</v>
      </c>
      <c r="F61" s="235" t="str">
        <f>'MSW31'!F61</f>
        <v>REP LOG</v>
      </c>
      <c r="G61" s="1546"/>
    </row>
    <row r="62">
      <c r="A62" s="725">
        <f>'MSW31'!A62</f>
        <v>1</v>
      </c>
      <c r="B62" s="344">
        <f>'MSW31'!B62</f>
        <v>190</v>
      </c>
      <c r="C62" s="437" t="str">
        <f>'MSW31'!C62</f>
        <v>REP OUT</v>
      </c>
      <c r="D62" s="343" t="str">
        <f>'MSW31'!D62</f>
        <v>1 MIN</v>
      </c>
      <c r="E62" s="752" t="str">
        <f>'MSW31'!E62</f>
        <v/>
      </c>
      <c r="F62" s="85">
        <v>4.0</v>
      </c>
      <c r="G62" s="173"/>
    </row>
    <row r="63">
      <c r="A63" s="725">
        <f>'MSW31'!A63</f>
        <v>2</v>
      </c>
      <c r="B63" s="344">
        <f>'MSW31'!B63</f>
        <v>150</v>
      </c>
      <c r="C63" s="437" t="str">
        <f>'MSW31'!C63</f>
        <v>REP OUT</v>
      </c>
      <c r="D63" s="343" t="str">
        <f>'MSW31'!D63</f>
        <v>1 MIN</v>
      </c>
      <c r="E63" s="752" t="str">
        <f>'MSW31'!E63</f>
        <v/>
      </c>
      <c r="F63" s="85">
        <v>12.0</v>
      </c>
      <c r="G63" s="173"/>
    </row>
    <row r="64">
      <c r="A64" s="753">
        <f>'MSW31'!A64</f>
        <v>3</v>
      </c>
      <c r="B64" s="754">
        <f>'MSW31'!B64</f>
        <v>150</v>
      </c>
      <c r="C64" s="733" t="str">
        <f>'MSW31'!C64</f>
        <v>REP OUT</v>
      </c>
      <c r="D64" s="486" t="str">
        <f>'MSW31'!D64</f>
        <v>1 MIN</v>
      </c>
      <c r="E64" s="755" t="str">
        <f>'MSW31'!E64</f>
        <v/>
      </c>
      <c r="F64" s="85">
        <v>13.0</v>
      </c>
      <c r="G64" s="173"/>
    </row>
    <row r="65">
      <c r="A65" s="756" t="str">
        <f>'MSW31'!A65</f>
        <v/>
      </c>
      <c r="G65" s="756"/>
    </row>
    <row r="66">
      <c r="G66" s="756"/>
    </row>
    <row r="67">
      <c r="A67" s="73" t="str">
        <f>'MSW31'!A67</f>
        <v>5. LOW ROW </v>
      </c>
      <c r="B67" s="53"/>
      <c r="C67" s="53"/>
      <c r="D67" s="53"/>
      <c r="E67" s="53"/>
      <c r="F67" s="54"/>
      <c r="G67" s="1539"/>
    </row>
    <row r="68">
      <c r="A68" s="226" t="str">
        <f>'MSW31'!A68</f>
        <v>CURRENT MAX</v>
      </c>
      <c r="B68" s="691">
        <f>'MSW31'!B68</f>
        <v>225</v>
      </c>
      <c r="C68" s="13"/>
      <c r="D68" s="13"/>
      <c r="E68" s="13"/>
      <c r="F68" s="57"/>
      <c r="G68" s="1544"/>
    </row>
    <row r="69">
      <c r="A69" s="96" t="str">
        <f>'MSW31'!A69</f>
        <v>SET</v>
      </c>
      <c r="B69" s="97" t="str">
        <f>'MSW31'!B69</f>
        <v>WEIGHT</v>
      </c>
      <c r="C69" s="97" t="str">
        <f>'MSW31'!C69</f>
        <v>REPS</v>
      </c>
      <c r="D69" s="97" t="str">
        <f>'MSW31'!D69</f>
        <v>REST</v>
      </c>
      <c r="E69" s="341" t="str">
        <f>'MSW31'!E69</f>
        <v>PREVIOUS</v>
      </c>
      <c r="F69" s="235" t="str">
        <f>'MSW31'!F69</f>
        <v>REP LOG</v>
      </c>
      <c r="G69" s="1546"/>
    </row>
    <row r="70">
      <c r="A70" s="725">
        <f>'MSW31'!A70</f>
        <v>1</v>
      </c>
      <c r="B70" s="344">
        <f>'MSW31'!B70</f>
        <v>180</v>
      </c>
      <c r="C70" s="437" t="str">
        <f>'MSW31'!C70</f>
        <v>REP OUT</v>
      </c>
      <c r="D70" s="343" t="str">
        <f>'MSW31'!D70</f>
        <v>1-3 MIN</v>
      </c>
      <c r="E70" s="727" t="str">
        <f>'MSW31'!E70</f>
        <v/>
      </c>
      <c r="F70" s="85">
        <v>6.0</v>
      </c>
      <c r="G70" s="173"/>
    </row>
    <row r="71">
      <c r="A71" s="725">
        <f>'MSW31'!A71</f>
        <v>2</v>
      </c>
      <c r="B71" s="344">
        <f>'MSW31'!B71</f>
        <v>135</v>
      </c>
      <c r="C71" s="437" t="str">
        <f>'MSW31'!C71</f>
        <v>REP OUT</v>
      </c>
      <c r="D71" s="343" t="str">
        <f>'MSW31'!D71</f>
        <v>1-3 MIN</v>
      </c>
      <c r="E71" s="727" t="str">
        <f>'MSW31'!E71</f>
        <v/>
      </c>
      <c r="F71" s="85">
        <v>13.0</v>
      </c>
      <c r="G71" s="173"/>
    </row>
    <row r="72">
      <c r="A72" s="753">
        <f>'MSW31'!A72</f>
        <v>3</v>
      </c>
      <c r="B72" s="754">
        <f>'MSW31'!B72</f>
        <v>135</v>
      </c>
      <c r="C72" s="733" t="str">
        <f>'MSW31'!C72</f>
        <v>REP OUT</v>
      </c>
      <c r="D72" s="486" t="str">
        <f>'MSW31'!D72</f>
        <v>1-3 MIN</v>
      </c>
      <c r="E72" s="734" t="str">
        <f>'MSW31'!E72</f>
        <v/>
      </c>
      <c r="F72" s="85">
        <v>12.0</v>
      </c>
      <c r="G72" s="173"/>
    </row>
    <row r="73">
      <c r="A73" s="1157" t="str">
        <f>'MSW31'!A73</f>
        <v/>
      </c>
      <c r="F73" s="39"/>
      <c r="G73" s="1157"/>
    </row>
    <row r="74">
      <c r="A74" s="310" t="str">
        <f>'MSW31'!A74</f>
        <v>CLICK TO COMPLETE WORKOUT</v>
      </c>
      <c r="B74" s="36"/>
      <c r="C74" s="36"/>
      <c r="D74" s="36"/>
      <c r="E74" s="36"/>
      <c r="F74" s="37"/>
      <c r="G74" s="1548"/>
    </row>
    <row r="75">
      <c r="A75" s="763" t="str">
        <f>'MSW31'!A75</f>
        <v/>
      </c>
      <c r="B75" s="11"/>
      <c r="C75" s="11"/>
      <c r="D75" s="11"/>
      <c r="E75" s="11"/>
      <c r="F75" s="11"/>
      <c r="G75" s="340"/>
    </row>
    <row r="76">
      <c r="A76" s="50" t="str">
        <f>'MSW31'!A76</f>
        <v>DAY 2 </v>
      </c>
      <c r="B76" s="36"/>
      <c r="C76" s="36"/>
      <c r="D76" s="36"/>
      <c r="E76" s="36"/>
      <c r="F76" s="37"/>
      <c r="G76" s="1549"/>
    </row>
    <row r="77">
      <c r="A77" s="1151" t="str">
        <f>'MSW31'!A77</f>
        <v/>
      </c>
      <c r="G77" s="1151"/>
    </row>
    <row r="78">
      <c r="A78" s="960" t="str">
        <f>'MSW31'!A78</f>
        <v>2. LEG PRESS</v>
      </c>
      <c r="B78" s="53"/>
      <c r="C78" s="53"/>
      <c r="D78" s="53"/>
      <c r="E78" s="53"/>
      <c r="F78" s="54"/>
      <c r="G78" s="1550"/>
    </row>
    <row r="79">
      <c r="A79" s="961" t="str">
        <f>'MSW31'!A79</f>
        <v>CURRENT MAX</v>
      </c>
      <c r="B79" s="1551">
        <v>300.0</v>
      </c>
      <c r="C79" s="13"/>
      <c r="D79" s="13"/>
      <c r="E79" s="13"/>
      <c r="F79" s="57"/>
      <c r="G79" s="1552"/>
    </row>
    <row r="80">
      <c r="A80" s="231" t="str">
        <f>'MSW31'!A80</f>
        <v>SET</v>
      </c>
      <c r="B80" s="232" t="str">
        <f>'MSW31'!B80</f>
        <v>WEIGHT</v>
      </c>
      <c r="C80" s="232" t="str">
        <f>'MSW31'!C80</f>
        <v>REPS</v>
      </c>
      <c r="D80" s="232" t="str">
        <f>'MSW31'!D80</f>
        <v>REST</v>
      </c>
      <c r="E80" s="1073" t="str">
        <f>'MSW31'!E80</f>
        <v>PREVIOUS</v>
      </c>
      <c r="F80" s="1006" t="str">
        <f>'MSW31'!F80</f>
        <v>REP LOG</v>
      </c>
      <c r="G80" s="1553"/>
    </row>
    <row r="81">
      <c r="A81" s="236">
        <f>'MSW31'!A81</f>
        <v>1</v>
      </c>
      <c r="B81" s="237">
        <f>'MSW31'!B81</f>
        <v>105</v>
      </c>
      <c r="C81" s="238">
        <f>'MSW31'!C81</f>
        <v>10</v>
      </c>
      <c r="D81" s="238" t="str">
        <f>'MSW31'!D81</f>
        <v>30s</v>
      </c>
      <c r="E81" s="1130" t="str">
        <f>'MSW31'!E81</f>
        <v/>
      </c>
      <c r="F81" s="1158">
        <v>10.0</v>
      </c>
      <c r="G81" s="1554"/>
    </row>
    <row r="82">
      <c r="A82" s="236">
        <f>'MSW31'!A82</f>
        <v>2</v>
      </c>
      <c r="B82" s="237">
        <f>'MSW31'!B82</f>
        <v>195</v>
      </c>
      <c r="C82" s="238">
        <f>'MSW31'!C82</f>
        <v>10</v>
      </c>
      <c r="D82" s="238" t="str">
        <f>'MSW31'!D82</f>
        <v>1-2 MIN</v>
      </c>
      <c r="E82" s="1130" t="str">
        <f>'MSW31'!E82</f>
        <v/>
      </c>
      <c r="F82" s="1159">
        <v>10.0</v>
      </c>
      <c r="G82" s="1555"/>
    </row>
    <row r="83">
      <c r="A83" s="242">
        <f>'MSW31'!A83</f>
        <v>3</v>
      </c>
      <c r="B83" s="237">
        <f>'MSW31'!B83</f>
        <v>270</v>
      </c>
      <c r="C83" s="238">
        <f>'MSW31'!C83</f>
        <v>10</v>
      </c>
      <c r="D83" s="238" t="str">
        <f>'MSW31'!D83</f>
        <v>1-2 MIN</v>
      </c>
      <c r="E83" s="1130" t="str">
        <f>'MSW31'!E83</f>
        <v/>
      </c>
      <c r="F83" s="1159">
        <v>10.0</v>
      </c>
      <c r="G83" s="1555"/>
    </row>
    <row r="84">
      <c r="A84" s="249">
        <f>'MSW31'!A84</f>
        <v>4</v>
      </c>
      <c r="B84" s="175">
        <f>'MSW31'!B84</f>
        <v>300</v>
      </c>
      <c r="C84" s="238">
        <f>'MSW31'!C84</f>
        <v>10</v>
      </c>
      <c r="D84" s="238" t="str">
        <f>'MSW31'!D84</f>
        <v>1-5 MIN</v>
      </c>
      <c r="E84" s="1130" t="str">
        <f>'MSW31'!E84</f>
        <v/>
      </c>
      <c r="F84" s="1159">
        <v>10.0</v>
      </c>
      <c r="G84" s="1555"/>
    </row>
    <row r="85">
      <c r="A85" s="249">
        <f>'MSW31'!A85</f>
        <v>5</v>
      </c>
      <c r="B85" s="175">
        <f>'MSW31'!B85</f>
        <v>305</v>
      </c>
      <c r="C85" s="238">
        <f>'MSW31'!C85</f>
        <v>10</v>
      </c>
      <c r="D85" s="238" t="str">
        <f>'MSW31'!D85</f>
        <v>1-5 MIN</v>
      </c>
      <c r="E85" s="1130" t="str">
        <f>'MSW31'!E85</f>
        <v/>
      </c>
      <c r="F85" s="1159">
        <v>10.0</v>
      </c>
      <c r="G85" s="1555"/>
    </row>
    <row r="86">
      <c r="A86" s="249">
        <f>'MSW31'!A86</f>
        <v>6</v>
      </c>
      <c r="B86" s="175">
        <f>'MSW31'!B86</f>
        <v>310</v>
      </c>
      <c r="C86" s="238">
        <f>'MSW31'!C86</f>
        <v>10</v>
      </c>
      <c r="D86" s="238" t="str">
        <f>'MSW31'!D86</f>
        <v>1-5 MIN</v>
      </c>
      <c r="E86" s="1130" t="str">
        <f>'MSW31'!E86</f>
        <v/>
      </c>
      <c r="F86" s="1159">
        <v>10.0</v>
      </c>
      <c r="G86" s="1555"/>
    </row>
    <row r="87">
      <c r="A87" s="1038">
        <f>'MSW31'!A87</f>
        <v>7</v>
      </c>
      <c r="B87" s="175">
        <f>'MSW31'!B87</f>
        <v>315</v>
      </c>
      <c r="C87" s="238">
        <f>'MSW31'!C87</f>
        <v>10</v>
      </c>
      <c r="D87" s="238" t="str">
        <f>'MSW31'!D87</f>
        <v>1-5 MIN</v>
      </c>
      <c r="E87" s="1130" t="str">
        <f>'MSW31'!E87</f>
        <v/>
      </c>
      <c r="F87" s="1160">
        <v>10.0</v>
      </c>
      <c r="G87" s="1555"/>
    </row>
    <row r="88">
      <c r="A88" s="249">
        <f>'MSW31'!A88</f>
        <v>8</v>
      </c>
      <c r="B88" s="175">
        <f>'MSW31'!B88</f>
        <v>320</v>
      </c>
      <c r="C88" s="238">
        <f>'MSW31'!C88</f>
        <v>10</v>
      </c>
      <c r="D88" s="238" t="str">
        <f>'MSW31'!D88</f>
        <v>1-5 MIN</v>
      </c>
      <c r="E88" s="1130" t="str">
        <f>'MSW31'!E88</f>
        <v/>
      </c>
      <c r="F88" s="1161">
        <v>10.0</v>
      </c>
      <c r="G88" s="1555"/>
    </row>
    <row r="89">
      <c r="A89" s="1038">
        <f>'MSW31'!A89</f>
        <v>9</v>
      </c>
      <c r="B89" s="175">
        <f>'MSW31'!B89</f>
        <v>325</v>
      </c>
      <c r="C89" s="238">
        <f>'MSW31'!C89</f>
        <v>10</v>
      </c>
      <c r="D89" s="238" t="str">
        <f>'MSW31'!D89</f>
        <v>1-5 MIN</v>
      </c>
      <c r="E89" s="1130" t="str">
        <f>'MSW31'!E89</f>
        <v/>
      </c>
      <c r="F89" s="1161"/>
      <c r="G89" s="1555"/>
    </row>
    <row r="90">
      <c r="A90" s="272" t="str">
        <f>'MSW31'!A90</f>
        <v>10 REP MAX</v>
      </c>
      <c r="B90" s="1109">
        <f>'MSW31'!B90</f>
        <v>320</v>
      </c>
      <c r="C90" s="11"/>
      <c r="D90" s="11"/>
      <c r="E90" s="11"/>
      <c r="F90" s="46"/>
      <c r="G90" s="1556"/>
    </row>
    <row r="91">
      <c r="A91" s="1151"/>
      <c r="B91" s="1151"/>
      <c r="C91" s="1151"/>
      <c r="D91" s="1151"/>
      <c r="E91" s="1151"/>
      <c r="F91" s="1151"/>
      <c r="G91" s="1151"/>
    </row>
    <row r="92">
      <c r="A92" s="1151"/>
      <c r="B92" s="1151"/>
      <c r="C92" s="1151"/>
      <c r="D92" s="1151"/>
      <c r="E92" s="1151"/>
      <c r="F92" s="1151"/>
      <c r="G92" s="1151"/>
    </row>
    <row r="93">
      <c r="A93" s="323" t="str">
        <f>'MSW31'!A93</f>
        <v>2. LEG EXTENSION</v>
      </c>
      <c r="B93" s="53"/>
      <c r="C93" s="53"/>
      <c r="D93" s="53"/>
      <c r="E93" s="53"/>
      <c r="F93" s="54"/>
      <c r="G93" s="1557"/>
    </row>
    <row r="94">
      <c r="A94" s="226" t="str">
        <f>'MSW31'!A94</f>
        <v>CURRENT MAX</v>
      </c>
      <c r="B94" s="90">
        <v>175.0</v>
      </c>
      <c r="C94" s="13"/>
      <c r="D94" s="13"/>
      <c r="E94" s="13"/>
      <c r="F94" s="57"/>
      <c r="G94" s="1558"/>
    </row>
    <row r="95">
      <c r="A95" s="96" t="str">
        <f>'MSW31'!A95</f>
        <v>SET</v>
      </c>
      <c r="B95" s="97" t="str">
        <f>'MSW31'!B95</f>
        <v>WEIGHT</v>
      </c>
      <c r="C95" s="97" t="str">
        <f>'MSW31'!C95</f>
        <v>REPS</v>
      </c>
      <c r="D95" s="97" t="str">
        <f>'MSW31'!D95</f>
        <v>REST</v>
      </c>
      <c r="E95" s="98" t="str">
        <f>'MSW31'!E95</f>
        <v>PREVIOUS</v>
      </c>
      <c r="F95" s="235" t="str">
        <f>'MSW31'!F95</f>
        <v>REP LOG</v>
      </c>
      <c r="G95" s="1546"/>
    </row>
    <row r="96">
      <c r="A96" s="352">
        <f>'MSW31'!A96</f>
        <v>1</v>
      </c>
      <c r="B96" s="237">
        <f>'MSW31'!B96</f>
        <v>175</v>
      </c>
      <c r="C96" s="678" t="str">
        <f>'MSW31'!C96</f>
        <v>10 - 15</v>
      </c>
      <c r="D96" s="350" t="str">
        <f>'MSW31'!D96</f>
        <v>1 MIN</v>
      </c>
      <c r="E96" s="84" t="str">
        <f>'MSW31'!E96</f>
        <v/>
      </c>
      <c r="F96" s="85"/>
      <c r="G96" s="173"/>
    </row>
    <row r="97">
      <c r="A97" s="352">
        <f>'MSW31'!A97</f>
        <v>2</v>
      </c>
      <c r="B97" s="237">
        <f>'MSW31'!B97</f>
        <v>140</v>
      </c>
      <c r="C97" s="678" t="str">
        <f>'MSW31'!C97</f>
        <v>10 - 15</v>
      </c>
      <c r="D97" s="350" t="str">
        <f>'MSW31'!D97</f>
        <v>1 MIN</v>
      </c>
      <c r="E97" s="679" t="str">
        <f>'MSW31'!E97</f>
        <v/>
      </c>
      <c r="F97" s="85"/>
      <c r="G97" s="173"/>
    </row>
    <row r="98">
      <c r="A98" s="865">
        <f>'MSW31'!A98</f>
        <v>3</v>
      </c>
      <c r="B98" s="866">
        <f>'MSW31'!B98</f>
        <v>110</v>
      </c>
      <c r="C98" s="867" t="str">
        <f>'MSW31'!C98</f>
        <v>10 - 15</v>
      </c>
      <c r="D98" s="760" t="str">
        <f>'MSW31'!D98</f>
        <v>1 MIN</v>
      </c>
      <c r="E98" s="1162" t="str">
        <f>'MSW31'!E98</f>
        <v/>
      </c>
      <c r="F98" s="330"/>
      <c r="G98" s="173"/>
    </row>
    <row r="99">
      <c r="A99" s="869" t="str">
        <f>'MSW31'!A99</f>
        <v/>
      </c>
      <c r="B99" s="25"/>
      <c r="C99" s="25"/>
      <c r="D99" s="25"/>
      <c r="E99" s="25"/>
      <c r="F99" s="25"/>
      <c r="G99" s="849"/>
    </row>
    <row r="100">
      <c r="G100" s="849"/>
    </row>
    <row r="101">
      <c r="G101" s="849"/>
    </row>
    <row r="102">
      <c r="A102" s="323" t="str">
        <f>'MSW31'!A102</f>
        <v>4. MACHINE LEG CURL</v>
      </c>
      <c r="B102" s="53"/>
      <c r="C102" s="53"/>
      <c r="D102" s="53"/>
      <c r="E102" s="53"/>
      <c r="F102" s="54"/>
      <c r="G102" s="1557"/>
      <c r="H102" s="141" t="str">
        <f>'MSW31'!G102</f>
        <v/>
      </c>
      <c r="I102" s="323" t="str">
        <f>'MSW31'!H102</f>
        <v>4. PRONE LEG CURL</v>
      </c>
      <c r="J102" s="53"/>
      <c r="K102" s="53"/>
      <c r="L102" s="53"/>
      <c r="M102" s="53"/>
      <c r="N102" s="54"/>
      <c r="O102" s="1151" t="str">
        <f>'MSW31'!N102</f>
        <v/>
      </c>
      <c r="R102" s="1151"/>
    </row>
    <row r="103">
      <c r="A103" s="226" t="str">
        <f>'MSW31'!A103</f>
        <v>CURRENT MAX</v>
      </c>
      <c r="B103" s="90">
        <f>'MSW31'!B103</f>
        <v>15</v>
      </c>
      <c r="C103" s="13"/>
      <c r="D103" s="13"/>
      <c r="E103" s="13"/>
      <c r="F103" s="57"/>
      <c r="G103" s="1558"/>
      <c r="I103" s="226" t="str">
        <f>'MSW31'!H103</f>
        <v>CURRENT MAX</v>
      </c>
      <c r="J103" s="316">
        <f>'MSW31'!I103</f>
        <v>15</v>
      </c>
      <c r="K103" s="20"/>
      <c r="L103" s="20"/>
      <c r="M103" s="20"/>
      <c r="N103" s="95"/>
    </row>
    <row r="104">
      <c r="A104" s="96" t="str">
        <f>'MSW31'!A104</f>
        <v>SET</v>
      </c>
      <c r="B104" s="97" t="str">
        <f>'MSW31'!B104</f>
        <v>WEIGHT</v>
      </c>
      <c r="C104" s="97" t="str">
        <f>'MSW31'!C104</f>
        <v>REPS</v>
      </c>
      <c r="D104" s="97" t="str">
        <f>'MSW31'!D104</f>
        <v>REST</v>
      </c>
      <c r="E104" s="98" t="str">
        <f>'MSW31'!E104</f>
        <v>PREVIOUS</v>
      </c>
      <c r="F104" s="235" t="str">
        <f>'MSW31'!F104</f>
        <v>REP LOG</v>
      </c>
      <c r="G104" s="1546"/>
      <c r="I104" s="96" t="str">
        <f>'MSW31'!H104</f>
        <v>SET</v>
      </c>
      <c r="J104" s="97" t="str">
        <f>'MSW31'!I104</f>
        <v>WEIGHT</v>
      </c>
      <c r="K104" s="97" t="str">
        <f>'MSW31'!J104</f>
        <v>REPS</v>
      </c>
      <c r="L104" s="97" t="str">
        <f>'MSW31'!K104</f>
        <v>REST</v>
      </c>
      <c r="M104" s="341" t="str">
        <f>'MSW31'!L104</f>
        <v>PREVIOUS</v>
      </c>
      <c r="N104" s="235" t="str">
        <f>'MSW31'!M104</f>
        <v>REP LOG</v>
      </c>
    </row>
    <row r="105">
      <c r="A105" s="352">
        <f>'MSW31'!A105</f>
        <v>1</v>
      </c>
      <c r="B105" s="237">
        <f>'MSW31'!B105</f>
        <v>15</v>
      </c>
      <c r="C105" s="678" t="str">
        <f>'MSW31'!C105</f>
        <v>10 - 15</v>
      </c>
      <c r="D105" s="350" t="str">
        <f>'MSW31'!D105</f>
        <v>1 MIN</v>
      </c>
      <c r="E105" s="84" t="str">
        <f>'MSW31'!E105</f>
        <v/>
      </c>
      <c r="F105" s="85" t="str">
        <f>'MSW31'!F105</f>
        <v/>
      </c>
      <c r="G105" s="173"/>
      <c r="H105" s="434" t="str">
        <f>'MSW31'!G105</f>
        <v>ALTERNATE</v>
      </c>
      <c r="I105" s="352">
        <f>'MSW31'!H105</f>
        <v>1</v>
      </c>
      <c r="J105" s="237">
        <f>'MSW31'!I105</f>
        <v>15</v>
      </c>
      <c r="K105" s="678" t="str">
        <f>'MSW31'!J105</f>
        <v>10 - 15</v>
      </c>
      <c r="L105" s="350" t="str">
        <f>'MSW31'!K105</f>
        <v>1 MIN</v>
      </c>
      <c r="M105" s="84" t="str">
        <f>'MSW31'!L105</f>
        <v/>
      </c>
      <c r="N105" s="85" t="str">
        <f>'MSW31'!M105</f>
        <v/>
      </c>
    </row>
    <row r="106">
      <c r="A106" s="352">
        <f>'MSW31'!A106</f>
        <v>2</v>
      </c>
      <c r="B106" s="237">
        <f>'MSW31'!B106</f>
        <v>10</v>
      </c>
      <c r="C106" s="678" t="str">
        <f>'MSW31'!C106</f>
        <v>10 - 15</v>
      </c>
      <c r="D106" s="350" t="str">
        <f>'MSW31'!D106</f>
        <v>1 MIN</v>
      </c>
      <c r="E106" s="84" t="str">
        <f>'MSW31'!E106</f>
        <v/>
      </c>
      <c r="F106" s="85" t="str">
        <f>'MSW31'!F106</f>
        <v/>
      </c>
      <c r="G106" s="173"/>
      <c r="I106" s="352">
        <f>'MSW31'!H106</f>
        <v>2</v>
      </c>
      <c r="J106" s="237">
        <f>'MSW31'!I106</f>
        <v>10</v>
      </c>
      <c r="K106" s="681" t="str">
        <f>'MSW31'!J106</f>
        <v>10 - 15</v>
      </c>
      <c r="L106" s="350" t="str">
        <f>'MSW31'!K106</f>
        <v>1 MIN</v>
      </c>
      <c r="M106" s="84" t="str">
        <f>'MSW31'!L106</f>
        <v/>
      </c>
      <c r="N106" s="85" t="str">
        <f>'MSW31'!M106</f>
        <v/>
      </c>
    </row>
    <row r="107">
      <c r="A107" s="494">
        <f>'MSW31'!A107</f>
        <v>3</v>
      </c>
      <c r="B107" s="371">
        <f>'MSW31'!B107</f>
        <v>10</v>
      </c>
      <c r="C107" s="1163" t="str">
        <f>'MSW31'!C107</f>
        <v>10 - 15</v>
      </c>
      <c r="D107" s="1164" t="str">
        <f>'MSW31'!D107</f>
        <v>1 MIN</v>
      </c>
      <c r="E107" s="89" t="str">
        <f>'MSW31'!E107</f>
        <v/>
      </c>
      <c r="F107" s="85" t="str">
        <f>'MSW31'!F107</f>
        <v/>
      </c>
      <c r="G107" s="173"/>
      <c r="H107" s="682" t="str">
        <f>'MSW31'!G107</f>
        <v/>
      </c>
      <c r="I107" s="494">
        <f>'MSW31'!H107</f>
        <v>3</v>
      </c>
      <c r="J107" s="371">
        <f>'MSW31'!I107</f>
        <v>10</v>
      </c>
      <c r="K107" s="1165" t="str">
        <f>'MSW31'!J107</f>
        <v>10 - 15</v>
      </c>
      <c r="L107" s="1164" t="str">
        <f>'MSW31'!K107</f>
        <v>1 MIN</v>
      </c>
      <c r="M107" s="89" t="str">
        <f>'MSW31'!L107</f>
        <v/>
      </c>
      <c r="N107" s="85" t="str">
        <f>'MSW31'!M107</f>
        <v/>
      </c>
    </row>
    <row r="108">
      <c r="A108" s="1151" t="str">
        <f>'MSW31'!A109</f>
        <v/>
      </c>
      <c r="G108" s="1151"/>
      <c r="H108" s="1151" t="str">
        <f>'MSW31'!G109</f>
        <v/>
      </c>
    </row>
    <row r="109">
      <c r="G109" s="1151"/>
    </row>
    <row r="110">
      <c r="A110" s="1120" t="str">
        <f>'MSW31'!A110</f>
        <v>DAY 3</v>
      </c>
      <c r="B110" s="36"/>
      <c r="C110" s="36"/>
      <c r="D110" s="36"/>
      <c r="E110" s="36"/>
      <c r="F110" s="37"/>
      <c r="G110" s="1538"/>
    </row>
    <row r="111">
      <c r="A111" s="1151" t="str">
        <f>'MSW31'!A111</f>
        <v/>
      </c>
      <c r="G111" s="1151"/>
    </row>
    <row r="112">
      <c r="G112" s="1151"/>
    </row>
    <row r="113">
      <c r="A113" s="44" t="str">
        <f>'MSW31'!A113</f>
        <v>SHOULDERS &amp; ARMS</v>
      </c>
      <c r="B113" s="36"/>
      <c r="C113" s="36"/>
      <c r="D113" s="36"/>
      <c r="E113" s="36"/>
      <c r="F113" s="37"/>
      <c r="G113" s="212"/>
      <c r="H113" s="1151"/>
      <c r="I113" s="44" t="str">
        <f>'MSW31'!H113</f>
        <v>SHOULDERS &amp; ARMS</v>
      </c>
      <c r="J113" s="36"/>
      <c r="K113" s="36"/>
      <c r="L113" s="36"/>
      <c r="M113" s="36"/>
      <c r="N113" s="37"/>
      <c r="O113" s="1151"/>
    </row>
    <row r="114">
      <c r="A114" s="112" t="str">
        <f>'MSW31'!A114</f>
        <v>1. SHOULDER PRESS</v>
      </c>
      <c r="B114" s="13"/>
      <c r="C114" s="13"/>
      <c r="D114" s="13"/>
      <c r="E114" s="13"/>
      <c r="F114" s="57"/>
      <c r="G114" s="1559"/>
      <c r="I114" s="1139" t="str">
        <f>'MSW31'!H114</f>
        <v>1. MACHINE SHOULDER PRESS</v>
      </c>
      <c r="J114" s="13"/>
      <c r="K114" s="13"/>
      <c r="L114" s="13"/>
      <c r="M114" s="13"/>
      <c r="N114" s="57"/>
    </row>
    <row r="115">
      <c r="A115" s="226" t="str">
        <f>'MSW31'!A115</f>
        <v>CURRENT MAX</v>
      </c>
      <c r="B115" s="227" t="str">
        <f>'MSW31'!B115</f>
        <v/>
      </c>
      <c r="C115" s="20"/>
      <c r="D115" s="20"/>
      <c r="E115" s="20"/>
      <c r="F115" s="95"/>
      <c r="G115" s="1540"/>
      <c r="I115" s="226" t="str">
        <f>'MSW31'!H115</f>
        <v>CURRENT MAX</v>
      </c>
      <c r="J115" s="227">
        <f>'MSW31'!I115</f>
        <v>105</v>
      </c>
      <c r="K115" s="20"/>
      <c r="L115" s="20"/>
      <c r="M115" s="20"/>
      <c r="N115" s="95"/>
    </row>
    <row r="116">
      <c r="A116" s="231" t="str">
        <f>'MSW31'!A116</f>
        <v>SET</v>
      </c>
      <c r="B116" s="232" t="str">
        <f>'MSW31'!B116</f>
        <v>WEIGHT</v>
      </c>
      <c r="C116" s="232" t="str">
        <f>'MSW31'!C116</f>
        <v>REPS</v>
      </c>
      <c r="D116" s="232" t="str">
        <f>'MSW31'!D116</f>
        <v>REST</v>
      </c>
      <c r="E116" s="233" t="str">
        <f>'MSW31'!E116</f>
        <v>PREVIOUS</v>
      </c>
      <c r="F116" s="61" t="str">
        <f>'MSW31'!F116</f>
        <v>REP LOG</v>
      </c>
      <c r="G116" s="1541"/>
      <c r="I116" s="231" t="str">
        <f>'MSW31'!H116</f>
        <v>SET</v>
      </c>
      <c r="J116" s="232" t="str">
        <f>'MSW31'!I116</f>
        <v>WEIGHT</v>
      </c>
      <c r="K116" s="232" t="str">
        <f>'MSW31'!J116</f>
        <v>REPS</v>
      </c>
      <c r="L116" s="232" t="str">
        <f>'MSW31'!K116</f>
        <v>REST</v>
      </c>
      <c r="M116" s="233" t="str">
        <f>'MSW31'!L116</f>
        <v>PREVIOUS</v>
      </c>
      <c r="N116" s="61" t="str">
        <f>'MSW31'!M116</f>
        <v>REP LOG</v>
      </c>
    </row>
    <row r="117">
      <c r="A117" s="236">
        <f>'MSW31'!A117</f>
        <v>1</v>
      </c>
      <c r="B117" s="237">
        <f>'MSW31'!B117</f>
        <v>0</v>
      </c>
      <c r="C117" s="237">
        <f>'MSW31'!C117</f>
        <v>6</v>
      </c>
      <c r="D117" s="238" t="str">
        <f>'MSW31'!D117</f>
        <v>30s</v>
      </c>
      <c r="E117" s="66" t="str">
        <f>'MSW31'!E117</f>
        <v/>
      </c>
      <c r="F117" s="67"/>
      <c r="G117" s="1542"/>
      <c r="I117" s="1140">
        <f>'MSW31'!H117</f>
        <v>1</v>
      </c>
      <c r="J117" s="237">
        <f>'MSW31'!I117</f>
        <v>35</v>
      </c>
      <c r="K117" s="237">
        <f>'MSW31'!J117</f>
        <v>6</v>
      </c>
      <c r="L117" s="238" t="str">
        <f>'MSW31'!K117</f>
        <v>30s</v>
      </c>
      <c r="M117" s="66" t="str">
        <f>'MSW31'!L117</f>
        <v/>
      </c>
      <c r="N117" s="67"/>
    </row>
    <row r="118">
      <c r="A118" s="236">
        <f>'MSW31'!A118</f>
        <v>2</v>
      </c>
      <c r="B118" s="237">
        <f>'MSW31'!B118</f>
        <v>0</v>
      </c>
      <c r="C118" s="237">
        <f>'MSW31'!C118</f>
        <v>1</v>
      </c>
      <c r="D118" s="238" t="str">
        <f>'MSW31'!D118</f>
        <v>1-2 MIN</v>
      </c>
      <c r="E118" s="66" t="str">
        <f>'MSW31'!E118</f>
        <v/>
      </c>
      <c r="F118" s="67"/>
      <c r="G118" s="1542"/>
      <c r="I118" s="236">
        <f>'MSW31'!H118</f>
        <v>2</v>
      </c>
      <c r="J118" s="237">
        <f>'MSW31'!I118</f>
        <v>70</v>
      </c>
      <c r="K118" s="237">
        <f>'MSW31'!J118</f>
        <v>1</v>
      </c>
      <c r="L118" s="238" t="str">
        <f>'MSW31'!K118</f>
        <v>1-2 MIN</v>
      </c>
      <c r="M118" s="66" t="str">
        <f>'MSW31'!L118</f>
        <v/>
      </c>
      <c r="N118" s="67"/>
    </row>
    <row r="119">
      <c r="A119" s="242">
        <f>'MSW31'!A119</f>
        <v>3</v>
      </c>
      <c r="B119" s="237">
        <f>'MSW31'!B119</f>
        <v>0</v>
      </c>
      <c r="C119" s="82">
        <f>'MSW31'!C119</f>
        <v>1</v>
      </c>
      <c r="D119" s="238" t="str">
        <f>'MSW31'!D119</f>
        <v>1-2 MIN</v>
      </c>
      <c r="E119" s="66" t="str">
        <f>'MSW31'!E119</f>
        <v/>
      </c>
      <c r="F119" s="67"/>
      <c r="G119" s="1542"/>
      <c r="I119" s="242">
        <f>'MSW31'!H119</f>
        <v>3</v>
      </c>
      <c r="J119" s="237">
        <f>'MSW31'!I119</f>
        <v>95</v>
      </c>
      <c r="K119" s="82">
        <f>'MSW31'!J119</f>
        <v>1</v>
      </c>
      <c r="L119" s="238" t="str">
        <f>'MSW31'!K119</f>
        <v>1-2 MIN</v>
      </c>
      <c r="M119" s="66" t="str">
        <f>'MSW31'!L119</f>
        <v/>
      </c>
      <c r="N119" s="67"/>
    </row>
    <row r="120">
      <c r="A120" s="243">
        <f>'MSW31'!A120</f>
        <v>4</v>
      </c>
      <c r="B120" s="237" t="str">
        <f>'MSW31'!B120</f>
        <v/>
      </c>
      <c r="C120" s="257">
        <f>'MSW31'!C120</f>
        <v>1</v>
      </c>
      <c r="D120" s="238" t="str">
        <f>'MSW31'!D120</f>
        <v>1-5 MIN</v>
      </c>
      <c r="E120" s="66" t="str">
        <f>'MSW31'!E120</f>
        <v/>
      </c>
      <c r="F120" s="67"/>
      <c r="G120" s="1542"/>
      <c r="I120" s="243">
        <f>'MSW31'!H120</f>
        <v>4</v>
      </c>
      <c r="J120" s="237">
        <f>'MSW31'!I120</f>
        <v>105</v>
      </c>
      <c r="K120" s="257">
        <f>'MSW31'!J120</f>
        <v>1</v>
      </c>
      <c r="L120" s="238" t="str">
        <f>'MSW31'!K120</f>
        <v>1-5 MIN</v>
      </c>
      <c r="M120" s="66" t="str">
        <f>'MSW31'!L120</f>
        <v/>
      </c>
      <c r="N120" s="67"/>
    </row>
    <row r="121">
      <c r="A121" s="246" t="str">
        <f>'MSW31'!A121</f>
        <v>PROCEED TO DOWN SETS</v>
      </c>
      <c r="B121" s="20"/>
      <c r="C121" s="20"/>
      <c r="D121" s="20"/>
      <c r="E121" s="20"/>
      <c r="F121" s="95"/>
      <c r="G121" s="1543"/>
      <c r="I121" s="246" t="str">
        <f>'MSW31'!H121</f>
        <v>PROCEED TO DOWN SETS</v>
      </c>
      <c r="J121" s="20"/>
      <c r="K121" s="20"/>
      <c r="L121" s="20"/>
      <c r="M121" s="20"/>
      <c r="N121" s="95"/>
    </row>
    <row r="122">
      <c r="A122" s="249" t="str">
        <f>'MSW31'!A122</f>
        <v/>
      </c>
      <c r="B122" s="175" t="str">
        <f>'MSW31'!B122</f>
        <v/>
      </c>
      <c r="C122" s="238" t="str">
        <f>'MSW31'!C122</f>
        <v/>
      </c>
      <c r="D122" s="238" t="str">
        <f>'MSW31'!D122</f>
        <v/>
      </c>
      <c r="E122" s="250" t="str">
        <f>'MSW31'!E122</f>
        <v/>
      </c>
      <c r="F122" s="67"/>
      <c r="G122" s="1542"/>
      <c r="I122" s="249" t="str">
        <f>'MSW31'!H122</f>
        <v/>
      </c>
      <c r="J122" s="175" t="str">
        <f>'MSW31'!I122</f>
        <v/>
      </c>
      <c r="K122" s="238" t="str">
        <f>'MSW31'!J122</f>
        <v/>
      </c>
      <c r="L122" s="238" t="str">
        <f>'MSW31'!K122</f>
        <v/>
      </c>
      <c r="M122" s="250" t="str">
        <f>'MSW31'!L122</f>
        <v/>
      </c>
      <c r="N122" s="67"/>
    </row>
    <row r="123">
      <c r="A123" s="259" t="str">
        <f>'MSW31'!A123</f>
        <v/>
      </c>
      <c r="B123" s="237" t="str">
        <f>'MSW31'!B123</f>
        <v/>
      </c>
      <c r="C123" s="257" t="str">
        <f>'MSW31'!C123</f>
        <v/>
      </c>
      <c r="D123" s="257" t="str">
        <f>'MSW31'!D123</f>
        <v/>
      </c>
      <c r="E123" s="258" t="str">
        <f>'MSW31'!E123</f>
        <v/>
      </c>
      <c r="F123" s="67"/>
      <c r="G123" s="1542"/>
      <c r="I123" s="259" t="str">
        <f>'MSW31'!H123</f>
        <v/>
      </c>
      <c r="J123" s="237" t="str">
        <f>'MSW31'!I123</f>
        <v/>
      </c>
      <c r="K123" s="257" t="str">
        <f>'MSW31'!J123</f>
        <v/>
      </c>
      <c r="L123" s="257" t="str">
        <f>'MSW31'!K123</f>
        <v/>
      </c>
      <c r="M123" s="258" t="str">
        <f>'MSW31'!L123</f>
        <v/>
      </c>
      <c r="N123" s="67"/>
    </row>
    <row r="124">
      <c r="A124" s="246" t="str">
        <f>'MSW31'!A124</f>
        <v>DOWN SETS</v>
      </c>
      <c r="B124" s="20"/>
      <c r="C124" s="20"/>
      <c r="D124" s="20"/>
      <c r="E124" s="20"/>
      <c r="F124" s="95"/>
      <c r="G124" s="1543"/>
      <c r="I124" s="246"/>
      <c r="J124" s="20"/>
      <c r="K124" s="20"/>
      <c r="L124" s="20"/>
      <c r="M124" s="20"/>
      <c r="N124" s="95"/>
    </row>
    <row r="125">
      <c r="A125" s="264" t="str">
        <f>'MSW31'!A125</f>
        <v/>
      </c>
      <c r="B125" s="265">
        <f>'MSW31'!B125</f>
        <v>0</v>
      </c>
      <c r="C125" s="266" t="str">
        <f>'MSW31'!C125</f>
        <v>REP OUT</v>
      </c>
      <c r="D125" s="267" t="str">
        <f>'MSW31'!D125</f>
        <v>1-3 MIN</v>
      </c>
      <c r="E125" s="268" t="str">
        <f>'MSW31'!E125</f>
        <v/>
      </c>
      <c r="F125" s="67"/>
      <c r="G125" s="1542"/>
      <c r="I125" s="264" t="str">
        <f>'MSW31'!H125</f>
        <v/>
      </c>
      <c r="J125" s="265">
        <f>'MSW31'!I125</f>
        <v>0</v>
      </c>
      <c r="K125" s="266" t="str">
        <f>'MSW31'!J125</f>
        <v>REP OUT</v>
      </c>
      <c r="L125" s="267" t="str">
        <f>'MSW31'!K125</f>
        <v>1-3 MIN</v>
      </c>
      <c r="M125" s="268" t="str">
        <f>'MSW31'!L125</f>
        <v/>
      </c>
      <c r="N125" s="67"/>
    </row>
    <row r="126">
      <c r="A126" s="243" t="str">
        <f>'MSW31'!A126</f>
        <v/>
      </c>
      <c r="B126" s="237">
        <f>'MSW31'!B126</f>
        <v>0</v>
      </c>
      <c r="C126" s="245" t="str">
        <f>'MSW31'!C126</f>
        <v>REP OUT</v>
      </c>
      <c r="D126" s="65" t="str">
        <f>'MSW31'!D126</f>
        <v>1-3 MIN</v>
      </c>
      <c r="E126" s="258" t="str">
        <f>'MSW31'!E126</f>
        <v/>
      </c>
      <c r="F126" s="271"/>
      <c r="G126" s="1542"/>
      <c r="I126" s="243" t="str">
        <f>'MSW31'!H126</f>
        <v/>
      </c>
      <c r="J126" s="237">
        <f>'MSW31'!I126</f>
        <v>0</v>
      </c>
      <c r="K126" s="245" t="str">
        <f>'MSW31'!J126</f>
        <v>REP OUT</v>
      </c>
      <c r="L126" s="65" t="str">
        <f>'MSW31'!K126</f>
        <v>1-3 MIN</v>
      </c>
      <c r="M126" s="258" t="str">
        <f>'MSW31'!L126</f>
        <v/>
      </c>
      <c r="N126" s="271"/>
    </row>
    <row r="127">
      <c r="A127" s="228" t="str">
        <f>'MSW31'!A127</f>
        <v>FINAL MAX</v>
      </c>
      <c r="B127" s="549" t="str">
        <f>'MSW31'!B127</f>
        <v/>
      </c>
      <c r="F127" s="28"/>
      <c r="G127" s="1544"/>
      <c r="I127" s="272" t="str">
        <f>'MSW31'!H127</f>
        <v>FINAL MAX</v>
      </c>
      <c r="J127" s="273" t="str">
        <f>'MSW31'!I127</f>
        <v/>
      </c>
      <c r="K127" s="11"/>
      <c r="L127" s="11"/>
      <c r="M127" s="11"/>
      <c r="N127" s="46"/>
    </row>
    <row r="128">
      <c r="A128" s="1166" t="str">
        <f>'MSW31'!A128</f>
        <v/>
      </c>
      <c r="B128" s="25"/>
      <c r="C128" s="25"/>
      <c r="D128" s="25"/>
      <c r="E128" s="25"/>
      <c r="F128" s="25"/>
      <c r="G128" s="1560"/>
      <c r="H128" s="1151"/>
    </row>
    <row r="129">
      <c r="G129" s="1560"/>
    </row>
    <row r="130">
      <c r="A130" s="361" t="str">
        <f>'MSW31'!A130</f>
        <v>2.  CABLE HIGH PULLEY ROW</v>
      </c>
      <c r="B130" s="53"/>
      <c r="C130" s="53"/>
      <c r="D130" s="53"/>
      <c r="E130" s="53"/>
      <c r="F130" s="54"/>
      <c r="G130" s="1561"/>
    </row>
    <row r="131">
      <c r="A131" s="226" t="str">
        <f>'MSW31'!A131</f>
        <v>CURRENT MAX</v>
      </c>
      <c r="B131" s="90">
        <f>'MSW31'!B131</f>
        <v>75</v>
      </c>
      <c r="C131" s="13"/>
      <c r="D131" s="13"/>
      <c r="E131" s="13"/>
      <c r="F131" s="57"/>
      <c r="G131" s="1558"/>
    </row>
    <row r="132">
      <c r="A132" s="77" t="str">
        <f>'MSW31'!A132</f>
        <v>SET</v>
      </c>
      <c r="B132" s="78" t="str">
        <f>'MSW31'!B132</f>
        <v>WEIGHT</v>
      </c>
      <c r="C132" s="78" t="str">
        <f>'MSW31'!C132</f>
        <v>REPS</v>
      </c>
      <c r="D132" s="78" t="str">
        <f>'MSW31'!D132</f>
        <v>REST</v>
      </c>
      <c r="E132" s="80" t="str">
        <f>'MSW31'!E132</f>
        <v>PREVIOUS</v>
      </c>
      <c r="F132" s="235" t="str">
        <f>'MSW31'!F132</f>
        <v>REP LOG</v>
      </c>
      <c r="G132" s="1546"/>
    </row>
    <row r="133">
      <c r="A133" s="81">
        <f>'MSW31'!A133</f>
        <v>1</v>
      </c>
      <c r="B133" s="82">
        <f>'MSW31'!B133</f>
        <v>75</v>
      </c>
      <c r="C133" s="65" t="str">
        <f>'MSW31'!C133</f>
        <v>5 - 15</v>
      </c>
      <c r="D133" s="83" t="str">
        <f>'MSW31'!D133</f>
        <v>1MIN</v>
      </c>
      <c r="E133" s="84" t="str">
        <f>'MSW31'!E133</f>
        <v/>
      </c>
      <c r="F133" s="85"/>
      <c r="G133" s="173"/>
    </row>
    <row r="134">
      <c r="A134" s="81">
        <f>'MSW31'!A134</f>
        <v>2</v>
      </c>
      <c r="B134" s="82">
        <f>'MSW31'!B134</f>
        <v>60</v>
      </c>
      <c r="C134" s="65" t="str">
        <f>'MSW31'!C134</f>
        <v>5 - 15</v>
      </c>
      <c r="D134" s="83" t="str">
        <f>'MSW31'!D134</f>
        <v>1MIN</v>
      </c>
      <c r="E134" s="84" t="str">
        <f>'MSW31'!E134</f>
        <v/>
      </c>
      <c r="F134" s="85"/>
      <c r="G134" s="173"/>
    </row>
    <row r="135">
      <c r="A135" s="86">
        <f>'MSW31'!A135</f>
        <v>3</v>
      </c>
      <c r="B135" s="87">
        <f>'MSW31'!B135</f>
        <v>50</v>
      </c>
      <c r="C135" s="71" t="str">
        <f>'MSW31'!C135</f>
        <v>5 - 15</v>
      </c>
      <c r="D135" s="88" t="str">
        <f>'MSW31'!D135</f>
        <v>1MIN</v>
      </c>
      <c r="E135" s="89" t="str">
        <f>'MSW31'!E135</f>
        <v/>
      </c>
      <c r="F135" s="85"/>
      <c r="G135" s="173"/>
    </row>
    <row r="136">
      <c r="A136" s="1151" t="str">
        <f>'MSW31'!A136</f>
        <v/>
      </c>
      <c r="G136" s="1151"/>
    </row>
    <row r="137">
      <c r="A137" s="513" t="str">
        <f>'MSW31'!A137</f>
        <v>3. DUMBBELL SIDE LATERAL RAISE</v>
      </c>
      <c r="B137" s="53"/>
      <c r="C137" s="53"/>
      <c r="D137" s="53"/>
      <c r="E137" s="53"/>
      <c r="F137" s="54"/>
      <c r="G137" s="1562"/>
    </row>
    <row r="138">
      <c r="A138" s="226" t="str">
        <f>'MSW31'!A138</f>
        <v>CURRENT MAX</v>
      </c>
      <c r="B138" s="90" t="str">
        <f>'MSW31'!B138</f>
        <v/>
      </c>
      <c r="C138" s="13"/>
      <c r="D138" s="13"/>
      <c r="E138" s="13"/>
      <c r="F138" s="57"/>
      <c r="G138" s="1558"/>
    </row>
    <row r="139">
      <c r="A139" s="376" t="str">
        <f>'MSW31'!A139</f>
        <v>SET</v>
      </c>
      <c r="B139" s="79" t="str">
        <f>'MSW31'!B139</f>
        <v>WEIGHT</v>
      </c>
      <c r="C139" s="79" t="str">
        <f>'MSW31'!C139</f>
        <v>REPS</v>
      </c>
      <c r="D139" s="79" t="str">
        <f>'MSW31'!D139</f>
        <v>REST</v>
      </c>
      <c r="E139" s="98" t="str">
        <f>'MSW31'!E139</f>
        <v>PREVIOUS</v>
      </c>
      <c r="F139" s="377" t="str">
        <f>'MSW31'!F139</f>
        <v>REP LOG</v>
      </c>
      <c r="G139" s="1546"/>
    </row>
    <row r="140">
      <c r="A140" s="81">
        <f>'MSW31'!A140</f>
        <v>1</v>
      </c>
      <c r="B140" s="82">
        <f>'MSW31'!B140</f>
        <v>0</v>
      </c>
      <c r="C140" s="65" t="str">
        <f>'MSW31'!C140</f>
        <v>10 - 15</v>
      </c>
      <c r="D140" s="83" t="str">
        <f>'MSW31'!D140</f>
        <v>1 MIN</v>
      </c>
      <c r="E140" s="378" t="str">
        <f>'MSW31'!E140</f>
        <v/>
      </c>
      <c r="F140" s="796"/>
      <c r="G140" s="1555"/>
    </row>
    <row r="141">
      <c r="A141" s="81">
        <f>'MSW31'!A141</f>
        <v>2</v>
      </c>
      <c r="B141" s="82">
        <f>'MSW31'!B141</f>
        <v>0</v>
      </c>
      <c r="C141" s="65" t="str">
        <f>'MSW31'!C141</f>
        <v>10 - 15</v>
      </c>
      <c r="D141" s="83" t="str">
        <f>'MSW31'!D141</f>
        <v>1 MIN</v>
      </c>
      <c r="E141" s="378" t="str">
        <f>'MSW31'!E141</f>
        <v/>
      </c>
      <c r="F141" s="330"/>
      <c r="G141" s="173"/>
    </row>
    <row r="142">
      <c r="A142" s="86">
        <f>'MSW31'!A142</f>
        <v>3</v>
      </c>
      <c r="B142" s="87">
        <f>'MSW31'!B142</f>
        <v>0</v>
      </c>
      <c r="C142" s="71" t="str">
        <f>'MSW31'!C142</f>
        <v>10 - 15</v>
      </c>
      <c r="D142" s="88" t="str">
        <f>'MSW31'!D142</f>
        <v>1 MIN</v>
      </c>
      <c r="E142" s="379" t="str">
        <f>'MSW31'!E142</f>
        <v/>
      </c>
      <c r="F142" s="85"/>
      <c r="G142" s="173"/>
    </row>
    <row r="143">
      <c r="A143" s="1151" t="str">
        <f>'MSW31'!A143</f>
        <v/>
      </c>
      <c r="G143" s="1151"/>
    </row>
    <row r="144">
      <c r="A144" s="361" t="str">
        <f>'MSW31'!A144</f>
        <v>2.  TRICEP OVERHEAD ROPE EXTENSION</v>
      </c>
      <c r="B144" s="53"/>
      <c r="C144" s="53"/>
      <c r="D144" s="53"/>
      <c r="E144" s="53"/>
      <c r="F144" s="54"/>
      <c r="G144" s="1561"/>
    </row>
    <row r="145">
      <c r="A145" s="226" t="str">
        <f>'MSW31'!A145</f>
        <v>TRI PSH DWN MAX</v>
      </c>
      <c r="B145" s="76">
        <f>'MSW31'!B145</f>
        <v>15</v>
      </c>
      <c r="C145" s="13"/>
      <c r="D145" s="13"/>
      <c r="E145" s="13"/>
      <c r="F145" s="57"/>
      <c r="G145" s="1563"/>
    </row>
    <row r="146">
      <c r="A146" s="77" t="str">
        <f>'MSW31'!A146</f>
        <v>SET</v>
      </c>
      <c r="B146" s="78" t="str">
        <f>'MSW31'!B146</f>
        <v>WEIGHT</v>
      </c>
      <c r="C146" s="78" t="str">
        <f>'MSW31'!C146</f>
        <v>REPS</v>
      </c>
      <c r="D146" s="78" t="str">
        <f>'MSW31'!D146</f>
        <v>REST</v>
      </c>
      <c r="E146" s="80" t="str">
        <f>'MSW31'!E146</f>
        <v>PREVIOUS</v>
      </c>
      <c r="F146" s="235" t="str">
        <f>'MSW31'!F146</f>
        <v>REP LOG</v>
      </c>
      <c r="G146" s="1546"/>
    </row>
    <row r="147">
      <c r="A147" s="81">
        <f>'MSW31'!A147</f>
        <v>1</v>
      </c>
      <c r="B147" s="82">
        <f>'MSW31'!B147</f>
        <v>15</v>
      </c>
      <c r="C147" s="65" t="str">
        <f>'MSW31'!C147</f>
        <v>10 - 15</v>
      </c>
      <c r="D147" s="83" t="str">
        <f>'MSW31'!D147</f>
        <v>1MIN</v>
      </c>
      <c r="E147" s="84" t="str">
        <f>'MSW31'!E147</f>
        <v/>
      </c>
      <c r="F147" s="85"/>
      <c r="G147" s="173"/>
    </row>
    <row r="148">
      <c r="A148" s="81">
        <f>'MSW31'!A148</f>
        <v>2</v>
      </c>
      <c r="B148" s="82">
        <f>'MSW31'!B148</f>
        <v>10</v>
      </c>
      <c r="C148" s="65" t="str">
        <f>'MSW31'!C148</f>
        <v>10 - 15</v>
      </c>
      <c r="D148" s="83" t="str">
        <f>'MSW31'!D148</f>
        <v>1MIN</v>
      </c>
      <c r="E148" s="84"/>
      <c r="F148" s="85"/>
      <c r="G148" s="173"/>
    </row>
    <row r="149">
      <c r="A149" s="86">
        <f>'MSW31'!A149</f>
        <v>3</v>
      </c>
      <c r="B149" s="87">
        <f>'MSW31'!B149</f>
        <v>10</v>
      </c>
      <c r="C149" s="71" t="str">
        <f>'MSW31'!C149</f>
        <v>10 - 15</v>
      </c>
      <c r="D149" s="88" t="str">
        <f>'MSW31'!D149</f>
        <v>1MIN</v>
      </c>
      <c r="E149" s="89">
        <f>'MSW31'!E149</f>
        <v>10</v>
      </c>
      <c r="F149" s="85"/>
      <c r="G149" s="173"/>
    </row>
    <row r="150">
      <c r="A150" s="1151" t="str">
        <f>'MSW31'!A150</f>
        <v/>
      </c>
    </row>
    <row r="152">
      <c r="A152" s="75" t="str">
        <f>'MSW31'!A152</f>
        <v>4. BICEP EZ BAR CURL</v>
      </c>
      <c r="B152" s="53"/>
      <c r="C152" s="53"/>
      <c r="D152" s="53"/>
      <c r="E152" s="53"/>
      <c r="F152" s="54"/>
      <c r="G152" s="1564"/>
      <c r="H152" s="1151" t="str">
        <f>'MSW31'!G152</f>
        <v/>
      </c>
      <c r="I152" s="1151" t="str">
        <f>'MSW31'!N152</f>
        <v/>
      </c>
      <c r="U152" s="1151"/>
    </row>
    <row r="153">
      <c r="A153" s="282" t="str">
        <f>'MSW31'!A153</f>
        <v>CURRENT MAX</v>
      </c>
      <c r="B153" s="852" t="str">
        <f>'MSW31'!B153</f>
        <v/>
      </c>
      <c r="C153" s="16"/>
      <c r="D153" s="16"/>
      <c r="E153" s="16"/>
      <c r="F153" s="230"/>
      <c r="G153" s="1565"/>
      <c r="H153" s="434" t="s">
        <v>123</v>
      </c>
    </row>
    <row r="154">
      <c r="A154" s="364" t="str">
        <f>'MSW31'!A154</f>
        <v>SET</v>
      </c>
      <c r="B154" s="365" t="str">
        <f>'MSW31'!B154</f>
        <v>WEIGHT</v>
      </c>
      <c r="C154" s="365" t="str">
        <f>'MSW31'!C154</f>
        <v>REPS</v>
      </c>
      <c r="D154" s="365" t="str">
        <f>'MSW31'!D154</f>
        <v>REST</v>
      </c>
      <c r="E154" s="367" t="str">
        <f>'MSW31'!E154</f>
        <v>PREVIOUS</v>
      </c>
      <c r="F154" s="61" t="str">
        <f>'MSW31'!F154</f>
        <v>REP LOG</v>
      </c>
      <c r="G154" s="1541"/>
    </row>
    <row r="155">
      <c r="A155" s="308">
        <f>'MSW31'!A155</f>
        <v>1</v>
      </c>
      <c r="B155" s="237">
        <f>'MSW31'!B155</f>
        <v>0</v>
      </c>
      <c r="C155" s="64" t="str">
        <f>'MSW31'!C155</f>
        <v>8 - 12</v>
      </c>
      <c r="D155" s="238" t="str">
        <f>'MSW31'!D155</f>
        <v>1 MIN</v>
      </c>
      <c r="E155" s="1143" t="str">
        <f>'MSW31'!E155</f>
        <v/>
      </c>
      <c r="F155" s="67"/>
      <c r="G155" s="1542"/>
      <c r="H155" s="1151" t="str">
        <f>'MSW31'!G156</f>
        <v/>
      </c>
    </row>
    <row r="156">
      <c r="A156" s="1144" t="str">
        <f>'MSW31'!A156</f>
        <v>NEW 4 REP MAX ATTEMPT</v>
      </c>
      <c r="B156" s="20"/>
      <c r="C156" s="20"/>
      <c r="D156" s="20"/>
      <c r="E156" s="20"/>
      <c r="F156" s="95"/>
      <c r="G156" s="1566"/>
    </row>
    <row r="157">
      <c r="A157" s="244">
        <f>'MSW31'!A157</f>
        <v>2</v>
      </c>
      <c r="B157" s="237">
        <f>'MSW31'!B157</f>
        <v>0</v>
      </c>
      <c r="C157" s="63" t="str">
        <f>'MSW31'!C157</f>
        <v>8 - 12</v>
      </c>
      <c r="D157" s="238" t="str">
        <f>'MSW31'!D157</f>
        <v>1 MIN</v>
      </c>
      <c r="E157" s="66" t="str">
        <f>'MSW31'!E157</f>
        <v/>
      </c>
      <c r="F157" s="67" t="str">
        <f>'MSW31'!F157</f>
        <v/>
      </c>
      <c r="G157" s="1542"/>
    </row>
    <row r="158">
      <c r="A158" s="1145" t="str">
        <f>'MSW31'!A158</f>
        <v>DOWN SET</v>
      </c>
      <c r="B158" s="20"/>
      <c r="C158" s="20"/>
      <c r="D158" s="20"/>
      <c r="E158" s="20"/>
      <c r="F158" s="95"/>
      <c r="G158" s="710"/>
    </row>
    <row r="159">
      <c r="A159" s="62" t="str">
        <f>'MSW31'!A159</f>
        <v/>
      </c>
      <c r="B159" s="237" t="str">
        <f>'MSW31'!B159</f>
        <v/>
      </c>
      <c r="C159" s="437" t="str">
        <f>'MSW31'!C159</f>
        <v/>
      </c>
      <c r="D159" s="65" t="str">
        <f>'MSW31'!D159</f>
        <v/>
      </c>
      <c r="E159" s="66" t="str">
        <f>'MSW31'!E159</f>
        <v/>
      </c>
      <c r="F159" s="665" t="str">
        <f>'MSW31'!F159</f>
        <v/>
      </c>
      <c r="G159" s="1542"/>
    </row>
    <row r="160">
      <c r="A160" s="62" t="str">
        <f>'MSW31'!A160</f>
        <v/>
      </c>
      <c r="B160" s="82" t="str">
        <f>'MSW31'!B160</f>
        <v/>
      </c>
      <c r="C160" s="1146" t="str">
        <f>'MSW31'!C160</f>
        <v/>
      </c>
      <c r="D160" s="63" t="str">
        <f>'MSW31'!D160</f>
        <v/>
      </c>
      <c r="E160" s="66" t="str">
        <f>'MSW31'!E160</f>
        <v/>
      </c>
      <c r="F160" s="67" t="str">
        <f>'MSW31'!F160</f>
        <v/>
      </c>
      <c r="G160" s="1542"/>
    </row>
    <row r="161">
      <c r="A161" s="1147" t="str">
        <f>'MSW31'!A161</f>
        <v>FINAL MAX</v>
      </c>
      <c r="B161" s="925" t="str">
        <f>'MSW31'!B161</f>
        <v/>
      </c>
      <c r="C161" s="33"/>
      <c r="D161" s="33"/>
      <c r="E161" s="33"/>
      <c r="F161" s="34"/>
      <c r="G161" s="1567"/>
    </row>
    <row r="162">
      <c r="A162" s="621"/>
      <c r="G162" s="621"/>
      <c r="I162" s="1151" t="str">
        <f>'MSW31'!H162</f>
        <v/>
      </c>
    </row>
    <row r="163">
      <c r="G163" s="621"/>
    </row>
    <row r="164">
      <c r="G164" s="621"/>
      <c r="H164" s="1151"/>
    </row>
    <row r="165">
      <c r="G165" s="621"/>
    </row>
    <row r="166">
      <c r="A166" s="1149" t="str">
        <f>'MSW31'!A166</f>
        <v>WORKOUT COMPLETE!</v>
      </c>
      <c r="B166" s="36"/>
      <c r="C166" s="36"/>
      <c r="D166" s="36"/>
      <c r="E166" s="36"/>
      <c r="F166" s="37"/>
      <c r="G166" s="1568"/>
    </row>
    <row r="167">
      <c r="A167" s="1171" t="str">
        <f>'MSW31'!A167</f>
        <v/>
      </c>
      <c r="B167" s="1171" t="str">
        <f>'MSW31'!B167</f>
        <v/>
      </c>
      <c r="C167" s="1171" t="str">
        <f>'MSW31'!C167</f>
        <v/>
      </c>
      <c r="D167" s="1171" t="str">
        <f>'MSW31'!D167</f>
        <v/>
      </c>
      <c r="E167" s="1171" t="str">
        <f>'MSW31'!E167</f>
        <v/>
      </c>
      <c r="F167" s="1171"/>
      <c r="G167" s="1153"/>
      <c r="U167" s="1151"/>
    </row>
    <row r="168">
      <c r="A168" s="1094" t="str">
        <f>'MSW31'!A168</f>
        <v>WANT TO LEARN MORE?</v>
      </c>
      <c r="F168" s="39"/>
      <c r="G168" s="1569"/>
    </row>
    <row r="169">
      <c r="A169" s="18"/>
      <c r="B169" s="13"/>
      <c r="C169" s="13"/>
      <c r="D169" s="13"/>
      <c r="E169" s="13"/>
      <c r="F169" s="14"/>
      <c r="G169" s="1569"/>
    </row>
    <row r="170">
      <c r="A170" s="1172" t="str">
        <f>'MSW31'!A170</f>
        <v/>
      </c>
      <c r="B170" s="1173" t="str">
        <f>'MSW31'!B170</f>
        <v/>
      </c>
      <c r="C170" s="1174" t="str">
        <f>'MSW31'!C170</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70" s="28"/>
      <c r="G170" s="1174"/>
    </row>
    <row r="171">
      <c r="A171" s="1172" t="str">
        <f>'MSW31'!A171</f>
        <v/>
      </c>
      <c r="B171" s="1173" t="str">
        <f>'MSW31'!B171</f>
        <v/>
      </c>
      <c r="F171" s="28"/>
      <c r="G171" s="1174"/>
    </row>
    <row r="172">
      <c r="A172" s="1172" t="str">
        <f>'MSW31'!A172</f>
        <v/>
      </c>
      <c r="B172" s="1173" t="str">
        <f>'MSW31'!B172</f>
        <v/>
      </c>
      <c r="F172" s="28"/>
      <c r="G172" s="1174"/>
    </row>
    <row r="173">
      <c r="A173" s="1172" t="str">
        <f>'MSW31'!A173</f>
        <v/>
      </c>
      <c r="B173" s="1173" t="str">
        <f>'MSW31'!B173</f>
        <v/>
      </c>
      <c r="F173" s="28"/>
      <c r="G173" s="1174"/>
    </row>
    <row r="174">
      <c r="A174" s="1172" t="str">
        <f>'MSW31'!A174</f>
        <v/>
      </c>
      <c r="B174" s="1173" t="str">
        <f>'MSW31'!B174</f>
        <v/>
      </c>
      <c r="F174" s="28"/>
      <c r="G174" s="1174"/>
    </row>
    <row r="175">
      <c r="A175" s="1172" t="str">
        <f>'MSW31'!A175</f>
        <v/>
      </c>
      <c r="B175" s="1173" t="str">
        <f>'MSW31'!B175</f>
        <v/>
      </c>
      <c r="F175" s="28"/>
      <c r="G175" s="1174"/>
    </row>
    <row r="176">
      <c r="A176" s="1153" t="str">
        <f>'MSW31'!A176</f>
        <v/>
      </c>
      <c r="B176" s="1173" t="str">
        <f>'MSW31'!B176</f>
        <v/>
      </c>
      <c r="F176" s="28"/>
      <c r="G176" s="1174"/>
    </row>
    <row r="177">
      <c r="A177" s="1172" t="str">
        <f>'MSW31'!A177</f>
        <v/>
      </c>
      <c r="B177" s="1173" t="str">
        <f>'MSW31'!B177</f>
        <v/>
      </c>
      <c r="F177" s="28"/>
      <c r="G177" s="1174"/>
    </row>
    <row r="178">
      <c r="A178" s="1172" t="str">
        <f>'MSW31'!A178</f>
        <v/>
      </c>
      <c r="B178" s="1173" t="str">
        <f>'MSW31'!B178</f>
        <v/>
      </c>
      <c r="F178" s="28"/>
      <c r="G178" s="1174"/>
    </row>
    <row r="179">
      <c r="A179" s="1175" t="str">
        <f>'MSW31'!A179</f>
        <v/>
      </c>
      <c r="B179" s="1173" t="str">
        <f>'MSW31'!B179</f>
        <v/>
      </c>
      <c r="F179" s="28"/>
      <c r="G179" s="1174"/>
    </row>
    <row r="180">
      <c r="A180" s="1172" t="str">
        <f>'MSW31'!A180</f>
        <v/>
      </c>
      <c r="B180" s="1173" t="str">
        <f>'MSW31'!B180</f>
        <v/>
      </c>
      <c r="F180" s="28"/>
      <c r="G180" s="1174"/>
    </row>
    <row r="181">
      <c r="A181" s="1172" t="str">
        <f>'MSW31'!A181</f>
        <v/>
      </c>
      <c r="B181" s="1173" t="str">
        <f>'MSW31'!B181</f>
        <v/>
      </c>
      <c r="F181" s="28"/>
      <c r="G181" s="1174"/>
    </row>
    <row r="182">
      <c r="A182" s="1172" t="str">
        <f>'MSW31'!A182</f>
        <v/>
      </c>
      <c r="B182" s="1173" t="str">
        <f>'MSW31'!B182</f>
        <v/>
      </c>
      <c r="F182" s="28"/>
      <c r="G182" s="1174"/>
    </row>
    <row r="183">
      <c r="A183" s="1172" t="str">
        <f>'MSW31'!A183</f>
        <v/>
      </c>
      <c r="B183" s="1173" t="str">
        <f>'MSW31'!B183</f>
        <v/>
      </c>
      <c r="F183" s="28"/>
      <c r="G183" s="1174"/>
    </row>
    <row r="184">
      <c r="A184" s="1172" t="str">
        <f>'MSW31'!A184</f>
        <v/>
      </c>
      <c r="B184" s="1173" t="str">
        <f>'MSW31'!B184</f>
        <v/>
      </c>
      <c r="C184" s="11"/>
      <c r="D184" s="11"/>
      <c r="E184" s="11"/>
      <c r="F184" s="46"/>
      <c r="G184" s="1174"/>
    </row>
    <row r="185">
      <c r="A185" s="1151"/>
      <c r="B185" s="1151"/>
      <c r="C185" s="1151"/>
      <c r="D185" s="1151"/>
      <c r="E185" s="1151"/>
      <c r="F185" s="1151"/>
      <c r="G185" s="1151"/>
    </row>
  </sheetData>
  <mergeCells count="125">
    <mergeCell ref="A42:F43"/>
    <mergeCell ref="A44:F44"/>
    <mergeCell ref="A13:F13"/>
    <mergeCell ref="A14:F14"/>
    <mergeCell ref="A15:F15"/>
    <mergeCell ref="A27:F27"/>
    <mergeCell ref="A30:F30"/>
    <mergeCell ref="B33:F33"/>
    <mergeCell ref="A34:F34"/>
    <mergeCell ref="A65:F66"/>
    <mergeCell ref="A67:F67"/>
    <mergeCell ref="B45:F45"/>
    <mergeCell ref="A51:F51"/>
    <mergeCell ref="A54:F54"/>
    <mergeCell ref="B57:F57"/>
    <mergeCell ref="A58:F58"/>
    <mergeCell ref="A59:F59"/>
    <mergeCell ref="B60:F60"/>
    <mergeCell ref="A75:F75"/>
    <mergeCell ref="A76:F76"/>
    <mergeCell ref="A77:F77"/>
    <mergeCell ref="A78:F78"/>
    <mergeCell ref="B79:F79"/>
    <mergeCell ref="B90:F90"/>
    <mergeCell ref="A93:F93"/>
    <mergeCell ref="B94:F94"/>
    <mergeCell ref="A99:F101"/>
    <mergeCell ref="A102:F102"/>
    <mergeCell ref="A121:F121"/>
    <mergeCell ref="A124:F124"/>
    <mergeCell ref="B127:F127"/>
    <mergeCell ref="A128:F129"/>
    <mergeCell ref="B145:F145"/>
    <mergeCell ref="C170:F184"/>
    <mergeCell ref="A130:F130"/>
    <mergeCell ref="B131:F131"/>
    <mergeCell ref="A136:F136"/>
    <mergeCell ref="A137:F137"/>
    <mergeCell ref="B138:F138"/>
    <mergeCell ref="A143:F143"/>
    <mergeCell ref="A144:F144"/>
    <mergeCell ref="H105:H106"/>
    <mergeCell ref="H108:Q112"/>
    <mergeCell ref="J103:N103"/>
    <mergeCell ref="I113:N113"/>
    <mergeCell ref="I102:N102"/>
    <mergeCell ref="I114:N114"/>
    <mergeCell ref="J115:N115"/>
    <mergeCell ref="I121:N121"/>
    <mergeCell ref="I124:N124"/>
    <mergeCell ref="J127:N127"/>
    <mergeCell ref="H128:Q149"/>
    <mergeCell ref="I152:T161"/>
    <mergeCell ref="U152:U166"/>
    <mergeCell ref="H153:H154"/>
    <mergeCell ref="H155:H163"/>
    <mergeCell ref="I162:T163"/>
    <mergeCell ref="H164:T185"/>
    <mergeCell ref="U167:U185"/>
    <mergeCell ref="O37:U41"/>
    <mergeCell ref="H42:U101"/>
    <mergeCell ref="H102:H104"/>
    <mergeCell ref="O102:Q107"/>
    <mergeCell ref="R102:U149"/>
    <mergeCell ref="H113:H127"/>
    <mergeCell ref="O113:Q127"/>
    <mergeCell ref="A166:F166"/>
    <mergeCell ref="A168:F169"/>
    <mergeCell ref="A150:U151"/>
    <mergeCell ref="A152:F152"/>
    <mergeCell ref="B153:F153"/>
    <mergeCell ref="A156:F156"/>
    <mergeCell ref="A158:F158"/>
    <mergeCell ref="B161:F161"/>
    <mergeCell ref="A162:F165"/>
    <mergeCell ref="O15:U15"/>
    <mergeCell ref="A16:U18"/>
    <mergeCell ref="A19:F19"/>
    <mergeCell ref="P19:U19"/>
    <mergeCell ref="A20:F20"/>
    <mergeCell ref="P20:U20"/>
    <mergeCell ref="B21:F21"/>
    <mergeCell ref="Q21:U21"/>
    <mergeCell ref="A1:U8"/>
    <mergeCell ref="A9:F9"/>
    <mergeCell ref="H9:H14"/>
    <mergeCell ref="I9:N9"/>
    <mergeCell ref="O9:U14"/>
    <mergeCell ref="A10:F11"/>
    <mergeCell ref="A12:F12"/>
    <mergeCell ref="I10:N10"/>
    <mergeCell ref="I12:N14"/>
    <mergeCell ref="I15:N15"/>
    <mergeCell ref="I19:N19"/>
    <mergeCell ref="I20:N20"/>
    <mergeCell ref="J21:N21"/>
    <mergeCell ref="I27:N27"/>
    <mergeCell ref="O19:O26"/>
    <mergeCell ref="O27:O28"/>
    <mergeCell ref="P27:U27"/>
    <mergeCell ref="O29:O34"/>
    <mergeCell ref="P29:U29"/>
    <mergeCell ref="Q34:U34"/>
    <mergeCell ref="P35:U36"/>
    <mergeCell ref="I29:N29"/>
    <mergeCell ref="J34:N34"/>
    <mergeCell ref="A35:O36"/>
    <mergeCell ref="A37:F37"/>
    <mergeCell ref="I37:N37"/>
    <mergeCell ref="B38:F38"/>
    <mergeCell ref="J38:N38"/>
    <mergeCell ref="H19:H23"/>
    <mergeCell ref="H24:H25"/>
    <mergeCell ref="H26:H34"/>
    <mergeCell ref="H37:H41"/>
    <mergeCell ref="B68:F68"/>
    <mergeCell ref="A73:F73"/>
    <mergeCell ref="A74:F74"/>
    <mergeCell ref="B103:F103"/>
    <mergeCell ref="A108:F109"/>
    <mergeCell ref="A110:F110"/>
    <mergeCell ref="A111:F112"/>
    <mergeCell ref="A113:F113"/>
    <mergeCell ref="A114:F114"/>
    <mergeCell ref="B115:F115"/>
  </mergeCells>
  <dataValidations>
    <dataValidation type="decimal" allowBlank="1" showDropDown="1" showInputMessage="1" showErrorMessage="1" prompt="Enter a number between 0 and 30" sqref="F22:G26 N22:N26 U22:U26 N28 U28 F28:G29 F31:G32 N30:N33 U30:U33 F39:G41 N39:N41 F46:G50 F52:G53 F55:G56 F61:G64 F69:G72 F80:G89 F91:G92 F95:G98 F104:G107 N104:N107 F116:G120 N116:N120 F122:G123 N122:N123 F125:G126 N125:N126 F132:G135 F139:G142 F146:G149 U152 F154:G155 F157:G157 F159:G160 F167:G167 U167 F185:G185">
      <formula1>0.0</formula1>
      <formula2>30.0</formula2>
    </dataValidation>
    <dataValidation type="decimal" operator="greaterThan" allowBlank="1" showDropDown="1" showErrorMessage="1" sqref="N11">
      <formula1>0.0</formula1>
    </dataValidation>
  </dataValidations>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327</v>
      </c>
      <c r="B9" s="20"/>
      <c r="C9" s="20"/>
      <c r="D9" s="20"/>
      <c r="E9" s="20"/>
      <c r="F9" s="21"/>
      <c r="G9" s="103"/>
      <c r="H9" s="24" t="s">
        <v>35</v>
      </c>
      <c r="I9" s="25"/>
      <c r="J9" s="25"/>
      <c r="K9" s="25"/>
      <c r="L9" s="25"/>
      <c r="M9" s="26"/>
      <c r="N9" s="103"/>
    </row>
    <row r="10">
      <c r="A10" s="15" t="str">
        <f>HYPERLINK("https://goo.gl/forms/3ibooB993Hi7SS2d2","PRESS TO RECORD BODY WEIGHT")</f>
        <v>PRESS TO RECORD BODY WEIGHT</v>
      </c>
      <c r="B10" s="16"/>
      <c r="C10" s="16"/>
      <c r="D10" s="16"/>
      <c r="E10" s="16"/>
      <c r="F10" s="17"/>
      <c r="G10" s="103"/>
      <c r="H10" s="147" t="s">
        <v>328</v>
      </c>
      <c r="M10" s="28"/>
      <c r="N10" s="103"/>
    </row>
    <row r="11">
      <c r="A11" s="18"/>
      <c r="B11" s="13"/>
      <c r="C11" s="13"/>
      <c r="D11" s="13"/>
      <c r="E11" s="13"/>
      <c r="F11" s="14"/>
      <c r="G11" s="103"/>
      <c r="H11" s="29" t="s">
        <v>329</v>
      </c>
      <c r="I11" s="30"/>
      <c r="J11" s="30"/>
      <c r="K11" s="30"/>
      <c r="L11" s="30"/>
      <c r="M11" s="31"/>
      <c r="N11" s="103"/>
    </row>
    <row r="12">
      <c r="A12" s="19" t="s">
        <v>69</v>
      </c>
      <c r="B12" s="20"/>
      <c r="C12" s="20"/>
      <c r="D12" s="20"/>
      <c r="E12" s="20"/>
      <c r="F12" s="21"/>
      <c r="G12" s="103"/>
      <c r="H12" s="219"/>
      <c r="I12" s="220"/>
      <c r="J12" s="221"/>
      <c r="K12" s="219"/>
      <c r="L12" s="222"/>
      <c r="M12" s="103"/>
      <c r="N12" s="103"/>
    </row>
    <row r="13">
      <c r="A13" s="22" t="s">
        <v>177</v>
      </c>
      <c r="B13" s="20"/>
      <c r="C13" s="20"/>
      <c r="D13" s="20"/>
      <c r="E13" s="20"/>
      <c r="F13" s="21"/>
      <c r="G13" s="103"/>
      <c r="H13" s="103"/>
      <c r="I13" s="103"/>
      <c r="J13" s="103"/>
      <c r="K13" s="103"/>
      <c r="L13" s="222"/>
      <c r="M13" s="103"/>
      <c r="N13" s="103"/>
    </row>
    <row r="14">
      <c r="A14" s="219"/>
      <c r="B14" s="219"/>
      <c r="C14" s="219"/>
      <c r="D14" s="219"/>
      <c r="E14" s="223"/>
      <c r="F14" s="103"/>
      <c r="G14" s="103"/>
      <c r="H14" s="219"/>
      <c r="I14" s="219"/>
      <c r="J14" s="219"/>
      <c r="K14" s="103"/>
      <c r="L14" s="222"/>
      <c r="M14" s="103"/>
      <c r="N14" s="103"/>
    </row>
    <row r="15">
      <c r="A15" s="209"/>
      <c r="G15" s="277"/>
      <c r="H15" s="850"/>
      <c r="N15" s="277"/>
    </row>
    <row r="16">
      <c r="A16" s="50" t="s">
        <v>79</v>
      </c>
      <c r="B16" s="36"/>
      <c r="C16" s="36"/>
      <c r="D16" s="36"/>
      <c r="E16" s="36"/>
      <c r="F16" s="37"/>
      <c r="G16" s="141"/>
      <c r="H16" s="50" t="s">
        <v>118</v>
      </c>
      <c r="I16" s="36"/>
      <c r="J16" s="36"/>
      <c r="K16" s="36"/>
      <c r="L16" s="36"/>
      <c r="M16" s="37"/>
      <c r="N16" s="141"/>
    </row>
    <row r="17">
      <c r="A17" s="657"/>
    </row>
    <row r="19">
      <c r="A19" s="51" t="s">
        <v>48</v>
      </c>
      <c r="B19" s="36"/>
      <c r="C19" s="36"/>
      <c r="D19" s="36"/>
      <c r="E19" s="36"/>
      <c r="F19" s="37"/>
      <c r="G19" s="141"/>
      <c r="H19" s="51" t="s">
        <v>48</v>
      </c>
      <c r="I19" s="36"/>
      <c r="J19" s="36"/>
      <c r="K19" s="36"/>
      <c r="L19" s="36"/>
      <c r="M19" s="37"/>
      <c r="N19" s="141"/>
    </row>
    <row r="20">
      <c r="A20" s="52" t="str">
        <f>HYPERLINK("https://youtu.be/ujVN-A0Z-ic","1. DUMBBELL INCLINE PRESS")</f>
        <v>1. DUMBBELL INCLINE PRESS</v>
      </c>
      <c r="B20" s="53"/>
      <c r="C20" s="53"/>
      <c r="D20" s="53"/>
      <c r="E20" s="53"/>
      <c r="F20" s="54"/>
      <c r="H20" s="52" t="str">
        <f>HYPERLINK("https://youtu.be/75e_H9Vq_Lw","1. MACHINE PRESS")</f>
        <v>1. MACHINE PRESS</v>
      </c>
      <c r="I20" s="53"/>
      <c r="J20" s="53"/>
      <c r="K20" s="53"/>
      <c r="L20" s="53"/>
      <c r="M20" s="54"/>
    </row>
    <row r="21">
      <c r="A21" s="228" t="s">
        <v>119</v>
      </c>
      <c r="B21" s="229">
        <f>if('WEEK 31'!J34="",'WEEK 30'!I20,'WEEK 31'!J34)</f>
        <v>90</v>
      </c>
      <c r="C21" s="16"/>
      <c r="D21" s="16"/>
      <c r="E21" s="16"/>
      <c r="F21" s="230"/>
      <c r="H21" s="228" t="s">
        <v>119</v>
      </c>
      <c r="I21" s="229" t="str">
        <f>if('WEEK 31'!Q34="",'WEEK 29'!I34,'WEEK 31'!Q34)</f>
        <v/>
      </c>
      <c r="J21" s="16"/>
      <c r="K21" s="16"/>
      <c r="L21" s="16"/>
      <c r="M21" s="230"/>
    </row>
    <row r="22">
      <c r="A22" s="96" t="s">
        <v>50</v>
      </c>
      <c r="B22" s="97" t="s">
        <v>51</v>
      </c>
      <c r="C22" s="97" t="s">
        <v>52</v>
      </c>
      <c r="D22" s="97" t="s">
        <v>53</v>
      </c>
      <c r="E22" s="98" t="s">
        <v>54</v>
      </c>
      <c r="F22" s="235" t="s">
        <v>55</v>
      </c>
      <c r="H22" s="96" t="s">
        <v>50</v>
      </c>
      <c r="I22" s="97" t="s">
        <v>51</v>
      </c>
      <c r="J22" s="97" t="s">
        <v>52</v>
      </c>
      <c r="K22" s="97" t="s">
        <v>53</v>
      </c>
      <c r="L22" s="98" t="s">
        <v>54</v>
      </c>
      <c r="M22" s="235" t="s">
        <v>55</v>
      </c>
    </row>
    <row r="23">
      <c r="A23" s="244">
        <v>1.0</v>
      </c>
      <c r="B23" s="241">
        <f>mround('WEEK 32'!B21*0.35,5)</f>
        <v>30</v>
      </c>
      <c r="C23" s="63">
        <v>6.0</v>
      </c>
      <c r="D23" s="83" t="s">
        <v>57</v>
      </c>
      <c r="E23" s="84" t="str">
        <f>IF('WEEK 29'!F23='WEEK 32'!B23,'WEEK 29'!F23,"")</f>
        <v/>
      </c>
      <c r="F23" s="85"/>
      <c r="H23" s="244">
        <v>1.0</v>
      </c>
      <c r="I23" s="241">
        <f>mround('WEEK 32'!I21*0.35,5)</f>
        <v>0</v>
      </c>
      <c r="J23" s="63">
        <v>6.0</v>
      </c>
      <c r="K23" s="83" t="s">
        <v>57</v>
      </c>
      <c r="L23" s="84" t="str">
        <f>IF('WEEK 29'!M23='WEEK 32'!I23,'WEEK 29'!M23,"")</f>
        <v/>
      </c>
      <c r="M23" s="85"/>
    </row>
    <row r="24">
      <c r="A24" s="240">
        <v>2.0</v>
      </c>
      <c r="B24" s="241">
        <f>mround('WEEK 32'!B21*0.65,5)</f>
        <v>60</v>
      </c>
      <c r="C24" s="241">
        <v>1.0</v>
      </c>
      <c r="D24" s="83" t="s">
        <v>57</v>
      </c>
      <c r="E24" s="84" t="str">
        <f>IF('WEEK 29'!F24='WEEK 32'!B24,'WEEK 29'!F24,"")</f>
        <v/>
      </c>
      <c r="F24" s="85"/>
      <c r="H24" s="240">
        <v>2.0</v>
      </c>
      <c r="I24" s="241">
        <f>mround('WEEK 32'!I21*0.65,5)</f>
        <v>0</v>
      </c>
      <c r="J24" s="241">
        <v>1.0</v>
      </c>
      <c r="K24" s="83" t="s">
        <v>57</v>
      </c>
      <c r="L24" s="84" t="str">
        <f>IF('WEEK 29'!M24='WEEK 32'!I24,'WEEK 29'!M24,"")</f>
        <v/>
      </c>
      <c r="M24" s="85"/>
    </row>
    <row r="25">
      <c r="A25" s="240">
        <v>3.0</v>
      </c>
      <c r="B25" s="241">
        <f>mround('WEEK 32'!B21*0.85,5)</f>
        <v>75</v>
      </c>
      <c r="C25" s="63">
        <v>1.0</v>
      </c>
      <c r="D25" s="83" t="s">
        <v>57</v>
      </c>
      <c r="E25" s="84" t="str">
        <f>IF('WEEK 29'!F25='WEEK 32'!B25,'WEEK 29'!F25,"")</f>
        <v/>
      </c>
      <c r="F25" s="85"/>
      <c r="H25" s="240">
        <v>3.0</v>
      </c>
      <c r="I25" s="241">
        <f>mround('WEEK 32'!I21*0.85,5)</f>
        <v>0</v>
      </c>
      <c r="J25" s="241">
        <v>1.0</v>
      </c>
      <c r="K25" s="83" t="s">
        <v>57</v>
      </c>
      <c r="L25" s="84" t="str">
        <f>IF('WEEK 29'!M25='WEEK 32'!I25,'WEEK 29'!M25,"")</f>
        <v/>
      </c>
      <c r="M25" s="85"/>
    </row>
    <row r="26">
      <c r="A26" s="240">
        <v>4.0</v>
      </c>
      <c r="B26" s="241">
        <f>mround('WEEK 32'!B21*1,5)</f>
        <v>90</v>
      </c>
      <c r="C26" s="245" t="s">
        <v>65</v>
      </c>
      <c r="D26" s="83" t="s">
        <v>57</v>
      </c>
      <c r="E26" s="84" t="str">
        <f>IF('WEEK 29'!F26='WEEK 32'!B26,'WEEK 29'!F26,"")</f>
        <v/>
      </c>
      <c r="F26" s="85"/>
      <c r="H26" s="240">
        <v>4.0</v>
      </c>
      <c r="I26" s="241">
        <f>mround('WEEK 32'!I21*1,5)</f>
        <v>0</v>
      </c>
      <c r="J26" s="245" t="s">
        <v>65</v>
      </c>
      <c r="K26" s="83" t="s">
        <v>57</v>
      </c>
      <c r="L26" s="84" t="str">
        <f>IF('WEEK 29'!M26='WEEK 32'!I26,'WEEK 29'!M26,"")</f>
        <v/>
      </c>
      <c r="M26" s="85"/>
    </row>
    <row r="27">
      <c r="A27" s="248" t="str">
        <f>IF(OR(ISBLANK('WEEK 32'!F26),ISBLANK('WEEK 32'!F25),ISBLANK('WEEK 32'!F24)),"PROCEED TO DOWNSETS",if('WEEK 32'!F26&gt;=6,"NEW 4 REP MAX ATTEMPT","PROCEED TO DOWN SETS"))</f>
        <v>PROCEED TO DOWN SETS</v>
      </c>
      <c r="F27" s="28"/>
      <c r="G27" s="247" t="s">
        <v>123</v>
      </c>
      <c r="H27" s="248" t="str">
        <f>IF(OR(ISBLANK('WEEK 32'!M26),ISBLANK('WEEK 32'!M25),ISBLANK('WEEK 32'!M24)),"PROCEED TO DOWNSETS",if('WEEK 32'!M26&gt;=6,"NEW 4 REP MAX ATTEMPT","PROCEED TO DOWN SETS"))</f>
        <v>PROCEED TO DOWNSETS</v>
      </c>
      <c r="M27" s="28"/>
    </row>
    <row r="28">
      <c r="A28" s="251" t="str">
        <f>IF(OR(ISBLANK('WEEK 32'!F26),ISBLANK('WEEK 32'!F25),ISBLANK('WEEK 32'!F24)),"",IF('WEEK 32'!F26&gt;=6,5,""))</f>
        <v/>
      </c>
      <c r="B28" s="252" t="str">
        <f>IF(OR(ISBLANK('WEEK 32'!F26),ISBLANK('WEEK 32'!F25),ISBLANK('WEEK 32'!F24)),"",IF('WEEK 32'!F26&gt;=6,'WEEK 32'!B21+5,""))</f>
        <v/>
      </c>
      <c r="C28" s="253" t="str">
        <f>IF(OR(ISBLANK('WEEK 32'!F26),ISBLANK('WEEK 32'!F25),ISBLANK('WEEK 32'!F24)),"",IF('WEEK 32'!F26&gt;=6,"REP OUT",""))</f>
        <v/>
      </c>
      <c r="D28" s="254" t="str">
        <f>IF(OR(ISBLANK('WEEK 32'!F26),ISBLANK('WEEK 32'!F25),ISBLANK('WEEK 32'!F24)),"",IF('WEEK 32'!F26&gt;5,"1 MIN",""))</f>
        <v/>
      </c>
      <c r="E28" s="84" t="str">
        <f>IF('WEEK 29'!F28='WEEK 32'!B28,'WEEK 29'!F28,"")</f>
        <v/>
      </c>
      <c r="F28" s="67"/>
      <c r="H28" s="251" t="str">
        <f>IF(OR(ISBLANK('WEEK 32'!M26),ISBLANK('WEEK 32'!M25),ISBLANK('WEEK 32'!M24)),"",IF('WEEK 32'!M26&gt;=6,5,""))</f>
        <v/>
      </c>
      <c r="I28" s="252" t="str">
        <f>IF(OR(ISBLANK('WEEK 32'!M26),ISBLANK('WEEK 32'!M25),ISBLANK('WEEK 32'!M24)),"",IF('WEEK 32'!M26&gt;=6,'WEEK 32'!I21+5,""))</f>
        <v/>
      </c>
      <c r="J28" s="253" t="str">
        <f>IF(OR(ISBLANK('WEEK 32'!M26),ISBLANK('WEEK 32'!M25),ISBLANK('WEEK 32'!M24)),"",IF('WEEK 32'!M26&gt;=6,"REP OUT",""))</f>
        <v/>
      </c>
      <c r="K28" s="254" t="str">
        <f>IF(OR(ISBLANK('WEEK 32'!M26),ISBLANK('WEEK 32'!M25),ISBLANK('WEEK 32'!M24)),"",IF('WEEK 32'!M26&gt;5,"1 MIN",""))</f>
        <v/>
      </c>
      <c r="L28" s="84" t="str">
        <f>IF('WEEK 29'!M28='WEEK 32'!I28,'WEEK 29'!M28,"")</f>
        <v/>
      </c>
      <c r="M28" s="67"/>
    </row>
    <row r="29">
      <c r="A29" s="260" t="str">
        <f>IF(OR(ISBLANK('WEEK 32'!F26),ISBLANK('WEEK 32'!F25),ISBLANK('WEEK 32'!F24)),"FILL OUT REP LOG FIRST","DOWN SETS")</f>
        <v>DOWN SETS</v>
      </c>
      <c r="B29" s="16"/>
      <c r="C29" s="16"/>
      <c r="D29" s="16"/>
      <c r="E29" s="16"/>
      <c r="F29" s="230"/>
      <c r="G29" s="141"/>
      <c r="H29" s="260" t="str">
        <f>IF(OR(ISBLANK('WEEK 32'!M26),ISBLANK('WEEK 32'!M25),ISBLANK('WEEK 32'!M24)),"FILL OUT REP LOG FIRST","DOWN SETS")</f>
        <v>FILL OUT REP LOG FIRST</v>
      </c>
      <c r="I29" s="16"/>
      <c r="J29" s="16"/>
      <c r="K29" s="16"/>
      <c r="L29" s="16"/>
      <c r="M29" s="230"/>
    </row>
    <row r="30">
      <c r="A30" s="545">
        <f>IF('WEEK 32'!F28&gt;=4,"",IF(OR(ISBLANK('WEEK 32'!F26),ISBLANK('WEEK 32'!F25),ISBLANK('WEEK 32'!F24)),"",IF('WEEK 32'!F26&gt;5,6,5)))</f>
        <v>5</v>
      </c>
      <c r="B30" s="261">
        <f>IF('WEEK 32'!F28&gt;=4,"",IF(OR(ISBLANK('WEEK 32'!F26),ISBLANK('WEEK 32'!F25),ISBLANK('WEEK 32'!F24)),"",IF('WEEK 32'!F26&lt;6,mround('WEEK 32'!B21*0.8,5),IF('WEEK 32'!F26&lt;10,mround('WEEK 32'!B21*0.93,5),mround('WEEK 32'!B21*0.7,5)))))</f>
        <v>70</v>
      </c>
      <c r="C30" s="262" t="str">
        <f>IF('WEEK 32'!F28&gt;=4,"",IF(OR(ISBLANK('WEEK 32'!F26),ISBLANK('WEEK 32'!F25),ISBLANK('WEEK 32'!F24)),"","REP OUT"))</f>
        <v>REP OUT</v>
      </c>
      <c r="D30" s="65" t="str">
        <f>IF('WEEK 32'!F28&gt;=4,"",IF(OR(ISBLANK('WEEK 32'!F26),ISBLANK('WEEK 32'!F25),ISBLANK('WEEK 32'!F24)),"","1 MIN"))</f>
        <v>1 MIN</v>
      </c>
      <c r="E30" s="84" t="str">
        <f>IF('WEEK 29'!F30='WEEK 32'!B30,'WEEK 29'!F30,"")</f>
        <v/>
      </c>
      <c r="F30" s="263"/>
      <c r="H30" s="91" t="str">
        <f>IF('WEEK 32'!M28&gt;=4,"",IF(OR(ISBLANK('WEEK 32'!M26),ISBLANK('WEEK 32'!M25),ISBLANK('WEEK 32'!M24)),"",IF('WEEK 32'!M26&gt;5,6,5)))</f>
        <v/>
      </c>
      <c r="I30" s="261" t="str">
        <f>IF('WEEK 32'!M28&gt;=4,"",IF(OR(ISBLANK('WEEK 32'!M26),ISBLANK('WEEK 32'!M25),ISBLANK('WEEK 32'!M24)),"",IF('WEEK 32'!M26&lt;6,mround('WEEK 32'!I21*0.8,5),IF('WEEK 32'!M26&lt;10,mround('WEEK 32'!I21*0.93,5),mround('WEEK 32'!I21*0.7,5)))))</f>
        <v/>
      </c>
      <c r="J30" s="262" t="str">
        <f>IF('WEEK 32'!M28&gt;=4,"",IF(OR(ISBLANK('WEEK 32'!M26),ISBLANK('WEEK 32'!M25),ISBLANK('WEEK 32'!M24)),"","REP OUT"))</f>
        <v/>
      </c>
      <c r="K30" s="65" t="str">
        <f>IF('WEEK 32'!M28&gt;=4,"",IF(OR(ISBLANK('WEEK 32'!M26),ISBLANK('WEEK 32'!M25),ISBLANK('WEEK 32'!M24)),"","1 MIN"))</f>
        <v/>
      </c>
      <c r="L30" s="84" t="str">
        <f>IF('WEEK 29'!M30='WEEK 32'!I30,'WEEK 29'!M30,"")</f>
        <v/>
      </c>
      <c r="M30" s="263"/>
    </row>
    <row r="31">
      <c r="A31" s="546">
        <f>IF('WEEK 32'!F28&gt;=4,"",IF(OR(ISBLANK('WEEK 32'!F26),ISBLANK('WEEK 32'!F25),ISBLANK('WEEK 32'!F24)),"",IF('WEEK 32'!F26&gt;5,7,6)))</f>
        <v>6</v>
      </c>
      <c r="B31" s="254">
        <f>IF('WEEK 32'!F28&gt;=4,"",IF(OR(ISBLANK('WEEK 32'!F26),ISBLANK('WEEK 32'!F25),ISBLANK('WEEK 32'!F24)),"",IF('WEEK 32'!F26&lt;6,mround('WEEK 32'!B21*0.65,5),IF('WEEK 32'!F26&lt;10,mround('WEEK 32'!B21*0.7,5),mround('WEEK 32'!B21*0.65,5)))))</f>
        <v>60</v>
      </c>
      <c r="C31" s="253" t="str">
        <f>IF('WEEK 32'!F28&gt;=4,"",IF(OR(ISBLANK('WEEK 32'!F26),ISBLANK('WEEK 32'!F25),ISBLANK('WEEK 32'!F24)),"","REP OUT"))</f>
        <v>REP OUT</v>
      </c>
      <c r="D31" s="65" t="str">
        <f>IF('WEEK 32'!F28&gt;=4,"",IF(OR(ISBLANK('WEEK 32'!F26),ISBLANK('WEEK 32'!F25),ISBLANK('WEEK 32'!F24)),"","1 MIN"))</f>
        <v>1 MIN</v>
      </c>
      <c r="E31" s="84" t="str">
        <f>IF('WEEK 29'!F31='WEEK 32'!B31,'WEEK 29'!F31,"")</f>
        <v/>
      </c>
      <c r="F31" s="270"/>
      <c r="H31" s="269" t="str">
        <f>IF('WEEK 32'!M28&gt;=4,"",IF(OR(ISBLANK('WEEK 32'!M26),ISBLANK('WEEK 32'!M25),ISBLANK('WEEK 32'!M24)),"",IF('WEEK 32'!M26&gt;5,7,6)))</f>
        <v/>
      </c>
      <c r="I31" s="254" t="str">
        <f>IF('WEEK 32'!M28&gt;=4,"",IF(OR(ISBLANK('WEEK 32'!M26),ISBLANK('WEEK 32'!M25),ISBLANK('WEEK 32'!M24)),"",IF('WEEK 32'!M26&lt;6,mround('WEEK 32'!I21*0.65,5),IF('WEEK 32'!M26&lt;10,mround('WEEK 32'!I21*0.7,5),mround('WEEK 32'!I21*0.65,5)))))</f>
        <v/>
      </c>
      <c r="J31" s="253" t="str">
        <f>IF('WEEK 32'!M28&gt;=4,"",IF(OR(ISBLANK('WEEK 32'!M26),ISBLANK('WEEK 32'!M25),ISBLANK('WEEK 32'!M24)),"","REP OUT"))</f>
        <v/>
      </c>
      <c r="K31" s="65" t="str">
        <f>IF('WEEK 32'!M28&gt;=4,"",IF(OR(ISBLANK('WEEK 32'!M26),ISBLANK('WEEK 32'!M25),ISBLANK('WEEK 32'!M24)),"","1 MIN"))</f>
        <v/>
      </c>
      <c r="L31" s="84" t="str">
        <f>IF('WEEK 29'!M31='WEEK 32'!I31,'WEEK 29'!M31,"")</f>
        <v/>
      </c>
      <c r="M31" s="270"/>
    </row>
    <row r="32">
      <c r="A32" s="546" t="str">
        <f>IF('WEEK 32'!F28&lt;4,"",IF(OR(ISBLANK('WEEK 32'!F26),ISBLANK('WEEK 32'!F25),ISBLANK('WEEK 32'!F24)),"",IF('WEEK 32'!F28&gt;3,6,5)))</f>
        <v/>
      </c>
      <c r="B32" s="254" t="str">
        <f>IF('WEEK 32'!F28&lt;4,"",IF(OR(ISBLANK('WEEK 32'!F26),ISBLANK('WEEK 32'!F25),ISBLANK('WEEK 32'!F24)),"",IF('WEEK 32'!F28&lt;6,mround('WEEK 32'!B34*0.8,5),IF('WEEK 32'!F28&lt;10,mround('WEEK 32'!B34*0.93,5),mround(B34*0.7,5)))))</f>
        <v/>
      </c>
      <c r="C32" s="253" t="str">
        <f>IF('WEEK 32'!F28&lt;4,"",IF(OR(ISBLANK('WEEK 32'!F26),ISBLANK('WEEK 32'!F25),ISBLANK('WEEK 32'!F24)),"","REP OUT"))</f>
        <v/>
      </c>
      <c r="D32" s="65" t="str">
        <f>IF('WEEK 32'!F28&lt;4,"",IF(OR(ISBLANK('WEEK 32'!F26),ISBLANK('WEEK 32'!F25),ISBLANK('WEEK 32'!F24)),"","1 MIN"))</f>
        <v/>
      </c>
      <c r="E32" s="84" t="str">
        <f>IF('WEEK 29'!F32='WEEK 32'!B32,'WEEK 29'!F32,"")</f>
        <v/>
      </c>
      <c r="F32" s="270"/>
      <c r="G32" s="141"/>
      <c r="H32" s="269" t="str">
        <f>IF('WEEK 32'!M28&lt;4,"",IF(OR(ISBLANK('WEEK 32'!M26),ISBLANK('WEEK 32'!M25),ISBLANK('WEEK 32'!M24)),"",IF('WEEK 32'!M28&gt;3,6,5)))</f>
        <v/>
      </c>
      <c r="I32" s="254" t="str">
        <f>IF('WEEK 32'!M28&lt;4,"",IF(OR(ISBLANK('WEEK 32'!M26),ISBLANK('WEEK 32'!M25),ISBLANK('WEEK 32'!M24)),"",IF('WEEK 32'!M28&lt;6,mround('WEEK 32'!I34*0.7,5),IF('WEEK 32'!M28&lt;10,mround('WEEK 32'!I34*0.8,5),mround(I34*0.93,5)))))</f>
        <v/>
      </c>
      <c r="J32" s="253" t="str">
        <f>IF('WEEK 32'!M28&lt;4,"",IF(OR(ISBLANK('WEEK 32'!M26),ISBLANK('WEEK 32'!M25),ISBLANK('WEEK 32'!M24)),"","REP OUT"))</f>
        <v/>
      </c>
      <c r="K32" s="65" t="str">
        <f>IF('WEEK 32'!M28&lt;4,"",IF(OR(ISBLANK('WEEK 32'!M26),ISBLANK('WEEK 32'!M25),ISBLANK('WEEK 32'!M24)),"","1 MIN"))</f>
        <v/>
      </c>
      <c r="L32" s="84" t="str">
        <f>IF('WEEK 29'!M32='WEEK 32'!I32,'WEEK 29'!M32,"")</f>
        <v/>
      </c>
      <c r="M32" s="270"/>
      <c r="N32" s="141"/>
    </row>
    <row r="33">
      <c r="A33" s="546" t="str">
        <f>IF('WEEK 32'!F28&lt;4,"",IF(OR(ISBLANK('WEEK 32'!F26),ISBLANK('WEEK 32'!F25),ISBLANK('WEEK 32'!F24)),"",IF('WEEK 32'!F28&gt;3,7,"")))</f>
        <v/>
      </c>
      <c r="B33" s="254" t="str">
        <f>IF('WEEK 32'!F28&lt;4,"",IF(OR(ISBLANK('WEEK 32'!F26),ISBLANK('WEEK 32'!F25),ISBLANK('WEEK 32'!F24)),"",IF('WEEK 32'!F28&lt;6,mround('WEEK 32'!B34*0.65,5),IF('WEEK 32'!F28&lt;10,mround('WEEK 32'!B34*0.7,5),mround(B34*0.65,5)))))</f>
        <v/>
      </c>
      <c r="C33" s="253" t="str">
        <f>IF('WEEK 32'!F28&lt;4,"",IF(OR(ISBLANK('WEEK 32'!F26),ISBLANK('WEEK 32'!F25),ISBLANK('WEEK 32'!F24)),"","REP OUT"))</f>
        <v/>
      </c>
      <c r="D33" s="65" t="str">
        <f>IF('WEEK 32'!F28&lt;4,"",IF(OR(ISBLANK('WEEK 32'!F26),ISBLANK('WEEK 32'!F25),ISBLANK('WEEK 32'!F24)),"","1 MIN"))</f>
        <v/>
      </c>
      <c r="E33" s="84" t="str">
        <f>IF('WEEK 29'!F33='WEEK 32'!B33,'WEEK 29'!F33,"")</f>
        <v/>
      </c>
      <c r="F33" s="270"/>
      <c r="G33" s="141"/>
      <c r="H33" s="269" t="str">
        <f>IF('WEEK 32'!M28&lt;4,"",IF(OR(ISBLANK('WEEK 32'!M26),ISBLANK('WEEK 32'!M25),ISBLANK('WEEK 32'!M24)),"",IF('WEEK 32'!M28&gt;3,7,"")))</f>
        <v/>
      </c>
      <c r="I33" s="254" t="str">
        <f>IF('WEEK 32'!M28&lt;4,"",IF(OR(ISBLANK('WEEK 32'!M26),ISBLANK('WEEK 32'!M25),ISBLANK('WEEK 32'!M24)),"",IF('WEEK 32'!M28&lt;6,mround('WEEK 32'!I34*0.65,5),IF('WEEK 32'!M28&lt;10,mround('WEEK 32'!I34*0.7,5),mround(I34*0.75,5)))))</f>
        <v/>
      </c>
      <c r="J33" s="253" t="str">
        <f>IF('WEEK 32'!M28&lt;4,"",IF(OR(ISBLANK('WEEK 32'!M26),ISBLANK('WEEK 32'!M25),ISBLANK('WEEK 32'!M24)),"","REP OUT"))</f>
        <v/>
      </c>
      <c r="K33" s="65" t="str">
        <f>IF('WEEK 32'!M28&lt;4,"",IF(OR(ISBLANK('WEEK 32'!M26),ISBLANK('WEEK 32'!M25),ISBLANK('WEEK 32'!M24)),"","1 MIN"))</f>
        <v/>
      </c>
      <c r="L33" s="84" t="str">
        <f>IF('WEEK 29'!M33='WEEK 32'!I33,'WEEK 29'!M33,"")</f>
        <v/>
      </c>
      <c r="M33" s="270"/>
      <c r="N33" s="141"/>
    </row>
    <row r="34">
      <c r="A34" s="280" t="s">
        <v>124</v>
      </c>
      <c r="B34" s="273">
        <f>IF(OR(ISBLANK('WEEK 32'!F24),ISBLANK('WEEK 32'!F25),ISBLANK('WEEK 32'!F26)),"",IF('WEEK 32'!F28&gt;=4,'WEEK 32'!B28,IF('WEEK 32'!F26&lt;=3,'WEEK 32'!B26-5,'WEEK 32'!B26)))</f>
        <v>90</v>
      </c>
      <c r="C34" s="11"/>
      <c r="D34" s="11"/>
      <c r="E34" s="11"/>
      <c r="F34" s="46"/>
      <c r="G34" s="141"/>
      <c r="H34" s="280" t="s">
        <v>124</v>
      </c>
      <c r="I34" s="273" t="str">
        <f>IF(OR(ISBLANK('WEEK 32'!M24),ISBLANK('WEEK 32'!M25),ISBLANK('WEEK 32'!M26)),"",IF('WEEK 32'!M28&gt;=4,'WEEK 32'!I28,IF('WEEK 32'!M26&lt;=3,'WEEK 32'!I26-5,'WEEK 32'!I26)))</f>
        <v/>
      </c>
      <c r="J34" s="11"/>
      <c r="K34" s="11"/>
      <c r="L34" s="11"/>
      <c r="M34" s="46"/>
      <c r="N34" s="141"/>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153</v>
      </c>
      <c r="B38" s="548">
        <f>if('WEEK 32'!B34="",'WEEK 31'!B38,'WEEK 32'!B34)</f>
        <v>90</v>
      </c>
      <c r="C38" s="13"/>
      <c r="D38" s="13"/>
      <c r="E38" s="13"/>
      <c r="F38" s="57"/>
      <c r="G38" s="247" t="s">
        <v>123</v>
      </c>
      <c r="H38" s="226" t="s">
        <v>153</v>
      </c>
      <c r="I38" s="548">
        <f>'WEEK 32'!B38</f>
        <v>90</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32'!B38*0.29,2.5)</f>
        <v>25</v>
      </c>
      <c r="C40" s="241">
        <v>15.0</v>
      </c>
      <c r="D40" s="83" t="s">
        <v>57</v>
      </c>
      <c r="E40" s="84" t="str">
        <f>IF('WEEK 31'!B40='WEEK 32'!B40,'WEEK 31'!F40,"")</f>
        <v/>
      </c>
      <c r="F40" s="85"/>
      <c r="G40" s="659"/>
      <c r="H40" s="240">
        <v>1.0</v>
      </c>
      <c r="I40" s="254">
        <f>mround('WEEK 32'!I38*2*0.75,10)</f>
        <v>140</v>
      </c>
      <c r="J40" s="241">
        <v>15.0</v>
      </c>
      <c r="K40" s="83" t="s">
        <v>57</v>
      </c>
      <c r="L40" s="84">
        <f>IF('WEEK 31'!J40='WEEK 32'!I40,'WEEK 31'!N40,"")</f>
        <v>15</v>
      </c>
      <c r="M40" s="85"/>
    </row>
    <row r="41">
      <c r="A41" s="661">
        <v>2.0</v>
      </c>
      <c r="B41" s="662">
        <f>mround(B38*0.29,2.5)</f>
        <v>25</v>
      </c>
      <c r="C41" s="662">
        <v>15.0</v>
      </c>
      <c r="D41" s="88" t="s">
        <v>57</v>
      </c>
      <c r="E41" s="84" t="str">
        <f>IF('WEEK 31'!B41='WEEK 32'!B41,'WEEK 31'!F41,"")</f>
        <v/>
      </c>
      <c r="F41" s="85"/>
      <c r="H41" s="661">
        <v>2.0</v>
      </c>
      <c r="I41" s="662">
        <f>mround('WEEK 32'!I38*2*0.75,10)</f>
        <v>140</v>
      </c>
      <c r="J41" s="662">
        <v>15.0</v>
      </c>
      <c r="K41" s="88" t="s">
        <v>57</v>
      </c>
      <c r="L41" s="84">
        <f>IF('WEEK 31'!J41='WEEK 32'!I41,'WEEK 31'!N41,"")</f>
        <v>15</v>
      </c>
      <c r="M41" s="85"/>
    </row>
    <row r="44">
      <c r="A44" s="1176" t="str">
        <f>HYPERLINK("https://www.youtube.com/watch?v=JDPkRuVBZ90","2. SUPER SET")</f>
        <v>2. SUPER SET</v>
      </c>
      <c r="B44" s="36"/>
      <c r="C44" s="36"/>
      <c r="D44" s="36"/>
      <c r="E44" s="36"/>
      <c r="F44" s="37"/>
    </row>
    <row r="45">
      <c r="A45" s="1177" t="s">
        <v>119</v>
      </c>
      <c r="B45" s="1178">
        <f>'WEEK 31'!B60</f>
        <v>225</v>
      </c>
      <c r="C45" s="46"/>
      <c r="D45" s="1178">
        <f>'WEEK 31'!B68</f>
        <v>225</v>
      </c>
      <c r="E45" s="11"/>
      <c r="F45" s="46"/>
    </row>
    <row r="46">
      <c r="A46" s="1179" t="s">
        <v>50</v>
      </c>
      <c r="B46" s="1180" t="s">
        <v>200</v>
      </c>
      <c r="C46" s="1181" t="s">
        <v>51</v>
      </c>
      <c r="D46" s="1181" t="s">
        <v>52</v>
      </c>
      <c r="E46" s="1182" t="s">
        <v>54</v>
      </c>
      <c r="F46" s="1006" t="s">
        <v>55</v>
      </c>
    </row>
    <row r="47">
      <c r="A47" s="1183">
        <v>1.0</v>
      </c>
      <c r="B47" s="1184" t="str">
        <f>HYPERLINK("https://www.youtube.com/watch?v=PnaDzYh2axA","LAT PULL DOWN")</f>
        <v>LAT PULL DOWN</v>
      </c>
      <c r="C47" s="1185">
        <f>MROUND('WEEK 32'!B45*0.45,5)</f>
        <v>100</v>
      </c>
      <c r="D47" s="1186">
        <v>20.0</v>
      </c>
      <c r="E47" s="1187"/>
      <c r="F47" s="1188"/>
    </row>
    <row r="48">
      <c r="A48" s="1189"/>
      <c r="B48" s="1190" t="str">
        <f>HYPERLINK("https://www.youtube.com/watch?v=9YH1YvZbiY0","LOW ROW")</f>
        <v>LOW ROW</v>
      </c>
      <c r="C48" s="1191">
        <f>MROUND('WEEK 32'!D45*0.45,5)</f>
        <v>100</v>
      </c>
      <c r="D48" s="1192">
        <v>20.0</v>
      </c>
      <c r="E48" s="1193"/>
      <c r="F48" s="1188"/>
    </row>
    <row r="49">
      <c r="A49" s="1194" t="s">
        <v>201</v>
      </c>
      <c r="B49" s="11"/>
      <c r="C49" s="11"/>
      <c r="D49" s="11"/>
      <c r="E49" s="11"/>
      <c r="F49" s="46"/>
    </row>
    <row r="50">
      <c r="A50" s="1195">
        <v>2.0</v>
      </c>
      <c r="B50" s="1184" t="str">
        <f>HYPERLINK("https://www.youtube.com/watch?v=PnaDzYh2axA","LAT PULL DOWN")</f>
        <v>LAT PULL DOWN</v>
      </c>
      <c r="C50" s="1185">
        <f>IF('WEEK 32'!F47&gt;=15,'WEEK 32'!C47,MROUND('WEEK 32'!C47*0.9,5))</f>
        <v>100</v>
      </c>
      <c r="D50" s="1186">
        <v>20.0</v>
      </c>
      <c r="E50" s="1187"/>
      <c r="F50" s="1188"/>
    </row>
    <row r="51">
      <c r="A51" s="1196"/>
      <c r="B51" s="1190" t="str">
        <f>HYPERLINK("https://www.youtube.com/watch?v=9YH1YvZbiY0","LOW ROW")</f>
        <v>LOW ROW</v>
      </c>
      <c r="C51" s="1191">
        <f>IF('WEEK 32'!F48&gt;=15,'WEEK 32'!C48,MROUND('WEEK 32'!C48*0.9,5))</f>
        <v>100</v>
      </c>
      <c r="D51" s="1192">
        <v>20.0</v>
      </c>
      <c r="E51" s="1193"/>
      <c r="F51" s="1188"/>
    </row>
    <row r="52">
      <c r="A52" s="1194" t="s">
        <v>201</v>
      </c>
      <c r="B52" s="11"/>
      <c r="C52" s="11"/>
      <c r="D52" s="11"/>
      <c r="E52" s="11"/>
      <c r="F52" s="46"/>
    </row>
    <row r="53">
      <c r="A53" s="1195">
        <v>3.0</v>
      </c>
      <c r="B53" s="1184" t="str">
        <f>HYPERLINK("https://www.youtube.com/watch?v=PnaDzYh2axA","LAT PULL DOWN")</f>
        <v>LAT PULL DOWN</v>
      </c>
      <c r="C53" s="1185">
        <f>IF('WEEK 32'!F50&gt;=15,'WEEK 32'!C50,MROUND('WEEK 32'!C50*0.9,5))</f>
        <v>100</v>
      </c>
      <c r="D53" s="1186">
        <v>20.0</v>
      </c>
      <c r="E53" s="1187"/>
      <c r="F53" s="1133"/>
    </row>
    <row r="54">
      <c r="A54" s="1196"/>
      <c r="B54" s="1190" t="str">
        <f>HYPERLINK("https://www.youtube.com/watch?v=9YH1YvZbiY0","LOW ROW")</f>
        <v>LOW ROW</v>
      </c>
      <c r="C54" s="1191">
        <f>IF('WEEK 32'!F51&gt;=15,'WEEK 32'!C51,MROUND('WEEK 32'!C51*0.9,5))</f>
        <v>90</v>
      </c>
      <c r="D54" s="1192">
        <v>20.0</v>
      </c>
      <c r="E54" s="1193"/>
      <c r="F54" s="1133"/>
    </row>
    <row r="55">
      <c r="A55" s="1194" t="s">
        <v>201</v>
      </c>
      <c r="B55" s="11"/>
      <c r="C55" s="11"/>
      <c r="D55" s="11"/>
      <c r="E55" s="11"/>
      <c r="F55" s="46"/>
    </row>
    <row r="56">
      <c r="A56" s="1197">
        <v>4.0</v>
      </c>
      <c r="B56" s="1184" t="str">
        <f>HYPERLINK("https://www.youtube.com/watch?v=PnaDzYh2axA","LAT PULL DOWN")</f>
        <v>LAT PULL DOWN</v>
      </c>
      <c r="C56" s="1185">
        <f>IF('WEEK 32'!F53&gt;=15,'WEEK 32'!C53,MROUND('WEEK 32'!C53*0.9,5))</f>
        <v>100</v>
      </c>
      <c r="D56" s="1186">
        <v>20.0</v>
      </c>
      <c r="E56" s="1187"/>
      <c r="F56" s="1133"/>
    </row>
    <row r="57">
      <c r="A57" s="1196"/>
      <c r="B57" s="1190" t="str">
        <f>HYPERLINK("https://www.youtube.com/watch?v=9YH1YvZbiY0","LOW ROW")</f>
        <v>LOW ROW</v>
      </c>
      <c r="C57" s="1191">
        <f>IF('WEEK 32'!F54&gt;=15,'WEEK 32'!C54,MROUND('WEEK 32'!C54*0.9,5))</f>
        <v>80</v>
      </c>
      <c r="D57" s="1192">
        <v>20.0</v>
      </c>
      <c r="E57" s="1193"/>
      <c r="F57" s="1133"/>
    </row>
    <row r="59">
      <c r="A59" s="103"/>
      <c r="B59" s="103"/>
      <c r="C59" s="103"/>
      <c r="D59" s="103"/>
      <c r="E59" s="222"/>
      <c r="F59" s="103"/>
    </row>
    <row r="60">
      <c r="A60" s="310" t="str">
        <f>HYPERLINK("https://docs.google.com/a/fitnessresults.com/forms/d/e/1FAIpQLSd7MoczESe8Yjv6BKpmwAZGn9Aiymrs9-UdgfYIUpbr9t5NXg/viewform?usp=pp_url&amp;entry.93370101","CLICK TO COMPLETE WORKOUT")</f>
        <v>CLICK TO COMPLETE WORKOUT</v>
      </c>
      <c r="B60" s="36"/>
      <c r="C60" s="36"/>
      <c r="D60" s="36"/>
      <c r="E60" s="36"/>
      <c r="F60" s="37"/>
    </row>
    <row r="62">
      <c r="A62" s="224" t="s">
        <v>128</v>
      </c>
      <c r="B62" s="36"/>
      <c r="C62" s="36"/>
      <c r="D62" s="36"/>
      <c r="E62" s="36"/>
      <c r="F62" s="37"/>
    </row>
    <row r="65">
      <c r="A65" s="1198" t="str">
        <f>HYPERLINK("https://www.youtube.com/watch?v=5UOeRbRoFOI","1. MACHINE SQUAT")</f>
        <v>1. MACHINE SQUAT</v>
      </c>
      <c r="B65" s="53"/>
      <c r="C65" s="53"/>
      <c r="D65" s="53"/>
      <c r="E65" s="53"/>
      <c r="F65" s="54"/>
      <c r="G65" s="1199"/>
    </row>
    <row r="66">
      <c r="A66" s="1200" t="s">
        <v>119</v>
      </c>
      <c r="B66" s="1201">
        <f>'WEEK 29'!B104</f>
        <v>35</v>
      </c>
      <c r="C66" s="20"/>
      <c r="D66" s="20"/>
      <c r="E66" s="20"/>
      <c r="F66" s="95"/>
      <c r="G66" s="1199"/>
    </row>
    <row r="67">
      <c r="A67" s="231" t="s">
        <v>50</v>
      </c>
      <c r="B67" s="232" t="s">
        <v>51</v>
      </c>
      <c r="C67" s="232" t="s">
        <v>52</v>
      </c>
      <c r="D67" s="232" t="s">
        <v>53</v>
      </c>
      <c r="E67" s="1073" t="s">
        <v>54</v>
      </c>
      <c r="F67" s="1006" t="s">
        <v>55</v>
      </c>
      <c r="G67" s="1199"/>
    </row>
    <row r="68">
      <c r="A68" s="236">
        <v>1.0</v>
      </c>
      <c r="B68" s="237">
        <f>mround('WEEK 32'!B66*0.35,5)</f>
        <v>10</v>
      </c>
      <c r="C68" s="238">
        <v>10.0</v>
      </c>
      <c r="D68" s="238" t="s">
        <v>120</v>
      </c>
      <c r="E68" s="1202" t="str">
        <f>IF('WEEK 32'!B68='WEEK 29'!B99,'WEEK 29'!F99,"")</f>
        <v/>
      </c>
      <c r="F68" s="1131">
        <v>10.0</v>
      </c>
      <c r="G68" s="1199"/>
    </row>
    <row r="69">
      <c r="A69" s="236">
        <v>2.0</v>
      </c>
      <c r="B69" s="237">
        <f>mround('WEEK 32'!B66*0.65,5)</f>
        <v>25</v>
      </c>
      <c r="C69" s="238">
        <v>10.0</v>
      </c>
      <c r="D69" s="238" t="s">
        <v>121</v>
      </c>
      <c r="E69" s="1202" t="str">
        <f>IF('WEEK 32'!B69='WEEK 29'!B100,'WEEK 29'!F100,"")</f>
        <v/>
      </c>
      <c r="F69" s="1011">
        <v>5.0</v>
      </c>
      <c r="G69" s="1199"/>
    </row>
    <row r="70">
      <c r="A70" s="242">
        <v>3.0</v>
      </c>
      <c r="B70" s="237">
        <f>mround('WEEK 32'!B66*0.9,5)</f>
        <v>30</v>
      </c>
      <c r="C70" s="238">
        <v>10.0</v>
      </c>
      <c r="D70" s="238" t="s">
        <v>121</v>
      </c>
      <c r="E70" s="1202" t="str">
        <f>IF('WEEK 32'!B70='WEEK 29'!B101,'WEEK 29'!F101,"")</f>
        <v/>
      </c>
      <c r="F70" s="1011">
        <v>5.0</v>
      </c>
      <c r="G70" s="1199"/>
    </row>
    <row r="71">
      <c r="A71" s="249">
        <v>4.0</v>
      </c>
      <c r="B71" s="175">
        <f>if('WEEK 32'!F70&lt;10,MROUND('WEEK 32'!B70-('WEEK 32'!B70*20%),5),'WEEK 32'!B66)</f>
        <v>25</v>
      </c>
      <c r="C71" s="238">
        <v>10.0</v>
      </c>
      <c r="D71" s="238" t="s">
        <v>122</v>
      </c>
      <c r="E71" s="1202" t="str">
        <f>IF('WEEK 32'!B71='WEEK 29'!B102,'WEEK 29'!F102,"")</f>
        <v/>
      </c>
      <c r="F71" s="1132"/>
      <c r="G71" s="1199"/>
    </row>
    <row r="72">
      <c r="A72" s="249">
        <v>5.0</v>
      </c>
      <c r="B72" s="175">
        <f>IF((AND('WEEK 32'!B71&lt;='WEEK 32'!B70,'WEEK 32'!F71&gt;=10)),'WEEK 32'!B71,IF('WEEK 32'!F71&lt;10,MROUND('WEEK 32'!B71-('WEEK 32'!B71*20%),5),if( 'WEEK 32'!F71&lt;10,MROUND('WEEK 32'!B71-('WEEK 32'!B71*10%),5),MROUND('WEEK 32'!B71+('WEEK 32'!B71*10%),5))))</f>
        <v>20</v>
      </c>
      <c r="C72" s="238">
        <v>10.0</v>
      </c>
      <c r="D72" s="238" t="s">
        <v>122</v>
      </c>
      <c r="E72" s="1202" t="str">
        <f>IF('WEEK 32'!B72='WEEK 29'!B103,'WEEK 29'!F103,"")</f>
        <v/>
      </c>
      <c r="F72" s="1017"/>
      <c r="G72" s="1199"/>
    </row>
    <row r="73">
      <c r="A73" s="249">
        <f>if(F71&lt;10,6,6)</f>
        <v>6</v>
      </c>
      <c r="B73" s="175">
        <f>IF((AND('WEEK 32'!B72&lt;='WEEK 32'!B71,'WEEK 32'!F72&gt;=10)),'WEEK 32'!B72,IF('WEEK 32'!F72&lt;10,MROUND('WEEK 32'!B72-('WEEK 32'!B72*20%),5),if( 'WEEK 32'!F72&lt;10,MROUND('WEEK 32'!B72-('WEEK 32'!B72*10%),5),MROUND('WEEK 32'!B72+('WEEK 32'!B72*10%),5))))</f>
        <v>15</v>
      </c>
      <c r="C73" s="238">
        <v>10.0</v>
      </c>
      <c r="D73" s="238" t="s">
        <v>122</v>
      </c>
      <c r="E73" s="1202"/>
      <c r="F73" s="1085"/>
      <c r="G73" s="1199"/>
    </row>
    <row r="74">
      <c r="A74" s="272" t="s">
        <v>192</v>
      </c>
      <c r="B74" s="1039">
        <f>IF((AND('WEEK 32'!F73&gt;=10,'WEEK 32'!B73&gt;'WEEK 32'!B72)),'WEEK 32'!B73,IF((AND('WEEK 32'!F72&gt;=10,'WEEK 32'!B72&gt;'WEEK 32'!B71)),'WEEK 32'!B72,IF((AND('WEEK 32'!F71&gt;=10,'WEEK 32'!B71&gt;'WEEK 32'!B70)),'WEEK 32'!B71,IF((AND('WEEK 32'!F70&gt;=10,'WEEK 32'!B70&gt;'WEEK 32'!B69)),'WEEK 32'!B70,IF((AND('WEEK 32'!F69&gt;=10,'WEEK 32'!B69&gt;'WEEK 32'!B68)),'WEEK 32'!B69,IF((AND('WEEK 32'!F68&gt;=10,'WEEK 32'!B68&gt;'WEEK 32'!B67)),'WEEK 32'!B68,'WEEK 32'!B66))))))</f>
        <v>35</v>
      </c>
      <c r="C74" s="11"/>
      <c r="D74" s="11"/>
      <c r="E74" s="11"/>
      <c r="F74" s="46"/>
      <c r="G74" s="1199"/>
    </row>
    <row r="77">
      <c r="A77" s="1044" t="str">
        <f>HYPERLINK("https://www.youtube.com/watch?v=NZ9KiFtbiMs","2. LEG EXTENSION")</f>
        <v>2. LEG EXTENSION</v>
      </c>
      <c r="B77" s="13"/>
      <c r="C77" s="13"/>
      <c r="D77" s="13"/>
      <c r="E77" s="13"/>
      <c r="F77" s="57"/>
    </row>
    <row r="78">
      <c r="A78" s="1045" t="s">
        <v>119</v>
      </c>
      <c r="B78" s="1046">
        <f>IF('WEEK 31'!B96='WEEK 31'!B98,'WEEK 31'!B96+5,IF('WEEK 31'!F96&lt;=9,MROUND('WEEK 31'!B94*0.95,5),'WEEK 31'!B96))</f>
        <v>165</v>
      </c>
      <c r="C78" s="13"/>
      <c r="D78" s="13"/>
      <c r="E78" s="13"/>
      <c r="F78" s="57"/>
    </row>
    <row r="79">
      <c r="A79" s="567" t="s">
        <v>50</v>
      </c>
      <c r="B79" s="568" t="s">
        <v>51</v>
      </c>
      <c r="C79" s="568" t="s">
        <v>52</v>
      </c>
      <c r="D79" s="568" t="s">
        <v>53</v>
      </c>
      <c r="E79" s="1047" t="s">
        <v>54</v>
      </c>
      <c r="F79" s="1048" t="s">
        <v>55</v>
      </c>
    </row>
    <row r="80">
      <c r="A80" s="1049">
        <v>1.0</v>
      </c>
      <c r="B80" s="1050">
        <f>'WEEK 32'!B78</f>
        <v>165</v>
      </c>
      <c r="C80" s="1051" t="s">
        <v>144</v>
      </c>
      <c r="D80" s="1052" t="s">
        <v>57</v>
      </c>
      <c r="E80" s="1010"/>
      <c r="F80" s="1017"/>
    </row>
    <row r="81">
      <c r="A81" s="1049">
        <v>2.0</v>
      </c>
      <c r="B81" s="1050">
        <f>if('WEEK 32'!F80&lt;12,mround('WEEK 32'!B80*0.8,5),IF('WEEK 32'!F80&lt;=19,MROUND('WEEK 32'!B80*0.95,5),'WEEK 32'!B80))</f>
        <v>130</v>
      </c>
      <c r="C81" s="1051" t="s">
        <v>144</v>
      </c>
      <c r="D81" s="1052" t="s">
        <v>57</v>
      </c>
      <c r="E81" s="1010"/>
      <c r="F81" s="1017"/>
    </row>
    <row r="82">
      <c r="A82" s="1053">
        <v>3.0</v>
      </c>
      <c r="B82" s="1054">
        <f>if('WEEK 32'!F81&lt;12,mround('WEEK 32'!B81*0.8,5),IF('WEEK 32'!F81&lt;=19,MROUND('WEEK 32'!B81*0.95,5),'WEEK 32'!B81))</f>
        <v>105</v>
      </c>
      <c r="C82" s="1055" t="s">
        <v>144</v>
      </c>
      <c r="D82" s="1056" t="s">
        <v>57</v>
      </c>
      <c r="E82" s="1021"/>
      <c r="F82" s="1017"/>
    </row>
    <row r="85">
      <c r="A85" s="323" t="str">
        <f>HYPERLINK("https://www.youtube.com/watch?v=XepOfsnGFJg","4. MACHINE LEG CURL")</f>
        <v>4. MACHINE LEG CURL</v>
      </c>
      <c r="B85" s="53"/>
      <c r="C85" s="53"/>
      <c r="D85" s="53"/>
      <c r="E85" s="53"/>
      <c r="F85" s="54"/>
      <c r="G85" s="141"/>
      <c r="H85" s="323" t="str">
        <f>HYPERLINK("https://youtu.be/kmN9cJ79PDE","4. PRONE LEG CURL")</f>
        <v>4. PRONE LEG CURL</v>
      </c>
      <c r="I85" s="53"/>
      <c r="J85" s="53"/>
      <c r="K85" s="53"/>
      <c r="L85" s="53"/>
      <c r="M85" s="54"/>
    </row>
    <row r="86">
      <c r="A86" s="1045" t="s">
        <v>119</v>
      </c>
      <c r="B86" s="1046">
        <f>IF('WEEK 31'!B105='WEEK 31'!B107,'WEEK 31'!B105+5,IF('WEEK 31'!F105&lt;=9,MROUND('WEEK 31'!B103*0.95,5),'WEEK 31'!B105))</f>
        <v>15</v>
      </c>
      <c r="C86" s="13"/>
      <c r="D86" s="13"/>
      <c r="E86" s="13"/>
      <c r="F86" s="57"/>
      <c r="H86" s="1045" t="s">
        <v>119</v>
      </c>
      <c r="I86" s="1046">
        <f>IF('WEEK 31'!J105='WEEK 31'!J107,'WEEK 31'!J105+5,IF('WEEK 31'!N105&lt;=9,MROUND('WEEK 31'!J103*0.95,5),'WEEK 31'!J105))</f>
        <v>15</v>
      </c>
      <c r="J86" s="13"/>
      <c r="K86" s="13"/>
      <c r="L86" s="13"/>
      <c r="M86" s="57"/>
    </row>
    <row r="87">
      <c r="A87" s="567" t="s">
        <v>50</v>
      </c>
      <c r="B87" s="568" t="s">
        <v>51</v>
      </c>
      <c r="C87" s="568" t="s">
        <v>52</v>
      </c>
      <c r="D87" s="568" t="s">
        <v>53</v>
      </c>
      <c r="E87" s="1047" t="s">
        <v>54</v>
      </c>
      <c r="F87" s="1048" t="s">
        <v>55</v>
      </c>
      <c r="H87" s="567" t="s">
        <v>50</v>
      </c>
      <c r="I87" s="568" t="s">
        <v>51</v>
      </c>
      <c r="J87" s="568" t="s">
        <v>52</v>
      </c>
      <c r="K87" s="568" t="s">
        <v>53</v>
      </c>
      <c r="L87" s="1047" t="s">
        <v>54</v>
      </c>
      <c r="M87" s="1048" t="s">
        <v>55</v>
      </c>
    </row>
    <row r="88">
      <c r="A88" s="1049">
        <v>1.0</v>
      </c>
      <c r="B88" s="1050">
        <f>'WEEK 32'!B86</f>
        <v>15</v>
      </c>
      <c r="C88" s="1051" t="s">
        <v>144</v>
      </c>
      <c r="D88" s="1052" t="s">
        <v>57</v>
      </c>
      <c r="E88" s="1010"/>
      <c r="F88" s="1017"/>
      <c r="G88" s="434" t="s">
        <v>123</v>
      </c>
      <c r="H88" s="1049">
        <v>1.0</v>
      </c>
      <c r="I88" s="1050">
        <f>'WEEK 32'!I86</f>
        <v>15</v>
      </c>
      <c r="J88" s="1051" t="s">
        <v>144</v>
      </c>
      <c r="K88" s="1052" t="s">
        <v>57</v>
      </c>
      <c r="L88" s="1010"/>
      <c r="M88" s="1017"/>
    </row>
    <row r="89">
      <c r="A89" s="1049">
        <v>2.0</v>
      </c>
      <c r="B89" s="1050">
        <f>if('WEEK 32'!F88&lt;12,mround('WEEK 32'!B88*0.8,5),IF('WEEK 32'!F88&lt;=19,MROUND('WEEK 32'!B88*0.95,5),'WEEK 32'!B88))</f>
        <v>10</v>
      </c>
      <c r="C89" s="1051" t="s">
        <v>144</v>
      </c>
      <c r="D89" s="1052" t="s">
        <v>57</v>
      </c>
      <c r="E89" s="1010"/>
      <c r="F89" s="1017"/>
      <c r="H89" s="1049">
        <v>2.0</v>
      </c>
      <c r="I89" s="1050">
        <f>if('WEEK 32'!M88&lt;12,mround('WEEK 32'!I88*0.8,5),IF('WEEK 32'!M88&lt;=19,MROUND('WEEK 32'!I88*0.95,5),'WEEK 32'!I88))</f>
        <v>10</v>
      </c>
      <c r="J89" s="1051" t="s">
        <v>144</v>
      </c>
      <c r="K89" s="1052" t="s">
        <v>57</v>
      </c>
      <c r="L89" s="1010"/>
      <c r="M89" s="1017"/>
    </row>
    <row r="90">
      <c r="A90" s="1053">
        <v>3.0</v>
      </c>
      <c r="B90" s="1054">
        <f>if('WEEK 32'!F89&lt;12,mround('WEEK 32'!B89*0.8,5),IF('WEEK 32'!F89&lt;=19,MROUND('WEEK 32'!B89*0.95,5),'WEEK 32'!B89))</f>
        <v>10</v>
      </c>
      <c r="C90" s="1055" t="s">
        <v>144</v>
      </c>
      <c r="D90" s="1056" t="s">
        <v>57</v>
      </c>
      <c r="E90" s="1021"/>
      <c r="F90" s="1017"/>
      <c r="G90" s="682"/>
      <c r="H90" s="1053">
        <v>3.0</v>
      </c>
      <c r="I90" s="1054">
        <f>if('WEEK 32'!M89&lt;12,mround('WEEK 32'!I89*0.8,5),IF('WEEK 32'!M89&lt;=19,MROUND('WEEK 32'!I89*0.95,5),'WEEK 32'!I89))</f>
        <v>10</v>
      </c>
      <c r="J90" s="1055" t="s">
        <v>144</v>
      </c>
      <c r="K90" s="1056" t="s">
        <v>57</v>
      </c>
      <c r="L90" s="1021"/>
      <c r="M90" s="1017"/>
    </row>
    <row r="91">
      <c r="A91" s="849"/>
      <c r="B91" s="849"/>
      <c r="C91" s="849"/>
      <c r="D91" s="849"/>
      <c r="E91" s="849"/>
      <c r="F91" s="849"/>
      <c r="H91" s="849"/>
      <c r="I91" s="850"/>
      <c r="J91" s="850"/>
      <c r="K91" s="850"/>
      <c r="L91" s="850"/>
      <c r="M91" s="850"/>
    </row>
    <row r="93">
      <c r="A93" s="1120" t="s">
        <v>62</v>
      </c>
      <c r="B93" s="36"/>
      <c r="C93" s="36"/>
      <c r="D93" s="36"/>
      <c r="E93" s="36"/>
      <c r="F93" s="37"/>
    </row>
    <row r="96">
      <c r="A96" s="878" t="str">
        <f>HYPERLINK("https://www.youtube.com/watch?v=rmxOkkd2hUk","1. SHOULDER PRESS")</f>
        <v>1. SHOULDER PRESS</v>
      </c>
      <c r="B96" s="53"/>
      <c r="C96" s="53"/>
      <c r="D96" s="53"/>
      <c r="E96" s="53"/>
      <c r="F96" s="54"/>
      <c r="H96" s="361" t="str">
        <f>HYPERLINK("https://www.youtube.com/watch?v=-cSBPE-y38M","1. MACHINE SHOULDER PRESS")</f>
        <v>1. MACHINE SHOULDER PRESS</v>
      </c>
      <c r="I96" s="53"/>
      <c r="J96" s="53"/>
      <c r="K96" s="53"/>
      <c r="L96" s="53"/>
      <c r="M96" s="54"/>
    </row>
    <row r="97">
      <c r="A97" s="961" t="s">
        <v>119</v>
      </c>
      <c r="B97" s="1035" t="str">
        <f>IF('WEEK 31'!B127="",'WEEK 30'!B109,'WEEK 31'!B127)</f>
        <v/>
      </c>
      <c r="C97" s="13"/>
      <c r="D97" s="13"/>
      <c r="E97" s="13"/>
      <c r="F97" s="57"/>
      <c r="H97" s="961" t="s">
        <v>119</v>
      </c>
      <c r="I97" s="1035" t="str">
        <f>IF('WEEK 31'!J127="",'WEEK 30'!I109,'WEEK 31'!J127)</f>
        <v/>
      </c>
      <c r="J97" s="13"/>
      <c r="K97" s="13"/>
      <c r="L97" s="13"/>
      <c r="M97" s="57"/>
    </row>
    <row r="98">
      <c r="A98" s="962" t="s">
        <v>50</v>
      </c>
      <c r="B98" s="1203" t="s">
        <v>51</v>
      </c>
      <c r="C98" s="963" t="s">
        <v>52</v>
      </c>
      <c r="D98" s="963" t="s">
        <v>53</v>
      </c>
      <c r="E98" s="1073" t="s">
        <v>54</v>
      </c>
      <c r="F98" s="1006" t="s">
        <v>55</v>
      </c>
      <c r="H98" s="962" t="s">
        <v>50</v>
      </c>
      <c r="I98" s="1203" t="s">
        <v>51</v>
      </c>
      <c r="J98" s="963" t="s">
        <v>52</v>
      </c>
      <c r="K98" s="963" t="s">
        <v>53</v>
      </c>
      <c r="L98" s="1073" t="s">
        <v>54</v>
      </c>
      <c r="M98" s="1006" t="s">
        <v>55</v>
      </c>
    </row>
    <row r="99">
      <c r="A99" s="1204">
        <v>1.0</v>
      </c>
      <c r="B99" s="1205">
        <f>mround('WEEK 32'!B97*0.5,5)</f>
        <v>0</v>
      </c>
      <c r="C99" s="1206" t="s">
        <v>65</v>
      </c>
      <c r="D99" s="1207" t="s">
        <v>122</v>
      </c>
      <c r="E99" s="1208"/>
      <c r="F99" s="1161"/>
      <c r="H99" s="1204">
        <v>1.0</v>
      </c>
      <c r="I99" s="1205">
        <f>mround('WEEK 32'!I97*0.5,5)</f>
        <v>0</v>
      </c>
      <c r="J99" s="1206" t="s">
        <v>65</v>
      </c>
      <c r="K99" s="1207" t="s">
        <v>122</v>
      </c>
      <c r="L99" s="1208"/>
      <c r="M99" s="1161"/>
    </row>
    <row r="100">
      <c r="A100" s="1209">
        <v>2.0</v>
      </c>
      <c r="B100" s="1210">
        <f>IF('WEEK 32'!F99&lt;5,MROUND('WEEK 32'!B99*0.7,5),IF('WEEK 32'!F99&lt;15,mround('WEEK 32'!B99*0.85,5),IF('WEEK 32'!F99&gt;=15,'WEEK 32'!B99)))</f>
        <v>0</v>
      </c>
      <c r="C100" s="1206" t="s">
        <v>65</v>
      </c>
      <c r="D100" s="1207" t="s">
        <v>122</v>
      </c>
      <c r="E100" s="1211"/>
      <c r="F100" s="1159"/>
      <c r="H100" s="1209">
        <v>2.0</v>
      </c>
      <c r="I100" s="1210">
        <f>IF('WEEK 32'!M99&lt;5,MROUND('WEEK 32'!I99*0.7,5),IF('WEEK 32'!M99&lt;15,mround('WEEK 32'!I99*0.85,5),IF('WEEK 32'!M99&gt;=15,'WEEK 32'!I99)))</f>
        <v>0</v>
      </c>
      <c r="J100" s="1206" t="s">
        <v>65</v>
      </c>
      <c r="K100" s="1207" t="s">
        <v>122</v>
      </c>
      <c r="L100" s="1211"/>
      <c r="M100" s="1159"/>
    </row>
    <row r="101">
      <c r="A101" s="1209">
        <v>3.0</v>
      </c>
      <c r="B101" s="1210">
        <f>IF('WEEK 32'!F100&lt;5,MROUND('WEEK 32'!B100*0.7,5),IF('WEEK 32'!F100&lt;15,mround('WEEK 32'!B100*0.85,5),IF('WEEK 32'!F100&gt;=15,'WEEK 32'!B100)))</f>
        <v>0</v>
      </c>
      <c r="C101" s="1206" t="s">
        <v>65</v>
      </c>
      <c r="D101" s="1207" t="s">
        <v>122</v>
      </c>
      <c r="E101" s="1010"/>
      <c r="F101" s="1159"/>
      <c r="H101" s="1209">
        <v>3.0</v>
      </c>
      <c r="I101" s="1210">
        <f>IF('WEEK 32'!M100&lt;5,MROUND('WEEK 32'!I100*0.7,5),IF('WEEK 32'!M100&lt;15,mround('WEEK 32'!I100*0.85,5),IF('WEEK 32'!M100&gt;=15,'WEEK 32'!I100)))</f>
        <v>0</v>
      </c>
      <c r="J101" s="1206" t="s">
        <v>65</v>
      </c>
      <c r="K101" s="1207" t="s">
        <v>122</v>
      </c>
      <c r="L101" s="1010"/>
      <c r="M101" s="1159"/>
    </row>
    <row r="102">
      <c r="A102" s="1212">
        <v>4.0</v>
      </c>
      <c r="B102" s="1213">
        <f>IF('WEEK 32'!F101&lt;5,MROUND('WEEK 32'!B101*0.7,5),IF('WEEK 32'!F101&lt;15,mround('WEEK 32'!B101*0.85,5),IF('WEEK 32'!F101&gt;=15,'WEEK 32'!B101)))</f>
        <v>0</v>
      </c>
      <c r="C102" s="1214" t="s">
        <v>65</v>
      </c>
      <c r="D102" s="1215" t="s">
        <v>122</v>
      </c>
      <c r="E102" s="1021"/>
      <c r="F102" s="1216"/>
      <c r="H102" s="1212">
        <v>4.0</v>
      </c>
      <c r="I102" s="1213">
        <f>IF('WEEK 32'!M101&lt;5,MROUND('WEEK 32'!I101*0.7,5),IF('WEEK 32'!M101&lt;15,mround('WEEK 32'!I101*0.85,5),IF('WEEK 32'!M101&gt;=15,'WEEK 32'!I101)))</f>
        <v>0</v>
      </c>
      <c r="J102" s="1214" t="s">
        <v>65</v>
      </c>
      <c r="K102" s="1215" t="s">
        <v>122</v>
      </c>
      <c r="L102" s="1021"/>
      <c r="M102" s="1216"/>
    </row>
    <row r="105">
      <c r="A105" s="1217" t="str">
        <f>HYPERLINK("https://www.youtube.com/watch?v=XDLQt1j3qUU","2. Dumbbell REAR DELT FLY ")</f>
        <v>2. Dumbbell REAR DELT FLY </v>
      </c>
      <c r="B105" s="53"/>
      <c r="C105" s="53"/>
      <c r="D105" s="53"/>
      <c r="E105" s="53"/>
      <c r="F105" s="54"/>
    </row>
    <row r="106">
      <c r="A106" s="226" t="s">
        <v>145</v>
      </c>
      <c r="B106" s="76" t="str">
        <f>'WEEK 32'!B97</f>
        <v/>
      </c>
      <c r="C106" s="13"/>
      <c r="D106" s="13"/>
      <c r="E106" s="13"/>
      <c r="F106" s="57"/>
    </row>
    <row r="107">
      <c r="A107" s="962" t="s">
        <v>50</v>
      </c>
      <c r="B107" s="963" t="s">
        <v>51</v>
      </c>
      <c r="C107" s="963" t="s">
        <v>52</v>
      </c>
      <c r="D107" s="963" t="s">
        <v>53</v>
      </c>
      <c r="E107" s="1005" t="s">
        <v>54</v>
      </c>
      <c r="F107" s="1006" t="s">
        <v>55</v>
      </c>
    </row>
    <row r="108">
      <c r="A108" s="967">
        <v>1.0</v>
      </c>
      <c r="B108" s="1028">
        <f>MROUND('WEEK 32'!B106*0.5,2.5)</f>
        <v>0</v>
      </c>
      <c r="C108" s="1218" t="s">
        <v>65</v>
      </c>
      <c r="D108" s="1067" t="s">
        <v>122</v>
      </c>
      <c r="E108" s="1010"/>
      <c r="F108" s="1017"/>
    </row>
    <row r="109">
      <c r="A109" s="967">
        <v>2.0</v>
      </c>
      <c r="B109" s="1028">
        <f>if('WEEK 32'!F108&lt;10,mround('WEEK 32'!B108*0.8,5),IF('WEEK 32'!F108&lt;=15,MROUND('WEEK 32'!B108*0.95,5),'WEEK 32'!B108))</f>
        <v>0</v>
      </c>
      <c r="C109" s="1218" t="s">
        <v>65</v>
      </c>
      <c r="D109" s="1067" t="s">
        <v>122</v>
      </c>
      <c r="E109" s="1010"/>
      <c r="F109" s="1017"/>
    </row>
    <row r="110">
      <c r="A110" s="971">
        <v>3.0</v>
      </c>
      <c r="B110" s="1123">
        <f>if('WEEK 32'!F109&lt;10,mround('WEEK 32'!B109*0.8,5),IF('WEEK 32'!F109&lt;=15,MROUND('WEEK 32'!B109*0.95,5),'WEEK 32'!B109))</f>
        <v>0</v>
      </c>
      <c r="C110" s="1219" t="s">
        <v>65</v>
      </c>
      <c r="D110" s="1220" t="s">
        <v>122</v>
      </c>
      <c r="E110" s="1021"/>
      <c r="F110" s="1017"/>
    </row>
    <row r="113">
      <c r="A113" s="74" t="str">
        <f>HYPERLINK("https://youtu.be/jat-iMMa0ac","3. DUMBBELL SIDE LATERAL RAISE")</f>
        <v>3. DUMBBELL SIDE LATERAL RAISE</v>
      </c>
      <c r="B113" s="53"/>
      <c r="C113" s="53"/>
      <c r="D113" s="53"/>
      <c r="E113" s="53"/>
      <c r="F113" s="54"/>
    </row>
    <row r="114">
      <c r="A114" s="226" t="s">
        <v>145</v>
      </c>
      <c r="B114" s="90" t="str">
        <f>'WEEK 32'!B97</f>
        <v/>
      </c>
      <c r="C114" s="13"/>
      <c r="D114" s="13"/>
      <c r="E114" s="13"/>
      <c r="F114" s="57"/>
    </row>
    <row r="115">
      <c r="A115" s="376" t="s">
        <v>50</v>
      </c>
      <c r="B115" s="79" t="s">
        <v>51</v>
      </c>
      <c r="C115" s="79" t="s">
        <v>52</v>
      </c>
      <c r="D115" s="79" t="s">
        <v>53</v>
      </c>
      <c r="E115" s="98" t="s">
        <v>54</v>
      </c>
      <c r="F115" s="377" t="s">
        <v>55</v>
      </c>
    </row>
    <row r="116">
      <c r="A116" s="81">
        <v>1.0</v>
      </c>
      <c r="B116" s="82">
        <f>mround('WEEK 32'!B114*0.1,5)</f>
        <v>0</v>
      </c>
      <c r="C116" s="262" t="s">
        <v>65</v>
      </c>
      <c r="D116" s="83" t="s">
        <v>57</v>
      </c>
      <c r="E116" s="378"/>
      <c r="F116" s="796"/>
    </row>
    <row r="117">
      <c r="A117" s="81">
        <v>2.0</v>
      </c>
      <c r="B117" s="82">
        <f>if('WEEK 32'!F116&lt;12,mround('WEEK 32'!B116*0.8,2.5),'WEEK 32'!B116)</f>
        <v>0</v>
      </c>
      <c r="C117" s="262" t="s">
        <v>65</v>
      </c>
      <c r="D117" s="83" t="s">
        <v>57</v>
      </c>
      <c r="E117" s="378"/>
      <c r="F117" s="330"/>
    </row>
    <row r="118">
      <c r="A118" s="86">
        <v>3.0</v>
      </c>
      <c r="B118" s="87">
        <f>if('WEEK 32'!F117&lt;12,mround('WEEK 32'!B117*0.8,2.5),'WEEK 32'!B117)</f>
        <v>0</v>
      </c>
      <c r="C118" s="309" t="s">
        <v>65</v>
      </c>
      <c r="D118" s="88" t="s">
        <v>57</v>
      </c>
      <c r="E118" s="379"/>
      <c r="F118" s="85"/>
    </row>
    <row r="119">
      <c r="A119" s="795"/>
      <c r="B119" s="795"/>
      <c r="C119" s="795"/>
      <c r="D119" s="792"/>
      <c r="E119" s="793"/>
      <c r="F119" s="792"/>
    </row>
    <row r="120">
      <c r="A120" s="795"/>
      <c r="B120" s="795"/>
      <c r="C120" s="795"/>
      <c r="D120" s="792"/>
      <c r="E120" s="793"/>
      <c r="F120" s="792"/>
    </row>
    <row r="121">
      <c r="A121" s="361" t="str">
        <f>HYPERLINK("https://www.youtube.com/watch?v=Zt0LwrUdpNs","2.  TRICEP OVERHEAD ROPE EXTENSION")</f>
        <v>2.  TRICEP OVERHEAD ROPE EXTENSION</v>
      </c>
      <c r="B121" s="53"/>
      <c r="C121" s="53"/>
      <c r="D121" s="53"/>
      <c r="E121" s="53"/>
      <c r="F121" s="54"/>
    </row>
    <row r="122">
      <c r="A122" s="226" t="s">
        <v>119</v>
      </c>
      <c r="B122" s="76">
        <f>IF('WEEK 31'!B147='WEEK 31'!B149,'WEEK 31'!B147+5,IF('WEEK 31'!F147&lt;=15,MROUND('WEEK 31'!B145*0.35,5),'WEEK 31'!B147))</f>
        <v>5</v>
      </c>
      <c r="C122" s="13"/>
      <c r="D122" s="13"/>
      <c r="E122" s="13"/>
      <c r="F122" s="57"/>
    </row>
    <row r="123">
      <c r="A123" s="77" t="s">
        <v>50</v>
      </c>
      <c r="B123" s="78" t="s">
        <v>51</v>
      </c>
      <c r="C123" s="78" t="s">
        <v>52</v>
      </c>
      <c r="D123" s="78" t="s">
        <v>53</v>
      </c>
      <c r="E123" s="80" t="s">
        <v>54</v>
      </c>
      <c r="F123" s="235" t="s">
        <v>55</v>
      </c>
    </row>
    <row r="124">
      <c r="A124" s="81">
        <v>1.0</v>
      </c>
      <c r="B124" s="82">
        <f> mround('WEEK 32'!B122*0.5,5)</f>
        <v>5</v>
      </c>
      <c r="C124" s="262" t="s">
        <v>65</v>
      </c>
      <c r="D124" s="83" t="s">
        <v>58</v>
      </c>
      <c r="E124" s="84" t="str">
        <f>IF('WEEK 25'!B141=B124,'WEEK 25'!F141,"")</f>
        <v/>
      </c>
      <c r="F124" s="85"/>
    </row>
    <row r="125">
      <c r="A125" s="81">
        <v>2.0</v>
      </c>
      <c r="B125" s="82">
        <f>if('WEEK 32'!F124&lt;10,mround('WEEK 32'!B124*0.8,5),IF('WEEK 32'!F124&lt;=14,MROUND('WEEK 32'!B124*0.95,5),'WEEK 32'!B124))</f>
        <v>5</v>
      </c>
      <c r="C125" s="262" t="s">
        <v>65</v>
      </c>
      <c r="D125" s="83" t="s">
        <v>58</v>
      </c>
      <c r="E125" s="84" t="str">
        <f>IF('WEEK 25'!B142=B125,'WEEK 25'!F142,"")</f>
        <v/>
      </c>
      <c r="F125" s="85"/>
    </row>
    <row r="126">
      <c r="A126" s="86">
        <v>3.0</v>
      </c>
      <c r="B126" s="87">
        <f>if('WEEK 32'!F125&lt;8,mround('WEEK 32'!B125*0.8,5),IF('WEEK 32'!F125&lt;=14,MROUND('WEEK 32'!B125*0.95,5),'WEEK 32'!B125))</f>
        <v>5</v>
      </c>
      <c r="C126" s="309" t="s">
        <v>65</v>
      </c>
      <c r="D126" s="88" t="s">
        <v>58</v>
      </c>
      <c r="E126" s="89" t="str">
        <f>IF('WEEK 25'!B143=B126,'WEEK 25'!F143,"")</f>
        <v/>
      </c>
      <c r="F126" s="85"/>
    </row>
    <row r="129">
      <c r="A129" s="75" t="str">
        <f>HYPERLINK("https://www.youtube.com/watch?v=9IqvmIhFxtY","4. BICEP CABLE CURL")</f>
        <v>4. BICEP CABLE CURL</v>
      </c>
      <c r="B129" s="53"/>
      <c r="C129" s="53"/>
      <c r="D129" s="53"/>
      <c r="E129" s="53"/>
      <c r="F129" s="54"/>
      <c r="G129" s="698"/>
      <c r="H129" s="75" t="str">
        <f>HYPERLINK("https://www.youtube.com/watch?v=Bi6Do6QIlpQ","4. BICEP BAR CURL")</f>
        <v>4. BICEP BAR CURL</v>
      </c>
      <c r="I129" s="53"/>
      <c r="J129" s="53"/>
      <c r="K129" s="53"/>
      <c r="L129" s="53"/>
      <c r="M129" s="54"/>
    </row>
    <row r="130">
      <c r="A130" s="226" t="s">
        <v>119</v>
      </c>
      <c r="B130" s="76">
        <f>IF('WEEK 29'!B142='WEEK 29'!B144,'WEEK 29'!B142,IF('WEEK 29'!F142&lt;=15,MROUND('WEEK 29'!B140*0.95,5),'WEEK 29'!B142))</f>
        <v>50</v>
      </c>
      <c r="C130" s="13"/>
      <c r="D130" s="13"/>
      <c r="E130" s="13"/>
      <c r="F130" s="57"/>
      <c r="G130" s="985"/>
      <c r="H130" s="282" t="s">
        <v>119</v>
      </c>
      <c r="I130" s="852" t="str">
        <f>#REF!</f>
        <v>#REF!</v>
      </c>
      <c r="J130" s="16"/>
      <c r="K130" s="16"/>
      <c r="L130" s="16"/>
      <c r="M130" s="230"/>
    </row>
    <row r="131">
      <c r="A131" s="77" t="s">
        <v>50</v>
      </c>
      <c r="B131" s="78" t="s">
        <v>51</v>
      </c>
      <c r="C131" s="78" t="s">
        <v>52</v>
      </c>
      <c r="D131" s="78" t="s">
        <v>53</v>
      </c>
      <c r="E131" s="80" t="s">
        <v>54</v>
      </c>
      <c r="F131" s="235" t="s">
        <v>55</v>
      </c>
      <c r="G131" s="985"/>
      <c r="H131" s="364" t="s">
        <v>50</v>
      </c>
      <c r="I131" s="365" t="s">
        <v>51</v>
      </c>
      <c r="J131" s="365" t="s">
        <v>52</v>
      </c>
      <c r="K131" s="365" t="s">
        <v>53</v>
      </c>
      <c r="L131" s="367" t="s">
        <v>54</v>
      </c>
      <c r="M131" s="61" t="s">
        <v>55</v>
      </c>
    </row>
    <row r="132">
      <c r="A132" s="81">
        <v>1.0</v>
      </c>
      <c r="B132" s="82">
        <f>MROUND('WEEK 32'!B130*0.5,5)</f>
        <v>25</v>
      </c>
      <c r="C132" s="262" t="s">
        <v>65</v>
      </c>
      <c r="D132" s="83" t="s">
        <v>58</v>
      </c>
      <c r="E132" s="84" t="str">
        <f>IF('WEEK 27'!B143='WEEK 29'!B136,'WEEK 27'!F143,"")</f>
        <v/>
      </c>
      <c r="F132" s="85"/>
      <c r="G132" s="985"/>
      <c r="H132" s="308">
        <v>1.0</v>
      </c>
      <c r="I132" s="237" t="str">
        <f>mround('WEEK 32'!I130*0.5,5)</f>
        <v>#REF!</v>
      </c>
      <c r="J132" s="104" t="s">
        <v>65</v>
      </c>
      <c r="K132" s="238" t="s">
        <v>57</v>
      </c>
      <c r="L132" s="1143"/>
      <c r="M132" s="665">
        <v>10.0</v>
      </c>
    </row>
    <row r="133">
      <c r="A133" s="81">
        <v>2.0</v>
      </c>
      <c r="B133" s="82">
        <f>if('WEEK 32'!F132&lt;15,mround('WEEK 32'!B132*0.8,5),IF('WEEK 32'!F132&lt;=18,MROUND('WEEK 32'!B130*0.95,5),'WEEK 32'!B132))</f>
        <v>20</v>
      </c>
      <c r="C133" s="262" t="s">
        <v>65</v>
      </c>
      <c r="D133" s="83" t="s">
        <v>58</v>
      </c>
      <c r="E133" s="84" t="str">
        <f>IF('WEEK 27'!B144='WEEK 29'!B137,'WEEK 27'!F144,"")</f>
        <v/>
      </c>
      <c r="F133" s="85"/>
      <c r="G133" s="985"/>
      <c r="H133" s="308">
        <v>2.0</v>
      </c>
      <c r="I133" s="237" t="str">
        <f>IF('WEEK 32'!M132&lt;=10,'WEEK 32'!I132-15,IF('WEEK 32'!M132&lt;=14,'WEEK 32'!I132-10,'WEEK 32'!I132))</f>
        <v>#REF!</v>
      </c>
      <c r="J133" s="104" t="s">
        <v>65</v>
      </c>
      <c r="K133" s="238" t="s">
        <v>57</v>
      </c>
      <c r="L133" s="1143"/>
      <c r="M133" s="67"/>
    </row>
    <row r="134">
      <c r="A134" s="629">
        <v>3.0</v>
      </c>
      <c r="B134" s="630">
        <f>if('WEEK 32'!F133&lt;15,mround('WEEK 32'!B133*0.8,5),IF('WEEK 32'!F133&lt;=18,MROUND('WEEK 32'!B131*0.95,5),'WEEK 32'!B133))</f>
        <v>15</v>
      </c>
      <c r="C134" s="262" t="s">
        <v>65</v>
      </c>
      <c r="D134" s="328" t="s">
        <v>58</v>
      </c>
      <c r="E134" s="84" t="str">
        <f>IF('WEEK 27'!B145='WEEK 29'!B138,'WEEK 27'!F145,"")</f>
        <v/>
      </c>
      <c r="F134" s="330"/>
      <c r="G134" s="985"/>
      <c r="H134" s="579">
        <v>3.0</v>
      </c>
      <c r="I134" s="237" t="str">
        <f>IF('WEEK 32'!M133&lt;=10,'WEEK 32'!I133-15,IF('WEEK 32'!M133&lt;=14,'WEEK 32'!I133-10,'WEEK 32'!I133))</f>
        <v>#REF!</v>
      </c>
      <c r="J134" s="105" t="s">
        <v>65</v>
      </c>
      <c r="K134" s="373" t="s">
        <v>57</v>
      </c>
      <c r="L134" s="72"/>
      <c r="M134" s="271">
        <v>10.0</v>
      </c>
    </row>
    <row r="137">
      <c r="A137" s="1149" t="s">
        <v>135</v>
      </c>
      <c r="B137" s="36"/>
      <c r="C137" s="36"/>
      <c r="D137" s="36"/>
      <c r="E137" s="36"/>
      <c r="F137" s="37"/>
    </row>
    <row r="138">
      <c r="A138" s="1093"/>
      <c r="B138" s="1093"/>
      <c r="C138" s="1093"/>
      <c r="D138" s="1093"/>
      <c r="E138" s="1093"/>
      <c r="F138" s="1093"/>
    </row>
    <row r="139">
      <c r="A139" s="1094" t="str">
        <f>HYPERLINK("https://www.amazon.com/30-Minute-Body-Investment-Champion/dp/0692791892/ref=sr_1_1?ie=UTF8&amp;qid=1490447969&amp;sr=8-1&amp;keywords=30+minute+body","WANT TO LEARN MORE?")</f>
        <v>WANT TO LEARN MORE?</v>
      </c>
      <c r="F139" s="39"/>
    </row>
    <row r="140">
      <c r="A140" s="18"/>
      <c r="B140" s="13"/>
      <c r="C140" s="13"/>
      <c r="D140" s="13"/>
      <c r="E140" s="13"/>
      <c r="F140" s="14"/>
    </row>
    <row r="141">
      <c r="A141" s="987"/>
      <c r="B141" s="999"/>
      <c r="C141" s="1150" t="s">
        <v>67</v>
      </c>
      <c r="F141" s="28"/>
    </row>
    <row r="142">
      <c r="A142" s="987"/>
      <c r="B142" s="999"/>
      <c r="F142" s="28"/>
    </row>
    <row r="143">
      <c r="A143" s="987"/>
      <c r="B143" s="999"/>
      <c r="F143" s="28"/>
    </row>
    <row r="144">
      <c r="A144" s="987"/>
      <c r="B144" s="999"/>
      <c r="F144" s="28"/>
    </row>
    <row r="145">
      <c r="A145" s="987"/>
      <c r="B145" s="999"/>
      <c r="F145" s="28"/>
    </row>
    <row r="146">
      <c r="A146" s="987"/>
      <c r="B146" s="999"/>
      <c r="F146" s="28"/>
    </row>
    <row r="147">
      <c r="A147" s="623"/>
      <c r="B147" s="999"/>
      <c r="F147" s="28"/>
    </row>
    <row r="148">
      <c r="A148" s="987"/>
      <c r="B148" s="999"/>
      <c r="F148" s="28"/>
    </row>
    <row r="149">
      <c r="A149" s="987"/>
      <c r="B149" s="999"/>
      <c r="F149" s="28"/>
    </row>
    <row r="150">
      <c r="A150" s="1034"/>
      <c r="B150" s="999"/>
      <c r="F150" s="28"/>
    </row>
    <row r="151">
      <c r="A151" s="987"/>
      <c r="B151" s="999"/>
      <c r="F151" s="28"/>
    </row>
    <row r="152">
      <c r="A152" s="987"/>
      <c r="B152" s="999"/>
      <c r="F152" s="28"/>
    </row>
    <row r="153">
      <c r="A153" s="987"/>
      <c r="B153" s="999"/>
      <c r="F153" s="28"/>
    </row>
    <row r="154">
      <c r="A154" s="987"/>
      <c r="B154" s="999"/>
      <c r="F154" s="28"/>
    </row>
    <row r="155">
      <c r="A155" s="987"/>
      <c r="B155" s="999"/>
      <c r="C155" s="11"/>
      <c r="D155" s="11"/>
      <c r="E155" s="11"/>
      <c r="F155" s="46"/>
    </row>
  </sheetData>
  <mergeCells count="78">
    <mergeCell ref="H16:M16"/>
    <mergeCell ref="A17:N18"/>
    <mergeCell ref="A19:F19"/>
    <mergeCell ref="H19:M19"/>
    <mergeCell ref="A9:F9"/>
    <mergeCell ref="H9:M9"/>
    <mergeCell ref="A10:F11"/>
    <mergeCell ref="H10:M10"/>
    <mergeCell ref="A12:F12"/>
    <mergeCell ref="A13:F13"/>
    <mergeCell ref="H15:M15"/>
    <mergeCell ref="B21:F21"/>
    <mergeCell ref="A27:F27"/>
    <mergeCell ref="G27:G28"/>
    <mergeCell ref="H27:M27"/>
    <mergeCell ref="G19:G26"/>
    <mergeCell ref="G29:G31"/>
    <mergeCell ref="G38:G39"/>
    <mergeCell ref="A29:F29"/>
    <mergeCell ref="B34:F34"/>
    <mergeCell ref="A15:F15"/>
    <mergeCell ref="A16:F16"/>
    <mergeCell ref="N19:N31"/>
    <mergeCell ref="A20:F20"/>
    <mergeCell ref="H20:M20"/>
    <mergeCell ref="I21:M21"/>
    <mergeCell ref="H29:M29"/>
    <mergeCell ref="A129:F129"/>
    <mergeCell ref="B130:F130"/>
    <mergeCell ref="B106:F106"/>
    <mergeCell ref="A113:F113"/>
    <mergeCell ref="B114:F114"/>
    <mergeCell ref="A121:F121"/>
    <mergeCell ref="B122:F122"/>
    <mergeCell ref="H129:M129"/>
    <mergeCell ref="I130:M130"/>
    <mergeCell ref="I34:M34"/>
    <mergeCell ref="A35:N36"/>
    <mergeCell ref="A37:F37"/>
    <mergeCell ref="H37:M37"/>
    <mergeCell ref="B38:F38"/>
    <mergeCell ref="I38:M38"/>
    <mergeCell ref="N38:N41"/>
    <mergeCell ref="A50:A51"/>
    <mergeCell ref="A53:A54"/>
    <mergeCell ref="A56:A57"/>
    <mergeCell ref="G40:G41"/>
    <mergeCell ref="A44:F44"/>
    <mergeCell ref="B45:C45"/>
    <mergeCell ref="D45:F45"/>
    <mergeCell ref="A47:A48"/>
    <mergeCell ref="A49:F49"/>
    <mergeCell ref="A52:F52"/>
    <mergeCell ref="A55:F55"/>
    <mergeCell ref="A60:F60"/>
    <mergeCell ref="A62:F62"/>
    <mergeCell ref="A65:F65"/>
    <mergeCell ref="B66:F66"/>
    <mergeCell ref="B74:F74"/>
    <mergeCell ref="A77:F77"/>
    <mergeCell ref="B78:F78"/>
    <mergeCell ref="A85:F85"/>
    <mergeCell ref="G85:G87"/>
    <mergeCell ref="H85:M85"/>
    <mergeCell ref="B86:F86"/>
    <mergeCell ref="I86:M86"/>
    <mergeCell ref="G88:G89"/>
    <mergeCell ref="G90:G91"/>
    <mergeCell ref="A93:F93"/>
    <mergeCell ref="A96:F96"/>
    <mergeCell ref="H96:M96"/>
    <mergeCell ref="B97:F97"/>
    <mergeCell ref="I97:M97"/>
    <mergeCell ref="A105:F105"/>
    <mergeCell ref="G129:G134"/>
    <mergeCell ref="A137:F137"/>
    <mergeCell ref="A139:F140"/>
    <mergeCell ref="C141:F155"/>
  </mergeCells>
  <dataValidations>
    <dataValidation type="decimal" operator="greaterThanOrEqual" allowBlank="1" showDropDown="1" showErrorMessage="1" sqref="M12:M14 F22:F26 F39:F41 F115:F118 M131:M132 M134">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14 F59">
      <formula1>0.0</formula1>
    </dataValidation>
  </dataValidations>
  <drawing r:id="rId2"/>
  <legacyDrawing r:id="rId3"/>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'MSW32'!A1</f>
        <v/>
      </c>
    </row>
    <row r="8">
      <c r="A8" s="11"/>
      <c r="B8" s="11"/>
      <c r="C8" s="11"/>
      <c r="D8" s="11"/>
      <c r="E8" s="11"/>
      <c r="F8" s="11"/>
      <c r="G8" s="11"/>
      <c r="H8" s="11"/>
      <c r="I8" s="11"/>
      <c r="J8" s="11"/>
      <c r="K8" s="11"/>
      <c r="L8" s="11"/>
      <c r="M8" s="11"/>
    </row>
    <row r="9">
      <c r="A9" s="12" t="str">
        <f>'MSW32'!A9</f>
        <v>Week 32</v>
      </c>
      <c r="B9" s="13"/>
      <c r="C9" s="13"/>
      <c r="D9" s="13"/>
      <c r="E9" s="13"/>
      <c r="F9" s="14"/>
      <c r="G9" s="103" t="str">
        <f>'MSW32'!G9</f>
        <v/>
      </c>
      <c r="H9" s="24" t="s">
        <v>35</v>
      </c>
      <c r="I9" s="25"/>
      <c r="J9" s="25"/>
      <c r="K9" s="25"/>
      <c r="L9" s="25"/>
      <c r="M9" s="26"/>
    </row>
    <row r="10">
      <c r="A10" s="15" t="str">
        <f>'MSW32'!A10</f>
        <v>PRESS TO RECORD BODY WEIGHT</v>
      </c>
      <c r="B10" s="16"/>
      <c r="C10" s="16"/>
      <c r="D10" s="16"/>
      <c r="E10" s="16"/>
      <c r="F10" s="17"/>
      <c r="H10" s="27" t="s">
        <v>330</v>
      </c>
      <c r="M10" s="28"/>
    </row>
    <row r="11">
      <c r="A11" s="18"/>
      <c r="B11" s="13"/>
      <c r="C11" s="13"/>
      <c r="D11" s="13"/>
      <c r="E11" s="13"/>
      <c r="F11" s="14"/>
      <c r="H11" s="29" t="s">
        <v>331</v>
      </c>
      <c r="I11" s="30"/>
      <c r="J11" s="30"/>
      <c r="K11" s="30"/>
      <c r="L11" s="30"/>
      <c r="M11" s="31"/>
    </row>
    <row r="12">
      <c r="A12" s="19" t="str">
        <f>'MSW32'!A12</f>
        <v>This Weeks Goals</v>
      </c>
      <c r="B12" s="20"/>
      <c r="C12" s="20"/>
      <c r="D12" s="20"/>
      <c r="E12" s="20"/>
      <c r="F12" s="21"/>
      <c r="G12" s="103" t="str">
        <f>'MSW32'!G12</f>
        <v/>
      </c>
    </row>
    <row r="13">
      <c r="A13" s="22" t="str">
        <f>'MSW32'!A13</f>
        <v>Working hard this week establishing new maxes in a few areas. Give it everything you've got. Pay close attention to rest times and rep counts. </v>
      </c>
      <c r="B13" s="20"/>
      <c r="C13" s="20"/>
      <c r="D13" s="20"/>
      <c r="E13" s="20"/>
      <c r="F13" s="21"/>
    </row>
    <row r="14">
      <c r="A14" s="219" t="str">
        <f>'MSW32'!A14</f>
        <v/>
      </c>
    </row>
    <row r="16">
      <c r="A16" s="50" t="str">
        <f>'MSW32'!A16</f>
        <v>DAY 1</v>
      </c>
      <c r="B16" s="36"/>
      <c r="C16" s="36"/>
      <c r="D16" s="36"/>
      <c r="E16" s="36"/>
      <c r="F16" s="37"/>
      <c r="G16" s="141" t="str">
        <f>'MSW32'!G16</f>
        <v/>
      </c>
      <c r="H16" s="50" t="str">
        <f>'MSW32'!H16</f>
        <v>ALTERNATE WORKOUTS</v>
      </c>
      <c r="I16" s="36"/>
      <c r="J16" s="36"/>
      <c r="K16" s="36"/>
      <c r="L16" s="36"/>
      <c r="M16" s="37"/>
    </row>
    <row r="17">
      <c r="A17" s="657" t="str">
        <f>'MSW32'!A17</f>
        <v/>
      </c>
    </row>
    <row r="19">
      <c r="A19" s="51" t="str">
        <f>'MSW32'!A19</f>
        <v>CHEST &amp; BACK </v>
      </c>
      <c r="B19" s="36"/>
      <c r="C19" s="36"/>
      <c r="D19" s="36"/>
      <c r="E19" s="36"/>
      <c r="F19" s="37"/>
      <c r="G19" s="141" t="str">
        <f>'MSW32'!G19</f>
        <v/>
      </c>
      <c r="H19" s="51" t="str">
        <f>'MSW32'!H19</f>
        <v>CHEST &amp; BACK </v>
      </c>
      <c r="I19" s="36"/>
      <c r="J19" s="36"/>
      <c r="K19" s="36"/>
      <c r="L19" s="36"/>
      <c r="M19" s="37"/>
    </row>
    <row r="20">
      <c r="A20" s="52" t="str">
        <f>'MSW32'!A20</f>
        <v>1. DUMBBELL INCLINE PRESS</v>
      </c>
      <c r="B20" s="53"/>
      <c r="C20" s="53"/>
      <c r="D20" s="53"/>
      <c r="E20" s="53"/>
      <c r="F20" s="54"/>
      <c r="H20" s="52" t="str">
        <f>'MSW32'!H20</f>
        <v>1. MACHINE PRESS</v>
      </c>
      <c r="I20" s="53"/>
      <c r="J20" s="53"/>
      <c r="K20" s="53"/>
      <c r="L20" s="53"/>
      <c r="M20" s="54"/>
    </row>
    <row r="21">
      <c r="A21" s="228" t="str">
        <f>'MSW32'!A21</f>
        <v>CURRENT MAX</v>
      </c>
      <c r="B21" s="229">
        <f>'MSW32'!B21</f>
        <v>90</v>
      </c>
      <c r="C21" s="16"/>
      <c r="D21" s="16"/>
      <c r="E21" s="16"/>
      <c r="F21" s="230"/>
      <c r="H21" s="228" t="str">
        <f>'MSW32'!H21</f>
        <v>CURRENT MAX</v>
      </c>
      <c r="I21" s="229" t="str">
        <f>'MSW32'!I21</f>
        <v/>
      </c>
      <c r="J21" s="16"/>
      <c r="K21" s="16"/>
      <c r="L21" s="16"/>
      <c r="M21" s="230"/>
    </row>
    <row r="22">
      <c r="A22" s="96" t="str">
        <f>'MSW32'!A22</f>
        <v>SET</v>
      </c>
      <c r="B22" s="97" t="str">
        <f>'MSW32'!B22</f>
        <v>WEIGHT</v>
      </c>
      <c r="C22" s="97" t="str">
        <f>'MSW32'!C22</f>
        <v>REPS</v>
      </c>
      <c r="D22" s="97" t="str">
        <f>'MSW32'!D22</f>
        <v>REST</v>
      </c>
      <c r="E22" s="98" t="str">
        <f>'MSW32'!E22</f>
        <v>PREVIOUS</v>
      </c>
      <c r="F22" s="235" t="str">
        <f>'MSW32'!F22</f>
        <v>REP LOG</v>
      </c>
      <c r="H22" s="96" t="str">
        <f>'MSW32'!H22</f>
        <v>SET</v>
      </c>
      <c r="I22" s="97" t="str">
        <f>'MSW32'!I22</f>
        <v>WEIGHT</v>
      </c>
      <c r="J22" s="97" t="str">
        <f>'MSW32'!J22</f>
        <v>REPS</v>
      </c>
      <c r="K22" s="97" t="str">
        <f>'MSW32'!K22</f>
        <v>REST</v>
      </c>
      <c r="L22" s="98" t="str">
        <f>'MSW32'!L22</f>
        <v>PREVIOUS</v>
      </c>
      <c r="M22" s="235" t="str">
        <f>'MSW32'!M22</f>
        <v>REP LOG</v>
      </c>
    </row>
    <row r="23">
      <c r="A23" s="244">
        <f>'MSW32'!A23</f>
        <v>1</v>
      </c>
      <c r="B23" s="241">
        <f>'MSW32'!B23</f>
        <v>30</v>
      </c>
      <c r="C23" s="63">
        <f>'MSW32'!C23</f>
        <v>6</v>
      </c>
      <c r="D23" s="83" t="str">
        <f>'MSW32'!D23</f>
        <v>1 MIN</v>
      </c>
      <c r="E23" s="84" t="str">
        <f>'MSW32'!E23</f>
        <v/>
      </c>
      <c r="F23" s="85">
        <v>6.0</v>
      </c>
      <c r="H23" s="244">
        <f>'MSW32'!H23</f>
        <v>1</v>
      </c>
      <c r="I23" s="241">
        <f>'MSW32'!I23</f>
        <v>0</v>
      </c>
      <c r="J23" s="63">
        <f>'MSW32'!J23</f>
        <v>6</v>
      </c>
      <c r="K23" s="83" t="str">
        <f>'MSW32'!K23</f>
        <v>1 MIN</v>
      </c>
      <c r="L23" s="84" t="str">
        <f>'MSW32'!L23</f>
        <v/>
      </c>
      <c r="M23" s="85"/>
    </row>
    <row r="24">
      <c r="A24" s="240">
        <f>'MSW32'!A24</f>
        <v>2</v>
      </c>
      <c r="B24" s="241">
        <f>'MSW32'!B24</f>
        <v>60</v>
      </c>
      <c r="C24" s="241">
        <f>'MSW32'!C24</f>
        <v>1</v>
      </c>
      <c r="D24" s="83" t="str">
        <f>'MSW32'!D24</f>
        <v>1 MIN</v>
      </c>
      <c r="E24" s="84" t="str">
        <f>'MSW32'!E24</f>
        <v/>
      </c>
      <c r="F24" s="85">
        <v>1.0</v>
      </c>
      <c r="H24" s="240">
        <f>'MSW32'!H24</f>
        <v>2</v>
      </c>
      <c r="I24" s="241">
        <f>'MSW32'!I24</f>
        <v>0</v>
      </c>
      <c r="J24" s="241">
        <f>'MSW32'!J24</f>
        <v>1</v>
      </c>
      <c r="K24" s="83" t="str">
        <f>'MSW32'!K24</f>
        <v>1 MIN</v>
      </c>
      <c r="L24" s="84" t="str">
        <f>'MSW32'!L24</f>
        <v/>
      </c>
      <c r="M24" s="85"/>
    </row>
    <row r="25">
      <c r="A25" s="240">
        <f>'MSW32'!A25</f>
        <v>3</v>
      </c>
      <c r="B25" s="241">
        <f>'MSW32'!B25</f>
        <v>75</v>
      </c>
      <c r="C25" s="63">
        <f>'MSW32'!C25</f>
        <v>1</v>
      </c>
      <c r="D25" s="83" t="str">
        <f>'MSW32'!D25</f>
        <v>1 MIN</v>
      </c>
      <c r="E25" s="84" t="str">
        <f>'MSW32'!E25</f>
        <v/>
      </c>
      <c r="F25" s="85">
        <v>1.0</v>
      </c>
      <c r="H25" s="240">
        <f>'MSW32'!H25</f>
        <v>3</v>
      </c>
      <c r="I25" s="241">
        <f>'MSW32'!I25</f>
        <v>0</v>
      </c>
      <c r="J25" s="241">
        <f>'MSW32'!J25</f>
        <v>1</v>
      </c>
      <c r="K25" s="83" t="str">
        <f>'MSW32'!K25</f>
        <v>1 MIN</v>
      </c>
      <c r="L25" s="84" t="str">
        <f>'MSW32'!L25</f>
        <v/>
      </c>
      <c r="M25" s="85"/>
    </row>
    <row r="26">
      <c r="A26" s="240">
        <f>'MSW32'!A26</f>
        <v>4</v>
      </c>
      <c r="B26" s="241">
        <f>'MSW32'!B26</f>
        <v>90</v>
      </c>
      <c r="C26" s="245" t="str">
        <f>'MSW32'!C26</f>
        <v>REP OUT</v>
      </c>
      <c r="D26" s="83" t="str">
        <f>'MSW32'!D26</f>
        <v>1 MIN</v>
      </c>
      <c r="E26" s="84" t="str">
        <f>'MSW32'!E26</f>
        <v/>
      </c>
      <c r="F26" s="85">
        <v>4.0</v>
      </c>
      <c r="H26" s="240">
        <f>'MSW32'!H26</f>
        <v>4</v>
      </c>
      <c r="I26" s="241">
        <f>'MSW32'!I26</f>
        <v>0</v>
      </c>
      <c r="J26" s="245" t="str">
        <f>'MSW32'!J26</f>
        <v>REP OUT</v>
      </c>
      <c r="K26" s="83" t="str">
        <f>'MSW32'!K26</f>
        <v>1 MIN</v>
      </c>
      <c r="L26" s="84" t="str">
        <f>'MSW32'!L26</f>
        <v/>
      </c>
      <c r="M26" s="85"/>
    </row>
    <row r="27">
      <c r="A27" s="248" t="str">
        <f>'MSW32'!A27</f>
        <v>PROCEED TO DOWN SETS</v>
      </c>
      <c r="F27" s="28"/>
      <c r="G27" s="247" t="str">
        <f>'MSW32'!G27</f>
        <v>ALTERNATE</v>
      </c>
      <c r="H27" s="248" t="str">
        <f>'MSW32'!H27</f>
        <v>PROCEED TO DOWNSETS</v>
      </c>
      <c r="M27" s="28"/>
    </row>
    <row r="28">
      <c r="A28" s="251" t="str">
        <f>'MSW32'!A28</f>
        <v/>
      </c>
      <c r="B28" s="252" t="str">
        <f>'MSW32'!B28</f>
        <v/>
      </c>
      <c r="C28" s="253" t="str">
        <f>'MSW32'!C28</f>
        <v/>
      </c>
      <c r="D28" s="254" t="str">
        <f>'MSW32'!D28</f>
        <v/>
      </c>
      <c r="E28" s="84" t="str">
        <f>'MSW32'!E28</f>
        <v/>
      </c>
      <c r="F28" s="67"/>
      <c r="H28" s="251" t="str">
        <f>'MSW32'!H28</f>
        <v/>
      </c>
      <c r="I28" s="252" t="str">
        <f>'MSW32'!I28</f>
        <v/>
      </c>
      <c r="J28" s="253" t="str">
        <f>'MSW32'!J28</f>
        <v/>
      </c>
      <c r="K28" s="254" t="str">
        <f>'MSW32'!K28</f>
        <v/>
      </c>
      <c r="L28" s="84" t="str">
        <f>'MSW32'!L28</f>
        <v/>
      </c>
      <c r="M28" s="67"/>
    </row>
    <row r="29">
      <c r="A29" s="260" t="str">
        <f>'MSW32'!A29</f>
        <v>DOWN SETS</v>
      </c>
      <c r="B29" s="16"/>
      <c r="C29" s="16"/>
      <c r="D29" s="16"/>
      <c r="E29" s="16"/>
      <c r="F29" s="230"/>
      <c r="G29" s="141" t="str">
        <f>'MSW32'!G29</f>
        <v/>
      </c>
      <c r="H29" s="260" t="str">
        <f>'MSW32'!H29</f>
        <v>FILL OUT REP LOG FIRST</v>
      </c>
      <c r="I29" s="16"/>
      <c r="J29" s="16"/>
      <c r="K29" s="16"/>
      <c r="L29" s="16"/>
      <c r="M29" s="230"/>
    </row>
    <row r="30">
      <c r="A30" s="545">
        <f>'MSW32'!A30</f>
        <v>5</v>
      </c>
      <c r="B30" s="261">
        <f>'MSW32'!B30</f>
        <v>70</v>
      </c>
      <c r="C30" s="262" t="str">
        <f>'MSW32'!C30</f>
        <v>REP OUT</v>
      </c>
      <c r="D30" s="65" t="str">
        <f>'MSW32'!D30</f>
        <v>1 MIN</v>
      </c>
      <c r="E30" s="84" t="str">
        <f>'MSW32'!E30</f>
        <v/>
      </c>
      <c r="F30" s="263">
        <v>9.0</v>
      </c>
      <c r="H30" s="91" t="str">
        <f>'MSW32'!H30</f>
        <v/>
      </c>
      <c r="I30" s="261" t="str">
        <f>'MSW32'!I30</f>
        <v/>
      </c>
      <c r="J30" s="262" t="str">
        <f>'MSW32'!J30</f>
        <v/>
      </c>
      <c r="K30" s="65" t="str">
        <f>'MSW32'!K30</f>
        <v/>
      </c>
      <c r="L30" s="84" t="str">
        <f>'MSW32'!L30</f>
        <v/>
      </c>
      <c r="M30" s="263" t="str">
        <f>'MSW32'!M30</f>
        <v/>
      </c>
    </row>
    <row r="31">
      <c r="A31" s="546">
        <f>'MSW32'!A31</f>
        <v>6</v>
      </c>
      <c r="B31" s="254">
        <f>'MSW32'!B31</f>
        <v>60</v>
      </c>
      <c r="C31" s="253" t="str">
        <f>'MSW32'!C31</f>
        <v>REP OUT</v>
      </c>
      <c r="D31" s="65" t="str">
        <f>'MSW32'!D31</f>
        <v>1 MIN</v>
      </c>
      <c r="E31" s="84" t="str">
        <f>'MSW32'!E31</f>
        <v/>
      </c>
      <c r="F31" s="263">
        <v>12.0</v>
      </c>
      <c r="H31" s="269" t="str">
        <f>'MSW32'!H31</f>
        <v/>
      </c>
      <c r="I31" s="254" t="str">
        <f>'MSW32'!I31</f>
        <v/>
      </c>
      <c r="J31" s="253" t="str">
        <f>'MSW32'!J31</f>
        <v/>
      </c>
      <c r="K31" s="65" t="str">
        <f>'MSW32'!K31</f>
        <v/>
      </c>
      <c r="L31" s="84" t="str">
        <f>'MSW32'!L31</f>
        <v/>
      </c>
      <c r="M31" s="270" t="str">
        <f>'MSW32'!M31</f>
        <v/>
      </c>
    </row>
    <row r="32">
      <c r="A32" s="546" t="str">
        <f>'MSW32'!A32</f>
        <v/>
      </c>
      <c r="B32" s="254" t="str">
        <f>'MSW32'!B32</f>
        <v/>
      </c>
      <c r="C32" s="253" t="str">
        <f>'MSW32'!C32</f>
        <v/>
      </c>
      <c r="D32" s="65" t="str">
        <f>'MSW32'!D32</f>
        <v/>
      </c>
      <c r="E32" s="84" t="str">
        <f>'MSW32'!E32</f>
        <v/>
      </c>
      <c r="F32" s="263"/>
      <c r="G32" s="141" t="str">
        <f>'MSW32'!G32</f>
        <v/>
      </c>
      <c r="H32" s="269" t="str">
        <f>'MSW32'!H32</f>
        <v/>
      </c>
      <c r="I32" s="254" t="str">
        <f>'MSW32'!I32</f>
        <v/>
      </c>
      <c r="J32" s="253" t="str">
        <f>'MSW32'!J32</f>
        <v/>
      </c>
      <c r="K32" s="65" t="str">
        <f>'MSW32'!K32</f>
        <v/>
      </c>
      <c r="L32" s="84" t="str">
        <f>'MSW32'!L32</f>
        <v/>
      </c>
      <c r="M32" s="263"/>
    </row>
    <row r="33">
      <c r="A33" s="546" t="str">
        <f>'MSW32'!A33</f>
        <v/>
      </c>
      <c r="B33" s="254" t="str">
        <f>'MSW32'!B33</f>
        <v/>
      </c>
      <c r="C33" s="253" t="str">
        <f>'MSW32'!C33</f>
        <v/>
      </c>
      <c r="D33" s="65" t="str">
        <f>'MSW32'!D33</f>
        <v/>
      </c>
      <c r="E33" s="84" t="str">
        <f>'MSW32'!E33</f>
        <v/>
      </c>
      <c r="F33" s="263"/>
      <c r="G33" s="141" t="str">
        <f>'MSW32'!G33</f>
        <v/>
      </c>
      <c r="H33" s="269" t="str">
        <f>'MSW32'!H33</f>
        <v/>
      </c>
      <c r="I33" s="254" t="str">
        <f>'MSW32'!I33</f>
        <v/>
      </c>
      <c r="J33" s="253" t="str">
        <f>'MSW32'!J33</f>
        <v/>
      </c>
      <c r="K33" s="65" t="str">
        <f>'MSW32'!K33</f>
        <v/>
      </c>
      <c r="L33" s="84" t="str">
        <f>'MSW32'!L33</f>
        <v/>
      </c>
      <c r="M33" s="263"/>
    </row>
    <row r="34">
      <c r="A34" s="280" t="str">
        <f>'MSW32'!A34</f>
        <v>FINAL MAX</v>
      </c>
      <c r="B34" s="273">
        <f>'MSW32'!B34</f>
        <v>90</v>
      </c>
      <c r="C34" s="11"/>
      <c r="D34" s="11"/>
      <c r="E34" s="11"/>
      <c r="F34" s="46"/>
      <c r="G34" s="141" t="str">
        <f>'MSW32'!G34</f>
        <v/>
      </c>
      <c r="H34" s="280" t="str">
        <f>'MSW32'!H34</f>
        <v>FINAL MAX</v>
      </c>
      <c r="I34" s="273" t="str">
        <f>'MSW32'!I34</f>
        <v/>
      </c>
      <c r="J34" s="11"/>
      <c r="K34" s="11"/>
      <c r="L34" s="11"/>
      <c r="M34" s="46"/>
    </row>
    <row r="35">
      <c r="A35" s="658" t="str">
        <f>'MSW32'!A35</f>
        <v/>
      </c>
    </row>
    <row r="37">
      <c r="A37" s="440" t="str">
        <f>'MSW32'!A37</f>
        <v>2. DUMBBELL CHEST FLY</v>
      </c>
      <c r="B37" s="53"/>
      <c r="C37" s="53"/>
      <c r="D37" s="53"/>
      <c r="E37" s="53"/>
      <c r="F37" s="54"/>
      <c r="G37" s="659" t="str">
        <f>'MSW32'!G37</f>
        <v/>
      </c>
      <c r="H37" s="504" t="str">
        <f>'MSW32'!H37</f>
        <v>2. MACHINE CHEST FLY</v>
      </c>
      <c r="I37" s="53"/>
      <c r="J37" s="53"/>
      <c r="K37" s="53"/>
      <c r="L37" s="53"/>
      <c r="M37" s="54"/>
    </row>
    <row r="38">
      <c r="A38" s="226" t="str">
        <f>'MSW32'!A38</f>
        <v>DB INCL MAX</v>
      </c>
      <c r="B38" s="548">
        <f>'MSW32'!B38</f>
        <v>90</v>
      </c>
      <c r="C38" s="13"/>
      <c r="D38" s="13"/>
      <c r="E38" s="13"/>
      <c r="F38" s="57"/>
      <c r="G38" s="247" t="str">
        <f>'MSW32'!G38</f>
        <v>ALTERNATE</v>
      </c>
      <c r="H38" s="226" t="str">
        <f>'MSW32'!H38</f>
        <v>DB INCL MAX</v>
      </c>
      <c r="I38" s="548">
        <f>'MSW32'!I38</f>
        <v>90</v>
      </c>
      <c r="J38" s="13"/>
      <c r="K38" s="13"/>
      <c r="L38" s="13"/>
      <c r="M38" s="57"/>
    </row>
    <row r="39">
      <c r="A39" s="96" t="str">
        <f>'MSW32'!A39</f>
        <v>SET</v>
      </c>
      <c r="B39" s="97" t="str">
        <f>'MSW32'!B39</f>
        <v>WEIGHT</v>
      </c>
      <c r="C39" s="97" t="str">
        <f>'MSW32'!C39</f>
        <v>REPS</v>
      </c>
      <c r="D39" s="97" t="str">
        <f>'MSW32'!D39</f>
        <v>REST</v>
      </c>
      <c r="E39" s="98" t="str">
        <f>'MSW32'!E39</f>
        <v>PREVIOUS</v>
      </c>
      <c r="F39" s="235" t="str">
        <f>'MSW32'!F39</f>
        <v>REP LOG</v>
      </c>
      <c r="H39" s="96" t="str">
        <f>'MSW32'!H39</f>
        <v>SET</v>
      </c>
      <c r="I39" s="97" t="str">
        <f>'MSW32'!I39</f>
        <v>WEIGHT</v>
      </c>
      <c r="J39" s="97" t="str">
        <f>'MSW32'!J39</f>
        <v>REPS</v>
      </c>
      <c r="K39" s="97" t="str">
        <f>'MSW32'!K39</f>
        <v>REST</v>
      </c>
      <c r="L39" s="341" t="str">
        <f>'MSW32'!L39</f>
        <v>PREVIOUS</v>
      </c>
      <c r="M39" s="235" t="str">
        <f>'MSW32'!M39</f>
        <v>REP LOG</v>
      </c>
    </row>
    <row r="40">
      <c r="A40" s="240">
        <f>'MSW32'!A40</f>
        <v>1</v>
      </c>
      <c r="B40" s="254">
        <f>'MSW32'!B40</f>
        <v>25</v>
      </c>
      <c r="C40" s="241">
        <f>'MSW32'!C40</f>
        <v>15</v>
      </c>
      <c r="D40" s="83" t="str">
        <f>'MSW32'!D40</f>
        <v>1 MIN</v>
      </c>
      <c r="E40" s="84" t="str">
        <f>'MSW32'!E40</f>
        <v/>
      </c>
      <c r="F40" s="85"/>
      <c r="G40" s="659" t="str">
        <f>'MSW32'!G40</f>
        <v/>
      </c>
      <c r="H40" s="240">
        <f>'MSW32'!H40</f>
        <v>1</v>
      </c>
      <c r="I40" s="254">
        <f>'MSW32'!I40</f>
        <v>140</v>
      </c>
      <c r="J40" s="241">
        <f>'MSW32'!J40</f>
        <v>15</v>
      </c>
      <c r="K40" s="83" t="str">
        <f>'MSW32'!K40</f>
        <v>1 MIN</v>
      </c>
      <c r="L40" s="84">
        <f>'MSW32'!L40</f>
        <v>15</v>
      </c>
      <c r="M40" s="85"/>
    </row>
    <row r="41">
      <c r="A41" s="661">
        <f>'MSW32'!A41</f>
        <v>2</v>
      </c>
      <c r="B41" s="662">
        <f>'MSW32'!B41</f>
        <v>25</v>
      </c>
      <c r="C41" s="662">
        <f>'MSW32'!C41</f>
        <v>15</v>
      </c>
      <c r="D41" s="88" t="str">
        <f>'MSW32'!D41</f>
        <v>1 MIN</v>
      </c>
      <c r="E41" s="89" t="str">
        <f>'MSW32'!E41</f>
        <v/>
      </c>
      <c r="F41" s="85"/>
      <c r="H41" s="661">
        <f>'MSW32'!H41</f>
        <v>2</v>
      </c>
      <c r="I41" s="662">
        <f>'MSW32'!I41</f>
        <v>140</v>
      </c>
      <c r="J41" s="662">
        <f>'MSW32'!J41</f>
        <v>15</v>
      </c>
      <c r="K41" s="88" t="str">
        <f>'MSW32'!K41</f>
        <v>1 MIN</v>
      </c>
      <c r="L41" s="89">
        <f>'MSW32'!L41</f>
        <v>15</v>
      </c>
      <c r="M41" s="85"/>
    </row>
    <row r="42">
      <c r="A42" t="str">
        <f>'MSW32'!A42</f>
        <v/>
      </c>
      <c r="G42" t="str">
        <f>'MSW32'!G42</f>
        <v/>
      </c>
    </row>
    <row r="44">
      <c r="A44" s="1176" t="str">
        <f>'MSW32'!A44</f>
        <v>2. SUPER SET</v>
      </c>
      <c r="B44" s="36"/>
      <c r="C44" s="36"/>
      <c r="D44" s="36"/>
      <c r="E44" s="36"/>
      <c r="F44" s="37"/>
    </row>
    <row r="45">
      <c r="A45" s="1177" t="str">
        <f>'MSW32'!A45</f>
        <v>CURRENT MAX</v>
      </c>
      <c r="B45" s="1178">
        <f>'MSW32'!B45</f>
        <v>225</v>
      </c>
      <c r="C45" s="46"/>
      <c r="D45" s="1178">
        <f>'MSW32'!D45</f>
        <v>225</v>
      </c>
      <c r="E45" s="11"/>
      <c r="F45" s="46"/>
    </row>
    <row r="46">
      <c r="A46" s="1179" t="str">
        <f>'MSW32'!A46</f>
        <v>SET</v>
      </c>
      <c r="B46" s="1180" t="str">
        <f>'MSW32'!B46</f>
        <v>EXERCISE</v>
      </c>
      <c r="C46" s="1181" t="str">
        <f>'MSW32'!C46</f>
        <v>WEIGHT</v>
      </c>
      <c r="D46" s="1181" t="str">
        <f>'MSW32'!D46</f>
        <v>REPS</v>
      </c>
      <c r="E46" s="1182" t="str">
        <f>'MSW32'!E46</f>
        <v>PREVIOUS</v>
      </c>
      <c r="F46" s="1006" t="str">
        <f>'MSW32'!F46</f>
        <v>REP LOG</v>
      </c>
    </row>
    <row r="47">
      <c r="A47" s="1183">
        <f>'MSW32'!A47</f>
        <v>1</v>
      </c>
      <c r="B47" s="1184" t="str">
        <f>'MSW32'!B47</f>
        <v>LAT PULL DOWN</v>
      </c>
      <c r="C47" s="1185">
        <f>'MSW32'!C47</f>
        <v>100</v>
      </c>
      <c r="D47" s="1186">
        <f>'MSW32'!D47</f>
        <v>20</v>
      </c>
      <c r="E47" s="1222" t="str">
        <f>'MSW32'!E47</f>
        <v/>
      </c>
      <c r="F47" s="1223">
        <v>20.0</v>
      </c>
    </row>
    <row r="48">
      <c r="A48" s="1189"/>
      <c r="B48" s="1190" t="str">
        <f>'MSW32'!B48</f>
        <v>LOW ROW</v>
      </c>
      <c r="C48" s="1191">
        <f>'MSW32'!C48</f>
        <v>100</v>
      </c>
      <c r="D48" s="1192">
        <f>'MSW32'!D48</f>
        <v>20</v>
      </c>
      <c r="E48" s="1224" t="str">
        <f>'MSW32'!E48</f>
        <v/>
      </c>
      <c r="F48" s="1223">
        <v>20.0</v>
      </c>
    </row>
    <row r="49">
      <c r="A49" s="1225" t="str">
        <f>'MSW32'!A49</f>
        <v>REST 1 MIN</v>
      </c>
      <c r="B49" s="11"/>
      <c r="C49" s="11"/>
      <c r="D49" s="11"/>
      <c r="E49" s="11"/>
      <c r="F49" s="46"/>
    </row>
    <row r="50">
      <c r="A50" s="1195">
        <f>'MSW32'!A50</f>
        <v>2</v>
      </c>
      <c r="B50" s="1184" t="str">
        <f>'MSW32'!B50</f>
        <v>LAT PULL DOWN</v>
      </c>
      <c r="C50" s="1185">
        <f>'MSW32'!C50</f>
        <v>100</v>
      </c>
      <c r="D50" s="1186">
        <f>'MSW32'!D50</f>
        <v>20</v>
      </c>
      <c r="E50" s="1222" t="str">
        <f>'MSW32'!E50</f>
        <v/>
      </c>
      <c r="F50" s="1223">
        <v>20.0</v>
      </c>
    </row>
    <row r="51">
      <c r="A51" s="1196"/>
      <c r="B51" s="1190" t="str">
        <f>'MSW32'!B51</f>
        <v>LOW ROW</v>
      </c>
      <c r="C51" s="1191">
        <f>'MSW32'!C51</f>
        <v>100</v>
      </c>
      <c r="D51" s="1192">
        <f>'MSW32'!D51</f>
        <v>20</v>
      </c>
      <c r="E51" s="1224" t="str">
        <f>'MSW32'!E51</f>
        <v/>
      </c>
      <c r="F51" s="1223">
        <v>10.0</v>
      </c>
    </row>
    <row r="52">
      <c r="A52" s="1194" t="str">
        <f>'MSW32'!A52</f>
        <v>REST 1 MIN</v>
      </c>
      <c r="B52" s="11"/>
      <c r="C52" s="11"/>
      <c r="D52" s="11"/>
      <c r="E52" s="11"/>
      <c r="F52" s="46"/>
    </row>
    <row r="53">
      <c r="A53" s="1195">
        <f>'MSW32'!A53</f>
        <v>3</v>
      </c>
      <c r="B53" s="1184" t="str">
        <f>'MSW32'!B53</f>
        <v>LAT PULL DOWN</v>
      </c>
      <c r="C53" s="1185">
        <f>'MSW32'!C53</f>
        <v>100</v>
      </c>
      <c r="D53" s="1186">
        <f>'MSW32'!D53</f>
        <v>20</v>
      </c>
      <c r="E53" s="1222" t="str">
        <f>'MSW32'!E53</f>
        <v/>
      </c>
      <c r="F53" s="1226">
        <v>20.0</v>
      </c>
    </row>
    <row r="54">
      <c r="A54" s="1196"/>
      <c r="B54" s="1190" t="str">
        <f>'MSW32'!B54</f>
        <v>LOW ROW</v>
      </c>
      <c r="C54" s="1191">
        <f>'MSW32'!C54</f>
        <v>90</v>
      </c>
      <c r="D54" s="1192">
        <f>'MSW32'!D54</f>
        <v>20</v>
      </c>
      <c r="E54" s="1224" t="str">
        <f>'MSW32'!E54</f>
        <v/>
      </c>
      <c r="F54" s="1226">
        <v>10.0</v>
      </c>
    </row>
    <row r="55">
      <c r="A55" s="1194" t="str">
        <f>'MSW32'!A55</f>
        <v>REST 1 MIN</v>
      </c>
      <c r="B55" s="11"/>
      <c r="C55" s="11"/>
      <c r="D55" s="11"/>
      <c r="E55" s="11"/>
      <c r="F55" s="46"/>
    </row>
    <row r="56">
      <c r="A56" s="1197">
        <f>'MSW32'!A56</f>
        <v>4</v>
      </c>
      <c r="B56" s="1184" t="str">
        <f>'MSW32'!B56</f>
        <v>LAT PULL DOWN</v>
      </c>
      <c r="C56" s="1185">
        <f>'MSW32'!C56</f>
        <v>100</v>
      </c>
      <c r="D56" s="1186">
        <f>'MSW32'!D56</f>
        <v>20</v>
      </c>
      <c r="E56" s="1222" t="str">
        <f>'MSW32'!E56</f>
        <v/>
      </c>
      <c r="F56" s="1226">
        <v>20.0</v>
      </c>
    </row>
    <row r="57">
      <c r="A57" s="985"/>
      <c r="B57" s="1227" t="str">
        <f>'MSW32'!B57</f>
        <v>LOW ROW</v>
      </c>
      <c r="C57" s="1228">
        <f>'MSW32'!C57</f>
        <v>80</v>
      </c>
      <c r="D57" s="1229">
        <f>'MSW32'!D57</f>
        <v>20</v>
      </c>
      <c r="E57" s="1230" t="str">
        <f>'MSW32'!E57</f>
        <v/>
      </c>
      <c r="F57" s="1231">
        <v>14.0</v>
      </c>
    </row>
    <row r="58">
      <c r="A58" s="103" t="str">
        <f>'MSW32'!A59</f>
        <v/>
      </c>
    </row>
    <row r="60">
      <c r="A60" s="310" t="str">
        <f>'MSW32'!A60</f>
        <v>CLICK TO COMPLETE WORKOUT</v>
      </c>
      <c r="B60" s="36"/>
      <c r="C60" s="36"/>
      <c r="D60" s="36"/>
      <c r="E60" s="36"/>
      <c r="F60" s="37"/>
    </row>
    <row r="61">
      <c r="A61" t="str">
        <f>'MSW32'!A61</f>
        <v/>
      </c>
    </row>
    <row r="62">
      <c r="A62" s="224" t="str">
        <f>'MSW32'!A62</f>
        <v>DAY 2 </v>
      </c>
      <c r="B62" s="36"/>
      <c r="C62" s="36"/>
      <c r="D62" s="36"/>
      <c r="E62" s="36"/>
      <c r="F62" s="37"/>
    </row>
    <row r="63">
      <c r="A63" t="str">
        <f>'MSW32'!A63</f>
        <v/>
      </c>
    </row>
    <row r="65">
      <c r="A65" s="1232" t="str">
        <f>'MSW32'!A65</f>
        <v>1. MACHINE SQUAT</v>
      </c>
      <c r="B65" s="53"/>
      <c r="C65" s="53"/>
      <c r="D65" s="53"/>
      <c r="E65" s="53"/>
      <c r="F65" s="54"/>
    </row>
    <row r="66">
      <c r="A66" s="961" t="str">
        <f>'MSW32'!A66</f>
        <v>CURRENT MAX</v>
      </c>
      <c r="B66" s="1035">
        <f>'MSW32'!B66</f>
        <v>35</v>
      </c>
      <c r="C66" s="13"/>
      <c r="D66" s="13"/>
      <c r="E66" s="13"/>
      <c r="F66" s="57"/>
    </row>
    <row r="67">
      <c r="A67" s="962" t="str">
        <f>'MSW32'!A67</f>
        <v>SET</v>
      </c>
      <c r="B67" s="1203" t="str">
        <f>'MSW32'!B67</f>
        <v>WEIGHT</v>
      </c>
      <c r="C67" s="963" t="str">
        <f>'MSW32'!C67</f>
        <v>REPS</v>
      </c>
      <c r="D67" s="963" t="str">
        <f>'MSW32'!D67</f>
        <v>REST</v>
      </c>
      <c r="E67" s="1073" t="str">
        <f>'MSW32'!E67</f>
        <v>PREVIOUS</v>
      </c>
      <c r="F67" s="1006" t="str">
        <f>'MSW32'!F67</f>
        <v>REP LOG</v>
      </c>
    </row>
    <row r="68">
      <c r="A68" s="1233">
        <f>'MSW32'!A68</f>
        <v>1</v>
      </c>
      <c r="B68" s="1015">
        <f>'MSW32'!B68</f>
        <v>10</v>
      </c>
      <c r="C68" s="1234">
        <f>'MSW32'!C68</f>
        <v>10</v>
      </c>
      <c r="D68" s="1028" t="str">
        <f>'MSW32'!D68</f>
        <v>30s</v>
      </c>
      <c r="E68" s="1235" t="str">
        <f>'MSW32'!E68</f>
        <v/>
      </c>
      <c r="F68" s="843">
        <v>10.0</v>
      </c>
    </row>
    <row r="69">
      <c r="A69" s="1236">
        <f>'MSW32'!A69</f>
        <v>2</v>
      </c>
      <c r="B69" s="1015">
        <f>'MSW32'!B69</f>
        <v>25</v>
      </c>
      <c r="C69" s="1067">
        <f>'MSW32'!C69</f>
        <v>10</v>
      </c>
      <c r="D69" s="1028" t="str">
        <f>'MSW32'!D69</f>
        <v>1-2 MIN</v>
      </c>
      <c r="E69" s="1235" t="str">
        <f>'MSW32'!E69</f>
        <v/>
      </c>
      <c r="F69" s="1237"/>
    </row>
    <row r="70">
      <c r="A70" s="1238">
        <f>'MSW32'!A70</f>
        <v>3</v>
      </c>
      <c r="B70" s="1205">
        <f>'MSW32'!B70</f>
        <v>30</v>
      </c>
      <c r="C70" s="1239">
        <f>'MSW32'!C70</f>
        <v>10</v>
      </c>
      <c r="D70" s="1028" t="str">
        <f>'MSW32'!D70</f>
        <v>1-2 MIN</v>
      </c>
      <c r="E70" s="1235" t="str">
        <f>'MSW32'!E70</f>
        <v/>
      </c>
      <c r="F70" s="1237"/>
    </row>
    <row r="71">
      <c r="A71" s="1240">
        <f>'MSW32'!A71</f>
        <v>4</v>
      </c>
      <c r="B71" s="1210">
        <f>'MSW32'!B71</f>
        <v>25</v>
      </c>
      <c r="C71" s="1241">
        <f>'MSW32'!C71</f>
        <v>10</v>
      </c>
      <c r="D71" s="1210" t="str">
        <f>'MSW32'!D71</f>
        <v>1-5 MIN</v>
      </c>
      <c r="E71" s="1242" t="str">
        <f>'MSW32'!E71</f>
        <v/>
      </c>
      <c r="F71" s="1237"/>
    </row>
    <row r="72">
      <c r="A72" s="1240">
        <f>'MSW32'!A72</f>
        <v>5</v>
      </c>
      <c r="B72" s="1243">
        <f>'MSW32'!B72</f>
        <v>20</v>
      </c>
      <c r="C72" s="1210">
        <f>'MSW32'!C72</f>
        <v>10</v>
      </c>
      <c r="D72" s="1210" t="str">
        <f>'MSW32'!D72</f>
        <v>1-5 MIN</v>
      </c>
      <c r="E72" s="1244" t="str">
        <f>'MSW32'!E72</f>
        <v/>
      </c>
      <c r="F72" s="1237"/>
    </row>
    <row r="73">
      <c r="A73" s="1245">
        <f>'MSW32'!A73</f>
        <v>6</v>
      </c>
      <c r="B73" s="1243">
        <f>'MSW32'!B73</f>
        <v>15</v>
      </c>
      <c r="C73" s="1210">
        <f>'MSW32'!C73</f>
        <v>10</v>
      </c>
      <c r="D73" s="1210" t="str">
        <f>'MSW32'!D73</f>
        <v>1-5 MIN</v>
      </c>
      <c r="E73" s="1244" t="str">
        <f>'MSW32'!E73</f>
        <v/>
      </c>
      <c r="F73" s="1237"/>
    </row>
    <row r="74">
      <c r="A74" s="1177" t="str">
        <f>'MSW32'!A74</f>
        <v>10 REP MAX</v>
      </c>
      <c r="B74" s="1246">
        <f>'MSW32'!B74</f>
        <v>35</v>
      </c>
      <c r="C74" s="11"/>
      <c r="D74" s="11"/>
      <c r="E74" s="11"/>
      <c r="F74" s="46"/>
    </row>
    <row r="75">
      <c r="A75" t="str">
        <f>'MSW32'!A75</f>
        <v/>
      </c>
    </row>
    <row r="77">
      <c r="A77" s="1044" t="str">
        <f>'MSW32'!A77</f>
        <v>2. LEG EXTENSION</v>
      </c>
      <c r="B77" s="13"/>
      <c r="C77" s="13"/>
      <c r="D77" s="13"/>
      <c r="E77" s="13"/>
      <c r="F77" s="57"/>
    </row>
    <row r="78">
      <c r="A78" s="1045" t="str">
        <f>'MSW32'!A78</f>
        <v>CURRENT MAX</v>
      </c>
      <c r="B78" s="1046">
        <f>'MSW32'!B78</f>
        <v>165</v>
      </c>
      <c r="C78" s="13"/>
      <c r="D78" s="13"/>
      <c r="E78" s="13"/>
      <c r="F78" s="57"/>
    </row>
    <row r="79">
      <c r="A79" s="567" t="str">
        <f>'MSW32'!A79</f>
        <v>SET</v>
      </c>
      <c r="B79" s="568" t="str">
        <f>'MSW32'!B79</f>
        <v>WEIGHT</v>
      </c>
      <c r="C79" s="568" t="str">
        <f>'MSW32'!C79</f>
        <v>REPS</v>
      </c>
      <c r="D79" s="568" t="str">
        <f>'MSW32'!D79</f>
        <v>REST</v>
      </c>
      <c r="E79" s="1047" t="str">
        <f>'MSW32'!E79</f>
        <v>PREVIOUS</v>
      </c>
      <c r="F79" s="1048" t="str">
        <f>'MSW32'!F79</f>
        <v>REP LOG</v>
      </c>
    </row>
    <row r="80">
      <c r="A80" s="1049">
        <f>'MSW32'!A80</f>
        <v>1</v>
      </c>
      <c r="B80" s="1050">
        <f>'MSW32'!B80</f>
        <v>165</v>
      </c>
      <c r="C80" s="1051" t="str">
        <f>'MSW32'!C80</f>
        <v>10 - 20</v>
      </c>
      <c r="D80" s="1052" t="str">
        <f>'MSW32'!D80</f>
        <v>1 MIN</v>
      </c>
      <c r="E80" s="1010" t="str">
        <f>'MSW32'!E80</f>
        <v/>
      </c>
      <c r="F80" s="1111"/>
    </row>
    <row r="81">
      <c r="A81" s="1049">
        <f>'MSW32'!A81</f>
        <v>2</v>
      </c>
      <c r="B81" s="1050">
        <f>'MSW32'!B81</f>
        <v>130</v>
      </c>
      <c r="C81" s="1051" t="str">
        <f>'MSW32'!C81</f>
        <v>10 - 20</v>
      </c>
      <c r="D81" s="1052" t="str">
        <f>'MSW32'!D81</f>
        <v>1 MIN</v>
      </c>
      <c r="E81" s="1010" t="str">
        <f>'MSW32'!E81</f>
        <v/>
      </c>
      <c r="F81" s="1111"/>
    </row>
    <row r="82">
      <c r="A82" s="1053">
        <f>'MSW32'!A82</f>
        <v>3</v>
      </c>
      <c r="B82" s="1054">
        <f>'MSW32'!B82</f>
        <v>105</v>
      </c>
      <c r="C82" s="1055" t="str">
        <f>'MSW32'!C82</f>
        <v>10 - 20</v>
      </c>
      <c r="D82" s="1056" t="str">
        <f>'MSW32'!D82</f>
        <v>1 MIN</v>
      </c>
      <c r="E82" s="1021" t="str">
        <f>'MSW32'!E82</f>
        <v/>
      </c>
      <c r="F82" s="1111"/>
    </row>
    <row r="83">
      <c r="A83" t="str">
        <f>'MSW32'!A83</f>
        <v/>
      </c>
    </row>
    <row r="85">
      <c r="A85" s="323" t="str">
        <f>'MSW32'!A85</f>
        <v>4. MACHINE LEG CURL</v>
      </c>
      <c r="B85" s="53"/>
      <c r="C85" s="53"/>
      <c r="D85" s="53"/>
      <c r="E85" s="53"/>
      <c r="F85" s="54"/>
      <c r="G85" s="141" t="str">
        <f>'MSW32'!G85</f>
        <v/>
      </c>
      <c r="H85" s="323" t="str">
        <f>'MSW32'!H85</f>
        <v>4. PRONE LEG CURL</v>
      </c>
      <c r="I85" s="53"/>
      <c r="J85" s="53"/>
      <c r="K85" s="53"/>
      <c r="L85" s="53"/>
      <c r="M85" s="54"/>
    </row>
    <row r="86">
      <c r="A86" s="1045" t="str">
        <f>'MSW32'!A86</f>
        <v>CURRENT MAX</v>
      </c>
      <c r="B86" s="1046">
        <f>'MSW32'!B86</f>
        <v>15</v>
      </c>
      <c r="C86" s="13"/>
      <c r="D86" s="13"/>
      <c r="E86" s="13"/>
      <c r="F86" s="57"/>
      <c r="H86" s="1045" t="str">
        <f>'MSW32'!H86</f>
        <v>CURRENT MAX</v>
      </c>
      <c r="I86" s="1046">
        <f>'MSW32'!I86</f>
        <v>15</v>
      </c>
      <c r="J86" s="13"/>
      <c r="K86" s="13"/>
      <c r="L86" s="13"/>
      <c r="M86" s="57"/>
    </row>
    <row r="87">
      <c r="A87" s="567" t="str">
        <f>'MSW32'!A87</f>
        <v>SET</v>
      </c>
      <c r="B87" s="568" t="str">
        <f>'MSW32'!B87</f>
        <v>WEIGHT</v>
      </c>
      <c r="C87" s="568" t="str">
        <f>'MSW32'!C87</f>
        <v>REPS</v>
      </c>
      <c r="D87" s="568" t="str">
        <f>'MSW32'!D87</f>
        <v>REST</v>
      </c>
      <c r="E87" s="1047" t="str">
        <f>'MSW32'!E87</f>
        <v>PREVIOUS</v>
      </c>
      <c r="F87" s="1048" t="str">
        <f>'MSW32'!F87</f>
        <v>REP LOG</v>
      </c>
      <c r="H87" s="567" t="str">
        <f>'MSW32'!H87</f>
        <v>SET</v>
      </c>
      <c r="I87" s="568" t="str">
        <f>'MSW32'!I87</f>
        <v>WEIGHT</v>
      </c>
      <c r="J87" s="568" t="str">
        <f>'MSW32'!J87</f>
        <v>REPS</v>
      </c>
      <c r="K87" s="568" t="str">
        <f>'MSW32'!K87</f>
        <v>REST</v>
      </c>
      <c r="L87" s="1047" t="str">
        <f>'MSW32'!L87</f>
        <v>PREVIOUS</v>
      </c>
      <c r="M87" s="1048" t="str">
        <f>'MSW32'!M87</f>
        <v>REP LOG</v>
      </c>
    </row>
    <row r="88">
      <c r="A88" s="1049">
        <f>'MSW32'!A88</f>
        <v>1</v>
      </c>
      <c r="B88" s="1050">
        <f>'MSW32'!B88</f>
        <v>15</v>
      </c>
      <c r="C88" s="1051" t="str">
        <f>'MSW32'!C88</f>
        <v>10 - 20</v>
      </c>
      <c r="D88" s="1052" t="str">
        <f>'MSW32'!D88</f>
        <v>1 MIN</v>
      </c>
      <c r="E88" s="1010" t="str">
        <f>'MSW32'!E88</f>
        <v/>
      </c>
      <c r="F88" s="1111"/>
      <c r="G88" s="434" t="str">
        <f>'MSW32'!G88</f>
        <v>ALTERNATE</v>
      </c>
      <c r="H88" s="1049">
        <f>'MSW32'!H88</f>
        <v>1</v>
      </c>
      <c r="I88" s="1050">
        <f>'MSW32'!I88</f>
        <v>15</v>
      </c>
      <c r="J88" s="1051" t="str">
        <f>'MSW32'!J88</f>
        <v>10 - 20</v>
      </c>
      <c r="K88" s="1052" t="str">
        <f>'MSW32'!K88</f>
        <v>1 MIN</v>
      </c>
      <c r="L88" s="1010" t="str">
        <f>'MSW32'!L88</f>
        <v/>
      </c>
      <c r="M88" s="1111"/>
    </row>
    <row r="89">
      <c r="A89" s="1049">
        <f>'MSW32'!A89</f>
        <v>2</v>
      </c>
      <c r="B89" s="1050">
        <f>'MSW32'!B89</f>
        <v>10</v>
      </c>
      <c r="C89" s="1051" t="str">
        <f>'MSW32'!C89</f>
        <v>10 - 20</v>
      </c>
      <c r="D89" s="1052" t="str">
        <f>'MSW32'!D89</f>
        <v>1 MIN</v>
      </c>
      <c r="E89" s="1010" t="str">
        <f>'MSW32'!E89</f>
        <v/>
      </c>
      <c r="F89" s="1111"/>
      <c r="H89" s="1049">
        <f>'MSW32'!H89</f>
        <v>2</v>
      </c>
      <c r="I89" s="1050">
        <f>'MSW32'!I89</f>
        <v>10</v>
      </c>
      <c r="J89" s="1051" t="str">
        <f>'MSW32'!J89</f>
        <v>10 - 20</v>
      </c>
      <c r="K89" s="1052" t="str">
        <f>'MSW32'!K89</f>
        <v>1 MIN</v>
      </c>
      <c r="L89" s="1010" t="str">
        <f>'MSW32'!L89</f>
        <v/>
      </c>
      <c r="M89" s="1111"/>
    </row>
    <row r="90">
      <c r="A90" s="1053">
        <f>'MSW32'!A90</f>
        <v>3</v>
      </c>
      <c r="B90" s="1054">
        <f>'MSW32'!B90</f>
        <v>10</v>
      </c>
      <c r="C90" s="1055" t="str">
        <f>'MSW32'!C90</f>
        <v>10 - 20</v>
      </c>
      <c r="D90" s="1056" t="str">
        <f>'MSW32'!D90</f>
        <v>1 MIN</v>
      </c>
      <c r="E90" s="1021" t="str">
        <f>'MSW32'!E90</f>
        <v/>
      </c>
      <c r="F90" s="1111"/>
      <c r="H90" s="1053">
        <f>'MSW32'!H90</f>
        <v>3</v>
      </c>
      <c r="I90" s="1054">
        <f>'MSW32'!I90</f>
        <v>10</v>
      </c>
      <c r="J90" s="1055" t="str">
        <f>'MSW32'!J90</f>
        <v>10 - 20</v>
      </c>
      <c r="K90" s="1056" t="str">
        <f>'MSW32'!K90</f>
        <v>1 MIN</v>
      </c>
      <c r="L90" s="1021" t="str">
        <f>'MSW32'!L90</f>
        <v/>
      </c>
      <c r="M90" s="1111"/>
    </row>
    <row r="91">
      <c r="A91" s="849" t="str">
        <f>'MSW32'!A91</f>
        <v/>
      </c>
      <c r="G91" s="849" t="str">
        <f>'MSW32'!H91</f>
        <v/>
      </c>
    </row>
    <row r="93">
      <c r="A93" s="1120" t="str">
        <f>'MSW32'!A93</f>
        <v>DAY 3</v>
      </c>
      <c r="B93" s="36"/>
      <c r="C93" s="36"/>
      <c r="D93" s="36"/>
      <c r="E93" s="36"/>
      <c r="F93" s="37"/>
    </row>
    <row r="94">
      <c r="A94" t="str">
        <f>'MSW32'!A94</f>
        <v/>
      </c>
    </row>
    <row r="96">
      <c r="A96" s="878" t="str">
        <f>'MSW32'!A96</f>
        <v>1. SHOULDER PRESS</v>
      </c>
      <c r="B96" s="53"/>
      <c r="C96" s="53"/>
      <c r="D96" s="53"/>
      <c r="E96" s="53"/>
      <c r="F96" s="54"/>
      <c r="G96" t="str">
        <f>'MSW32'!G96</f>
        <v/>
      </c>
      <c r="H96" s="361" t="str">
        <f>'MSW32'!H96</f>
        <v>1. MACHINE SHOULDER PRESS</v>
      </c>
      <c r="I96" s="53"/>
      <c r="J96" s="53"/>
      <c r="K96" s="53"/>
      <c r="L96" s="53"/>
      <c r="M96" s="54"/>
    </row>
    <row r="97">
      <c r="A97" s="961" t="str">
        <f>'MSW32'!A97</f>
        <v>CURRENT MAX</v>
      </c>
      <c r="B97" s="1035" t="str">
        <f>'MSW32'!B97</f>
        <v/>
      </c>
      <c r="C97" s="13"/>
      <c r="D97" s="13"/>
      <c r="E97" s="13"/>
      <c r="F97" s="57"/>
      <c r="H97" s="961" t="str">
        <f>'MSW32'!H97</f>
        <v>CURRENT MAX</v>
      </c>
      <c r="I97" s="1035" t="str">
        <f>'MSW32'!I97</f>
        <v/>
      </c>
      <c r="J97" s="13"/>
      <c r="K97" s="13"/>
      <c r="L97" s="13"/>
      <c r="M97" s="57"/>
    </row>
    <row r="98">
      <c r="A98" s="962" t="str">
        <f>'MSW32'!A98</f>
        <v>SET</v>
      </c>
      <c r="B98" s="1481" t="str">
        <f>'MSW32'!B98</f>
        <v>WEIGHT</v>
      </c>
      <c r="C98" s="963" t="str">
        <f>'MSW32'!C98</f>
        <v>REPS</v>
      </c>
      <c r="D98" s="963" t="str">
        <f>'MSW32'!D98</f>
        <v>REST</v>
      </c>
      <c r="E98" s="1073" t="str">
        <f>'MSW32'!E98</f>
        <v>PREVIOUS</v>
      </c>
      <c r="F98" s="1006" t="str">
        <f>'MSW32'!F98</f>
        <v>REP LOG</v>
      </c>
      <c r="H98" s="962" t="str">
        <f>'MSW32'!H98</f>
        <v>SET</v>
      </c>
      <c r="I98" s="1481" t="str">
        <f>'MSW32'!I98</f>
        <v>WEIGHT</v>
      </c>
      <c r="J98" s="963" t="str">
        <f>'MSW32'!J98</f>
        <v>REPS</v>
      </c>
      <c r="K98" s="963" t="str">
        <f>'MSW32'!K98</f>
        <v>REST</v>
      </c>
      <c r="L98" s="1073" t="str">
        <f>'MSW32'!L98</f>
        <v>PREVIOUS</v>
      </c>
      <c r="M98" s="1006" t="str">
        <f>'MSW32'!M98</f>
        <v>REP LOG</v>
      </c>
    </row>
    <row r="99">
      <c r="A99" s="1204">
        <f>'MSW32'!A99</f>
        <v>1</v>
      </c>
      <c r="B99" s="1205">
        <f>'MSW32'!B99</f>
        <v>0</v>
      </c>
      <c r="C99" s="1206" t="str">
        <f>'MSW32'!C99</f>
        <v>REP OUT</v>
      </c>
      <c r="D99" s="1207" t="str">
        <f>'MSW32'!D99</f>
        <v>1-5 MIN</v>
      </c>
      <c r="E99" s="1208" t="str">
        <f>'MSW32'!E99</f>
        <v/>
      </c>
      <c r="F99" s="1161"/>
      <c r="H99" s="1204">
        <f>'MSW32'!H99</f>
        <v>1</v>
      </c>
      <c r="I99" s="1205">
        <f>'MSW32'!I99</f>
        <v>0</v>
      </c>
      <c r="J99" s="1206" t="str">
        <f>'MSW32'!J99</f>
        <v>REP OUT</v>
      </c>
      <c r="K99" s="1207" t="str">
        <f>'MSW32'!K99</f>
        <v>1-5 MIN</v>
      </c>
      <c r="L99" s="1208" t="str">
        <f>'MSW32'!L99</f>
        <v/>
      </c>
      <c r="M99" s="1161"/>
    </row>
    <row r="100">
      <c r="A100" s="1209">
        <f>'MSW32'!A100</f>
        <v>2</v>
      </c>
      <c r="B100" s="1210">
        <f>'MSW32'!B100</f>
        <v>0</v>
      </c>
      <c r="C100" s="1206" t="str">
        <f>'MSW32'!C100</f>
        <v>REP OUT</v>
      </c>
      <c r="D100" s="1207" t="str">
        <f>'MSW32'!D100</f>
        <v>1-5 MIN</v>
      </c>
      <c r="E100" s="1211" t="str">
        <f>'MSW32'!E100</f>
        <v/>
      </c>
      <c r="F100" s="1159"/>
      <c r="H100" s="1209">
        <f>'MSW32'!H100</f>
        <v>2</v>
      </c>
      <c r="I100" s="1210">
        <f>'MSW32'!I100</f>
        <v>0</v>
      </c>
      <c r="J100" s="1206" t="str">
        <f>'MSW32'!J100</f>
        <v>REP OUT</v>
      </c>
      <c r="K100" s="1207" t="str">
        <f>'MSW32'!K100</f>
        <v>1-5 MIN</v>
      </c>
      <c r="L100" s="1211" t="str">
        <f>'MSW32'!L100</f>
        <v/>
      </c>
      <c r="M100" s="1159"/>
    </row>
    <row r="101">
      <c r="A101" s="1209">
        <f>'MSW32'!A101</f>
        <v>3</v>
      </c>
      <c r="B101" s="1210">
        <f>'MSW32'!B101</f>
        <v>0</v>
      </c>
      <c r="C101" s="1206" t="str">
        <f>'MSW32'!C101</f>
        <v>REP OUT</v>
      </c>
      <c r="D101" s="1207" t="str">
        <f>'MSW32'!D101</f>
        <v>1-5 MIN</v>
      </c>
      <c r="E101" s="1010" t="str">
        <f>'MSW32'!E101</f>
        <v/>
      </c>
      <c r="F101" s="1159"/>
      <c r="H101" s="1209">
        <f>'MSW32'!H101</f>
        <v>3</v>
      </c>
      <c r="I101" s="1210">
        <f>'MSW32'!I101</f>
        <v>0</v>
      </c>
      <c r="J101" s="1206" t="str">
        <f>'MSW32'!J101</f>
        <v>REP OUT</v>
      </c>
      <c r="K101" s="1207" t="str">
        <f>'MSW32'!K101</f>
        <v>1-5 MIN</v>
      </c>
      <c r="L101" s="1010" t="str">
        <f>'MSW32'!L101</f>
        <v/>
      </c>
      <c r="M101" s="1159"/>
    </row>
    <row r="102">
      <c r="A102" s="1212">
        <f>'MSW32'!A102</f>
        <v>4</v>
      </c>
      <c r="B102" s="1213">
        <f>'MSW32'!B102</f>
        <v>0</v>
      </c>
      <c r="C102" s="1214" t="str">
        <f>'MSW32'!C102</f>
        <v>REP OUT</v>
      </c>
      <c r="D102" s="1215" t="str">
        <f>'MSW32'!D102</f>
        <v>1-5 MIN</v>
      </c>
      <c r="E102" s="1021" t="str">
        <f>'MSW32'!E102</f>
        <v/>
      </c>
      <c r="F102" s="1159"/>
      <c r="H102" s="1212">
        <f>'MSW32'!H102</f>
        <v>4</v>
      </c>
      <c r="I102" s="1213">
        <f>'MSW32'!I102</f>
        <v>0</v>
      </c>
      <c r="J102" s="1214" t="str">
        <f>'MSW32'!J102</f>
        <v>REP OUT</v>
      </c>
      <c r="K102" s="1215" t="str">
        <f>'MSW32'!K102</f>
        <v>1-5 MIN</v>
      </c>
      <c r="L102" s="1021" t="str">
        <f>'MSW32'!L102</f>
        <v/>
      </c>
      <c r="M102" s="1159"/>
    </row>
    <row r="103">
      <c r="A103" t="str">
        <f>'MSW32'!A103</f>
        <v/>
      </c>
      <c r="G103" t="str">
        <f>'MSW32'!G103</f>
        <v/>
      </c>
    </row>
    <row r="105">
      <c r="A105" s="1217" t="str">
        <f>'MSW32'!A105</f>
        <v>2. Dumbbell REAR DELT FLY </v>
      </c>
      <c r="B105" s="53"/>
      <c r="C105" s="53"/>
      <c r="D105" s="53"/>
      <c r="E105" s="53"/>
      <c r="F105" s="54"/>
    </row>
    <row r="106">
      <c r="A106" s="961" t="str">
        <f>'MSW32'!A106</f>
        <v>SHLDR PRESS MAX</v>
      </c>
      <c r="B106" s="76" t="str">
        <f>'MSW32'!B106</f>
        <v/>
      </c>
      <c r="C106" s="13"/>
      <c r="D106" s="13"/>
      <c r="E106" s="13"/>
      <c r="F106" s="57"/>
    </row>
    <row r="107">
      <c r="A107" s="962" t="str">
        <f>'MSW32'!A107</f>
        <v>SET</v>
      </c>
      <c r="B107" s="963" t="str">
        <f>'MSW32'!B107</f>
        <v>WEIGHT</v>
      </c>
      <c r="C107" s="963" t="str">
        <f>'MSW32'!C107</f>
        <v>REPS</v>
      </c>
      <c r="D107" s="963" t="str">
        <f>'MSW32'!D107</f>
        <v>REST</v>
      </c>
      <c r="E107" s="1005" t="str">
        <f>'MSW32'!E107</f>
        <v>PREVIOUS</v>
      </c>
      <c r="F107" s="1006" t="str">
        <f>'MSW32'!F107</f>
        <v>REP LOG</v>
      </c>
    </row>
    <row r="108">
      <c r="A108" s="967">
        <f>'MSW32'!A108</f>
        <v>1</v>
      </c>
      <c r="B108" s="1028">
        <f>'MSW32'!B108</f>
        <v>0</v>
      </c>
      <c r="C108" s="1218" t="str">
        <f>'MSW32'!C108</f>
        <v>REP OUT</v>
      </c>
      <c r="D108" s="1067" t="str">
        <f>'MSW32'!D108</f>
        <v>1-5 MIN</v>
      </c>
      <c r="E108" s="1010" t="str">
        <f>'MSW32'!E108</f>
        <v/>
      </c>
      <c r="F108" s="1111"/>
    </row>
    <row r="109">
      <c r="A109" s="967">
        <f>'MSW32'!A109</f>
        <v>2</v>
      </c>
      <c r="B109" s="1028">
        <f>'MSW32'!B109</f>
        <v>0</v>
      </c>
      <c r="C109" s="1218" t="str">
        <f>'MSW32'!C109</f>
        <v>REP OUT</v>
      </c>
      <c r="D109" s="1067" t="str">
        <f>'MSW32'!D109</f>
        <v>1-5 MIN</v>
      </c>
      <c r="E109" s="1010" t="str">
        <f>'MSW32'!E109</f>
        <v/>
      </c>
      <c r="F109" s="1111"/>
    </row>
    <row r="110">
      <c r="A110" s="971">
        <f>'MSW32'!A110</f>
        <v>3</v>
      </c>
      <c r="B110" s="1123">
        <f>'MSW32'!B110</f>
        <v>0</v>
      </c>
      <c r="C110" s="1219" t="str">
        <f>'MSW32'!C110</f>
        <v>REP OUT</v>
      </c>
      <c r="D110" s="1220" t="str">
        <f>'MSW32'!D110</f>
        <v>1-5 MIN</v>
      </c>
      <c r="E110" s="1021" t="str">
        <f>'MSW32'!E110</f>
        <v/>
      </c>
      <c r="F110" s="1113" t="str">
        <f>'MSW32'!F110</f>
        <v/>
      </c>
    </row>
    <row r="111">
      <c r="A111" t="str">
        <f>'MSW32'!A111</f>
        <v/>
      </c>
    </row>
    <row r="113">
      <c r="A113" s="74" t="str">
        <f>'MSW32'!A113</f>
        <v>3. DUMBBELL SIDE LATERAL RAISE</v>
      </c>
      <c r="B113" s="53"/>
      <c r="C113" s="53"/>
      <c r="D113" s="53"/>
      <c r="E113" s="53"/>
      <c r="F113" s="54"/>
    </row>
    <row r="114">
      <c r="A114" s="226" t="str">
        <f>'MSW32'!A114</f>
        <v>SHLDR PRESS MAX</v>
      </c>
      <c r="B114" s="90" t="str">
        <f>'MSW32'!B114</f>
        <v/>
      </c>
      <c r="C114" s="13"/>
      <c r="D114" s="13"/>
      <c r="E114" s="13"/>
      <c r="F114" s="57"/>
    </row>
    <row r="115">
      <c r="A115" s="376" t="str">
        <f>'MSW32'!A115</f>
        <v>SET</v>
      </c>
      <c r="B115" s="79" t="str">
        <f>'MSW32'!B115</f>
        <v>WEIGHT</v>
      </c>
      <c r="C115" s="79" t="str">
        <f>'MSW32'!C115</f>
        <v>REPS</v>
      </c>
      <c r="D115" s="79" t="str">
        <f>'MSW32'!D115</f>
        <v>REST</v>
      </c>
      <c r="E115" s="98" t="str">
        <f>'MSW32'!E115</f>
        <v>PREVIOUS</v>
      </c>
      <c r="F115" s="377" t="str">
        <f>'MSW32'!F115</f>
        <v>REP LOG</v>
      </c>
    </row>
    <row r="116">
      <c r="A116" s="81">
        <f>'MSW32'!A116</f>
        <v>1</v>
      </c>
      <c r="B116" s="82">
        <f>'MSW32'!B116</f>
        <v>0</v>
      </c>
      <c r="C116" s="262" t="str">
        <f>'MSW32'!C116</f>
        <v>REP OUT</v>
      </c>
      <c r="D116" s="83" t="str">
        <f>'MSW32'!D116</f>
        <v>1 MIN</v>
      </c>
      <c r="E116" s="378" t="str">
        <f>'MSW32'!E116</f>
        <v/>
      </c>
      <c r="F116" s="796"/>
    </row>
    <row r="117">
      <c r="A117" s="81">
        <f>'MSW32'!A117</f>
        <v>2</v>
      </c>
      <c r="B117" s="82">
        <f>'MSW32'!B117</f>
        <v>0</v>
      </c>
      <c r="C117" s="262" t="str">
        <f>'MSW32'!C117</f>
        <v>REP OUT</v>
      </c>
      <c r="D117" s="83" t="str">
        <f>'MSW32'!D117</f>
        <v>1 MIN</v>
      </c>
      <c r="E117" s="378" t="str">
        <f>'MSW32'!E117</f>
        <v/>
      </c>
      <c r="F117" s="330"/>
    </row>
    <row r="118">
      <c r="A118" s="86">
        <f>'MSW32'!A118</f>
        <v>3</v>
      </c>
      <c r="B118" s="87">
        <f>'MSW32'!B118</f>
        <v>0</v>
      </c>
      <c r="C118" s="309" t="str">
        <f>'MSW32'!C118</f>
        <v>REP OUT</v>
      </c>
      <c r="D118" s="88" t="str">
        <f>'MSW32'!D118</f>
        <v>1 MIN</v>
      </c>
      <c r="E118" s="379" t="str">
        <f>'MSW32'!E118</f>
        <v/>
      </c>
      <c r="F118" s="85"/>
    </row>
    <row r="119">
      <c r="A119" s="795" t="str">
        <f>'MSW32'!A119</f>
        <v/>
      </c>
    </row>
    <row r="121">
      <c r="A121" s="361" t="str">
        <f>'MSW32'!A121</f>
        <v>2.  TRICEP OVERHEAD ROPE EXTENSION</v>
      </c>
      <c r="B121" s="53"/>
      <c r="C121" s="53"/>
      <c r="D121" s="53"/>
      <c r="E121" s="53"/>
      <c r="F121" s="54"/>
    </row>
    <row r="122">
      <c r="A122" s="226" t="str">
        <f>'MSW32'!A122</f>
        <v>CURRENT MAX</v>
      </c>
      <c r="B122" s="90">
        <f>'MSW32'!B122</f>
        <v>5</v>
      </c>
      <c r="C122" s="13"/>
      <c r="D122" s="13"/>
      <c r="E122" s="13"/>
      <c r="F122" s="57"/>
    </row>
    <row r="123">
      <c r="A123" s="77" t="str">
        <f>'MSW32'!A123</f>
        <v>SET</v>
      </c>
      <c r="B123" s="78" t="str">
        <f>'MSW32'!B123</f>
        <v>WEIGHT</v>
      </c>
      <c r="C123" s="78" t="str">
        <f>'MSW32'!C123</f>
        <v>REPS</v>
      </c>
      <c r="D123" s="78" t="str">
        <f>'MSW32'!D123</f>
        <v>REST</v>
      </c>
      <c r="E123" s="80" t="str">
        <f>'MSW32'!E123</f>
        <v>PREVIOUS</v>
      </c>
      <c r="F123" s="235" t="str">
        <f>'MSW32'!F123</f>
        <v>REP LOG</v>
      </c>
    </row>
    <row r="124">
      <c r="A124" s="81">
        <f>'MSW32'!A124</f>
        <v>1</v>
      </c>
      <c r="B124" s="82">
        <f>'MSW32'!B124</f>
        <v>5</v>
      </c>
      <c r="C124" s="262" t="str">
        <f>'MSW32'!C124</f>
        <v>REP OUT</v>
      </c>
      <c r="D124" s="83" t="str">
        <f>'MSW32'!D124</f>
        <v>1MIN</v>
      </c>
      <c r="E124" s="84" t="str">
        <f>'MSW32'!E124</f>
        <v/>
      </c>
      <c r="F124" s="85" t="str">
        <f>'MSW32'!F124</f>
        <v/>
      </c>
    </row>
    <row r="125">
      <c r="A125" s="81">
        <f>'MSW32'!A125</f>
        <v>2</v>
      </c>
      <c r="B125" s="82">
        <f>'MSW32'!B125</f>
        <v>5</v>
      </c>
      <c r="C125" s="262" t="str">
        <f>'MSW32'!C125</f>
        <v>REP OUT</v>
      </c>
      <c r="D125" s="83" t="str">
        <f>'MSW32'!D125</f>
        <v>1MIN</v>
      </c>
      <c r="E125" s="84" t="str">
        <f>'MSW32'!E125</f>
        <v/>
      </c>
      <c r="F125" s="85" t="str">
        <f>'MSW32'!F125</f>
        <v/>
      </c>
    </row>
    <row r="126">
      <c r="A126" s="86">
        <f>'MSW32'!A126</f>
        <v>3</v>
      </c>
      <c r="B126" s="87">
        <f>'MSW32'!B126</f>
        <v>5</v>
      </c>
      <c r="C126" s="309" t="str">
        <f>'MSW32'!C126</f>
        <v>REP OUT</v>
      </c>
      <c r="D126" s="88" t="str">
        <f>'MSW32'!D126</f>
        <v>1MIN</v>
      </c>
      <c r="E126" s="89" t="str">
        <f>'MSW32'!E126</f>
        <v/>
      </c>
      <c r="F126" s="85" t="str">
        <f>'MSW32'!F126</f>
        <v/>
      </c>
    </row>
    <row r="127">
      <c r="A127" t="str">
        <f>'MSW32'!A127</f>
        <v/>
      </c>
    </row>
    <row r="129">
      <c r="A129" s="75" t="str">
        <f>'MSW32'!A129</f>
        <v>4. BICEP CABLE CURL</v>
      </c>
      <c r="B129" s="53"/>
      <c r="C129" s="53"/>
      <c r="D129" s="53"/>
      <c r="E129" s="53"/>
      <c r="F129" s="54"/>
      <c r="G129" s="698" t="str">
        <f>'MSW32'!G129</f>
        <v/>
      </c>
      <c r="H129" s="75" t="str">
        <f>'MSW32'!H129</f>
        <v>4. BICEP BAR CURL</v>
      </c>
      <c r="I129" s="53"/>
      <c r="J129" s="53"/>
      <c r="K129" s="53"/>
      <c r="L129" s="53"/>
      <c r="M129" s="54"/>
    </row>
    <row r="130">
      <c r="A130" s="282" t="str">
        <f>'MSW32'!A130</f>
        <v>CURRENT MAX</v>
      </c>
      <c r="B130" s="852">
        <f>'MSW32'!B130</f>
        <v>50</v>
      </c>
      <c r="C130" s="16"/>
      <c r="D130" s="16"/>
      <c r="E130" s="16"/>
      <c r="F130" s="230"/>
      <c r="G130" s="985"/>
      <c r="H130" s="282" t="str">
        <f>'MSW32'!H130</f>
        <v>CURRENT MAX</v>
      </c>
      <c r="I130" s="852" t="str">
        <f>'MSW32'!I130</f>
        <v>#REF!</v>
      </c>
      <c r="J130" s="16"/>
      <c r="K130" s="16"/>
      <c r="L130" s="16"/>
      <c r="M130" s="230"/>
    </row>
    <row r="131">
      <c r="A131" s="364" t="str">
        <f>'MSW32'!A131</f>
        <v>SET</v>
      </c>
      <c r="B131" s="365" t="str">
        <f>'MSW32'!B131</f>
        <v>WEIGHT</v>
      </c>
      <c r="C131" s="365" t="str">
        <f>'MSW32'!C131</f>
        <v>REPS</v>
      </c>
      <c r="D131" s="365" t="str">
        <f>'MSW32'!D131</f>
        <v>REST</v>
      </c>
      <c r="E131" s="367" t="str">
        <f>'MSW32'!E131</f>
        <v>PREVIOUS</v>
      </c>
      <c r="F131" s="61" t="str">
        <f>'MSW32'!F131</f>
        <v>REP LOG</v>
      </c>
      <c r="G131" s="985"/>
      <c r="H131" s="364" t="str">
        <f>'MSW32'!H131</f>
        <v>SET</v>
      </c>
      <c r="I131" s="365" t="str">
        <f>'MSW32'!I131</f>
        <v>WEIGHT</v>
      </c>
      <c r="J131" s="365" t="str">
        <f>'MSW32'!J131</f>
        <v>REPS</v>
      </c>
      <c r="K131" s="365" t="str">
        <f>'MSW32'!K131</f>
        <v>REST</v>
      </c>
      <c r="L131" s="367" t="str">
        <f>'MSW32'!L131</f>
        <v>PREVIOUS</v>
      </c>
      <c r="M131" s="61" t="str">
        <f>'MSW32'!M131</f>
        <v>REP LOG</v>
      </c>
    </row>
    <row r="132">
      <c r="A132" s="308">
        <f>'MSW32'!A132</f>
        <v>1</v>
      </c>
      <c r="B132" s="237">
        <f>'MSW32'!B132</f>
        <v>25</v>
      </c>
      <c r="C132" s="104" t="str">
        <f>'MSW32'!C132</f>
        <v>REP OUT</v>
      </c>
      <c r="D132" s="238" t="str">
        <f>'MSW32'!D132</f>
        <v>1MIN</v>
      </c>
      <c r="E132" s="1143" t="str">
        <f>'MSW32'!E132</f>
        <v/>
      </c>
      <c r="F132" s="665"/>
      <c r="G132" s="985"/>
      <c r="H132" s="308">
        <f>'MSW32'!H132</f>
        <v>1</v>
      </c>
      <c r="I132" s="237" t="str">
        <f>'MSW32'!I132</f>
        <v>#REF!</v>
      </c>
      <c r="J132" s="104" t="str">
        <f>'MSW32'!J132</f>
        <v>REP OUT</v>
      </c>
      <c r="K132" s="238" t="str">
        <f>'MSW32'!K132</f>
        <v>1 MIN</v>
      </c>
      <c r="L132" s="1143" t="str">
        <f>'MSW32'!L132</f>
        <v/>
      </c>
      <c r="M132" s="665"/>
    </row>
    <row r="133">
      <c r="A133" s="308">
        <f>'MSW32'!A133</f>
        <v>2</v>
      </c>
      <c r="B133" s="237">
        <f>'MSW32'!B133</f>
        <v>20</v>
      </c>
      <c r="C133" s="104" t="str">
        <f>'MSW32'!C133</f>
        <v>REP OUT</v>
      </c>
      <c r="D133" s="238" t="str">
        <f>'MSW32'!D133</f>
        <v>1MIN</v>
      </c>
      <c r="E133" s="1143" t="str">
        <f>'MSW32'!E133</f>
        <v/>
      </c>
      <c r="F133" s="67"/>
      <c r="G133" s="985"/>
      <c r="H133" s="308">
        <f>'MSW32'!H133</f>
        <v>2</v>
      </c>
      <c r="I133" s="237" t="str">
        <f>'MSW32'!I133</f>
        <v>#REF!</v>
      </c>
      <c r="J133" s="104" t="str">
        <f>'MSW32'!J133</f>
        <v>REP OUT</v>
      </c>
      <c r="K133" s="238" t="str">
        <f>'MSW32'!K133</f>
        <v>1 MIN</v>
      </c>
      <c r="L133" s="1143" t="str">
        <f>'MSW32'!L133</f>
        <v/>
      </c>
      <c r="M133" s="67"/>
    </row>
    <row r="134">
      <c r="A134" s="579">
        <f>'MSW32'!A134</f>
        <v>3</v>
      </c>
      <c r="B134" s="371">
        <f>'MSW32'!B134</f>
        <v>15</v>
      </c>
      <c r="C134" s="105" t="str">
        <f>'MSW32'!C134</f>
        <v>REP OUT</v>
      </c>
      <c r="D134" s="373" t="str">
        <f>'MSW32'!D134</f>
        <v>1MIN</v>
      </c>
      <c r="E134" s="1247" t="str">
        <f>'MSW32'!E134</f>
        <v/>
      </c>
      <c r="F134" s="271"/>
      <c r="G134" s="985"/>
      <c r="H134" s="579">
        <f>'MSW32'!H134</f>
        <v>3</v>
      </c>
      <c r="I134" s="371" t="str">
        <f>'MSW32'!I134</f>
        <v>#REF!</v>
      </c>
      <c r="J134" s="105" t="str">
        <f>'MSW32'!J134</f>
        <v>REP OUT</v>
      </c>
      <c r="K134" s="373" t="str">
        <f>'MSW32'!K134</f>
        <v>1 MIN</v>
      </c>
      <c r="L134" s="1247" t="str">
        <f>'MSW32'!L134</f>
        <v/>
      </c>
      <c r="M134" s="271"/>
    </row>
    <row r="135">
      <c r="A135" t="str">
        <f>'MSW32'!A135</f>
        <v/>
      </c>
      <c r="G135" t="str">
        <f>'MSW32'!G135</f>
        <v/>
      </c>
    </row>
    <row r="137">
      <c r="A137" s="1149" t="str">
        <f>'MSW32'!A137</f>
        <v>WORKOUT COMPLETE!</v>
      </c>
      <c r="B137" s="36"/>
      <c r="C137" s="36"/>
      <c r="D137" s="36"/>
      <c r="E137" s="36"/>
      <c r="F137" s="37"/>
    </row>
    <row r="138">
      <c r="A138" s="1093" t="str">
        <f>'MSW32'!A138</f>
        <v/>
      </c>
      <c r="B138" s="13"/>
      <c r="C138" s="13"/>
      <c r="D138" s="13"/>
      <c r="E138" s="13"/>
      <c r="F138" s="13"/>
    </row>
    <row r="139">
      <c r="A139" s="1094" t="str">
        <f>'MSW32'!A139</f>
        <v>WANT TO LEARN MORE?</v>
      </c>
      <c r="F139" s="39"/>
    </row>
    <row r="140">
      <c r="A140" s="18"/>
      <c r="B140" s="13"/>
      <c r="C140" s="13"/>
      <c r="D140" s="13"/>
      <c r="E140" s="13"/>
      <c r="F140" s="14"/>
    </row>
    <row r="141">
      <c r="A141" s="987" t="str">
        <f>'MSW32'!A141</f>
        <v/>
      </c>
      <c r="B141" s="999" t="str">
        <f>'MSW32'!B141</f>
        <v/>
      </c>
      <c r="C141" s="1150" t="str">
        <f>'MSW32'!C141</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41" s="28"/>
    </row>
    <row r="142">
      <c r="A142" s="987" t="str">
        <f>'MSW32'!A142</f>
        <v/>
      </c>
      <c r="B142" s="999" t="str">
        <f>'MSW32'!B142</f>
        <v/>
      </c>
      <c r="F142" s="28"/>
    </row>
    <row r="143">
      <c r="A143" s="987" t="str">
        <f>'MSW32'!A143</f>
        <v/>
      </c>
      <c r="B143" s="999" t="str">
        <f>'MSW32'!B143</f>
        <v/>
      </c>
      <c r="F143" s="28"/>
    </row>
    <row r="144">
      <c r="A144" s="987" t="str">
        <f>'MSW32'!A144</f>
        <v/>
      </c>
      <c r="B144" s="999" t="str">
        <f>'MSW32'!B144</f>
        <v/>
      </c>
      <c r="F144" s="28"/>
    </row>
    <row r="145">
      <c r="A145" s="987" t="str">
        <f>'MSW32'!A145</f>
        <v/>
      </c>
      <c r="B145" s="999" t="str">
        <f>'MSW32'!B145</f>
        <v/>
      </c>
      <c r="F145" s="28"/>
    </row>
    <row r="146">
      <c r="A146" s="987" t="str">
        <f>'MSW32'!A146</f>
        <v/>
      </c>
      <c r="B146" s="999" t="str">
        <f>'MSW32'!B146</f>
        <v/>
      </c>
      <c r="F146" s="28"/>
    </row>
    <row r="147">
      <c r="A147" s="623" t="str">
        <f>'MSW32'!A147</f>
        <v/>
      </c>
      <c r="B147" s="999" t="str">
        <f>'MSW32'!B147</f>
        <v/>
      </c>
      <c r="F147" s="28"/>
    </row>
    <row r="148">
      <c r="A148" s="987" t="str">
        <f>'MSW32'!A148</f>
        <v/>
      </c>
      <c r="B148" s="999" t="str">
        <f>'MSW32'!B148</f>
        <v/>
      </c>
      <c r="F148" s="28"/>
    </row>
    <row r="149">
      <c r="A149" s="987" t="str">
        <f>'MSW32'!A149</f>
        <v/>
      </c>
      <c r="B149" s="999" t="str">
        <f>'MSW32'!B149</f>
        <v/>
      </c>
      <c r="F149" s="28"/>
    </row>
    <row r="150">
      <c r="A150" s="1034" t="str">
        <f>'MSW32'!A150</f>
        <v/>
      </c>
      <c r="B150" s="999" t="str">
        <f>'MSW32'!B150</f>
        <v/>
      </c>
      <c r="F150" s="28"/>
    </row>
    <row r="151">
      <c r="A151" s="987" t="str">
        <f>'MSW32'!A151</f>
        <v/>
      </c>
      <c r="B151" s="999" t="str">
        <f>'MSW32'!B151</f>
        <v/>
      </c>
      <c r="F151" s="28"/>
    </row>
    <row r="152">
      <c r="A152" s="987" t="str">
        <f>'MSW32'!A152</f>
        <v/>
      </c>
      <c r="B152" s="999" t="str">
        <f>'MSW32'!B152</f>
        <v/>
      </c>
      <c r="F152" s="28"/>
    </row>
    <row r="153">
      <c r="A153" s="987" t="str">
        <f>'MSW32'!A153</f>
        <v/>
      </c>
      <c r="B153" s="999" t="str">
        <f>'MSW32'!B153</f>
        <v/>
      </c>
      <c r="F153" s="28"/>
    </row>
    <row r="154">
      <c r="A154" s="987" t="str">
        <f>'MSW32'!A154</f>
        <v/>
      </c>
      <c r="B154" s="999" t="str">
        <f>'MSW32'!B154</f>
        <v/>
      </c>
      <c r="F154" s="28"/>
    </row>
    <row r="155">
      <c r="A155" s="987" t="str">
        <f>'MSW32'!A155</f>
        <v/>
      </c>
      <c r="B155" s="999" t="str">
        <f>'MSW32'!B155</f>
        <v/>
      </c>
      <c r="C155" s="11"/>
      <c r="D155" s="11"/>
      <c r="E155" s="11"/>
      <c r="F155" s="46"/>
    </row>
  </sheetData>
  <mergeCells count="96">
    <mergeCell ref="A55:F55"/>
    <mergeCell ref="A58:F59"/>
    <mergeCell ref="A42:F43"/>
    <mergeCell ref="A44:F44"/>
    <mergeCell ref="B45:C45"/>
    <mergeCell ref="D45:F45"/>
    <mergeCell ref="A47:A48"/>
    <mergeCell ref="A49:F49"/>
    <mergeCell ref="A52:F52"/>
    <mergeCell ref="A85:F85"/>
    <mergeCell ref="B86:F86"/>
    <mergeCell ref="A65:F65"/>
    <mergeCell ref="B66:F66"/>
    <mergeCell ref="B74:F74"/>
    <mergeCell ref="A75:F76"/>
    <mergeCell ref="A77:F77"/>
    <mergeCell ref="B78:F78"/>
    <mergeCell ref="A83:F84"/>
    <mergeCell ref="A14:F15"/>
    <mergeCell ref="A16:F16"/>
    <mergeCell ref="G19:G26"/>
    <mergeCell ref="A20:F20"/>
    <mergeCell ref="B21:F21"/>
    <mergeCell ref="A27:F27"/>
    <mergeCell ref="A29:F29"/>
    <mergeCell ref="B34:F34"/>
    <mergeCell ref="A50:A51"/>
    <mergeCell ref="A53:A54"/>
    <mergeCell ref="A56:A57"/>
    <mergeCell ref="A60:F60"/>
    <mergeCell ref="A61:F61"/>
    <mergeCell ref="A62:F62"/>
    <mergeCell ref="A63:F64"/>
    <mergeCell ref="B122:F122"/>
    <mergeCell ref="A127:F128"/>
    <mergeCell ref="A129:F129"/>
    <mergeCell ref="G129:G134"/>
    <mergeCell ref="B130:F130"/>
    <mergeCell ref="A135:F136"/>
    <mergeCell ref="A105:F105"/>
    <mergeCell ref="B106:F106"/>
    <mergeCell ref="A111:F112"/>
    <mergeCell ref="A113:F113"/>
    <mergeCell ref="B114:F114"/>
    <mergeCell ref="A119:F120"/>
    <mergeCell ref="A121:F121"/>
    <mergeCell ref="A12:F12"/>
    <mergeCell ref="A13:F13"/>
    <mergeCell ref="H16:M16"/>
    <mergeCell ref="A17:M18"/>
    <mergeCell ref="A19:F19"/>
    <mergeCell ref="H19:M19"/>
    <mergeCell ref="H20:M20"/>
    <mergeCell ref="I21:M21"/>
    <mergeCell ref="H27:M27"/>
    <mergeCell ref="H29:M29"/>
    <mergeCell ref="A1:M8"/>
    <mergeCell ref="A9:F9"/>
    <mergeCell ref="G9:G11"/>
    <mergeCell ref="H9:M9"/>
    <mergeCell ref="A10:F11"/>
    <mergeCell ref="H10:M10"/>
    <mergeCell ref="G12:M15"/>
    <mergeCell ref="G27:G28"/>
    <mergeCell ref="G29:G31"/>
    <mergeCell ref="I34:M34"/>
    <mergeCell ref="A35:M36"/>
    <mergeCell ref="A37:F37"/>
    <mergeCell ref="B38:F38"/>
    <mergeCell ref="G38:G39"/>
    <mergeCell ref="G88:G90"/>
    <mergeCell ref="G91:M95"/>
    <mergeCell ref="H96:M96"/>
    <mergeCell ref="I97:M97"/>
    <mergeCell ref="G103:M128"/>
    <mergeCell ref="H129:M129"/>
    <mergeCell ref="I130:M130"/>
    <mergeCell ref="G135:M155"/>
    <mergeCell ref="H37:M37"/>
    <mergeCell ref="I38:M38"/>
    <mergeCell ref="G40:G41"/>
    <mergeCell ref="G42:M84"/>
    <mergeCell ref="G85:G87"/>
    <mergeCell ref="H85:M85"/>
    <mergeCell ref="I86:M86"/>
    <mergeCell ref="A137:F137"/>
    <mergeCell ref="A138:F138"/>
    <mergeCell ref="A139:F140"/>
    <mergeCell ref="C141:F155"/>
    <mergeCell ref="A91:F92"/>
    <mergeCell ref="A93:F93"/>
    <mergeCell ref="A94:F95"/>
    <mergeCell ref="A96:F96"/>
    <mergeCell ref="G96:G102"/>
    <mergeCell ref="B97:F97"/>
    <mergeCell ref="A103:F104"/>
  </mergeCells>
  <dataValidations>
    <dataValidation type="decimal" allowBlank="1" showDropDown="1" showInputMessage="1" showErrorMessage="1" prompt="Enter a number between 0 and 30" sqref="F22:F26 M22:M26 F28 M28 F30:F33 M30:M33 F39:F41 M39:M41 F46:F48 F50:F51 F53:F54 F56:F57 F67:F73 F79:F82 F87:F90 M87:M90 F98:F102 M98:M102 F107:F110 F115:F118 F123:F126 F131:F134 M131:M134">
      <formula1>0.0</formula1>
      <formula2>30.0</formula2>
    </dataValidation>
    <dataValidation type="decimal" operator="greaterThan" allowBlank="1" showDropDown="1" showErrorMessage="1" sqref="M11">
      <formula1>0.0</formula1>
    </dataValidation>
  </dataValidations>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E1" s="1248"/>
    </row>
    <row r="2">
      <c r="E2" s="1248"/>
    </row>
    <row r="3">
      <c r="E3" s="1248"/>
    </row>
    <row r="4">
      <c r="E4" s="1248"/>
    </row>
    <row r="5">
      <c r="E5" s="1248"/>
    </row>
    <row r="6">
      <c r="E6" s="1248"/>
    </row>
    <row r="7">
      <c r="E7" s="1248"/>
    </row>
    <row r="8">
      <c r="E8" s="1248"/>
    </row>
    <row r="9">
      <c r="A9" s="218" t="s">
        <v>332</v>
      </c>
      <c r="B9" s="20"/>
      <c r="C9" s="20"/>
      <c r="D9" s="20"/>
      <c r="E9" s="20"/>
      <c r="F9" s="21"/>
      <c r="G9" s="103"/>
      <c r="H9" s="24" t="s">
        <v>35</v>
      </c>
      <c r="I9" s="25"/>
      <c r="J9" s="25"/>
      <c r="K9" s="25"/>
      <c r="L9" s="25"/>
      <c r="M9" s="26"/>
    </row>
    <row r="10">
      <c r="A10" s="15" t="str">
        <f>HYPERLINK("https://goo.gl/forms/3ibooB993Hi7SS2d2","PRESS TO RECORD BODY WEIGHT")</f>
        <v>PRESS TO RECORD BODY WEIGHT</v>
      </c>
      <c r="B10" s="16"/>
      <c r="C10" s="16"/>
      <c r="D10" s="16"/>
      <c r="E10" s="16"/>
      <c r="F10" s="17"/>
      <c r="G10" s="103"/>
      <c r="H10" s="147" t="s">
        <v>333</v>
      </c>
      <c r="M10" s="28"/>
    </row>
    <row r="11">
      <c r="A11" s="18"/>
      <c r="B11" s="13"/>
      <c r="C11" s="13"/>
      <c r="D11" s="13"/>
      <c r="E11" s="13"/>
      <c r="F11" s="14"/>
      <c r="G11" s="103"/>
      <c r="H11" s="29" t="s">
        <v>334</v>
      </c>
      <c r="I11" s="30"/>
      <c r="J11" s="30"/>
      <c r="K11" s="30"/>
      <c r="L11" s="30"/>
      <c r="M11" s="31"/>
    </row>
    <row r="12">
      <c r="A12" s="19" t="s">
        <v>69</v>
      </c>
      <c r="B12" s="20"/>
      <c r="C12" s="20"/>
      <c r="D12" s="20"/>
      <c r="E12" s="20"/>
      <c r="F12" s="21"/>
      <c r="G12" s="103"/>
      <c r="H12" s="219"/>
      <c r="I12" s="220"/>
      <c r="J12" s="221"/>
      <c r="K12" s="219"/>
      <c r="L12" s="222"/>
      <c r="M12" s="103"/>
    </row>
    <row r="13">
      <c r="A13" s="22" t="s">
        <v>207</v>
      </c>
      <c r="B13" s="20"/>
      <c r="C13" s="20"/>
      <c r="D13" s="20"/>
      <c r="E13" s="20"/>
      <c r="F13" s="21"/>
      <c r="G13" s="103"/>
      <c r="H13" s="103"/>
      <c r="I13" s="103"/>
      <c r="J13" s="103"/>
      <c r="K13" s="103"/>
      <c r="L13" s="222"/>
      <c r="M13" s="103"/>
    </row>
    <row r="14">
      <c r="E14" s="1248"/>
    </row>
    <row r="15">
      <c r="A15" s="51" t="s">
        <v>48</v>
      </c>
      <c r="B15" s="36"/>
      <c r="C15" s="36"/>
      <c r="D15" s="36"/>
      <c r="E15" s="36"/>
      <c r="F15" s="37"/>
      <c r="H15" s="51" t="s">
        <v>48</v>
      </c>
      <c r="I15" s="36"/>
      <c r="J15" s="36"/>
      <c r="K15" s="36"/>
      <c r="L15" s="36"/>
      <c r="M15" s="37"/>
    </row>
    <row r="16">
      <c r="A16" s="93" t="str">
        <f>HYPERLINK("https://youtu.be/iLgUDezDMbU","1. BENCH PRESS")</f>
        <v>1. BENCH PRESS</v>
      </c>
      <c r="B16" s="53"/>
      <c r="C16" s="53"/>
      <c r="D16" s="53"/>
      <c r="E16" s="53"/>
      <c r="F16" s="54"/>
      <c r="H16" s="93" t="str">
        <f>HYPERLINK("https://youtu.be/iLgUDezDMbU","1. DUMBELL INCLINE")</f>
        <v>1. DUMBELL INCLINE</v>
      </c>
      <c r="I16" s="53"/>
      <c r="J16" s="53"/>
      <c r="K16" s="53"/>
      <c r="L16" s="53"/>
      <c r="M16" s="54"/>
    </row>
    <row r="17">
      <c r="A17" s="226" t="s">
        <v>119</v>
      </c>
      <c r="B17" s="691" t="str">
        <f>'WEEK 31'!B33</f>
        <v/>
      </c>
      <c r="C17" s="13"/>
      <c r="D17" s="13"/>
      <c r="E17" s="13"/>
      <c r="F17" s="57"/>
      <c r="H17" s="226" t="s">
        <v>119</v>
      </c>
      <c r="I17" s="691">
        <f>'WEEK 32'!B34</f>
        <v>90</v>
      </c>
      <c r="J17" s="13"/>
      <c r="K17" s="13"/>
      <c r="L17" s="13"/>
      <c r="M17" s="57"/>
    </row>
    <row r="18">
      <c r="A18" s="96" t="s">
        <v>50</v>
      </c>
      <c r="B18" s="97" t="s">
        <v>51</v>
      </c>
      <c r="C18" s="97" t="s">
        <v>52</v>
      </c>
      <c r="D18" s="97" t="s">
        <v>53</v>
      </c>
      <c r="E18" s="1385" t="s">
        <v>54</v>
      </c>
      <c r="F18" s="235" t="s">
        <v>55</v>
      </c>
      <c r="H18" s="96" t="s">
        <v>50</v>
      </c>
      <c r="I18" s="97" t="s">
        <v>51</v>
      </c>
      <c r="J18" s="97" t="s">
        <v>52</v>
      </c>
      <c r="K18" s="97" t="s">
        <v>53</v>
      </c>
      <c r="L18" s="341" t="s">
        <v>54</v>
      </c>
      <c r="M18" s="235" t="s">
        <v>55</v>
      </c>
    </row>
    <row r="19">
      <c r="A19" s="725">
        <v>1.0</v>
      </c>
      <c r="B19" s="344">
        <f>IF( 'WEEK 33'!B17&lt;125,45,mround('WEEK 33'!B17*0.5,5))</f>
        <v>125</v>
      </c>
      <c r="C19" s="1250" t="s">
        <v>65</v>
      </c>
      <c r="D19" s="1251" t="s">
        <v>208</v>
      </c>
      <c r="E19" s="727"/>
      <c r="F19" s="85"/>
      <c r="H19" s="342">
        <v>1.0</v>
      </c>
      <c r="I19" s="344">
        <f>mround('WEEK 33'!I17*0.5,5)</f>
        <v>45</v>
      </c>
      <c r="J19" s="1250" t="s">
        <v>65</v>
      </c>
      <c r="K19" s="343" t="s">
        <v>57</v>
      </c>
      <c r="L19" s="1244"/>
      <c r="M19" s="85"/>
    </row>
    <row r="20">
      <c r="A20" s="342">
        <v>2.0</v>
      </c>
      <c r="B20" s="344">
        <f>IF( 'WEEK 33'!B17&lt;125,45,mround('WEEK 33'!B17*0.5,5))</f>
        <v>125</v>
      </c>
      <c r="C20" s="1250" t="s">
        <v>65</v>
      </c>
      <c r="D20" s="1251" t="s">
        <v>208</v>
      </c>
      <c r="E20" s="727"/>
      <c r="F20" s="85"/>
      <c r="H20" s="725">
        <f>IF(OR(ISBLANK('WEEK 33'!M19)),"",IF('WEEK 33'!M19&lt;10,"MOVE",2))</f>
        <v>2</v>
      </c>
      <c r="I20" s="344">
        <f>IF(OR(ISBLANK('WEEK 33'!M19)),"",IF('WEEK 33'!M19&lt;10,"TO",mround('WEEK 33'!I17*0.5,5)))</f>
        <v>45</v>
      </c>
      <c r="J20" s="1250" t="str">
        <f>IF(OR(ISBLANK('WEEK 33'!M19)),"",IF('WEEK 33'!M19&lt;10,"#","REP OUT"))</f>
        <v>REP OUT</v>
      </c>
      <c r="K20" s="343" t="str">
        <f>IF(OR(ISBLANK('WEEK 33'!M19)),"",IF('WEEK 33'!M19&lt;10,"2","1 MIN"))</f>
        <v>1 MIN</v>
      </c>
      <c r="L20" s="1244"/>
      <c r="M20" s="85"/>
    </row>
    <row r="21">
      <c r="A21" s="735">
        <v>3.0</v>
      </c>
      <c r="B21" s="1252">
        <f>IF( 'WEEK 33'!B17&lt;125,45,mround('WEEK 33'!B17*0.5,5))</f>
        <v>125</v>
      </c>
      <c r="C21" s="1253" t="s">
        <v>65</v>
      </c>
      <c r="D21" s="1254" t="s">
        <v>208</v>
      </c>
      <c r="E21" s="739"/>
      <c r="F21" s="330"/>
      <c r="H21" s="725">
        <f>IF(OR(ISBLANK('WEEK 33'!M19),ISBLANK('WEEK 33'!M20)),"",IF('WEEK 33'!M20&lt;10,"MOVE",3))</f>
        <v>3</v>
      </c>
      <c r="I21" s="344">
        <f>IF(OR(ISBLANK('WEEK 33'!M19),ISBLANK('WEEK 33'!M20)),"",IF('WEEK 33'!M20&lt;10,"TO",mround('WEEK 33'!I17*0.5,5)))</f>
        <v>45</v>
      </c>
      <c r="J21" s="1250" t="str">
        <f>IF(OR(ISBLANK('WEEK 33'!M19),ISBLANK('WEEK 33'!M20)),"",IF('WEEK 33'!M20&lt;10,"#","REP OUT"))</f>
        <v>REP OUT</v>
      </c>
      <c r="K21" s="343" t="str">
        <f>IF(OR(ISBLANK('WEEK 33'!M19),ISBLANK('WEEK 33'!M20)),"",IF('WEEK 33'!M20&lt;10,"2","1 MIN"))</f>
        <v>1 MIN</v>
      </c>
      <c r="L21" s="1255"/>
      <c r="M21" s="85"/>
    </row>
    <row r="22">
      <c r="A22" s="1256"/>
      <c r="B22" s="1256"/>
      <c r="C22" s="1256"/>
      <c r="D22" s="1256"/>
      <c r="E22" s="1257"/>
      <c r="F22" s="1256"/>
      <c r="H22" s="725">
        <f>IF(OR(ISBLANK('WEEK 33'!M19),ISBLANK('WEEK 33'!M20),ISBLANK('WEEK 33'!M21)),"",IF('WEEK 33'!M21&lt;10,"MOVE",4))</f>
        <v>4</v>
      </c>
      <c r="I22" s="344">
        <f>IF(OR(ISBLANK('WEEK 33'!M19),ISBLANK('WEEK 33'!M20),ISBLANK('WEEK 33'!M21)),"",IF('WEEK 33'!M21&gt;=1&lt;10,"TO",mround('WEEK 33'!I17*0.5,5)))</f>
        <v>45</v>
      </c>
      <c r="J22" s="1250" t="str">
        <f>IF(OR(ISBLANK('WEEK 33'!M19),ISBLANK('WEEK 33'!M20),ISBLANK('WEEK 33'!M21)),"",IF('WEEK 33'!M21&lt;10,"#","REP OUT"))</f>
        <v>REP OUT</v>
      </c>
      <c r="K22" s="343" t="str">
        <f>IF(OR(ISBLANK('WEEK 33'!M19),ISBLANK('WEEK 33'!M20),ISBLANK('WEEK 33'!M21)),"",IF('WEEK 33'!M21&lt;10,"2","1 MIN"))</f>
        <v>1 MIN</v>
      </c>
      <c r="L22" s="1255"/>
      <c r="M22" s="85"/>
    </row>
    <row r="23">
      <c r="A23" s="1258"/>
      <c r="B23" s="1258"/>
      <c r="C23" s="1258"/>
      <c r="D23" s="1258"/>
      <c r="E23" s="1259"/>
      <c r="F23" s="1258"/>
      <c r="H23" s="725">
        <f>IF(OR(ISBLANK('WEEK 33'!M19),ISBLANK('WEEK 33'!M20),ISBLANK('WEEK 33'!M21),ISBLANK('WEEK 33'!M22)),"",IF('WEEK 33'!M22&lt;10,"MOVE",5))</f>
        <v>5</v>
      </c>
      <c r="I23" s="344">
        <f>IF(OR(ISBLANK('WEEK 33'!M19),ISBLANK('WEEK 33'!M20),ISBLANK('WEEK 33'!M21),ISBLANK('WEEK 33'!M22)),"",IF('WEEK 33'!M22&lt;10,"TO",mround('WEEK 33'!I17*0.5,5)))</f>
        <v>45</v>
      </c>
      <c r="J23" s="1250" t="str">
        <f>IF(OR(ISBLANK('WEEK 33'!M19),ISBLANK('WEEK 33'!M20),ISBLANK('WEEK 33'!M21),ISBLANK('WEEK 33'!M22)),"",IF('WEEK 33'!M22&lt;10,"#","REP OUT"))</f>
        <v>REP OUT</v>
      </c>
      <c r="K23" s="343" t="str">
        <f>IF(OR(ISBLANK('WEEK 33'!M19),ISBLANK('WEEK 33'!M20),ISBLANK('WEEK 33'!M21),ISBLANK('WEEK 33'!M22)),"",IF('WEEK 33'!M22&lt;10,"2","1 MIN"))</f>
        <v>1 MIN</v>
      </c>
      <c r="L23" s="1255"/>
      <c r="M23" s="85"/>
    </row>
    <row r="24">
      <c r="A24" s="1258"/>
      <c r="B24" s="1258"/>
      <c r="C24" s="1258"/>
      <c r="D24" s="1258"/>
      <c r="E24" s="1259"/>
      <c r="F24" s="1258"/>
      <c r="H24" s="735">
        <f>IF(OR(ISBLANK('WEEK 33'!M19),ISBLANK('WEEK 33'!M20),ISBLANK('WEEK 33'!M21),ISBLANK('WEEK 33'!M22),ISBLANK('WEEK 33'!M23)),"",IF('WEEK 33'!M23&lt;10,"MOVE",6))</f>
        <v>6</v>
      </c>
      <c r="I24" s="1252">
        <f>IF(OR(ISBLANK('WEEK 33'!M19),ISBLANK('WEEK 33'!M20),ISBLANK('WEEK 33'!M21),ISBLANK('WEEK 33'!M22),ISBLANK('WEEK 33'!M23)),"",IF('WEEK 33'!M23&lt;10,"TO",mround('WEEK 33'!I17*0.5,5)))</f>
        <v>45</v>
      </c>
      <c r="J24" s="1253" t="str">
        <f>IF(OR(ISBLANK('WEEK 33'!M19),ISBLANK('WEEK 33'!M20),ISBLANK('WEEK 33'!M21),ISBLANK('WEEK 33'!M22),ISBLANK('WEEK 33'!M23)),"",IF('WEEK 33'!M23&lt;10,"#","REP OUT"))</f>
        <v>REP OUT</v>
      </c>
      <c r="K24" s="738" t="str">
        <f>IF(OR(ISBLANK('WEEK 33'!M19),ISBLANK('WEEK 33'!M20),ISBLANK('WEEK 33'!M21),ISBLANK('WEEK 33'!M22),ISBLANK('WEEK 33'!M23)),"",IF('WEEK 33'!M23&lt;10,"2","1 MIN"))</f>
        <v>1 MIN</v>
      </c>
      <c r="L24" s="1255"/>
      <c r="M24" s="330"/>
    </row>
    <row r="25">
      <c r="A25" s="1258"/>
      <c r="B25" s="1258"/>
      <c r="C25" s="1258"/>
      <c r="D25" s="1258"/>
      <c r="E25" s="1259"/>
      <c r="F25" s="1258"/>
      <c r="H25" s="1260"/>
      <c r="I25" s="1260"/>
      <c r="J25" s="1260"/>
      <c r="K25" s="1260"/>
      <c r="L25" s="1260"/>
      <c r="M25" s="1260"/>
    </row>
    <row r="26">
      <c r="A26" s="1258"/>
      <c r="B26" s="1258"/>
      <c r="C26" s="1258"/>
      <c r="D26" s="1258"/>
      <c r="E26" s="1259"/>
      <c r="F26" s="1258"/>
    </row>
    <row r="27">
      <c r="E27" s="1248"/>
    </row>
    <row r="28">
      <c r="E28" s="1248"/>
    </row>
    <row r="29">
      <c r="A29" s="73" t="str">
        <f>HYPERLINK("https://www.youtube.com/watch?v=PnaDzYh2axA","2. LAT PULL DOWN")</f>
        <v>2. LAT PULL DOWN</v>
      </c>
      <c r="B29" s="53"/>
      <c r="C29" s="53"/>
      <c r="D29" s="53"/>
      <c r="E29" s="53"/>
      <c r="F29" s="53"/>
    </row>
    <row r="30">
      <c r="A30" s="226" t="s">
        <v>119</v>
      </c>
      <c r="B30" s="227">
        <f>'WEEK 31'!B60</f>
        <v>225</v>
      </c>
      <c r="C30" s="20"/>
      <c r="D30" s="20"/>
      <c r="E30" s="20"/>
      <c r="F30" s="20"/>
    </row>
    <row r="31">
      <c r="A31" s="231" t="s">
        <v>50</v>
      </c>
      <c r="B31" s="232" t="s">
        <v>51</v>
      </c>
      <c r="C31" s="232" t="s">
        <v>52</v>
      </c>
      <c r="D31" s="232" t="s">
        <v>53</v>
      </c>
      <c r="E31" s="233" t="s">
        <v>54</v>
      </c>
      <c r="F31" s="286" t="s">
        <v>55</v>
      </c>
    </row>
    <row r="32">
      <c r="A32" s="236">
        <v>1.0</v>
      </c>
      <c r="B32" s="237">
        <f>mround('WEEK 33'!B30*0.35,5)</f>
        <v>80</v>
      </c>
      <c r="C32" s="238">
        <v>6.0</v>
      </c>
      <c r="D32" s="238" t="s">
        <v>120</v>
      </c>
      <c r="E32" s="66"/>
      <c r="F32" s="67"/>
    </row>
    <row r="33">
      <c r="A33" s="236">
        <v>2.0</v>
      </c>
      <c r="B33" s="237">
        <f>mround('WEEK 33'!B30*0.65,5)</f>
        <v>145</v>
      </c>
      <c r="C33" s="238">
        <v>3.0</v>
      </c>
      <c r="D33" s="238" t="s">
        <v>121</v>
      </c>
      <c r="E33" s="66"/>
      <c r="F33" s="67"/>
    </row>
    <row r="34">
      <c r="A34" s="242">
        <v>3.0</v>
      </c>
      <c r="B34" s="237">
        <f>mround('WEEK 33'!B30*0.9,5)</f>
        <v>205</v>
      </c>
      <c r="C34" s="63">
        <v>2.0</v>
      </c>
      <c r="D34" s="238" t="s">
        <v>121</v>
      </c>
      <c r="E34" s="66"/>
      <c r="F34" s="67"/>
    </row>
    <row r="35">
      <c r="A35" s="243">
        <v>4.0</v>
      </c>
      <c r="B35" s="237">
        <f>'WEEK 33'!B30</f>
        <v>225</v>
      </c>
      <c r="C35" s="257">
        <v>3.0</v>
      </c>
      <c r="D35" s="238" t="s">
        <v>122</v>
      </c>
      <c r="E35" s="66"/>
      <c r="F35" s="665"/>
    </row>
    <row r="36">
      <c r="A36" s="246" t="str">
        <f>IF('WEEK 33'!F35&lt;3,"PROCEED TO DOWN SETS","NEW 4 REP MAX ATTEMPT")</f>
        <v>NEW 4 REP MAX ATTEMPT</v>
      </c>
      <c r="B36" s="20"/>
      <c r="C36" s="20"/>
      <c r="D36" s="20"/>
      <c r="E36" s="20"/>
      <c r="F36" s="20"/>
    </row>
    <row r="37">
      <c r="A37" s="249">
        <f>if('WEEK 33'!F35&lt;=2,"",5)</f>
        <v>5</v>
      </c>
      <c r="B37" s="175">
        <f>IF('WEEK 33'!F35&lt;=2,"",B35+5)</f>
        <v>230</v>
      </c>
      <c r="C37" s="238">
        <f>if('WEEK 33'!F35&lt;=2,"",4)</f>
        <v>4</v>
      </c>
      <c r="D37" s="238" t="str">
        <f>if('WEEK 33'!F35&lt;=2,"","1-5 MIN")</f>
        <v>1-5 MIN</v>
      </c>
      <c r="E37" s="250"/>
      <c r="F37" s="271"/>
    </row>
    <row r="38">
      <c r="A38" s="256" t="str">
        <f>IF('WEEK 33'!F37&lt;4,"","6")</f>
        <v>6</v>
      </c>
      <c r="B38" s="237">
        <f>IF('WEEK 33'!F37&lt;4,"",B37+5)</f>
        <v>235</v>
      </c>
      <c r="C38" s="257" t="str">
        <f>IF('WEEK 33'!F37&lt;4,"","4")</f>
        <v>4</v>
      </c>
      <c r="D38" s="257" t="str">
        <f>IF('WEEK 33'!F37&lt;4,"","1-5 MIN")</f>
        <v>1-5 MIN</v>
      </c>
      <c r="E38" s="258"/>
      <c r="F38" s="665"/>
    </row>
    <row r="39">
      <c r="A39" s="246" t="str">
        <f>IF(OR(ISBLANK('WEEK 33'!F35),ISBLANK('WEEK 33'!F34),ISBLANK('WEEK 33'!F33)),"FILL OUT REP LOG FOR DOWN SETS","DOWN SETS")</f>
        <v>DOWN SETS</v>
      </c>
      <c r="B39" s="20"/>
      <c r="C39" s="20"/>
      <c r="D39" s="20"/>
      <c r="E39" s="20"/>
      <c r="F39" s="20"/>
    </row>
    <row r="40">
      <c r="A40" s="264">
        <f>IF(OR(ISBLANK('WEEK 33'!F35),ISBLANK('WEEK 33'!F34),ISBLANK('WEEK 33'!F33)),"",IF((AND(A37="",A38="")),5,IF((AND(A37&gt;1,A38="")),6,7)))</f>
        <v>7</v>
      </c>
      <c r="B40" s="265">
        <f>MROUND('WEEK 33'!B42*0.8,5)</f>
        <v>190</v>
      </c>
      <c r="C40" s="266" t="s">
        <v>65</v>
      </c>
      <c r="D40" s="267" t="s">
        <v>127</v>
      </c>
      <c r="E40" s="268"/>
      <c r="F40" s="271"/>
    </row>
    <row r="41">
      <c r="A41" s="243">
        <f>IF(OR(ISBLANK('WEEK 33'!F35),ISBLANK('WEEK 33'!F34),ISBLANK('WEEK 33'!F33)),"",IF((AND(A37="",A38="")),6,IF((AND(A37&gt;1,A38="")),7,8)))</f>
        <v>8</v>
      </c>
      <c r="B41" s="237">
        <f>mround('WEEK 33'!B42*0.7,5)</f>
        <v>165</v>
      </c>
      <c r="C41" s="245" t="s">
        <v>65</v>
      </c>
      <c r="D41" s="65" t="s">
        <v>127</v>
      </c>
      <c r="E41" s="258"/>
      <c r="F41" s="271"/>
    </row>
    <row r="42">
      <c r="A42" s="272" t="s">
        <v>124</v>
      </c>
      <c r="B42" s="273">
        <f>IF(OR(ISBLANK('WEEK 33'!F35),ISBLANK('WEEK 33'!F34),ISBLANK('WEEK 33'!F33)),"",IF('WEEK 33'!F38&gt;=4,'WEEK 33'!B38,IF('WEEK 33'!F37&gt;=1,'WEEK 33'!B37,IF('WEEK 33'!F35&lt;3,'WEEK 33'!B35-5,'WEEK 33'!B35))))</f>
        <v>235</v>
      </c>
      <c r="C42" s="11"/>
      <c r="D42" s="11"/>
      <c r="E42" s="11"/>
      <c r="F42" s="46"/>
    </row>
    <row r="43">
      <c r="A43" s="302"/>
      <c r="B43" s="302"/>
      <c r="C43" s="302"/>
      <c r="D43" s="302"/>
      <c r="E43" s="303"/>
      <c r="F43" s="103"/>
    </row>
    <row r="44">
      <c r="A44" s="302"/>
      <c r="B44" s="302"/>
      <c r="C44" s="302"/>
      <c r="D44" s="302"/>
      <c r="E44" s="303"/>
      <c r="F44" s="103"/>
    </row>
    <row r="45">
      <c r="A45" s="73" t="str">
        <f>HYPERLINK("https://www.youtube.com/watch?v=9YH1YvZbiY0","3. MACHINE LOW ROW")</f>
        <v>3. MACHINE LOW ROW</v>
      </c>
      <c r="B45" s="53"/>
      <c r="C45" s="53"/>
      <c r="D45" s="53"/>
      <c r="E45" s="53"/>
      <c r="F45" s="53"/>
    </row>
    <row r="46">
      <c r="A46" s="282" t="s">
        <v>119</v>
      </c>
      <c r="B46" s="56">
        <f>'WEEK 31'!B68</f>
        <v>225</v>
      </c>
      <c r="C46" s="13"/>
      <c r="D46" s="13"/>
      <c r="E46" s="13"/>
      <c r="F46" s="13"/>
    </row>
    <row r="47">
      <c r="A47" s="58" t="s">
        <v>50</v>
      </c>
      <c r="B47" s="59" t="s">
        <v>51</v>
      </c>
      <c r="C47" s="59" t="s">
        <v>52</v>
      </c>
      <c r="D47" s="59" t="s">
        <v>53</v>
      </c>
      <c r="E47" s="584" t="s">
        <v>54</v>
      </c>
      <c r="F47" s="286" t="s">
        <v>55</v>
      </c>
    </row>
    <row r="48">
      <c r="A48" s="62">
        <v>1.0</v>
      </c>
      <c r="B48" s="63">
        <f> mround('WEEK 33'!B46*0.9,5)</f>
        <v>205</v>
      </c>
      <c r="C48" s="104" t="s">
        <v>65</v>
      </c>
      <c r="D48" s="65" t="s">
        <v>57</v>
      </c>
      <c r="E48" s="66"/>
      <c r="F48" s="67"/>
    </row>
    <row r="49">
      <c r="A49" s="62">
        <v>2.0</v>
      </c>
      <c r="B49" s="63">
        <f>IF('WEEK 33'!F48&lt;6,MROUND('WEEK 33'!B48*0.87,5),IF('WEEK 33'!F48&lt;=11,MROUND('WEEK 33'!B48*0.95,5),'WEEK 33'!B48))</f>
        <v>180</v>
      </c>
      <c r="C49" s="104" t="s">
        <v>65</v>
      </c>
      <c r="D49" s="65" t="s">
        <v>57</v>
      </c>
      <c r="E49" s="66"/>
      <c r="F49" s="67"/>
    </row>
    <row r="50">
      <c r="A50" s="68">
        <v>3.0</v>
      </c>
      <c r="B50" s="69">
        <f>IF('WEEK 33'!F49&lt;6,MROUND('WEEK 33'!B49*0.87,5),IF('WEEK 33'!F49&lt;=11,MROUND('WEEK 33'!B49*0.95,5),'WEEK 33'!B49))</f>
        <v>155</v>
      </c>
      <c r="C50" s="105" t="s">
        <v>65</v>
      </c>
      <c r="D50" s="71" t="s">
        <v>57</v>
      </c>
      <c r="E50" s="72"/>
      <c r="F50" s="67"/>
    </row>
    <row r="51">
      <c r="A51" s="103"/>
      <c r="B51" s="103"/>
      <c r="C51" s="103"/>
      <c r="D51" s="103"/>
      <c r="E51" s="222"/>
      <c r="F51" s="103"/>
    </row>
    <row r="52">
      <c r="A52" s="103"/>
      <c r="B52" s="103"/>
      <c r="C52" s="103"/>
      <c r="D52" s="103"/>
      <c r="E52" s="222"/>
      <c r="F52" s="103"/>
    </row>
    <row r="53">
      <c r="A53" s="73" t="str">
        <f>HYPERLINK("https://youtu.be/5-SUS-OVULY","4. MACHINE HIGH ROW")</f>
        <v>4. MACHINE HIGH ROW</v>
      </c>
      <c r="B53" s="53"/>
      <c r="C53" s="53"/>
      <c r="D53" s="53"/>
      <c r="E53" s="53"/>
      <c r="F53" s="53"/>
    </row>
    <row r="54">
      <c r="A54" s="282" t="s">
        <v>119</v>
      </c>
      <c r="B54" s="56">
        <f>'WEEK 31'!B57</f>
        <v>175</v>
      </c>
      <c r="C54" s="13"/>
      <c r="D54" s="13"/>
      <c r="E54" s="13"/>
      <c r="F54" s="13"/>
    </row>
    <row r="55">
      <c r="A55" s="58" t="s">
        <v>50</v>
      </c>
      <c r="B55" s="59" t="s">
        <v>51</v>
      </c>
      <c r="C55" s="59" t="s">
        <v>52</v>
      </c>
      <c r="D55" s="59" t="s">
        <v>53</v>
      </c>
      <c r="E55" s="584" t="s">
        <v>54</v>
      </c>
      <c r="F55" s="286" t="s">
        <v>55</v>
      </c>
    </row>
    <row r="56">
      <c r="A56" s="62">
        <v>1.0</v>
      </c>
      <c r="B56" s="63">
        <f> mround('WEEK 33'!B54*0.85,5)</f>
        <v>150</v>
      </c>
      <c r="C56" s="104" t="s">
        <v>65</v>
      </c>
      <c r="D56" s="65" t="s">
        <v>57</v>
      </c>
      <c r="E56" s="66"/>
      <c r="F56" s="67"/>
    </row>
    <row r="57">
      <c r="A57" s="62">
        <v>2.0</v>
      </c>
      <c r="B57" s="63">
        <f>IF('WEEK 33'!F56&lt;6,MROUND('WEEK 33'!B54*0.7,5),IF('WEEK 33'!F56&lt;=11,MROUND('WEEK 33'!B54*0.75,5),'WEEK 33'!B56))</f>
        <v>125</v>
      </c>
      <c r="C57" s="104" t="s">
        <v>65</v>
      </c>
      <c r="D57" s="65" t="s">
        <v>57</v>
      </c>
      <c r="E57" s="66"/>
      <c r="F57" s="67"/>
    </row>
    <row r="58">
      <c r="A58" s="68">
        <v>3.0</v>
      </c>
      <c r="B58" s="87">
        <f>IF('WEEK 33'!F57&lt;6,MROUND('WEEK 33'!B57*0.8,5),IF('WEEK 33'!F57&lt;=11,MROUND('WEEK 33'!B57*0.85,5),'WEEK 33'!B57))</f>
        <v>100</v>
      </c>
      <c r="C58" s="105" t="s">
        <v>65</v>
      </c>
      <c r="D58" s="309" t="s">
        <v>57</v>
      </c>
      <c r="E58" s="72"/>
      <c r="F58" s="67"/>
    </row>
    <row r="59">
      <c r="E59" s="1248"/>
    </row>
    <row r="60">
      <c r="E60" s="1248"/>
    </row>
    <row r="61">
      <c r="A61" s="310" t="str">
        <f>HYPERLINK("https://docs.google.com/a/fitnessresults.com/forms/d/e/1FAIpQLSd7MoczESe8Yjv6BKpmwAZGn9Aiymrs9-UdgfYIUpbr9t5NXg/viewform?usp=pp_url&amp;entry.93370101","CLICK TO COMPLETE WORKOUT")</f>
        <v>CLICK TO COMPLETE WORKOUT</v>
      </c>
      <c r="B61" s="36"/>
      <c r="C61" s="36"/>
      <c r="D61" s="36"/>
      <c r="E61" s="36"/>
      <c r="F61" s="37"/>
    </row>
    <row r="62">
      <c r="E62" s="1248"/>
    </row>
    <row r="63">
      <c r="A63" s="224" t="s">
        <v>128</v>
      </c>
      <c r="B63" s="36"/>
      <c r="C63" s="36"/>
      <c r="D63" s="36"/>
      <c r="E63" s="36"/>
      <c r="F63" s="37"/>
    </row>
    <row r="64">
      <c r="E64" s="1248"/>
    </row>
    <row r="65">
      <c r="E65" s="1248"/>
    </row>
    <row r="66">
      <c r="A66" s="1261" t="str">
        <f>'WEEK 32'!A65</f>
        <v>1. MACHINE SQUAT</v>
      </c>
      <c r="B66" s="53"/>
      <c r="C66" s="53"/>
      <c r="D66" s="53"/>
      <c r="E66" s="53"/>
      <c r="F66" s="54"/>
    </row>
    <row r="67">
      <c r="A67" s="1262" t="s">
        <v>192</v>
      </c>
      <c r="B67" s="1035">
        <f>'WEEK 32'!B69</f>
        <v>25</v>
      </c>
      <c r="C67" s="13"/>
      <c r="D67" s="13"/>
      <c r="E67" s="13"/>
      <c r="F67" s="57"/>
    </row>
    <row r="68">
      <c r="A68" s="231" t="s">
        <v>50</v>
      </c>
      <c r="B68" s="232" t="s">
        <v>51</v>
      </c>
      <c r="C68" s="232" t="s">
        <v>52</v>
      </c>
      <c r="D68" s="232" t="s">
        <v>53</v>
      </c>
      <c r="E68" s="1073" t="s">
        <v>54</v>
      </c>
      <c r="F68" s="1006" t="s">
        <v>55</v>
      </c>
    </row>
    <row r="69">
      <c r="A69" s="236">
        <v>1.0</v>
      </c>
      <c r="B69" s="237">
        <f>mround('WEEK 33'!B67*0.35,5)</f>
        <v>10</v>
      </c>
      <c r="C69" s="238">
        <v>10.0</v>
      </c>
      <c r="D69" s="238" t="s">
        <v>120</v>
      </c>
      <c r="E69" s="1202"/>
      <c r="F69" s="1131">
        <v>10.0</v>
      </c>
    </row>
    <row r="70">
      <c r="A70" s="236">
        <v>2.0</v>
      </c>
      <c r="B70" s="237">
        <f>mround('WEEK 33'!B67*0.65,5)</f>
        <v>15</v>
      </c>
      <c r="C70" s="238">
        <v>10.0</v>
      </c>
      <c r="D70" s="238" t="s">
        <v>121</v>
      </c>
      <c r="E70" s="1202"/>
      <c r="F70" s="1111">
        <v>10.0</v>
      </c>
    </row>
    <row r="71">
      <c r="A71" s="242">
        <v>3.0</v>
      </c>
      <c r="B71" s="237">
        <f>mround('WEEK 33'!B67*0.9,5)</f>
        <v>25</v>
      </c>
      <c r="C71" s="238">
        <v>10.0</v>
      </c>
      <c r="D71" s="238" t="s">
        <v>121</v>
      </c>
      <c r="E71" s="1202"/>
      <c r="F71" s="1111">
        <v>10.0</v>
      </c>
    </row>
    <row r="72">
      <c r="A72" s="249">
        <v>4.0</v>
      </c>
      <c r="B72" s="175">
        <f>if('WEEK 33'!F71&lt;8,MROUND('WEEK 33'!B71-('WEEK 33'!B71*20%),5),'WEEK 33'!B67)</f>
        <v>20</v>
      </c>
      <c r="C72" s="238">
        <v>10.0</v>
      </c>
      <c r="D72" s="238" t="s">
        <v>122</v>
      </c>
      <c r="E72" s="1263"/>
      <c r="F72" s="1111">
        <v>10.0</v>
      </c>
    </row>
    <row r="73">
      <c r="A73" s="249">
        <v>5.0</v>
      </c>
      <c r="B73" s="175">
        <f>IF((AND('WEEK 33'!B72&lt;='WEEK 33'!B71,'WEEK 33'!F72&gt;=8)),'WEEK 33'!B72,IF('WEEK 33'!F72&lt;8,MROUND('WEEK 33'!B72-('WEEK 33'!B72*20%),5),if( 'WEEK 33'!F72&lt;8,MROUND('WEEK 33'!B72-('WEEK 33'!B72*10%),5),MROUND('WEEK 33'!B72+('WEEK 33'!B72*10%),5))))</f>
        <v>15</v>
      </c>
      <c r="C73" s="238">
        <v>10.0</v>
      </c>
      <c r="D73" s="238" t="s">
        <v>122</v>
      </c>
      <c r="E73" s="1104"/>
      <c r="F73" s="1111">
        <v>10.0</v>
      </c>
    </row>
    <row r="74">
      <c r="A74" s="249">
        <f>if(F72&lt;8,6,6)</f>
        <v>6</v>
      </c>
      <c r="B74" s="175">
        <f>IF((AND('WEEK 33'!B73&lt;='WEEK 33'!B72,'WEEK 33'!F73&gt;=8)),'WEEK 33'!B73,IF('WEEK 33'!F73&lt;8,MROUND('WEEK 33'!B73-('WEEK 33'!B73*20%),5),if( 'WEEK 33'!F73&lt;8,MROUND('WEEK 33'!B73-('WEEK 33'!B73*10%),5),MROUND('WEEK 33'!B73+('WEEK 33'!B73*10%),5))))</f>
        <v>10</v>
      </c>
      <c r="C74" s="238">
        <v>10.0</v>
      </c>
      <c r="D74" s="238" t="s">
        <v>122</v>
      </c>
      <c r="E74" s="1104"/>
      <c r="F74" s="1111">
        <v>10.0</v>
      </c>
    </row>
    <row r="75">
      <c r="A75" s="1038" t="str">
        <f>IF(F74&lt;8,7,"7")</f>
        <v>7</v>
      </c>
      <c r="B75" s="175">
        <f>IF((AND('WEEK 33'!B74&lt;='WEEK 33'!B73,'WEEK 33'!F74&gt;=8)),'WEEK 33'!B74,IF('WEEK 33'!F74&lt;8,MROUND('WEEK 33'!B74-('WEEK 33'!B74*20%),5),if( 'WEEK 33'!F74&lt;8,MROUND('WEEK 33'!B74-('WEEK 33'!B74*10%),5),MROUND('WEEK 33'!B74+('WEEK 33'!B74*10%),5))))</f>
        <v>10</v>
      </c>
      <c r="C75" s="238">
        <v>10.0</v>
      </c>
      <c r="D75" s="238" t="s">
        <v>122</v>
      </c>
      <c r="E75" s="1104"/>
      <c r="F75" s="1226">
        <v>10.0</v>
      </c>
    </row>
    <row r="76">
      <c r="A76" s="272" t="s">
        <v>209</v>
      </c>
      <c r="B76" s="1109">
        <f>IF((AND('WEEK 33'!F75&gt;=8,'WEEK 33'!B75&gt;'WEEK 33'!B74)),'WEEK 33'!B75,IF((AND('WEEK 33'!F74&gt;=8,'WEEK 33'!B74&gt;'WEEK 33'!B73)),'WEEK 33'!B74,IF((AND('WEEK 33'!F73&gt;=8,'WEEK 33'!B73&gt;'WEEK 33'!B72)),'WEEK 33'!B73,IF((AND('WEEK 33'!F72&gt;=8,'WEEK 33'!B72&gt;'WEEK 33'!B71)),'WEEK 33'!B72,IF((AND('WEEK 33'!F71&gt;=8,'WEEK 33'!B71&gt;'WEEK 33'!B70)),'WEEK 33'!B71,IF((AND('WEEK 33'!F70&gt;=8,'WEEK 33'!B70&gt;'WEEK 33'!B69)),'WEEK 33'!B70,'WEEK 33'!B67))))))</f>
        <v>25</v>
      </c>
      <c r="C76" s="11"/>
      <c r="D76" s="11"/>
      <c r="E76" s="11"/>
      <c r="F76" s="46"/>
    </row>
    <row r="77">
      <c r="A77" s="1042"/>
      <c r="B77" s="1043"/>
      <c r="G77" s="635"/>
      <c r="H77" s="635"/>
      <c r="I77" s="635"/>
      <c r="J77" s="635"/>
      <c r="K77" s="635"/>
      <c r="L77" s="635"/>
      <c r="M77" s="635"/>
      <c r="N77" s="635"/>
      <c r="O77" s="635"/>
      <c r="P77" s="635"/>
      <c r="Q77" s="635"/>
      <c r="R77" s="635"/>
      <c r="S77" s="635"/>
      <c r="T77" s="635"/>
      <c r="U77" s="635"/>
      <c r="V77" s="635"/>
      <c r="W77" s="635"/>
      <c r="X77" s="635"/>
      <c r="Y77" s="635"/>
      <c r="Z77" s="635"/>
    </row>
    <row r="78">
      <c r="E78" s="1248"/>
    </row>
    <row r="79">
      <c r="A79" s="1044" t="str">
        <f>HYPERLINK("https://www.youtube.com/watch?v=NZ9KiFtbiMs","2. LEG EXTENSION")</f>
        <v>2. LEG EXTENSION</v>
      </c>
      <c r="B79" s="13"/>
      <c r="C79" s="13"/>
      <c r="D79" s="13"/>
      <c r="E79" s="13"/>
      <c r="F79" s="13"/>
    </row>
    <row r="80">
      <c r="A80" s="1045" t="s">
        <v>119</v>
      </c>
      <c r="B80" s="1046">
        <f>IF('WEEK 32'!B80='WEEK 32'!B82,'WEEK 32'!B80+5,IF('WEEK 32'!F80&lt;=9,MROUND('WEEK 32'!B78*0.95,5),'WEEK 32'!B80))</f>
        <v>155</v>
      </c>
      <c r="C80" s="13"/>
      <c r="D80" s="13"/>
      <c r="E80" s="13"/>
      <c r="F80" s="57"/>
    </row>
    <row r="81">
      <c r="A81" s="567" t="s">
        <v>50</v>
      </c>
      <c r="B81" s="568" t="s">
        <v>51</v>
      </c>
      <c r="C81" s="568" t="s">
        <v>52</v>
      </c>
      <c r="D81" s="568" t="s">
        <v>53</v>
      </c>
      <c r="E81" s="1047" t="s">
        <v>54</v>
      </c>
      <c r="F81" s="1048" t="s">
        <v>55</v>
      </c>
    </row>
    <row r="82">
      <c r="A82" s="1049">
        <v>1.0</v>
      </c>
      <c r="B82" s="1050">
        <f>'WEEK 33'!B80</f>
        <v>155</v>
      </c>
      <c r="C82" s="1051" t="s">
        <v>144</v>
      </c>
      <c r="D82" s="1052" t="s">
        <v>57</v>
      </c>
      <c r="E82" s="1244"/>
      <c r="F82" s="1017"/>
    </row>
    <row r="83">
      <c r="A83" s="1049">
        <v>2.0</v>
      </c>
      <c r="B83" s="1050">
        <f>if('WEEK 33'!F82&lt;12,mround('WEEK 33'!B82*0.8,5),IF('WEEK 33'!F82&lt;=19,MROUND('WEEK 33'!B82*0.95,5),'WEEK 33'!B82))</f>
        <v>125</v>
      </c>
      <c r="C83" s="1051" t="s">
        <v>144</v>
      </c>
      <c r="D83" s="1052" t="s">
        <v>57</v>
      </c>
      <c r="E83" s="1244"/>
      <c r="F83" s="1017"/>
    </row>
    <row r="84">
      <c r="A84" s="1053">
        <v>3.0</v>
      </c>
      <c r="B84" s="1054">
        <f>if('WEEK 33'!F83&lt;12,mround('WEEK 33'!B83*0.8,5),IF('WEEK 33'!F83&lt;=19,MROUND('WEEK 33'!B83*0.95,5),'WEEK 33'!B83))</f>
        <v>100</v>
      </c>
      <c r="C84" s="1055" t="s">
        <v>144</v>
      </c>
      <c r="D84" s="1056" t="s">
        <v>57</v>
      </c>
      <c r="E84" s="1255"/>
      <c r="F84" s="1017"/>
    </row>
    <row r="85">
      <c r="E85" s="1248"/>
    </row>
    <row r="86">
      <c r="E86" s="1248"/>
    </row>
    <row r="87">
      <c r="A87" s="323" t="str">
        <f>HYPERLINK("https://www.youtube.com/watch?v=XepOfsnGFJg","4. MACHINE LEG CURL")</f>
        <v>4. MACHINE LEG CURL</v>
      </c>
      <c r="B87" s="53"/>
      <c r="C87" s="53"/>
      <c r="D87" s="53"/>
      <c r="E87" s="53"/>
      <c r="F87" s="53"/>
      <c r="G87" s="141"/>
      <c r="H87" s="323" t="str">
        <f>HYPERLINK("https://youtu.be/kmN9cJ79PDE","4. PRONE LEG CURL")</f>
        <v>4. PRONE LEG CURL</v>
      </c>
      <c r="I87" s="53"/>
      <c r="J87" s="53"/>
      <c r="K87" s="53"/>
      <c r="L87" s="53"/>
      <c r="M87" s="53"/>
    </row>
    <row r="88">
      <c r="A88" s="1045" t="s">
        <v>119</v>
      </c>
      <c r="B88" s="1046">
        <f>IF('WEEK 32'!B88='WEEK 32'!B90,'WEEK 32'!B88+5,IF('WEEK 32'!F88&lt;=9,MROUND('WEEK 32'!B86*0.95,5),'WEEK 32'!B88))</f>
        <v>15</v>
      </c>
      <c r="C88" s="13"/>
      <c r="D88" s="13"/>
      <c r="E88" s="13"/>
      <c r="F88" s="57"/>
      <c r="H88" s="1045" t="s">
        <v>119</v>
      </c>
      <c r="I88" s="1046">
        <f>IF('WEEK 32'!I88='WEEK 32'!I90,'WEEK 32'!I88+5,IF('WEEK 32'!M88&lt;=9,MROUND('WEEK 32'!I86*0.95,5),'WEEK 32'!I88))</f>
        <v>15</v>
      </c>
      <c r="J88" s="13"/>
      <c r="K88" s="13"/>
      <c r="L88" s="13"/>
      <c r="M88" s="57"/>
    </row>
    <row r="89">
      <c r="A89" s="567" t="s">
        <v>50</v>
      </c>
      <c r="B89" s="568" t="s">
        <v>51</v>
      </c>
      <c r="C89" s="568" t="s">
        <v>52</v>
      </c>
      <c r="D89" s="568" t="s">
        <v>53</v>
      </c>
      <c r="E89" s="1047" t="s">
        <v>54</v>
      </c>
      <c r="F89" s="1048" t="s">
        <v>55</v>
      </c>
      <c r="H89" s="567" t="s">
        <v>50</v>
      </c>
      <c r="I89" s="568" t="s">
        <v>51</v>
      </c>
      <c r="J89" s="568" t="s">
        <v>52</v>
      </c>
      <c r="K89" s="568" t="s">
        <v>53</v>
      </c>
      <c r="L89" s="1047" t="s">
        <v>54</v>
      </c>
      <c r="M89" s="1048" t="s">
        <v>55</v>
      </c>
    </row>
    <row r="90">
      <c r="A90" s="1049">
        <v>1.0</v>
      </c>
      <c r="B90" s="1050">
        <f>'WEEK 33'!B88</f>
        <v>15</v>
      </c>
      <c r="C90" s="1051" t="s">
        <v>144</v>
      </c>
      <c r="D90" s="1052" t="s">
        <v>57</v>
      </c>
      <c r="E90" s="1244"/>
      <c r="F90" s="1011">
        <v>15.0</v>
      </c>
      <c r="G90" s="434" t="s">
        <v>123</v>
      </c>
      <c r="H90" s="1049">
        <v>1.0</v>
      </c>
      <c r="I90" s="1050">
        <f>'WEEK 33'!I88</f>
        <v>15</v>
      </c>
      <c r="J90" s="1051" t="s">
        <v>144</v>
      </c>
      <c r="K90" s="1052" t="s">
        <v>57</v>
      </c>
      <c r="L90" s="1244"/>
      <c r="M90" s="1017"/>
    </row>
    <row r="91">
      <c r="A91" s="1049">
        <v>2.0</v>
      </c>
      <c r="B91" s="1050">
        <f>if('WEEK 33'!F90&lt;12,mround('WEEK 33'!B90*0.8,5),IF('WEEK 33'!F90&lt;=19,MROUND('WEEK 33'!B90*0.95,5),'WEEK 33'!B90))</f>
        <v>10</v>
      </c>
      <c r="C91" s="1051" t="s">
        <v>144</v>
      </c>
      <c r="D91" s="1052" t="s">
        <v>57</v>
      </c>
      <c r="E91" s="1244"/>
      <c r="F91" s="1011">
        <v>15.0</v>
      </c>
      <c r="H91" s="1049">
        <v>2.0</v>
      </c>
      <c r="I91" s="1050">
        <f>if('WEEK 33'!M90&lt;12,mround('WEEK 33'!I90*0.8,5),IF('WEEK 33'!M90&lt;=19,MROUND('WEEK 33'!I90*0.95,5),'WEEK 33'!I90))</f>
        <v>10</v>
      </c>
      <c r="J91" s="1051" t="s">
        <v>144</v>
      </c>
      <c r="K91" s="1052" t="s">
        <v>57</v>
      </c>
      <c r="L91" s="1244"/>
      <c r="M91" s="1017"/>
    </row>
    <row r="92">
      <c r="A92" s="1053">
        <v>3.0</v>
      </c>
      <c r="B92" s="1054">
        <f>if('WEEK 33'!F91&lt;12,mround('WEEK 33'!B91*0.8,5),IF('WEEK 33'!F91&lt;=19,MROUND('WEEK 33'!B91*0.95,5),'WEEK 33'!B91))</f>
        <v>10</v>
      </c>
      <c r="C92" s="1055" t="s">
        <v>144</v>
      </c>
      <c r="D92" s="1056" t="s">
        <v>57</v>
      </c>
      <c r="E92" s="1255"/>
      <c r="F92" s="1011">
        <v>15.0</v>
      </c>
      <c r="G92" s="682"/>
      <c r="H92" s="1053">
        <v>3.0</v>
      </c>
      <c r="I92" s="1054">
        <f>if('WEEK 33'!M91&lt;12,mround('WEEK 33'!I91*0.8,5),IF('WEEK 33'!M91&lt;=19,MROUND('WEEK 33'!I91*0.95,5),'WEEK 33'!I91))</f>
        <v>10</v>
      </c>
      <c r="J92" s="1055" t="s">
        <v>144</v>
      </c>
      <c r="K92" s="1056" t="s">
        <v>57</v>
      </c>
      <c r="L92" s="1255"/>
      <c r="M92" s="1017"/>
    </row>
    <row r="93">
      <c r="A93" s="849"/>
      <c r="B93" s="849"/>
      <c r="C93" s="849"/>
      <c r="D93" s="849"/>
      <c r="E93" s="1264"/>
      <c r="F93" s="849"/>
      <c r="H93" s="849"/>
      <c r="I93" s="850"/>
      <c r="J93" s="850"/>
      <c r="K93" s="850"/>
      <c r="L93" s="850"/>
      <c r="M93" s="850"/>
    </row>
    <row r="94">
      <c r="A94" s="310" t="str">
        <f>HYPERLINK("https://docs.google.com/a/fitnessresults.com/forms/d/e/1FAIpQLSd7MoczESe8Yjv6BKpmwAZGn9Aiymrs9-UdgfYIUpbr9t5NXg/viewform?usp=pp_url&amp;entry.93370101","CLICK TO COMPLETE WORKOUT")</f>
        <v>CLICK TO COMPLETE WORKOUT</v>
      </c>
      <c r="B94" s="36"/>
      <c r="C94" s="36"/>
      <c r="D94" s="36"/>
      <c r="E94" s="36"/>
      <c r="F94" s="36"/>
    </row>
    <row r="95">
      <c r="E95" s="1248"/>
    </row>
    <row r="96">
      <c r="A96" s="1120" t="s">
        <v>62</v>
      </c>
      <c r="B96" s="36"/>
      <c r="C96" s="36"/>
      <c r="D96" s="36"/>
      <c r="E96" s="36"/>
      <c r="F96" s="36"/>
    </row>
    <row r="97">
      <c r="E97" s="1248"/>
    </row>
    <row r="98">
      <c r="E98" s="1248"/>
    </row>
    <row r="99">
      <c r="A99" s="51" t="s">
        <v>131</v>
      </c>
      <c r="B99" s="36"/>
      <c r="C99" s="36"/>
      <c r="D99" s="36"/>
      <c r="E99" s="36"/>
      <c r="F99" s="37"/>
      <c r="G99" s="419"/>
      <c r="H99" s="51" t="s">
        <v>131</v>
      </c>
      <c r="I99" s="36"/>
      <c r="J99" s="36"/>
      <c r="K99" s="36"/>
      <c r="L99" s="36"/>
      <c r="M99" s="37"/>
    </row>
    <row r="100">
      <c r="A100" s="504" t="str">
        <f>HYPERLINK("https://youtu.be/rmxOkkd2hUk","1. SHOULDER PRESS")</f>
        <v>1. SHOULDER PRESS</v>
      </c>
      <c r="B100" s="53"/>
      <c r="C100" s="53"/>
      <c r="D100" s="53"/>
      <c r="E100" s="53"/>
      <c r="F100" s="54"/>
      <c r="G100" s="419"/>
      <c r="H100" s="778" t="str">
        <f>HYPERLINK("https://www.youtube.com/watch?v=-cSBPE-y38M","1. MACHINE SHOULDER PRESS")</f>
        <v>1. MACHINE SHOULDER PRESS</v>
      </c>
      <c r="I100" s="53"/>
      <c r="J100" s="53"/>
      <c r="K100" s="53"/>
      <c r="L100" s="53"/>
      <c r="M100" s="54"/>
    </row>
    <row r="101">
      <c r="A101" s="589" t="s">
        <v>119</v>
      </c>
      <c r="B101" s="227" t="str">
        <f>'WEEK 32'!B97</f>
        <v/>
      </c>
      <c r="C101" s="20"/>
      <c r="D101" s="20"/>
      <c r="E101" s="20"/>
      <c r="F101" s="95"/>
      <c r="G101" s="419"/>
      <c r="H101" s="589" t="s">
        <v>119</v>
      </c>
      <c r="I101" s="227" t="str">
        <f>'WEEK 32'!I97</f>
        <v/>
      </c>
      <c r="J101" s="20"/>
      <c r="K101" s="20"/>
      <c r="L101" s="20"/>
      <c r="M101" s="95"/>
    </row>
    <row r="102">
      <c r="A102" s="364" t="s">
        <v>50</v>
      </c>
      <c r="B102" s="365" t="s">
        <v>51</v>
      </c>
      <c r="C102" s="365" t="s">
        <v>52</v>
      </c>
      <c r="D102" s="365" t="s">
        <v>53</v>
      </c>
      <c r="E102" s="609" t="s">
        <v>54</v>
      </c>
      <c r="F102" s="61" t="s">
        <v>55</v>
      </c>
      <c r="G102" s="724"/>
      <c r="H102" s="364" t="s">
        <v>50</v>
      </c>
      <c r="I102" s="365" t="s">
        <v>51</v>
      </c>
      <c r="J102" s="365" t="s">
        <v>52</v>
      </c>
      <c r="K102" s="365" t="s">
        <v>53</v>
      </c>
      <c r="L102" s="609" t="s">
        <v>54</v>
      </c>
      <c r="M102" s="61" t="s">
        <v>55</v>
      </c>
    </row>
    <row r="103">
      <c r="A103" s="236">
        <v>1.0</v>
      </c>
      <c r="B103" s="237">
        <f>mround('WEEK 3 '!B104*0.35,5)</f>
        <v>35</v>
      </c>
      <c r="C103" s="237">
        <v>6.0</v>
      </c>
      <c r="D103" s="238" t="s">
        <v>120</v>
      </c>
      <c r="E103" s="66"/>
      <c r="F103" s="67"/>
      <c r="G103" s="728"/>
      <c r="H103" s="236">
        <v>1.0</v>
      </c>
      <c r="I103" s="237">
        <f>mround('WEEK 3 '!I104*0.35,5)</f>
        <v>30</v>
      </c>
      <c r="J103" s="237">
        <v>6.0</v>
      </c>
      <c r="K103" s="238" t="s">
        <v>120</v>
      </c>
      <c r="L103" s="66"/>
      <c r="M103" s="67"/>
    </row>
    <row r="104">
      <c r="A104" s="236">
        <v>2.0</v>
      </c>
      <c r="B104" s="237">
        <f>mround('WEEK 33'!B101*0.65,5)</f>
        <v>0</v>
      </c>
      <c r="C104" s="237">
        <v>1.0</v>
      </c>
      <c r="D104" s="238" t="s">
        <v>57</v>
      </c>
      <c r="E104" s="66"/>
      <c r="F104" s="67"/>
      <c r="G104" s="728"/>
      <c r="H104" s="236">
        <v>2.0</v>
      </c>
      <c r="I104" s="237">
        <f>mround('WEEK 33'!I101*0.65,5)</f>
        <v>100</v>
      </c>
      <c r="J104" s="237">
        <v>1.0</v>
      </c>
      <c r="K104" s="238" t="s">
        <v>57</v>
      </c>
      <c r="L104" s="66"/>
      <c r="M104" s="67"/>
    </row>
    <row r="105">
      <c r="A105" s="779">
        <v>4.0</v>
      </c>
      <c r="B105" s="780">
        <f> mround('WEEK 33'!B101*0.85,5)</f>
        <v>0</v>
      </c>
      <c r="C105" s="781" t="s">
        <v>65</v>
      </c>
      <c r="D105" s="782" t="s">
        <v>57</v>
      </c>
      <c r="E105" s="783"/>
      <c r="F105" s="784"/>
      <c r="G105" s="728"/>
      <c r="H105" s="779">
        <v>4.0</v>
      </c>
      <c r="I105" s="780">
        <f> mround('WEEK 33'!I101*0.85,5)</f>
        <v>130</v>
      </c>
      <c r="J105" s="781" t="s">
        <v>65</v>
      </c>
      <c r="K105" s="782" t="s">
        <v>57</v>
      </c>
      <c r="L105" s="783"/>
      <c r="M105" s="784"/>
    </row>
    <row r="106">
      <c r="A106" s="785">
        <v>5.0</v>
      </c>
      <c r="B106" s="388">
        <f>if('WEEK 33'!F105&lt;20,mround('WEEK 33'!B105*0.85,5),'WEEK 33'!B105)</f>
        <v>0</v>
      </c>
      <c r="C106" s="781" t="s">
        <v>65</v>
      </c>
      <c r="D106" s="390" t="s">
        <v>57</v>
      </c>
      <c r="E106" s="786"/>
      <c r="F106" s="392"/>
      <c r="G106" s="728"/>
      <c r="H106" s="785">
        <v>5.0</v>
      </c>
      <c r="I106" s="388">
        <f>if('WEEK 33'!M105&lt;20,mround('WEEK 33'!I105*0.85,5),'WEEK 33'!I105)</f>
        <v>110</v>
      </c>
      <c r="J106" s="781" t="s">
        <v>65</v>
      </c>
      <c r="K106" s="390" t="s">
        <v>57</v>
      </c>
      <c r="L106" s="786"/>
      <c r="M106" s="392"/>
    </row>
    <row r="107">
      <c r="A107" s="787">
        <v>6.0</v>
      </c>
      <c r="B107" s="788">
        <f>if('WEEK 33'!F106&lt;20,mround('WEEK 33'!B106*0.85,2.5),'WEEK 33'!B106)</f>
        <v>0</v>
      </c>
      <c r="C107" s="789" t="s">
        <v>65</v>
      </c>
      <c r="D107" s="397" t="s">
        <v>57</v>
      </c>
      <c r="E107" s="790"/>
      <c r="F107" s="392"/>
      <c r="G107" s="724"/>
      <c r="H107" s="787">
        <v>6.0</v>
      </c>
      <c r="I107" s="788">
        <f>if('WEEK 33'!M106&lt;20,mround('WEEK 33'!I106*0.85,10),'WEEK 33'!I106)</f>
        <v>90</v>
      </c>
      <c r="J107" s="789" t="s">
        <v>65</v>
      </c>
      <c r="K107" s="397" t="s">
        <v>57</v>
      </c>
      <c r="L107" s="790"/>
      <c r="M107" s="392"/>
    </row>
    <row r="108">
      <c r="A108" s="623"/>
      <c r="B108" s="623"/>
      <c r="C108" s="623"/>
      <c r="D108" s="623"/>
      <c r="E108" s="1265"/>
      <c r="F108" s="623"/>
    </row>
    <row r="109">
      <c r="A109" s="995"/>
      <c r="B109" s="995"/>
      <c r="C109" s="995"/>
      <c r="D109" s="995"/>
      <c r="E109" s="1266"/>
      <c r="F109" s="995"/>
    </row>
    <row r="110">
      <c r="A110" s="1217" t="str">
        <f>HYPERLINK("https://www.youtube.com/watch?v=XDLQt1j3qUU","2. DUMBBELL REAR DELT FLY ")</f>
        <v>2. DUMBBELL REAR DELT FLY </v>
      </c>
      <c r="B110" s="53"/>
      <c r="C110" s="53"/>
      <c r="D110" s="53"/>
      <c r="E110" s="53"/>
      <c r="F110" s="54"/>
      <c r="H110" s="1267" t="str">
        <f>HYPERLINK("https://www.youtube.com/watch?v=0BaHgGyCFJY&amp;feature=youtu.be","2. MACHINE REAR DELT FLY")</f>
        <v>2. MACHINE REAR DELT FLY</v>
      </c>
      <c r="I110" s="53"/>
      <c r="J110" s="53"/>
      <c r="K110" s="53"/>
      <c r="L110" s="53"/>
      <c r="M110" s="54"/>
    </row>
    <row r="111">
      <c r="A111" s="1268" t="s">
        <v>134</v>
      </c>
      <c r="B111" s="76" t="str">
        <f>'WEEK 33'!B101</f>
        <v/>
      </c>
      <c r="C111" s="13"/>
      <c r="D111" s="13"/>
      <c r="E111" s="13"/>
      <c r="F111" s="57"/>
      <c r="H111" s="961" t="s">
        <v>119</v>
      </c>
      <c r="I111" s="76" t="str">
        <f>'WEEK 30'!B119</f>
        <v/>
      </c>
      <c r="J111" s="13"/>
      <c r="K111" s="13"/>
      <c r="L111" s="13"/>
      <c r="M111" s="57"/>
    </row>
    <row r="112">
      <c r="A112" s="962" t="s">
        <v>50</v>
      </c>
      <c r="B112" s="963" t="s">
        <v>51</v>
      </c>
      <c r="C112" s="963" t="s">
        <v>52</v>
      </c>
      <c r="D112" s="963" t="s">
        <v>53</v>
      </c>
      <c r="E112" s="1005" t="s">
        <v>54</v>
      </c>
      <c r="F112" s="1006" t="s">
        <v>55</v>
      </c>
      <c r="H112" s="962" t="s">
        <v>50</v>
      </c>
      <c r="I112" s="963" t="s">
        <v>51</v>
      </c>
      <c r="J112" s="963" t="s">
        <v>52</v>
      </c>
      <c r="K112" s="963" t="s">
        <v>53</v>
      </c>
      <c r="L112" s="1073" t="s">
        <v>54</v>
      </c>
      <c r="M112" s="1006" t="s">
        <v>55</v>
      </c>
    </row>
    <row r="113">
      <c r="A113" s="967">
        <v>1.0</v>
      </c>
      <c r="B113" s="1028">
        <f>MROUND('WEEK 33'!B111*0.2,2.5)</f>
        <v>0</v>
      </c>
      <c r="C113" s="1269" t="s">
        <v>61</v>
      </c>
      <c r="D113" s="1067" t="s">
        <v>122</v>
      </c>
      <c r="E113" s="1010"/>
      <c r="F113" s="1017"/>
      <c r="H113" s="967">
        <v>1.0</v>
      </c>
      <c r="I113" s="1028">
        <f>MROUND('WEEK 33'!I111,2.5)</f>
        <v>0</v>
      </c>
      <c r="J113" s="1067" t="s">
        <v>61</v>
      </c>
      <c r="K113" s="968" t="s">
        <v>121</v>
      </c>
      <c r="L113" s="1235" t="str">
        <f>if('WEEK 33'!I113='WEEK 30'!B121,'WEEK 30'!F121,"")</f>
        <v/>
      </c>
      <c r="M113" s="1017"/>
    </row>
    <row r="114">
      <c r="A114" s="967">
        <v>2.0</v>
      </c>
      <c r="B114" s="1028">
        <f>if('WEEK 33'!F113&lt;10,mround('WEEK 33'!B113*0.8,5),IF('WEEK 33'!F113&lt;=15,MROUND('WEEK 33'!B113*0.95,5),'WEEK 33'!B113))</f>
        <v>0</v>
      </c>
      <c r="C114" s="1269" t="s">
        <v>61</v>
      </c>
      <c r="D114" s="1067" t="s">
        <v>122</v>
      </c>
      <c r="E114" s="1010"/>
      <c r="F114" s="1017"/>
      <c r="H114" s="967">
        <v>2.0</v>
      </c>
      <c r="I114" s="1028">
        <f>if('WEEK 33'!M113&lt;10,mround('WEEK 33'!I113*0.8,5),IF('WEEK 33'!M113&lt;=15,MROUND('WEEK 33'!I113*0.95,5),'WEEK 33'!I113))</f>
        <v>0</v>
      </c>
      <c r="J114" s="1067" t="s">
        <v>61</v>
      </c>
      <c r="K114" s="968" t="s">
        <v>121</v>
      </c>
      <c r="L114" s="1235" t="str">
        <f>if('WEEK 33'!I114='WEEK 30'!B122,'WEEK 30'!F122,"")</f>
        <v/>
      </c>
      <c r="M114" s="1017"/>
    </row>
    <row r="115">
      <c r="A115" s="971">
        <v>3.0</v>
      </c>
      <c r="B115" s="1123">
        <f>if('WEEK 33'!F114&lt;10,mround('WEEK 33'!B114*0.8,5),IF('WEEK 33'!F114&lt;=15,MROUND('WEEK 33'!B114*0.95,5),'WEEK 33'!B114))</f>
        <v>0</v>
      </c>
      <c r="C115" s="1270" t="s">
        <v>61</v>
      </c>
      <c r="D115" s="1220" t="s">
        <v>122</v>
      </c>
      <c r="E115" s="1021"/>
      <c r="F115" s="1017"/>
      <c r="H115" s="971">
        <v>3.0</v>
      </c>
      <c r="I115" s="1123">
        <f>if('WEEK 33'!M114&lt;10,mround('WEEK 33'!I114*0.8,5),IF('WEEK 33'!M114&lt;=15,MROUND('WEEK 33'!I114*0.95,5),'WEEK 33'!I114))</f>
        <v>0</v>
      </c>
      <c r="J115" s="1220" t="s">
        <v>61</v>
      </c>
      <c r="K115" s="972" t="s">
        <v>121</v>
      </c>
      <c r="L115" s="1271" t="str">
        <f>if('WEEK 33'!I115='WEEK 30'!B123,'WEEK 30'!F123,"")</f>
        <v/>
      </c>
      <c r="M115" s="1017"/>
    </row>
    <row r="116">
      <c r="A116" s="1068"/>
      <c r="B116" s="1068"/>
      <c r="C116" s="1068"/>
      <c r="D116" s="623"/>
      <c r="E116" s="1265"/>
      <c r="F116" s="623"/>
    </row>
    <row r="117">
      <c r="A117" s="1069"/>
      <c r="B117" s="1069"/>
      <c r="C117" s="1069"/>
      <c r="D117" s="995"/>
      <c r="E117" s="1266"/>
      <c r="F117" s="995"/>
    </row>
    <row r="118">
      <c r="A118" s="1217" t="str">
        <f>HYPERLINK("https://youtu.be/QUNZvtb6mnY","3. DUMBBELL SIDE LATERAL RAISE")</f>
        <v>3. DUMBBELL SIDE LATERAL RAISE</v>
      </c>
      <c r="B118" s="53"/>
      <c r="C118" s="53"/>
      <c r="D118" s="53"/>
      <c r="E118" s="53"/>
      <c r="F118" s="54"/>
    </row>
    <row r="119">
      <c r="A119" s="1268" t="s">
        <v>134</v>
      </c>
      <c r="B119" s="76" t="str">
        <f>'WEEK 33'!B111</f>
        <v/>
      </c>
      <c r="C119" s="13"/>
      <c r="D119" s="13"/>
      <c r="E119" s="13"/>
      <c r="F119" s="57"/>
    </row>
    <row r="120">
      <c r="A120" s="1071" t="s">
        <v>50</v>
      </c>
      <c r="B120" s="1072" t="s">
        <v>51</v>
      </c>
      <c r="C120" s="1072" t="s">
        <v>52</v>
      </c>
      <c r="D120" s="1072" t="s">
        <v>53</v>
      </c>
      <c r="E120" s="1073" t="s">
        <v>54</v>
      </c>
      <c r="F120" s="1006" t="s">
        <v>55</v>
      </c>
    </row>
    <row r="121">
      <c r="A121" s="1074">
        <v>1.0</v>
      </c>
      <c r="B121" s="968">
        <f> mround('WEEK 33'!B119*0.2,5)</f>
        <v>0</v>
      </c>
      <c r="C121" s="936" t="s">
        <v>61</v>
      </c>
      <c r="D121" s="1076" t="s">
        <v>57</v>
      </c>
      <c r="E121" s="1235" t="str">
        <f>if('WEEK 33'!B121='WEEK 30'!B129,'WEEK 30'!F129,"")</f>
        <v/>
      </c>
      <c r="F121" s="1017"/>
    </row>
    <row r="122">
      <c r="A122" s="1074">
        <v>2.0</v>
      </c>
      <c r="B122" s="968">
        <f>if('WEEK 33'!F121&lt;10,mround('WEEK 33'!B119*0.15,2.5),'WEEK 33'!B121)</f>
        <v>0</v>
      </c>
      <c r="C122" s="1272" t="s">
        <v>61</v>
      </c>
      <c r="D122" s="1076" t="s">
        <v>57</v>
      </c>
      <c r="E122" s="1235" t="str">
        <f>if('WEEK 33'!B122='WEEK 30'!B130,'WEEK 30'!F130,"")</f>
        <v/>
      </c>
      <c r="F122" s="1017"/>
    </row>
    <row r="123">
      <c r="A123" s="1078">
        <v>3.0</v>
      </c>
      <c r="B123" s="972">
        <f>if('WEEK 33'!F122&lt;10,mround('WEEK 33'!B119*0.1,2.5),'WEEK 33'!B122)</f>
        <v>0</v>
      </c>
      <c r="C123" s="1273" t="s">
        <v>61</v>
      </c>
      <c r="D123" s="1080" t="s">
        <v>57</v>
      </c>
      <c r="E123" s="1271" t="str">
        <f>if('WEEK 33'!B123='WEEK 30'!B131,'WEEK 30'!F131,"")</f>
        <v/>
      </c>
      <c r="F123" s="1017"/>
    </row>
    <row r="124">
      <c r="E124" s="1248"/>
    </row>
    <row r="125">
      <c r="E125" s="1248"/>
    </row>
    <row r="126">
      <c r="A126" s="361" t="str">
        <f>HYPERLINK("https://www.youtube.com/watch?v=Zt0LwrUdpNs","2.  TRICEP OVERHEAD ROPE EXTENSION")</f>
        <v>2.  TRICEP OVERHEAD ROPE EXTENSION</v>
      </c>
      <c r="B126" s="53"/>
      <c r="C126" s="53"/>
      <c r="D126" s="53"/>
      <c r="E126" s="53"/>
      <c r="F126" s="54"/>
    </row>
    <row r="127">
      <c r="A127" s="226" t="s">
        <v>119</v>
      </c>
      <c r="B127" s="90">
        <f>'WEEK 32'!B122</f>
        <v>5</v>
      </c>
      <c r="C127" s="13"/>
      <c r="D127" s="13"/>
      <c r="E127" s="13"/>
      <c r="F127" s="57"/>
    </row>
    <row r="128">
      <c r="A128" s="77" t="s">
        <v>50</v>
      </c>
      <c r="B128" s="78" t="s">
        <v>51</v>
      </c>
      <c r="C128" s="78" t="s">
        <v>52</v>
      </c>
      <c r="D128" s="78" t="s">
        <v>53</v>
      </c>
      <c r="E128" s="80" t="s">
        <v>54</v>
      </c>
      <c r="F128" s="235" t="s">
        <v>55</v>
      </c>
    </row>
    <row r="129">
      <c r="A129" s="81">
        <v>1.0</v>
      </c>
      <c r="B129" s="82">
        <f>mround('WEEK 33'!B127*0.85,5)</f>
        <v>5</v>
      </c>
      <c r="C129" s="65" t="s">
        <v>61</v>
      </c>
      <c r="D129" s="83" t="s">
        <v>58</v>
      </c>
      <c r="E129" s="1077" t="str">
        <f>IF('WEEK 33'!B129='WEEK 32'!B124,'WEEK 32'!F124,"")</f>
        <v/>
      </c>
      <c r="F129" s="85"/>
    </row>
    <row r="130">
      <c r="A130" s="81">
        <v>2.0</v>
      </c>
      <c r="B130" s="82">
        <f>if('WEEK 33'!F129&lt;10,mround(B129*0.8,5),IF('WEEK 33'!F129&lt;=14,MROUND('WEEK 33'!B129*0.95,5),'WEEK 33'!B129))</f>
        <v>5</v>
      </c>
      <c r="C130" s="65" t="s">
        <v>61</v>
      </c>
      <c r="D130" s="83" t="s">
        <v>58</v>
      </c>
      <c r="E130" s="1077" t="str">
        <f>IF('WEEK 33'!B130='WEEK 32'!B125,'WEEK 32'!F125,"")</f>
        <v/>
      </c>
      <c r="F130" s="85"/>
    </row>
    <row r="131">
      <c r="A131" s="86">
        <v>3.0</v>
      </c>
      <c r="B131" s="87">
        <f>if('WEEK 33'!F130&lt;8,mround('WEEK 33'!B130*0.8,5),IF('WEEK 33'!F130&lt;=14,MROUND('WEEK 33'!B130*0.95,5),'WEEK 33'!B130))</f>
        <v>5</v>
      </c>
      <c r="C131" s="71" t="s">
        <v>61</v>
      </c>
      <c r="D131" s="88" t="s">
        <v>58</v>
      </c>
      <c r="E131" s="31" t="str">
        <f>IF('WEEK 33'!B131='WEEK 32'!B126,'WEEK 32'!F126,"")</f>
        <v/>
      </c>
      <c r="F131" s="85"/>
    </row>
    <row r="132">
      <c r="E132" s="1248"/>
    </row>
    <row r="133">
      <c r="E133" s="1248"/>
    </row>
    <row r="134">
      <c r="A134" s="1217" t="str">
        <f>HYPERLINK("https://youtu.be/TorWpKwLCSg","4. ALTERNATING DUMBBELL BICEP CURLS")</f>
        <v>4. ALTERNATING DUMBBELL BICEP CURLS</v>
      </c>
      <c r="B134" s="53"/>
      <c r="C134" s="53"/>
      <c r="D134" s="53"/>
      <c r="E134" s="53"/>
      <c r="F134" s="54"/>
    </row>
    <row r="135">
      <c r="A135" s="961" t="s">
        <v>119</v>
      </c>
      <c r="B135" s="94">
        <f>'WEEK 30'!B144</f>
        <v>25</v>
      </c>
      <c r="C135" s="20"/>
      <c r="D135" s="20"/>
      <c r="E135" s="20"/>
      <c r="F135" s="95"/>
    </row>
    <row r="136">
      <c r="A136" s="962" t="s">
        <v>50</v>
      </c>
      <c r="B136" s="963" t="s">
        <v>51</v>
      </c>
      <c r="C136" s="963" t="s">
        <v>52</v>
      </c>
      <c r="D136" s="963" t="s">
        <v>53</v>
      </c>
      <c r="E136" s="1073" t="s">
        <v>54</v>
      </c>
      <c r="F136" s="1006" t="s">
        <v>55</v>
      </c>
    </row>
    <row r="137">
      <c r="A137" s="967">
        <v>1.0</v>
      </c>
      <c r="B137" s="968">
        <f> mround('WEEK 33'!B135*0.85,5)</f>
        <v>20</v>
      </c>
      <c r="C137" s="936" t="s">
        <v>61</v>
      </c>
      <c r="D137" s="1076" t="s">
        <v>57</v>
      </c>
      <c r="E137" s="1235" t="str">
        <f>if('WEEK 33'!B137='WEEK 30'!B136,'WEEK 30'!F136,"")</f>
        <v/>
      </c>
      <c r="F137" s="984">
        <v>10.0</v>
      </c>
    </row>
    <row r="138">
      <c r="A138" s="967">
        <v>2.0</v>
      </c>
      <c r="B138" s="968">
        <f>if('WEEK 33'!F137&lt;15,mround('WEEK 33'!B137*0.85,5),'WEEK 33'!B137)</f>
        <v>15</v>
      </c>
      <c r="C138" s="1272" t="s">
        <v>61</v>
      </c>
      <c r="D138" s="1076" t="s">
        <v>57</v>
      </c>
      <c r="E138" s="1235" t="str">
        <f>if('WEEK 33'!B138='WEEK 30'!B137,'WEEK 30'!F137,"")</f>
        <v/>
      </c>
      <c r="F138" s="984">
        <v>10.0</v>
      </c>
    </row>
    <row r="139">
      <c r="A139" s="971">
        <v>3.0</v>
      </c>
      <c r="B139" s="968">
        <f>if('WEEK 33'!F138&lt;15,mround('WEEK 33'!B138*0.8,5),'WEEK 33'!B138)</f>
        <v>10</v>
      </c>
      <c r="C139" s="1273" t="s">
        <v>61</v>
      </c>
      <c r="D139" s="1080" t="s">
        <v>57</v>
      </c>
      <c r="E139" s="1235" t="str">
        <f>if('WEEK 33'!B139='WEEK 30'!B138,'WEEK 30'!F138,"")</f>
        <v/>
      </c>
      <c r="F139" s="984">
        <v>5.0</v>
      </c>
    </row>
    <row r="140">
      <c r="E140" s="1248"/>
    </row>
    <row r="141">
      <c r="E141" s="1248"/>
    </row>
    <row r="142">
      <c r="A142" s="1149" t="s">
        <v>135</v>
      </c>
      <c r="B142" s="36"/>
      <c r="C142" s="36"/>
      <c r="D142" s="36"/>
      <c r="E142" s="36"/>
      <c r="F142" s="37"/>
    </row>
    <row r="143">
      <c r="A143" s="623"/>
      <c r="B143" s="623"/>
      <c r="C143" s="623"/>
      <c r="D143" s="623"/>
      <c r="E143" s="1274"/>
      <c r="F143" s="623"/>
    </row>
    <row r="144">
      <c r="A144" s="1275" t="str">
        <f>HYPERLINK("https://www.amazon.com/30-Minute-Body-Investment-Champion/dp/0692791892/ref=sr_1_1?ie=UTF8&amp;qid=1490447969&amp;sr=8-1&amp;keywords=30+minute+body","WANT TO LEARN MORE?")</f>
        <v>WANT TO LEARN MORE?</v>
      </c>
      <c r="B144" s="25"/>
      <c r="C144" s="25"/>
      <c r="D144" s="25"/>
      <c r="E144" s="25"/>
      <c r="F144" s="26"/>
    </row>
    <row r="145">
      <c r="A145" s="529"/>
      <c r="F145" s="28"/>
    </row>
    <row r="146">
      <c r="A146" s="1276"/>
      <c r="B146" s="999"/>
      <c r="C146" s="1150" t="s">
        <v>67</v>
      </c>
      <c r="F146" s="28"/>
    </row>
    <row r="147">
      <c r="A147" s="1276"/>
      <c r="B147" s="999"/>
      <c r="F147" s="28"/>
    </row>
    <row r="148">
      <c r="A148" s="1276"/>
      <c r="B148" s="999"/>
      <c r="F148" s="28"/>
    </row>
    <row r="149">
      <c r="A149" s="1276"/>
      <c r="B149" s="999"/>
      <c r="F149" s="28"/>
    </row>
    <row r="150">
      <c r="A150" s="1276"/>
      <c r="B150" s="999"/>
      <c r="F150" s="28"/>
    </row>
    <row r="151">
      <c r="A151" s="1276"/>
      <c r="B151" s="999"/>
      <c r="F151" s="28"/>
    </row>
    <row r="152">
      <c r="A152" s="1277"/>
      <c r="B152" s="999"/>
      <c r="F152" s="28"/>
    </row>
    <row r="153">
      <c r="A153" s="1276"/>
      <c r="B153" s="999"/>
      <c r="F153" s="28"/>
    </row>
    <row r="154">
      <c r="A154" s="1276"/>
      <c r="B154" s="999"/>
      <c r="F154" s="28"/>
    </row>
    <row r="155">
      <c r="A155" s="1278"/>
      <c r="B155" s="999"/>
      <c r="F155" s="28"/>
    </row>
    <row r="156">
      <c r="A156" s="1276"/>
      <c r="B156" s="999"/>
      <c r="F156" s="28"/>
    </row>
    <row r="157">
      <c r="A157" s="1276"/>
      <c r="B157" s="999"/>
      <c r="F157" s="28"/>
    </row>
    <row r="158">
      <c r="A158" s="1276"/>
      <c r="B158" s="999"/>
      <c r="F158" s="28"/>
    </row>
    <row r="159">
      <c r="A159" s="1276"/>
      <c r="B159" s="999"/>
      <c r="F159" s="28"/>
    </row>
    <row r="160">
      <c r="A160" s="1279"/>
      <c r="B160" s="1280"/>
      <c r="C160" s="11"/>
      <c r="D160" s="11"/>
      <c r="E160" s="11"/>
      <c r="F160" s="46"/>
    </row>
    <row r="161">
      <c r="E161" s="1248"/>
    </row>
    <row r="162">
      <c r="E162" s="1248"/>
    </row>
    <row r="163">
      <c r="E163" s="1248"/>
    </row>
    <row r="164">
      <c r="E164" s="1248"/>
    </row>
    <row r="165">
      <c r="E165" s="1248"/>
    </row>
    <row r="166">
      <c r="E166" s="1248"/>
    </row>
    <row r="167">
      <c r="E167" s="1248"/>
    </row>
    <row r="168">
      <c r="E168" s="1248"/>
    </row>
    <row r="169">
      <c r="E169" s="1248"/>
    </row>
    <row r="170">
      <c r="E170" s="1248"/>
    </row>
    <row r="171">
      <c r="E171" s="1248"/>
    </row>
    <row r="172">
      <c r="E172" s="1248"/>
    </row>
    <row r="173">
      <c r="E173" s="1248"/>
    </row>
    <row r="174">
      <c r="E174" s="1248"/>
    </row>
    <row r="175">
      <c r="E175" s="1248"/>
    </row>
    <row r="176">
      <c r="E176" s="1248"/>
    </row>
    <row r="177">
      <c r="E177" s="1248"/>
    </row>
    <row r="178">
      <c r="E178" s="1248"/>
    </row>
    <row r="179">
      <c r="E179" s="1248"/>
    </row>
    <row r="180">
      <c r="E180" s="1248"/>
    </row>
    <row r="181">
      <c r="E181" s="1248"/>
    </row>
    <row r="182">
      <c r="E182" s="1248"/>
    </row>
    <row r="183">
      <c r="E183" s="1248"/>
    </row>
    <row r="184">
      <c r="E184" s="1248"/>
    </row>
    <row r="185">
      <c r="E185" s="1248"/>
    </row>
    <row r="186">
      <c r="E186" s="1248"/>
    </row>
    <row r="187">
      <c r="E187" s="1248"/>
    </row>
    <row r="188">
      <c r="E188" s="1248"/>
    </row>
    <row r="189">
      <c r="E189" s="1248"/>
    </row>
    <row r="190">
      <c r="E190" s="1248"/>
    </row>
    <row r="191">
      <c r="E191" s="1248"/>
    </row>
    <row r="192">
      <c r="E192" s="1248"/>
    </row>
    <row r="193">
      <c r="E193" s="1248"/>
    </row>
    <row r="194">
      <c r="E194" s="1248"/>
    </row>
    <row r="195">
      <c r="E195" s="1248"/>
    </row>
    <row r="196">
      <c r="E196" s="1248"/>
    </row>
    <row r="197">
      <c r="E197" s="1248"/>
    </row>
    <row r="198">
      <c r="E198" s="1248"/>
    </row>
    <row r="199">
      <c r="E199" s="1248"/>
    </row>
    <row r="200">
      <c r="E200" s="1248"/>
    </row>
    <row r="201">
      <c r="E201" s="1248"/>
    </row>
    <row r="202">
      <c r="E202" s="1248"/>
    </row>
    <row r="203">
      <c r="E203" s="1248"/>
    </row>
    <row r="204">
      <c r="E204" s="1248"/>
    </row>
    <row r="205">
      <c r="E205" s="1248"/>
    </row>
    <row r="206">
      <c r="E206" s="1248"/>
    </row>
    <row r="207">
      <c r="E207" s="1248"/>
    </row>
    <row r="208">
      <c r="E208" s="1248"/>
    </row>
    <row r="209">
      <c r="E209" s="1248"/>
    </row>
    <row r="210">
      <c r="E210" s="1248"/>
    </row>
    <row r="211">
      <c r="E211" s="1248"/>
    </row>
    <row r="212">
      <c r="E212" s="1248"/>
    </row>
    <row r="213">
      <c r="E213" s="1248"/>
    </row>
    <row r="214">
      <c r="E214" s="1248"/>
    </row>
    <row r="215">
      <c r="E215" s="1248"/>
    </row>
    <row r="216">
      <c r="E216" s="1248"/>
    </row>
    <row r="217">
      <c r="E217" s="1248"/>
    </row>
    <row r="218">
      <c r="E218" s="1248"/>
    </row>
    <row r="219">
      <c r="E219" s="1248"/>
    </row>
    <row r="220">
      <c r="E220" s="1248"/>
    </row>
    <row r="221">
      <c r="E221" s="1248"/>
    </row>
    <row r="222">
      <c r="E222" s="1248"/>
    </row>
    <row r="223">
      <c r="E223" s="1248"/>
    </row>
    <row r="224">
      <c r="E224" s="1248"/>
    </row>
    <row r="225">
      <c r="E225" s="1248"/>
    </row>
    <row r="226">
      <c r="E226" s="1248"/>
    </row>
    <row r="227">
      <c r="E227" s="1248"/>
    </row>
    <row r="228">
      <c r="E228" s="1248"/>
    </row>
    <row r="229">
      <c r="E229" s="1248"/>
    </row>
    <row r="230">
      <c r="E230" s="1248"/>
    </row>
    <row r="231">
      <c r="E231" s="1248"/>
    </row>
    <row r="232">
      <c r="E232" s="1248"/>
    </row>
    <row r="233">
      <c r="E233" s="1248"/>
    </row>
    <row r="234">
      <c r="E234" s="1248"/>
    </row>
    <row r="235">
      <c r="E235" s="1248"/>
    </row>
    <row r="236">
      <c r="E236" s="1248"/>
    </row>
    <row r="237">
      <c r="E237" s="1248"/>
    </row>
    <row r="238">
      <c r="E238" s="1248"/>
    </row>
    <row r="239">
      <c r="E239" s="1248"/>
    </row>
    <row r="240">
      <c r="E240" s="1248"/>
    </row>
    <row r="241">
      <c r="E241" s="1248"/>
    </row>
    <row r="242">
      <c r="E242" s="1248"/>
    </row>
    <row r="243">
      <c r="E243" s="1248"/>
    </row>
    <row r="244">
      <c r="E244" s="1248"/>
    </row>
    <row r="245">
      <c r="E245" s="1248"/>
    </row>
    <row r="246">
      <c r="E246" s="1248"/>
    </row>
    <row r="247">
      <c r="E247" s="1248"/>
    </row>
    <row r="248">
      <c r="E248" s="1248"/>
    </row>
    <row r="249">
      <c r="E249" s="1248"/>
    </row>
    <row r="250">
      <c r="E250" s="1248"/>
    </row>
    <row r="251">
      <c r="E251" s="1248"/>
    </row>
    <row r="252">
      <c r="E252" s="1248"/>
    </row>
    <row r="253">
      <c r="E253" s="1248"/>
    </row>
    <row r="254">
      <c r="E254" s="1248"/>
    </row>
    <row r="255">
      <c r="E255" s="1248"/>
    </row>
    <row r="256">
      <c r="E256" s="1248"/>
    </row>
    <row r="257">
      <c r="E257" s="1248"/>
    </row>
    <row r="258">
      <c r="E258" s="1248"/>
    </row>
    <row r="259">
      <c r="E259" s="1248"/>
    </row>
    <row r="260">
      <c r="E260" s="1248"/>
    </row>
    <row r="261">
      <c r="E261" s="1248"/>
    </row>
    <row r="262">
      <c r="E262" s="1248"/>
    </row>
    <row r="263">
      <c r="E263" s="1248"/>
    </row>
    <row r="264">
      <c r="E264" s="1248"/>
    </row>
    <row r="265">
      <c r="E265" s="1248"/>
    </row>
    <row r="266">
      <c r="E266" s="1248"/>
    </row>
    <row r="267">
      <c r="E267" s="1248"/>
    </row>
    <row r="268">
      <c r="E268" s="1248"/>
    </row>
    <row r="269">
      <c r="E269" s="1248"/>
    </row>
    <row r="270">
      <c r="E270" s="1248"/>
    </row>
    <row r="271">
      <c r="E271" s="1248"/>
    </row>
    <row r="272">
      <c r="E272" s="1248"/>
    </row>
    <row r="273">
      <c r="E273" s="1248"/>
    </row>
    <row r="274">
      <c r="E274" s="1248"/>
    </row>
    <row r="275">
      <c r="E275" s="1248"/>
    </row>
    <row r="276">
      <c r="E276" s="1248"/>
    </row>
    <row r="277">
      <c r="E277" s="1248"/>
    </row>
    <row r="278">
      <c r="E278" s="1248"/>
    </row>
    <row r="279">
      <c r="E279" s="1248"/>
    </row>
    <row r="280">
      <c r="E280" s="1248"/>
    </row>
    <row r="281">
      <c r="E281" s="1248"/>
    </row>
    <row r="282">
      <c r="E282" s="1248"/>
    </row>
    <row r="283">
      <c r="E283" s="1248"/>
    </row>
    <row r="284">
      <c r="E284" s="1248"/>
    </row>
    <row r="285">
      <c r="E285" s="1248"/>
    </row>
    <row r="286">
      <c r="E286" s="1248"/>
    </row>
    <row r="287">
      <c r="E287" s="1248"/>
    </row>
    <row r="288">
      <c r="E288" s="1248"/>
    </row>
    <row r="289">
      <c r="E289" s="1248"/>
    </row>
    <row r="290">
      <c r="E290" s="1248"/>
    </row>
    <row r="291">
      <c r="E291" s="1248"/>
    </row>
    <row r="292">
      <c r="E292" s="1248"/>
    </row>
    <row r="293">
      <c r="E293" s="1248"/>
    </row>
    <row r="294">
      <c r="E294" s="1248"/>
    </row>
    <row r="295">
      <c r="E295" s="1248"/>
    </row>
    <row r="296">
      <c r="E296" s="1248"/>
    </row>
    <row r="297">
      <c r="E297" s="1248"/>
    </row>
    <row r="298">
      <c r="E298" s="1248"/>
    </row>
    <row r="299">
      <c r="E299" s="1248"/>
    </row>
    <row r="300">
      <c r="E300" s="1248"/>
    </row>
    <row r="301">
      <c r="E301" s="1248"/>
    </row>
    <row r="302">
      <c r="E302" s="1248"/>
    </row>
    <row r="303">
      <c r="E303" s="1248"/>
    </row>
    <row r="304">
      <c r="E304" s="1248"/>
    </row>
    <row r="305">
      <c r="E305" s="1248"/>
    </row>
    <row r="306">
      <c r="E306" s="1248"/>
    </row>
    <row r="307">
      <c r="E307" s="1248"/>
    </row>
    <row r="308">
      <c r="E308" s="1248"/>
    </row>
    <row r="309">
      <c r="E309" s="1248"/>
    </row>
    <row r="310">
      <c r="E310" s="1248"/>
    </row>
    <row r="311">
      <c r="E311" s="1248"/>
    </row>
    <row r="312">
      <c r="E312" s="1248"/>
    </row>
    <row r="313">
      <c r="E313" s="1248"/>
    </row>
    <row r="314">
      <c r="E314" s="1248"/>
    </row>
    <row r="315">
      <c r="E315" s="1248"/>
    </row>
    <row r="316">
      <c r="E316" s="1248"/>
    </row>
    <row r="317">
      <c r="E317" s="1248"/>
    </row>
    <row r="318">
      <c r="E318" s="1248"/>
    </row>
    <row r="319">
      <c r="E319" s="1248"/>
    </row>
    <row r="320">
      <c r="E320" s="1248"/>
    </row>
    <row r="321">
      <c r="E321" s="1248"/>
    </row>
    <row r="322">
      <c r="E322" s="1248"/>
    </row>
    <row r="323">
      <c r="E323" s="1248"/>
    </row>
    <row r="324">
      <c r="E324" s="1248"/>
    </row>
    <row r="325">
      <c r="E325" s="1248"/>
    </row>
    <row r="326">
      <c r="E326" s="1248"/>
    </row>
    <row r="327">
      <c r="E327" s="1248"/>
    </row>
    <row r="328">
      <c r="E328" s="1248"/>
    </row>
    <row r="329">
      <c r="E329" s="1248"/>
    </row>
    <row r="330">
      <c r="E330" s="1248"/>
    </row>
    <row r="331">
      <c r="E331" s="1248"/>
    </row>
    <row r="332">
      <c r="E332" s="1248"/>
    </row>
    <row r="333">
      <c r="E333" s="1248"/>
    </row>
    <row r="334">
      <c r="E334" s="1248"/>
    </row>
    <row r="335">
      <c r="E335" s="1248"/>
    </row>
    <row r="336">
      <c r="E336" s="1248"/>
    </row>
    <row r="337">
      <c r="E337" s="1248"/>
    </row>
    <row r="338">
      <c r="E338" s="1248"/>
    </row>
    <row r="339">
      <c r="E339" s="1248"/>
    </row>
    <row r="340">
      <c r="E340" s="1248"/>
    </row>
    <row r="341">
      <c r="E341" s="1248"/>
    </row>
    <row r="342">
      <c r="E342" s="1248"/>
    </row>
    <row r="343">
      <c r="E343" s="1248"/>
    </row>
    <row r="344">
      <c r="E344" s="1248"/>
    </row>
    <row r="345">
      <c r="E345" s="1248"/>
    </row>
    <row r="346">
      <c r="E346" s="1248"/>
    </row>
    <row r="347">
      <c r="E347" s="1248"/>
    </row>
    <row r="348">
      <c r="E348" s="1248"/>
    </row>
    <row r="349">
      <c r="E349" s="1248"/>
    </row>
    <row r="350">
      <c r="E350" s="1248"/>
    </row>
    <row r="351">
      <c r="E351" s="1248"/>
    </row>
    <row r="352">
      <c r="E352" s="1248"/>
    </row>
    <row r="353">
      <c r="E353" s="1248"/>
    </row>
    <row r="354">
      <c r="E354" s="1248"/>
    </row>
    <row r="355">
      <c r="E355" s="1248"/>
    </row>
    <row r="356">
      <c r="E356" s="1248"/>
    </row>
    <row r="357">
      <c r="E357" s="1248"/>
    </row>
    <row r="358">
      <c r="E358" s="1248"/>
    </row>
    <row r="359">
      <c r="E359" s="1248"/>
    </row>
    <row r="360">
      <c r="E360" s="1248"/>
    </row>
    <row r="361">
      <c r="E361" s="1248"/>
    </row>
    <row r="362">
      <c r="E362" s="1248"/>
    </row>
    <row r="363">
      <c r="E363" s="1248"/>
    </row>
    <row r="364">
      <c r="E364" s="1248"/>
    </row>
    <row r="365">
      <c r="E365" s="1248"/>
    </row>
    <row r="366">
      <c r="E366" s="1248"/>
    </row>
    <row r="367">
      <c r="E367" s="1248"/>
    </row>
    <row r="368">
      <c r="E368" s="1248"/>
    </row>
    <row r="369">
      <c r="E369" s="1248"/>
    </row>
    <row r="370">
      <c r="E370" s="1248"/>
    </row>
    <row r="371">
      <c r="E371" s="1248"/>
    </row>
    <row r="372">
      <c r="E372" s="1248"/>
    </row>
    <row r="373">
      <c r="E373" s="1248"/>
    </row>
    <row r="374">
      <c r="E374" s="1248"/>
    </row>
    <row r="375">
      <c r="E375" s="1248"/>
    </row>
    <row r="376">
      <c r="E376" s="1248"/>
    </row>
    <row r="377">
      <c r="E377" s="1248"/>
    </row>
    <row r="378">
      <c r="E378" s="1248"/>
    </row>
    <row r="379">
      <c r="E379" s="1248"/>
    </row>
    <row r="380">
      <c r="E380" s="1248"/>
    </row>
    <row r="381">
      <c r="E381" s="1248"/>
    </row>
    <row r="382">
      <c r="E382" s="1248"/>
    </row>
    <row r="383">
      <c r="E383" s="1248"/>
    </row>
    <row r="384">
      <c r="E384" s="1248"/>
    </row>
    <row r="385">
      <c r="E385" s="1248"/>
    </row>
    <row r="386">
      <c r="E386" s="1248"/>
    </row>
    <row r="387">
      <c r="E387" s="1248"/>
    </row>
    <row r="388">
      <c r="E388" s="1248"/>
    </row>
    <row r="389">
      <c r="E389" s="1248"/>
    </row>
    <row r="390">
      <c r="E390" s="1248"/>
    </row>
    <row r="391">
      <c r="E391" s="1248"/>
    </row>
    <row r="392">
      <c r="E392" s="1248"/>
    </row>
    <row r="393">
      <c r="E393" s="1248"/>
    </row>
    <row r="394">
      <c r="E394" s="1248"/>
    </row>
    <row r="395">
      <c r="E395" s="1248"/>
    </row>
    <row r="396">
      <c r="E396" s="1248"/>
    </row>
    <row r="397">
      <c r="E397" s="1248"/>
    </row>
    <row r="398">
      <c r="E398" s="1248"/>
    </row>
    <row r="399">
      <c r="E399" s="1248"/>
    </row>
    <row r="400">
      <c r="E400" s="1248"/>
    </row>
    <row r="401">
      <c r="E401" s="1248"/>
    </row>
    <row r="402">
      <c r="E402" s="1248"/>
    </row>
    <row r="403">
      <c r="E403" s="1248"/>
    </row>
    <row r="404">
      <c r="E404" s="1248"/>
    </row>
    <row r="405">
      <c r="E405" s="1248"/>
    </row>
    <row r="406">
      <c r="E406" s="1248"/>
    </row>
    <row r="407">
      <c r="E407" s="1248"/>
    </row>
    <row r="408">
      <c r="E408" s="1248"/>
    </row>
    <row r="409">
      <c r="E409" s="1248"/>
    </row>
    <row r="410">
      <c r="E410" s="1248"/>
    </row>
    <row r="411">
      <c r="E411" s="1248"/>
    </row>
    <row r="412">
      <c r="E412" s="1248"/>
    </row>
    <row r="413">
      <c r="E413" s="1248"/>
    </row>
    <row r="414">
      <c r="E414" s="1248"/>
    </row>
    <row r="415">
      <c r="E415" s="1248"/>
    </row>
    <row r="416">
      <c r="E416" s="1248"/>
    </row>
    <row r="417">
      <c r="E417" s="1248"/>
    </row>
    <row r="418">
      <c r="E418" s="1248"/>
    </row>
    <row r="419">
      <c r="E419" s="1248"/>
    </row>
    <row r="420">
      <c r="E420" s="1248"/>
    </row>
    <row r="421">
      <c r="E421" s="1248"/>
    </row>
    <row r="422">
      <c r="E422" s="1248"/>
    </row>
    <row r="423">
      <c r="E423" s="1248"/>
    </row>
    <row r="424">
      <c r="E424" s="1248"/>
    </row>
    <row r="425">
      <c r="E425" s="1248"/>
    </row>
    <row r="426">
      <c r="E426" s="1248"/>
    </row>
    <row r="427">
      <c r="E427" s="1248"/>
    </row>
    <row r="428">
      <c r="E428" s="1248"/>
    </row>
    <row r="429">
      <c r="E429" s="1248"/>
    </row>
    <row r="430">
      <c r="E430" s="1248"/>
    </row>
    <row r="431">
      <c r="E431" s="1248"/>
    </row>
    <row r="432">
      <c r="E432" s="1248"/>
    </row>
    <row r="433">
      <c r="E433" s="1248"/>
    </row>
    <row r="434">
      <c r="E434" s="1248"/>
    </row>
    <row r="435">
      <c r="E435" s="1248"/>
    </row>
    <row r="436">
      <c r="E436" s="1248"/>
    </row>
    <row r="437">
      <c r="E437" s="1248"/>
    </row>
    <row r="438">
      <c r="E438" s="1248"/>
    </row>
    <row r="439">
      <c r="E439" s="1248"/>
    </row>
    <row r="440">
      <c r="E440" s="1248"/>
    </row>
    <row r="441">
      <c r="E441" s="1248"/>
    </row>
    <row r="442">
      <c r="E442" s="1248"/>
    </row>
    <row r="443">
      <c r="E443" s="1248"/>
    </row>
    <row r="444">
      <c r="E444" s="1248"/>
    </row>
    <row r="445">
      <c r="E445" s="1248"/>
    </row>
    <row r="446">
      <c r="E446" s="1248"/>
    </row>
    <row r="447">
      <c r="E447" s="1248"/>
    </row>
    <row r="448">
      <c r="E448" s="1248"/>
    </row>
    <row r="449">
      <c r="E449" s="1248"/>
    </row>
    <row r="450">
      <c r="E450" s="1248"/>
    </row>
    <row r="451">
      <c r="E451" s="1248"/>
    </row>
    <row r="452">
      <c r="E452" s="1248"/>
    </row>
    <row r="453">
      <c r="E453" s="1248"/>
    </row>
    <row r="454">
      <c r="E454" s="1248"/>
    </row>
    <row r="455">
      <c r="E455" s="1248"/>
    </row>
    <row r="456">
      <c r="E456" s="1248"/>
    </row>
    <row r="457">
      <c r="E457" s="1248"/>
    </row>
    <row r="458">
      <c r="E458" s="1248"/>
    </row>
    <row r="459">
      <c r="E459" s="1248"/>
    </row>
    <row r="460">
      <c r="E460" s="1248"/>
    </row>
    <row r="461">
      <c r="E461" s="1248"/>
    </row>
    <row r="462">
      <c r="E462" s="1248"/>
    </row>
    <row r="463">
      <c r="E463" s="1248"/>
    </row>
    <row r="464">
      <c r="E464" s="1248"/>
    </row>
    <row r="465">
      <c r="E465" s="1248"/>
    </row>
    <row r="466">
      <c r="E466" s="1248"/>
    </row>
    <row r="467">
      <c r="E467" s="1248"/>
    </row>
    <row r="468">
      <c r="E468" s="1248"/>
    </row>
    <row r="469">
      <c r="E469" s="1248"/>
    </row>
    <row r="470">
      <c r="E470" s="1248"/>
    </row>
    <row r="471">
      <c r="E471" s="1248"/>
    </row>
    <row r="472">
      <c r="E472" s="1248"/>
    </row>
    <row r="473">
      <c r="E473" s="1248"/>
    </row>
    <row r="474">
      <c r="E474" s="1248"/>
    </row>
    <row r="475">
      <c r="E475" s="1248"/>
    </row>
    <row r="476">
      <c r="E476" s="1248"/>
    </row>
    <row r="477">
      <c r="E477" s="1248"/>
    </row>
    <row r="478">
      <c r="E478" s="1248"/>
    </row>
    <row r="479">
      <c r="E479" s="1248"/>
    </row>
    <row r="480">
      <c r="E480" s="1248"/>
    </row>
    <row r="481">
      <c r="E481" s="1248"/>
    </row>
    <row r="482">
      <c r="E482" s="1248"/>
    </row>
    <row r="483">
      <c r="E483" s="1248"/>
    </row>
    <row r="484">
      <c r="E484" s="1248"/>
    </row>
    <row r="485">
      <c r="E485" s="1248"/>
    </row>
    <row r="486">
      <c r="E486" s="1248"/>
    </row>
    <row r="487">
      <c r="E487" s="1248"/>
    </row>
    <row r="488">
      <c r="E488" s="1248"/>
    </row>
    <row r="489">
      <c r="E489" s="1248"/>
    </row>
    <row r="490">
      <c r="E490" s="1248"/>
    </row>
    <row r="491">
      <c r="E491" s="1248"/>
    </row>
    <row r="492">
      <c r="E492" s="1248"/>
    </row>
    <row r="493">
      <c r="E493" s="1248"/>
    </row>
    <row r="494">
      <c r="E494" s="1248"/>
    </row>
    <row r="495">
      <c r="E495" s="1248"/>
    </row>
    <row r="496">
      <c r="E496" s="1248"/>
    </row>
    <row r="497">
      <c r="E497" s="1248"/>
    </row>
    <row r="498">
      <c r="E498" s="1248"/>
    </row>
    <row r="499">
      <c r="E499" s="1248"/>
    </row>
    <row r="500">
      <c r="E500" s="1248"/>
    </row>
    <row r="501">
      <c r="E501" s="1248"/>
    </row>
    <row r="502">
      <c r="E502" s="1248"/>
    </row>
    <row r="503">
      <c r="E503" s="1248"/>
    </row>
    <row r="504">
      <c r="E504" s="1248"/>
    </row>
    <row r="505">
      <c r="E505" s="1248"/>
    </row>
    <row r="506">
      <c r="E506" s="1248"/>
    </row>
    <row r="507">
      <c r="E507" s="1248"/>
    </row>
    <row r="508">
      <c r="E508" s="1248"/>
    </row>
    <row r="509">
      <c r="E509" s="1248"/>
    </row>
    <row r="510">
      <c r="E510" s="1248"/>
    </row>
    <row r="511">
      <c r="E511" s="1248"/>
    </row>
    <row r="512">
      <c r="E512" s="1248"/>
    </row>
    <row r="513">
      <c r="E513" s="1248"/>
    </row>
    <row r="514">
      <c r="E514" s="1248"/>
    </row>
    <row r="515">
      <c r="E515" s="1248"/>
    </row>
    <row r="516">
      <c r="E516" s="1248"/>
    </row>
    <row r="517">
      <c r="E517" s="1248"/>
    </row>
    <row r="518">
      <c r="E518" s="1248"/>
    </row>
    <row r="519">
      <c r="E519" s="1248"/>
    </row>
    <row r="520">
      <c r="E520" s="1248"/>
    </row>
    <row r="521">
      <c r="E521" s="1248"/>
    </row>
    <row r="522">
      <c r="E522" s="1248"/>
    </row>
    <row r="523">
      <c r="E523" s="1248"/>
    </row>
    <row r="524">
      <c r="E524" s="1248"/>
    </row>
    <row r="525">
      <c r="E525" s="1248"/>
    </row>
    <row r="526">
      <c r="E526" s="1248"/>
    </row>
    <row r="527">
      <c r="E527" s="1248"/>
    </row>
    <row r="528">
      <c r="E528" s="1248"/>
    </row>
    <row r="529">
      <c r="E529" s="1248"/>
    </row>
    <row r="530">
      <c r="E530" s="1248"/>
    </row>
    <row r="531">
      <c r="E531" s="1248"/>
    </row>
    <row r="532">
      <c r="E532" s="1248"/>
    </row>
    <row r="533">
      <c r="E533" s="1248"/>
    </row>
    <row r="534">
      <c r="E534" s="1248"/>
    </row>
    <row r="535">
      <c r="E535" s="1248"/>
    </row>
    <row r="536">
      <c r="E536" s="1248"/>
    </row>
    <row r="537">
      <c r="E537" s="1248"/>
    </row>
    <row r="538">
      <c r="E538" s="1248"/>
    </row>
    <row r="539">
      <c r="E539" s="1248"/>
    </row>
    <row r="540">
      <c r="E540" s="1248"/>
    </row>
    <row r="541">
      <c r="E541" s="1248"/>
    </row>
    <row r="542">
      <c r="E542" s="1248"/>
    </row>
    <row r="543">
      <c r="E543" s="1248"/>
    </row>
    <row r="544">
      <c r="E544" s="1248"/>
    </row>
    <row r="545">
      <c r="E545" s="1248"/>
    </row>
    <row r="546">
      <c r="E546" s="1248"/>
    </row>
    <row r="547">
      <c r="E547" s="1248"/>
    </row>
    <row r="548">
      <c r="E548" s="1248"/>
    </row>
    <row r="549">
      <c r="E549" s="1248"/>
    </row>
    <row r="550">
      <c r="E550" s="1248"/>
    </row>
    <row r="551">
      <c r="E551" s="1248"/>
    </row>
    <row r="552">
      <c r="E552" s="1248"/>
    </row>
    <row r="553">
      <c r="E553" s="1248"/>
    </row>
    <row r="554">
      <c r="E554" s="1248"/>
    </row>
    <row r="555">
      <c r="E555" s="1248"/>
    </row>
    <row r="556">
      <c r="E556" s="1248"/>
    </row>
    <row r="557">
      <c r="E557" s="1248"/>
    </row>
    <row r="558">
      <c r="E558" s="1248"/>
    </row>
    <row r="559">
      <c r="E559" s="1248"/>
    </row>
    <row r="560">
      <c r="E560" s="1248"/>
    </row>
    <row r="561">
      <c r="E561" s="1248"/>
    </row>
    <row r="562">
      <c r="E562" s="1248"/>
    </row>
    <row r="563">
      <c r="E563" s="1248"/>
    </row>
    <row r="564">
      <c r="E564" s="1248"/>
    </row>
    <row r="565">
      <c r="E565" s="1248"/>
    </row>
    <row r="566">
      <c r="E566" s="1248"/>
    </row>
    <row r="567">
      <c r="E567" s="1248"/>
    </row>
    <row r="568">
      <c r="E568" s="1248"/>
    </row>
    <row r="569">
      <c r="E569" s="1248"/>
    </row>
    <row r="570">
      <c r="E570" s="1248"/>
    </row>
    <row r="571">
      <c r="E571" s="1248"/>
    </row>
    <row r="572">
      <c r="E572" s="1248"/>
    </row>
    <row r="573">
      <c r="E573" s="1248"/>
    </row>
    <row r="574">
      <c r="E574" s="1248"/>
    </row>
    <row r="575">
      <c r="E575" s="1248"/>
    </row>
    <row r="576">
      <c r="E576" s="1248"/>
    </row>
    <row r="577">
      <c r="E577" s="1248"/>
    </row>
    <row r="578">
      <c r="E578" s="1248"/>
    </row>
    <row r="579">
      <c r="E579" s="1248"/>
    </row>
    <row r="580">
      <c r="E580" s="1248"/>
    </row>
    <row r="581">
      <c r="E581" s="1248"/>
    </row>
    <row r="582">
      <c r="E582" s="1248"/>
    </row>
    <row r="583">
      <c r="E583" s="1248"/>
    </row>
    <row r="584">
      <c r="E584" s="1248"/>
    </row>
    <row r="585">
      <c r="E585" s="1248"/>
    </row>
    <row r="586">
      <c r="E586" s="1248"/>
    </row>
    <row r="587">
      <c r="E587" s="1248"/>
    </row>
    <row r="588">
      <c r="E588" s="1248"/>
    </row>
    <row r="589">
      <c r="E589" s="1248"/>
    </row>
    <row r="590">
      <c r="E590" s="1248"/>
    </row>
    <row r="591">
      <c r="E591" s="1248"/>
    </row>
    <row r="592">
      <c r="E592" s="1248"/>
    </row>
    <row r="593">
      <c r="E593" s="1248"/>
    </row>
    <row r="594">
      <c r="E594" s="1248"/>
    </row>
    <row r="595">
      <c r="E595" s="1248"/>
    </row>
    <row r="596">
      <c r="E596" s="1248"/>
    </row>
    <row r="597">
      <c r="E597" s="1248"/>
    </row>
    <row r="598">
      <c r="E598" s="1248"/>
    </row>
    <row r="599">
      <c r="E599" s="1248"/>
    </row>
    <row r="600">
      <c r="E600" s="1248"/>
    </row>
    <row r="601">
      <c r="E601" s="1248"/>
    </row>
    <row r="602">
      <c r="E602" s="1248"/>
    </row>
    <row r="603">
      <c r="E603" s="1248"/>
    </row>
    <row r="604">
      <c r="E604" s="1248"/>
    </row>
    <row r="605">
      <c r="E605" s="1248"/>
    </row>
    <row r="606">
      <c r="E606" s="1248"/>
    </row>
    <row r="607">
      <c r="E607" s="1248"/>
    </row>
    <row r="608">
      <c r="E608" s="1248"/>
    </row>
    <row r="609">
      <c r="E609" s="1248"/>
    </row>
    <row r="610">
      <c r="E610" s="1248"/>
    </row>
    <row r="611">
      <c r="E611" s="1248"/>
    </row>
    <row r="612">
      <c r="E612" s="1248"/>
    </row>
    <row r="613">
      <c r="E613" s="1248"/>
    </row>
    <row r="614">
      <c r="E614" s="1248"/>
    </row>
    <row r="615">
      <c r="E615" s="1248"/>
    </row>
    <row r="616">
      <c r="E616" s="1248"/>
    </row>
    <row r="617">
      <c r="E617" s="1248"/>
    </row>
    <row r="618">
      <c r="E618" s="1248"/>
    </row>
    <row r="619">
      <c r="E619" s="1248"/>
    </row>
    <row r="620">
      <c r="E620" s="1248"/>
    </row>
    <row r="621">
      <c r="E621" s="1248"/>
    </row>
    <row r="622">
      <c r="E622" s="1248"/>
    </row>
    <row r="623">
      <c r="E623" s="1248"/>
    </row>
    <row r="624">
      <c r="E624" s="1248"/>
    </row>
    <row r="625">
      <c r="E625" s="1248"/>
    </row>
    <row r="626">
      <c r="E626" s="1248"/>
    </row>
    <row r="627">
      <c r="E627" s="1248"/>
    </row>
    <row r="628">
      <c r="E628" s="1248"/>
    </row>
    <row r="629">
      <c r="E629" s="1248"/>
    </row>
    <row r="630">
      <c r="E630" s="1248"/>
    </row>
    <row r="631">
      <c r="E631" s="1248"/>
    </row>
    <row r="632">
      <c r="E632" s="1248"/>
    </row>
    <row r="633">
      <c r="E633" s="1248"/>
    </row>
    <row r="634">
      <c r="E634" s="1248"/>
    </row>
    <row r="635">
      <c r="E635" s="1248"/>
    </row>
    <row r="636">
      <c r="E636" s="1248"/>
    </row>
    <row r="637">
      <c r="E637" s="1248"/>
    </row>
    <row r="638">
      <c r="E638" s="1248"/>
    </row>
    <row r="639">
      <c r="E639" s="1248"/>
    </row>
    <row r="640">
      <c r="E640" s="1248"/>
    </row>
    <row r="641">
      <c r="E641" s="1248"/>
    </row>
    <row r="642">
      <c r="E642" s="1248"/>
    </row>
    <row r="643">
      <c r="E643" s="1248"/>
    </row>
    <row r="644">
      <c r="E644" s="1248"/>
    </row>
    <row r="645">
      <c r="E645" s="1248"/>
    </row>
    <row r="646">
      <c r="E646" s="1248"/>
    </row>
    <row r="647">
      <c r="E647" s="1248"/>
    </row>
    <row r="648">
      <c r="E648" s="1248"/>
    </row>
    <row r="649">
      <c r="E649" s="1248"/>
    </row>
    <row r="650">
      <c r="E650" s="1248"/>
    </row>
    <row r="651">
      <c r="E651" s="1248"/>
    </row>
    <row r="652">
      <c r="E652" s="1248"/>
    </row>
    <row r="653">
      <c r="E653" s="1248"/>
    </row>
    <row r="654">
      <c r="E654" s="1248"/>
    </row>
    <row r="655">
      <c r="E655" s="1248"/>
    </row>
    <row r="656">
      <c r="E656" s="1248"/>
    </row>
    <row r="657">
      <c r="E657" s="1248"/>
    </row>
    <row r="658">
      <c r="E658" s="1248"/>
    </row>
    <row r="659">
      <c r="E659" s="1248"/>
    </row>
    <row r="660">
      <c r="E660" s="1248"/>
    </row>
    <row r="661">
      <c r="E661" s="1248"/>
    </row>
    <row r="662">
      <c r="E662" s="1248"/>
    </row>
    <row r="663">
      <c r="E663" s="1248"/>
    </row>
    <row r="664">
      <c r="E664" s="1248"/>
    </row>
    <row r="665">
      <c r="E665" s="1248"/>
    </row>
    <row r="666">
      <c r="E666" s="1248"/>
    </row>
    <row r="667">
      <c r="E667" s="1248"/>
    </row>
    <row r="668">
      <c r="E668" s="1248"/>
    </row>
    <row r="669">
      <c r="E669" s="1248"/>
    </row>
    <row r="670">
      <c r="E670" s="1248"/>
    </row>
    <row r="671">
      <c r="E671" s="1248"/>
    </row>
    <row r="672">
      <c r="E672" s="1248"/>
    </row>
    <row r="673">
      <c r="E673" s="1248"/>
    </row>
    <row r="674">
      <c r="E674" s="1248"/>
    </row>
    <row r="675">
      <c r="E675" s="1248"/>
    </row>
    <row r="676">
      <c r="E676" s="1248"/>
    </row>
    <row r="677">
      <c r="E677" s="1248"/>
    </row>
    <row r="678">
      <c r="E678" s="1248"/>
    </row>
    <row r="679">
      <c r="E679" s="1248"/>
    </row>
    <row r="680">
      <c r="E680" s="1248"/>
    </row>
    <row r="681">
      <c r="E681" s="1248"/>
    </row>
    <row r="682">
      <c r="E682" s="1248"/>
    </row>
    <row r="683">
      <c r="E683" s="1248"/>
    </row>
    <row r="684">
      <c r="E684" s="1248"/>
    </row>
    <row r="685">
      <c r="E685" s="1248"/>
    </row>
    <row r="686">
      <c r="E686" s="1248"/>
    </row>
    <row r="687">
      <c r="E687" s="1248"/>
    </row>
    <row r="688">
      <c r="E688" s="1248"/>
    </row>
    <row r="689">
      <c r="E689" s="1248"/>
    </row>
    <row r="690">
      <c r="E690" s="1248"/>
    </row>
    <row r="691">
      <c r="E691" s="1248"/>
    </row>
    <row r="692">
      <c r="E692" s="1248"/>
    </row>
    <row r="693">
      <c r="E693" s="1248"/>
    </row>
    <row r="694">
      <c r="E694" s="1248"/>
    </row>
    <row r="695">
      <c r="E695" s="1248"/>
    </row>
    <row r="696">
      <c r="E696" s="1248"/>
    </row>
    <row r="697">
      <c r="E697" s="1248"/>
    </row>
    <row r="698">
      <c r="E698" s="1248"/>
    </row>
    <row r="699">
      <c r="E699" s="1248"/>
    </row>
    <row r="700">
      <c r="E700" s="1248"/>
    </row>
    <row r="701">
      <c r="E701" s="1248"/>
    </row>
    <row r="702">
      <c r="E702" s="1248"/>
    </row>
    <row r="703">
      <c r="E703" s="1248"/>
    </row>
    <row r="704">
      <c r="E704" s="1248"/>
    </row>
    <row r="705">
      <c r="E705" s="1248"/>
    </row>
    <row r="706">
      <c r="E706" s="1248"/>
    </row>
    <row r="707">
      <c r="E707" s="1248"/>
    </row>
    <row r="708">
      <c r="E708" s="1248"/>
    </row>
    <row r="709">
      <c r="E709" s="1248"/>
    </row>
    <row r="710">
      <c r="E710" s="1248"/>
    </row>
    <row r="711">
      <c r="E711" s="1248"/>
    </row>
    <row r="712">
      <c r="E712" s="1248"/>
    </row>
    <row r="713">
      <c r="E713" s="1248"/>
    </row>
    <row r="714">
      <c r="E714" s="1248"/>
    </row>
    <row r="715">
      <c r="E715" s="1248"/>
    </row>
    <row r="716">
      <c r="E716" s="1248"/>
    </row>
    <row r="717">
      <c r="E717" s="1248"/>
    </row>
    <row r="718">
      <c r="E718" s="1248"/>
    </row>
    <row r="719">
      <c r="E719" s="1248"/>
    </row>
    <row r="720">
      <c r="E720" s="1248"/>
    </row>
    <row r="721">
      <c r="E721" s="1248"/>
    </row>
    <row r="722">
      <c r="E722" s="1248"/>
    </row>
    <row r="723">
      <c r="E723" s="1248"/>
    </row>
    <row r="724">
      <c r="E724" s="1248"/>
    </row>
    <row r="725">
      <c r="E725" s="1248"/>
    </row>
    <row r="726">
      <c r="E726" s="1248"/>
    </row>
    <row r="727">
      <c r="E727" s="1248"/>
    </row>
    <row r="728">
      <c r="E728" s="1248"/>
    </row>
    <row r="729">
      <c r="E729" s="1248"/>
    </row>
    <row r="730">
      <c r="E730" s="1248"/>
    </row>
    <row r="731">
      <c r="E731" s="1248"/>
    </row>
    <row r="732">
      <c r="E732" s="1248"/>
    </row>
    <row r="733">
      <c r="E733" s="1248"/>
    </row>
    <row r="734">
      <c r="E734" s="1248"/>
    </row>
    <row r="735">
      <c r="E735" s="1248"/>
    </row>
    <row r="736">
      <c r="E736" s="1248"/>
    </row>
    <row r="737">
      <c r="E737" s="1248"/>
    </row>
    <row r="738">
      <c r="E738" s="1248"/>
    </row>
    <row r="739">
      <c r="E739" s="1248"/>
    </row>
    <row r="740">
      <c r="E740" s="1248"/>
    </row>
    <row r="741">
      <c r="E741" s="1248"/>
    </row>
    <row r="742">
      <c r="E742" s="1248"/>
    </row>
    <row r="743">
      <c r="E743" s="1248"/>
    </row>
    <row r="744">
      <c r="E744" s="1248"/>
    </row>
    <row r="745">
      <c r="E745" s="1248"/>
    </row>
    <row r="746">
      <c r="E746" s="1248"/>
    </row>
    <row r="747">
      <c r="E747" s="1248"/>
    </row>
    <row r="748">
      <c r="E748" s="1248"/>
    </row>
    <row r="749">
      <c r="E749" s="1248"/>
    </row>
    <row r="750">
      <c r="E750" s="1248"/>
    </row>
    <row r="751">
      <c r="E751" s="1248"/>
    </row>
    <row r="752">
      <c r="E752" s="1248"/>
    </row>
    <row r="753">
      <c r="E753" s="1248"/>
    </row>
    <row r="754">
      <c r="E754" s="1248"/>
    </row>
    <row r="755">
      <c r="E755" s="1248"/>
    </row>
    <row r="756">
      <c r="E756" s="1248"/>
    </row>
    <row r="757">
      <c r="E757" s="1248"/>
    </row>
    <row r="758">
      <c r="E758" s="1248"/>
    </row>
    <row r="759">
      <c r="E759" s="1248"/>
    </row>
    <row r="760">
      <c r="E760" s="1248"/>
    </row>
    <row r="761">
      <c r="E761" s="1248"/>
    </row>
    <row r="762">
      <c r="E762" s="1248"/>
    </row>
    <row r="763">
      <c r="E763" s="1248"/>
    </row>
    <row r="764">
      <c r="E764" s="1248"/>
    </row>
    <row r="765">
      <c r="E765" s="1248"/>
    </row>
    <row r="766">
      <c r="E766" s="1248"/>
    </row>
    <row r="767">
      <c r="E767" s="1248"/>
    </row>
    <row r="768">
      <c r="E768" s="1248"/>
    </row>
    <row r="769">
      <c r="E769" s="1248"/>
    </row>
    <row r="770">
      <c r="E770" s="1248"/>
    </row>
    <row r="771">
      <c r="E771" s="1248"/>
    </row>
    <row r="772">
      <c r="E772" s="1248"/>
    </row>
    <row r="773">
      <c r="E773" s="1248"/>
    </row>
    <row r="774">
      <c r="E774" s="1248"/>
    </row>
    <row r="775">
      <c r="E775" s="1248"/>
    </row>
    <row r="776">
      <c r="E776" s="1248"/>
    </row>
    <row r="777">
      <c r="E777" s="1248"/>
    </row>
    <row r="778">
      <c r="E778" s="1248"/>
    </row>
    <row r="779">
      <c r="E779" s="1248"/>
    </row>
    <row r="780">
      <c r="E780" s="1248"/>
    </row>
    <row r="781">
      <c r="E781" s="1248"/>
    </row>
    <row r="782">
      <c r="E782" s="1248"/>
    </row>
    <row r="783">
      <c r="E783" s="1248"/>
    </row>
    <row r="784">
      <c r="E784" s="1248"/>
    </row>
    <row r="785">
      <c r="E785" s="1248"/>
    </row>
    <row r="786">
      <c r="E786" s="1248"/>
    </row>
    <row r="787">
      <c r="E787" s="1248"/>
    </row>
    <row r="788">
      <c r="E788" s="1248"/>
    </row>
    <row r="789">
      <c r="E789" s="1248"/>
    </row>
    <row r="790">
      <c r="E790" s="1248"/>
    </row>
    <row r="791">
      <c r="E791" s="1248"/>
    </row>
    <row r="792">
      <c r="E792" s="1248"/>
    </row>
    <row r="793">
      <c r="E793" s="1248"/>
    </row>
    <row r="794">
      <c r="E794" s="1248"/>
    </row>
    <row r="795">
      <c r="E795" s="1248"/>
    </row>
    <row r="796">
      <c r="E796" s="1248"/>
    </row>
    <row r="797">
      <c r="E797" s="1248"/>
    </row>
    <row r="798">
      <c r="E798" s="1248"/>
    </row>
    <row r="799">
      <c r="E799" s="1248"/>
    </row>
    <row r="800">
      <c r="E800" s="1248"/>
    </row>
    <row r="801">
      <c r="E801" s="1248"/>
    </row>
    <row r="802">
      <c r="E802" s="1248"/>
    </row>
    <row r="803">
      <c r="E803" s="1248"/>
    </row>
    <row r="804">
      <c r="E804" s="1248"/>
    </row>
    <row r="805">
      <c r="E805" s="1248"/>
    </row>
    <row r="806">
      <c r="E806" s="1248"/>
    </row>
    <row r="807">
      <c r="E807" s="1248"/>
    </row>
    <row r="808">
      <c r="E808" s="1248"/>
    </row>
    <row r="809">
      <c r="E809" s="1248"/>
    </row>
    <row r="810">
      <c r="E810" s="1248"/>
    </row>
    <row r="811">
      <c r="E811" s="1248"/>
    </row>
    <row r="812">
      <c r="E812" s="1248"/>
    </row>
    <row r="813">
      <c r="E813" s="1248"/>
    </row>
    <row r="814">
      <c r="E814" s="1248"/>
    </row>
    <row r="815">
      <c r="E815" s="1248"/>
    </row>
    <row r="816">
      <c r="E816" s="1248"/>
    </row>
    <row r="817">
      <c r="E817" s="1248"/>
    </row>
    <row r="818">
      <c r="E818" s="1248"/>
    </row>
    <row r="819">
      <c r="E819" s="1248"/>
    </row>
    <row r="820">
      <c r="E820" s="1248"/>
    </row>
    <row r="821">
      <c r="E821" s="1248"/>
    </row>
    <row r="822">
      <c r="E822" s="1248"/>
    </row>
    <row r="823">
      <c r="E823" s="1248"/>
    </row>
    <row r="824">
      <c r="E824" s="1248"/>
    </row>
    <row r="825">
      <c r="E825" s="1248"/>
    </row>
    <row r="826">
      <c r="E826" s="1248"/>
    </row>
    <row r="827">
      <c r="E827" s="1248"/>
    </row>
    <row r="828">
      <c r="E828" s="1248"/>
    </row>
    <row r="829">
      <c r="E829" s="1248"/>
    </row>
    <row r="830">
      <c r="E830" s="1248"/>
    </row>
    <row r="831">
      <c r="E831" s="1248"/>
    </row>
    <row r="832">
      <c r="E832" s="1248"/>
    </row>
    <row r="833">
      <c r="E833" s="1248"/>
    </row>
    <row r="834">
      <c r="E834" s="1248"/>
    </row>
    <row r="835">
      <c r="E835" s="1248"/>
    </row>
    <row r="836">
      <c r="E836" s="1248"/>
    </row>
    <row r="837">
      <c r="E837" s="1248"/>
    </row>
    <row r="838">
      <c r="E838" s="1248"/>
    </row>
    <row r="839">
      <c r="E839" s="1248"/>
    </row>
    <row r="840">
      <c r="E840" s="1248"/>
    </row>
    <row r="841">
      <c r="E841" s="1248"/>
    </row>
    <row r="842">
      <c r="E842" s="1248"/>
    </row>
    <row r="843">
      <c r="E843" s="1248"/>
    </row>
    <row r="844">
      <c r="E844" s="1248"/>
    </row>
    <row r="845">
      <c r="E845" s="1248"/>
    </row>
    <row r="846">
      <c r="E846" s="1248"/>
    </row>
    <row r="847">
      <c r="E847" s="1248"/>
    </row>
    <row r="848">
      <c r="E848" s="1248"/>
    </row>
    <row r="849">
      <c r="E849" s="1248"/>
    </row>
    <row r="850">
      <c r="E850" s="1248"/>
    </row>
    <row r="851">
      <c r="E851" s="1248"/>
    </row>
    <row r="852">
      <c r="E852" s="1248"/>
    </row>
    <row r="853">
      <c r="E853" s="1248"/>
    </row>
    <row r="854">
      <c r="E854" s="1248"/>
    </row>
    <row r="855">
      <c r="E855" s="1248"/>
    </row>
    <row r="856">
      <c r="E856" s="1248"/>
    </row>
    <row r="857">
      <c r="E857" s="1248"/>
    </row>
    <row r="858">
      <c r="E858" s="1248"/>
    </row>
    <row r="859">
      <c r="E859" s="1248"/>
    </row>
    <row r="860">
      <c r="E860" s="1248"/>
    </row>
    <row r="861">
      <c r="E861" s="1248"/>
    </row>
    <row r="862">
      <c r="E862" s="1248"/>
    </row>
    <row r="863">
      <c r="E863" s="1248"/>
    </row>
    <row r="864">
      <c r="E864" s="1248"/>
    </row>
    <row r="865">
      <c r="E865" s="1248"/>
    </row>
    <row r="866">
      <c r="E866" s="1248"/>
    </row>
    <row r="867">
      <c r="E867" s="1248"/>
    </row>
    <row r="868">
      <c r="E868" s="1248"/>
    </row>
    <row r="869">
      <c r="E869" s="1248"/>
    </row>
    <row r="870">
      <c r="E870" s="1248"/>
    </row>
    <row r="871">
      <c r="E871" s="1248"/>
    </row>
    <row r="872">
      <c r="E872" s="1248"/>
    </row>
    <row r="873">
      <c r="E873" s="1248"/>
    </row>
    <row r="874">
      <c r="E874" s="1248"/>
    </row>
    <row r="875">
      <c r="E875" s="1248"/>
    </row>
    <row r="876">
      <c r="E876" s="1248"/>
    </row>
    <row r="877">
      <c r="E877" s="1248"/>
    </row>
    <row r="878">
      <c r="E878" s="1248"/>
    </row>
    <row r="879">
      <c r="E879" s="1248"/>
    </row>
    <row r="880">
      <c r="E880" s="1248"/>
    </row>
    <row r="881">
      <c r="E881" s="1248"/>
    </row>
    <row r="882">
      <c r="E882" s="1248"/>
    </row>
    <row r="883">
      <c r="E883" s="1248"/>
    </row>
    <row r="884">
      <c r="E884" s="1248"/>
    </row>
    <row r="885">
      <c r="E885" s="1248"/>
    </row>
    <row r="886">
      <c r="E886" s="1248"/>
    </row>
    <row r="887">
      <c r="E887" s="1248"/>
    </row>
    <row r="888">
      <c r="E888" s="1248"/>
    </row>
    <row r="889">
      <c r="E889" s="1248"/>
    </row>
    <row r="890">
      <c r="E890" s="1248"/>
    </row>
    <row r="891">
      <c r="E891" s="1248"/>
    </row>
    <row r="892">
      <c r="E892" s="1248"/>
    </row>
    <row r="893">
      <c r="E893" s="1248"/>
    </row>
    <row r="894">
      <c r="E894" s="1248"/>
    </row>
    <row r="895">
      <c r="E895" s="1248"/>
    </row>
    <row r="896">
      <c r="E896" s="1248"/>
    </row>
    <row r="897">
      <c r="E897" s="1248"/>
    </row>
    <row r="898">
      <c r="E898" s="1248"/>
    </row>
    <row r="899">
      <c r="E899" s="1248"/>
    </row>
    <row r="900">
      <c r="E900" s="1248"/>
    </row>
    <row r="901">
      <c r="E901" s="1248"/>
    </row>
    <row r="902">
      <c r="E902" s="1248"/>
    </row>
    <row r="903">
      <c r="E903" s="1248"/>
    </row>
    <row r="904">
      <c r="E904" s="1248"/>
    </row>
    <row r="905">
      <c r="E905" s="1248"/>
    </row>
    <row r="906">
      <c r="E906" s="1248"/>
    </row>
    <row r="907">
      <c r="E907" s="1248"/>
    </row>
    <row r="908">
      <c r="E908" s="1248"/>
    </row>
    <row r="909">
      <c r="E909" s="1248"/>
    </row>
    <row r="910">
      <c r="E910" s="1248"/>
    </row>
    <row r="911">
      <c r="E911" s="1248"/>
    </row>
    <row r="912">
      <c r="E912" s="1248"/>
    </row>
    <row r="913">
      <c r="E913" s="1248"/>
    </row>
    <row r="914">
      <c r="E914" s="1248"/>
    </row>
    <row r="915">
      <c r="E915" s="1248"/>
    </row>
    <row r="916">
      <c r="E916" s="1248"/>
    </row>
    <row r="917">
      <c r="E917" s="1248"/>
    </row>
    <row r="918">
      <c r="E918" s="1248"/>
    </row>
    <row r="919">
      <c r="E919" s="1248"/>
    </row>
    <row r="920">
      <c r="E920" s="1248"/>
    </row>
    <row r="921">
      <c r="E921" s="1248"/>
    </row>
    <row r="922">
      <c r="E922" s="1248"/>
    </row>
    <row r="923">
      <c r="E923" s="1248"/>
    </row>
    <row r="924">
      <c r="E924" s="1248"/>
    </row>
    <row r="925">
      <c r="E925" s="1248"/>
    </row>
    <row r="926">
      <c r="E926" s="1248"/>
    </row>
    <row r="927">
      <c r="E927" s="1248"/>
    </row>
    <row r="928">
      <c r="E928" s="1248"/>
    </row>
    <row r="929">
      <c r="E929" s="1248"/>
    </row>
    <row r="930">
      <c r="E930" s="1248"/>
    </row>
    <row r="931">
      <c r="E931" s="1248"/>
    </row>
    <row r="932">
      <c r="E932" s="1248"/>
    </row>
    <row r="933">
      <c r="E933" s="1248"/>
    </row>
    <row r="934">
      <c r="E934" s="1248"/>
    </row>
    <row r="935">
      <c r="E935" s="1248"/>
    </row>
    <row r="936">
      <c r="E936" s="1248"/>
    </row>
    <row r="937">
      <c r="E937" s="1248"/>
    </row>
    <row r="938">
      <c r="E938" s="1248"/>
    </row>
    <row r="939">
      <c r="E939" s="1248"/>
    </row>
    <row r="940">
      <c r="E940" s="1248"/>
    </row>
    <row r="941">
      <c r="E941" s="1248"/>
    </row>
    <row r="942">
      <c r="E942" s="1248"/>
    </row>
    <row r="943">
      <c r="E943" s="1248"/>
    </row>
    <row r="944">
      <c r="E944" s="1248"/>
    </row>
    <row r="945">
      <c r="E945" s="1248"/>
    </row>
    <row r="946">
      <c r="E946" s="1248"/>
    </row>
    <row r="947">
      <c r="E947" s="1248"/>
    </row>
    <row r="948">
      <c r="E948" s="1248"/>
    </row>
    <row r="949">
      <c r="E949" s="1248"/>
    </row>
    <row r="950">
      <c r="E950" s="1248"/>
    </row>
    <row r="951">
      <c r="E951" s="1248"/>
    </row>
    <row r="952">
      <c r="E952" s="1248"/>
    </row>
    <row r="953">
      <c r="E953" s="1248"/>
    </row>
    <row r="954">
      <c r="E954" s="1248"/>
    </row>
    <row r="955">
      <c r="E955" s="1248"/>
    </row>
    <row r="956">
      <c r="E956" s="1248"/>
    </row>
    <row r="957">
      <c r="E957" s="1248"/>
    </row>
    <row r="958">
      <c r="E958" s="1248"/>
    </row>
    <row r="959">
      <c r="E959" s="1248"/>
    </row>
    <row r="960">
      <c r="E960" s="1248"/>
    </row>
    <row r="961">
      <c r="E961" s="1248"/>
    </row>
    <row r="962">
      <c r="E962" s="1248"/>
    </row>
    <row r="963">
      <c r="E963" s="1248"/>
    </row>
    <row r="964">
      <c r="E964" s="1248"/>
    </row>
    <row r="965">
      <c r="E965" s="1248"/>
    </row>
    <row r="966">
      <c r="E966" s="1248"/>
    </row>
    <row r="967">
      <c r="E967" s="1248"/>
    </row>
    <row r="968">
      <c r="E968" s="1248"/>
    </row>
    <row r="969">
      <c r="E969" s="1248"/>
    </row>
    <row r="970">
      <c r="E970" s="1248"/>
    </row>
    <row r="971">
      <c r="E971" s="1248"/>
    </row>
    <row r="972">
      <c r="E972" s="1248"/>
    </row>
    <row r="973">
      <c r="E973" s="1248"/>
    </row>
    <row r="974">
      <c r="E974" s="1248"/>
    </row>
    <row r="975">
      <c r="E975" s="1248"/>
    </row>
    <row r="976">
      <c r="E976" s="1248"/>
    </row>
    <row r="977">
      <c r="E977" s="1248"/>
    </row>
    <row r="978">
      <c r="E978" s="1248"/>
    </row>
    <row r="979">
      <c r="E979" s="1248"/>
    </row>
    <row r="980">
      <c r="E980" s="1248"/>
    </row>
    <row r="981">
      <c r="E981" s="1248"/>
    </row>
    <row r="982">
      <c r="E982" s="1248"/>
    </row>
    <row r="983">
      <c r="E983" s="1248"/>
    </row>
    <row r="984">
      <c r="E984" s="1248"/>
    </row>
    <row r="985">
      <c r="E985" s="1248"/>
    </row>
    <row r="986">
      <c r="E986" s="1248"/>
    </row>
    <row r="987">
      <c r="E987" s="1248"/>
    </row>
    <row r="988">
      <c r="E988" s="1248"/>
    </row>
    <row r="989">
      <c r="E989" s="1248"/>
    </row>
    <row r="990">
      <c r="E990" s="1248"/>
    </row>
    <row r="991">
      <c r="E991" s="1248"/>
    </row>
    <row r="992">
      <c r="E992" s="1248"/>
    </row>
    <row r="993">
      <c r="E993" s="1248"/>
    </row>
    <row r="994">
      <c r="E994" s="1248"/>
    </row>
    <row r="995">
      <c r="E995" s="1248"/>
    </row>
    <row r="996">
      <c r="E996" s="1248"/>
    </row>
    <row r="997">
      <c r="E997" s="1248"/>
    </row>
    <row r="998">
      <c r="E998" s="1248"/>
    </row>
    <row r="999">
      <c r="E999" s="1248"/>
    </row>
  </sheetData>
  <mergeCells count="57">
    <mergeCell ref="A94:F94"/>
    <mergeCell ref="A96:F96"/>
    <mergeCell ref="A99:F99"/>
    <mergeCell ref="H99:M99"/>
    <mergeCell ref="A100:F100"/>
    <mergeCell ref="H100:M100"/>
    <mergeCell ref="I101:M101"/>
    <mergeCell ref="A126:F126"/>
    <mergeCell ref="B127:F127"/>
    <mergeCell ref="A134:F134"/>
    <mergeCell ref="B135:F135"/>
    <mergeCell ref="A142:F142"/>
    <mergeCell ref="A144:F145"/>
    <mergeCell ref="C146:F160"/>
    <mergeCell ref="B101:F101"/>
    <mergeCell ref="A110:F110"/>
    <mergeCell ref="H110:M110"/>
    <mergeCell ref="B111:F111"/>
    <mergeCell ref="I111:M111"/>
    <mergeCell ref="A118:F118"/>
    <mergeCell ref="B119:F119"/>
    <mergeCell ref="H16:M16"/>
    <mergeCell ref="I17:M17"/>
    <mergeCell ref="A9:F9"/>
    <mergeCell ref="H9:M9"/>
    <mergeCell ref="A10:F11"/>
    <mergeCell ref="H10:M10"/>
    <mergeCell ref="A12:F12"/>
    <mergeCell ref="A13:F13"/>
    <mergeCell ref="H15:M15"/>
    <mergeCell ref="A15:F15"/>
    <mergeCell ref="A16:F16"/>
    <mergeCell ref="B17:F17"/>
    <mergeCell ref="A29:F29"/>
    <mergeCell ref="B30:F30"/>
    <mergeCell ref="A36:F36"/>
    <mergeCell ref="A39:F39"/>
    <mergeCell ref="B42:F42"/>
    <mergeCell ref="A45:F45"/>
    <mergeCell ref="B46:F46"/>
    <mergeCell ref="A53:F53"/>
    <mergeCell ref="B54:F54"/>
    <mergeCell ref="A61:F61"/>
    <mergeCell ref="A63:F63"/>
    <mergeCell ref="A87:F87"/>
    <mergeCell ref="H87:M87"/>
    <mergeCell ref="I88:M88"/>
    <mergeCell ref="G87:G89"/>
    <mergeCell ref="G90:G91"/>
    <mergeCell ref="G92:G93"/>
    <mergeCell ref="A66:F66"/>
    <mergeCell ref="B67:F67"/>
    <mergeCell ref="B76:F76"/>
    <mergeCell ref="B77:F77"/>
    <mergeCell ref="A79:F79"/>
    <mergeCell ref="B80:F80"/>
    <mergeCell ref="B88:F88"/>
  </mergeCells>
  <dataValidations>
    <dataValidation type="decimal" operator="greaterThanOrEqual" allowBlank="1" showDropDown="1" showErrorMessage="1" sqref="M12:M13">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43:F44 F47:F52 F55:F58">
      <formula1>0.0</formula1>
    </dataValidation>
  </dataValidations>
  <drawing r:id="rId2"/>
  <legacyDrawing r:id="rId3"/>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'MSW33'!A1</f>
        <v/>
      </c>
    </row>
    <row r="8">
      <c r="A8" s="11"/>
      <c r="B8" s="11"/>
      <c r="C8" s="11"/>
      <c r="D8" s="11"/>
      <c r="E8" s="11"/>
      <c r="F8" s="11"/>
      <c r="G8" s="11"/>
      <c r="H8" s="11"/>
      <c r="I8" s="11"/>
      <c r="J8" s="11"/>
      <c r="K8" s="11"/>
      <c r="L8" s="11"/>
      <c r="M8" s="11"/>
    </row>
    <row r="9">
      <c r="A9" s="12" t="str">
        <f>'MSW33'!A9</f>
        <v>Week 33</v>
      </c>
      <c r="B9" s="13"/>
      <c r="C9" s="13"/>
      <c r="D9" s="13"/>
      <c r="E9" s="13"/>
      <c r="F9" s="14"/>
      <c r="G9" s="103" t="str">
        <f>'MSW33'!G9</f>
        <v/>
      </c>
      <c r="H9" s="24" t="s">
        <v>35</v>
      </c>
      <c r="I9" s="25"/>
      <c r="J9" s="25"/>
      <c r="K9" s="25"/>
      <c r="L9" s="25"/>
      <c r="M9" s="26"/>
    </row>
    <row r="10">
      <c r="A10" s="15" t="str">
        <f>'MSW33'!A10</f>
        <v>PRESS TO RECORD BODY WEIGHT</v>
      </c>
      <c r="B10" s="16"/>
      <c r="C10" s="16"/>
      <c r="D10" s="16"/>
      <c r="E10" s="16"/>
      <c r="F10" s="17"/>
      <c r="H10" s="27" t="s">
        <v>335</v>
      </c>
      <c r="M10" s="28"/>
    </row>
    <row r="11">
      <c r="A11" s="18"/>
      <c r="B11" s="13"/>
      <c r="C11" s="13"/>
      <c r="D11" s="13"/>
      <c r="E11" s="13"/>
      <c r="F11" s="14"/>
      <c r="H11" s="29" t="s">
        <v>336</v>
      </c>
      <c r="I11" s="30"/>
      <c r="J11" s="30"/>
      <c r="K11" s="30"/>
      <c r="L11" s="30"/>
      <c r="M11" s="31"/>
    </row>
    <row r="12">
      <c r="A12" s="19" t="str">
        <f>'MSW33'!A12</f>
        <v>This Weeks Goals</v>
      </c>
      <c r="B12" s="20"/>
      <c r="C12" s="20"/>
      <c r="D12" s="20"/>
      <c r="E12" s="20"/>
      <c r="F12" s="21"/>
      <c r="G12" s="103" t="str">
        <f>'MSW33'!G12</f>
        <v/>
      </c>
    </row>
    <row r="13">
      <c r="A13" s="22" t="str">
        <f>'MSW33'!A13</f>
        <v>Get mentally prepared to lift some heavy weights this week. Strive for bettering yourself and achieving those new max reps. Remember keep proper form during all reps or it doesn't really count. No Cheating! Happy lifting. </v>
      </c>
      <c r="B13" s="20"/>
      <c r="C13" s="20"/>
      <c r="D13" s="20"/>
      <c r="E13" s="20"/>
      <c r="F13" s="21"/>
    </row>
    <row r="14">
      <c r="A14" t="str">
        <f>'MSW33'!A14</f>
        <v/>
      </c>
      <c r="B14" t="str">
        <f>'MSW33'!B14</f>
        <v/>
      </c>
      <c r="C14" t="str">
        <f>'MSW33'!C14</f>
        <v/>
      </c>
      <c r="D14" t="str">
        <f>'MSW33'!D14</f>
        <v/>
      </c>
      <c r="E14" t="str">
        <f>'MSW33'!E14</f>
        <v/>
      </c>
      <c r="F14" t="str">
        <f>'MSW33'!F14</f>
        <v/>
      </c>
    </row>
    <row r="15">
      <c r="A15" s="51" t="str">
        <f>'MSW33'!A15</f>
        <v>CHEST &amp; BACK </v>
      </c>
      <c r="B15" s="36"/>
      <c r="C15" s="36"/>
      <c r="D15" s="36"/>
      <c r="E15" s="36"/>
      <c r="F15" s="37"/>
      <c r="G15" t="str">
        <f>'MSW33'!G15</f>
        <v/>
      </c>
      <c r="H15" s="51" t="str">
        <f>'MSW33'!H15</f>
        <v>CHEST &amp; BACK </v>
      </c>
      <c r="I15" s="36"/>
      <c r="J15" s="36"/>
      <c r="K15" s="36"/>
      <c r="L15" s="36"/>
      <c r="M15" s="37"/>
    </row>
    <row r="16">
      <c r="A16" s="93" t="str">
        <f>'MSW33'!A16</f>
        <v>1. BENCH PRESS</v>
      </c>
      <c r="B16" s="53"/>
      <c r="C16" s="53"/>
      <c r="D16" s="53"/>
      <c r="E16" s="53"/>
      <c r="F16" s="54"/>
      <c r="H16" s="93" t="str">
        <f>'MSW33'!H16</f>
        <v>1. DUMBELL INCLINE</v>
      </c>
      <c r="I16" s="53"/>
      <c r="J16" s="53"/>
      <c r="K16" s="53"/>
      <c r="L16" s="53"/>
      <c r="M16" s="54"/>
    </row>
    <row r="17">
      <c r="A17" s="226" t="str">
        <f>'MSW33'!A17</f>
        <v>CURRENT MAX</v>
      </c>
      <c r="B17" s="691">
        <v>250.0</v>
      </c>
      <c r="C17" s="13"/>
      <c r="D17" s="13"/>
      <c r="E17" s="13"/>
      <c r="F17" s="57"/>
      <c r="H17" s="226" t="str">
        <f>'MSW33'!H17</f>
        <v>CURRENT MAX</v>
      </c>
      <c r="I17" s="691">
        <f>'MSW33'!I17</f>
        <v>90</v>
      </c>
      <c r="J17" s="13"/>
      <c r="K17" s="13"/>
      <c r="L17" s="13"/>
      <c r="M17" s="57"/>
    </row>
    <row r="18">
      <c r="A18" s="96" t="str">
        <f>'MSW33'!A18</f>
        <v>SET</v>
      </c>
      <c r="B18" s="97" t="str">
        <f>'MSW33'!B18</f>
        <v>WEIGHT</v>
      </c>
      <c r="C18" s="97" t="str">
        <f>'MSW33'!C18</f>
        <v>REPS</v>
      </c>
      <c r="D18" s="97" t="str">
        <f>'MSW33'!D18</f>
        <v>REST</v>
      </c>
      <c r="E18" s="341" t="str">
        <f>'MSW33'!E18</f>
        <v>PREVIOUS</v>
      </c>
      <c r="F18" s="235" t="str">
        <f>'MSW33'!F18</f>
        <v>REP LOG</v>
      </c>
      <c r="H18" s="96" t="str">
        <f>'MSW33'!H18</f>
        <v>SET</v>
      </c>
      <c r="I18" s="97" t="str">
        <f>'MSW33'!I18</f>
        <v>WEIGHT</v>
      </c>
      <c r="J18" s="97" t="str">
        <f>'MSW33'!J18</f>
        <v>REPS</v>
      </c>
      <c r="K18" s="97" t="str">
        <f>'MSW33'!K18</f>
        <v>REST</v>
      </c>
      <c r="L18" s="341" t="str">
        <f>'MSW33'!L18</f>
        <v>PREVIOUS</v>
      </c>
      <c r="M18" s="235" t="str">
        <f>'MSW33'!M18</f>
        <v>REP LOG</v>
      </c>
    </row>
    <row r="19">
      <c r="A19" s="725">
        <f>'MSW33'!A19</f>
        <v>1</v>
      </c>
      <c r="B19" s="344">
        <f>'MSW33'!B19</f>
        <v>125</v>
      </c>
      <c r="C19" s="1250" t="str">
        <f>'MSW33'!C19</f>
        <v>REP OUT</v>
      </c>
      <c r="D19" s="1251" t="str">
        <f>'MSW33'!D19</f>
        <v>1.5 - 3MIN</v>
      </c>
      <c r="E19" s="727" t="str">
        <f>'MSW33'!E19</f>
        <v/>
      </c>
      <c r="F19" s="85">
        <v>25.0</v>
      </c>
      <c r="H19" s="342">
        <f>'MSW33'!H19</f>
        <v>1</v>
      </c>
      <c r="I19" s="344">
        <f>'MSW33'!I19</f>
        <v>45</v>
      </c>
      <c r="J19" s="1250" t="str">
        <f>'MSW33'!J19</f>
        <v>REP OUT</v>
      </c>
      <c r="K19" s="343" t="str">
        <f>'MSW33'!K19</f>
        <v>1 MIN</v>
      </c>
      <c r="L19" s="727" t="str">
        <f>'MSW33'!L19</f>
        <v/>
      </c>
      <c r="M19" s="85">
        <v>30.0</v>
      </c>
    </row>
    <row r="20">
      <c r="A20" s="725">
        <f>'MSW33'!A20</f>
        <v>2</v>
      </c>
      <c r="B20" s="344">
        <f>'MSW33'!B20</f>
        <v>125</v>
      </c>
      <c r="C20" s="1250" t="str">
        <f>'MSW33'!C20</f>
        <v>REP OUT</v>
      </c>
      <c r="D20" s="1251" t="str">
        <f>'MSW33'!D20</f>
        <v>1.5 - 3MIN</v>
      </c>
      <c r="E20" s="727" t="str">
        <f>'MSW33'!E20</f>
        <v/>
      </c>
      <c r="F20" s="85">
        <v>17.0</v>
      </c>
      <c r="H20" s="725">
        <f>'MSW33'!H20</f>
        <v>2</v>
      </c>
      <c r="I20" s="344">
        <f>'MSW33'!I20</f>
        <v>45</v>
      </c>
      <c r="J20" s="1250" t="str">
        <f>'MSW33'!J20</f>
        <v>REP OUT</v>
      </c>
      <c r="K20" s="343" t="str">
        <f>'MSW33'!K20</f>
        <v>1 MIN</v>
      </c>
      <c r="L20" s="727" t="str">
        <f>'MSW33'!L20</f>
        <v/>
      </c>
      <c r="M20" s="85">
        <v>15.0</v>
      </c>
    </row>
    <row r="21">
      <c r="A21" s="735">
        <f>'MSW33'!A21</f>
        <v>3</v>
      </c>
      <c r="B21" s="1252">
        <f>'MSW33'!B21</f>
        <v>125</v>
      </c>
      <c r="C21" s="1253" t="str">
        <f>'MSW33'!C21</f>
        <v>REP OUT</v>
      </c>
      <c r="D21" s="1254" t="str">
        <f>'MSW33'!D21</f>
        <v>1.5 - 3MIN</v>
      </c>
      <c r="E21" s="739" t="str">
        <f>'MSW33'!E21</f>
        <v/>
      </c>
      <c r="F21" s="330"/>
      <c r="H21" s="725">
        <f>'MSW33'!H21</f>
        <v>3</v>
      </c>
      <c r="I21" s="344">
        <f>'MSW33'!I21</f>
        <v>45</v>
      </c>
      <c r="J21" s="1250" t="str">
        <f>'MSW33'!J21</f>
        <v>REP OUT</v>
      </c>
      <c r="K21" s="343" t="str">
        <f>'MSW33'!K21</f>
        <v>1 MIN</v>
      </c>
      <c r="L21" s="727" t="str">
        <f>'MSW33'!L21</f>
        <v/>
      </c>
      <c r="M21" s="85">
        <v>11.0</v>
      </c>
    </row>
    <row r="22">
      <c r="A22" s="1281" t="str">
        <f>'MSW33'!A22</f>
        <v/>
      </c>
      <c r="B22" s="25"/>
      <c r="C22" s="25"/>
      <c r="D22" s="25"/>
      <c r="E22" s="25"/>
      <c r="F22" s="25"/>
      <c r="H22" s="725">
        <f>'MSW33'!H22</f>
        <v>4</v>
      </c>
      <c r="I22" s="344">
        <f>'MSW33'!I22</f>
        <v>45</v>
      </c>
      <c r="J22" s="1250" t="str">
        <f>'MSW33'!J22</f>
        <v>REP OUT</v>
      </c>
      <c r="K22" s="343" t="str">
        <f>'MSW33'!K22</f>
        <v>1 MIN</v>
      </c>
      <c r="L22" s="727" t="str">
        <f>'MSW33'!L22</f>
        <v/>
      </c>
      <c r="M22" s="85">
        <v>12.0</v>
      </c>
    </row>
    <row r="23">
      <c r="H23" s="725">
        <f>'MSW33'!H23</f>
        <v>5</v>
      </c>
      <c r="I23" s="344">
        <f>'MSW33'!I23</f>
        <v>45</v>
      </c>
      <c r="J23" s="1250" t="str">
        <f>'MSW33'!J23</f>
        <v>REP OUT</v>
      </c>
      <c r="K23" s="343" t="str">
        <f>'MSW33'!K23</f>
        <v>1 MIN</v>
      </c>
      <c r="L23" s="727" t="str">
        <f>'MSW33'!L23</f>
        <v/>
      </c>
      <c r="M23" s="85">
        <v>11.0</v>
      </c>
    </row>
    <row r="24">
      <c r="H24" s="753">
        <f>'MSW33'!H24</f>
        <v>6</v>
      </c>
      <c r="I24" s="754">
        <f>'MSW33'!I24</f>
        <v>45</v>
      </c>
      <c r="J24" s="1282" t="str">
        <f>'MSW33'!J24</f>
        <v>REP OUT</v>
      </c>
      <c r="K24" s="486" t="str">
        <f>'MSW33'!K24</f>
        <v>1 MIN</v>
      </c>
      <c r="L24" s="734" t="str">
        <f>'MSW33'!L24</f>
        <v/>
      </c>
      <c r="M24" s="85">
        <v>13.0</v>
      </c>
    </row>
    <row r="25">
      <c r="G25" t="str">
        <f>'MSW33'!G25</f>
        <v/>
      </c>
    </row>
    <row r="29">
      <c r="A29" s="73" t="str">
        <f>'MSW33'!A29</f>
        <v>2. LAT PULL DOWN</v>
      </c>
      <c r="B29" s="53"/>
      <c r="C29" s="53"/>
      <c r="D29" s="53"/>
      <c r="E29" s="53"/>
      <c r="F29" s="54"/>
    </row>
    <row r="30">
      <c r="A30" s="226" t="str">
        <f>'MSW33'!A30</f>
        <v>CURRENT MAX</v>
      </c>
      <c r="B30" s="227">
        <f>'MSW33'!B30</f>
        <v>225</v>
      </c>
      <c r="C30" s="20"/>
      <c r="D30" s="20"/>
      <c r="E30" s="20"/>
      <c r="F30" s="95"/>
    </row>
    <row r="31">
      <c r="A31" s="231" t="str">
        <f>'MSW33'!A31</f>
        <v>SET</v>
      </c>
      <c r="B31" s="232" t="str">
        <f>'MSW33'!B31</f>
        <v>WEIGHT</v>
      </c>
      <c r="C31" s="232" t="str">
        <f>'MSW33'!C31</f>
        <v>REPS</v>
      </c>
      <c r="D31" s="232" t="str">
        <f>'MSW33'!D31</f>
        <v>REST</v>
      </c>
      <c r="E31" s="233" t="str">
        <f>'MSW33'!E31</f>
        <v>PREVIOUS</v>
      </c>
      <c r="F31" s="286" t="str">
        <f>'MSW33'!F31</f>
        <v>REP LOG</v>
      </c>
    </row>
    <row r="32">
      <c r="A32" s="236">
        <f>'MSW33'!A32</f>
        <v>1</v>
      </c>
      <c r="B32" s="237">
        <f>'MSW33'!B32</f>
        <v>80</v>
      </c>
      <c r="C32" s="238">
        <f>'MSW33'!C32</f>
        <v>6</v>
      </c>
      <c r="D32" s="238" t="str">
        <f>'MSW33'!D32</f>
        <v>30s</v>
      </c>
      <c r="E32" s="66" t="str">
        <f>'MSW33'!E32</f>
        <v/>
      </c>
      <c r="F32" s="67">
        <v>6.0</v>
      </c>
    </row>
    <row r="33">
      <c r="A33" s="236">
        <f>'MSW33'!A33</f>
        <v>2</v>
      </c>
      <c r="B33" s="237">
        <f>'MSW33'!B33</f>
        <v>145</v>
      </c>
      <c r="C33" s="238">
        <f>'MSW33'!C33</f>
        <v>3</v>
      </c>
      <c r="D33" s="238" t="str">
        <f>'MSW33'!D33</f>
        <v>1-2 MIN</v>
      </c>
      <c r="E33" s="66" t="str">
        <f>'MSW33'!E33</f>
        <v/>
      </c>
      <c r="F33" s="67">
        <v>3.0</v>
      </c>
    </row>
    <row r="34">
      <c r="A34" s="242">
        <f>'MSW33'!A34</f>
        <v>3</v>
      </c>
      <c r="B34" s="237">
        <f>'MSW33'!B34</f>
        <v>205</v>
      </c>
      <c r="C34" s="63">
        <f>'MSW33'!C34</f>
        <v>2</v>
      </c>
      <c r="D34" s="238" t="str">
        <f>'MSW33'!D34</f>
        <v>1-2 MIN</v>
      </c>
      <c r="E34" s="66" t="str">
        <f>'MSW33'!E34</f>
        <v/>
      </c>
      <c r="F34" s="67">
        <v>2.0</v>
      </c>
    </row>
    <row r="35">
      <c r="A35" s="243">
        <f>'MSW33'!A35</f>
        <v>4</v>
      </c>
      <c r="B35" s="237">
        <f>'MSW33'!B35</f>
        <v>225</v>
      </c>
      <c r="C35" s="257">
        <f>'MSW33'!C35</f>
        <v>3</v>
      </c>
      <c r="D35" s="238" t="str">
        <f>'MSW33'!D35</f>
        <v>1-5 MIN</v>
      </c>
      <c r="E35" s="66" t="str">
        <f>'MSW33'!E35</f>
        <v/>
      </c>
      <c r="F35" s="665">
        <v>3.0</v>
      </c>
    </row>
    <row r="36">
      <c r="A36" s="246" t="str">
        <f>'MSW33'!A36</f>
        <v>NEW 4 REP MAX ATTEMPT</v>
      </c>
      <c r="B36" s="20"/>
      <c r="C36" s="20"/>
      <c r="D36" s="20"/>
      <c r="E36" s="20"/>
      <c r="F36" s="95"/>
    </row>
    <row r="37">
      <c r="A37" s="249">
        <f>'MSW33'!A37</f>
        <v>5</v>
      </c>
      <c r="B37" s="175">
        <f>'MSW33'!B37</f>
        <v>230</v>
      </c>
      <c r="C37" s="238">
        <f>'MSW33'!C37</f>
        <v>4</v>
      </c>
      <c r="D37" s="238" t="str">
        <f>'MSW33'!D37</f>
        <v>1-5 MIN</v>
      </c>
      <c r="E37" s="250" t="str">
        <f>'MSW33'!E37</f>
        <v/>
      </c>
      <c r="F37" s="271">
        <v>4.0</v>
      </c>
    </row>
    <row r="38">
      <c r="A38" s="259" t="str">
        <f>'MSW33'!A38</f>
        <v>6</v>
      </c>
      <c r="B38" s="237">
        <f>'MSW33'!B38</f>
        <v>235</v>
      </c>
      <c r="C38" s="257" t="str">
        <f>'MSW33'!C38</f>
        <v>4</v>
      </c>
      <c r="D38" s="257" t="str">
        <f>'MSW33'!D38</f>
        <v>1-5 MIN</v>
      </c>
      <c r="E38" s="258" t="str">
        <f>'MSW33'!E38</f>
        <v/>
      </c>
      <c r="F38" s="665">
        <v>4.0</v>
      </c>
    </row>
    <row r="39">
      <c r="A39" s="246" t="str">
        <f>'MSW33'!A39</f>
        <v>DOWN SETS</v>
      </c>
      <c r="B39" s="20"/>
      <c r="C39" s="20"/>
      <c r="D39" s="20"/>
      <c r="E39" s="20"/>
      <c r="F39" s="95"/>
    </row>
    <row r="40">
      <c r="A40" s="264">
        <f>'MSW33'!A40</f>
        <v>7</v>
      </c>
      <c r="B40" s="265">
        <f>'MSW33'!B40</f>
        <v>190</v>
      </c>
      <c r="C40" s="266" t="str">
        <f>'MSW33'!C40</f>
        <v>REP OUT</v>
      </c>
      <c r="D40" s="267" t="str">
        <f>'MSW33'!D40</f>
        <v>1-3 MIN</v>
      </c>
      <c r="E40" s="268" t="str">
        <f>'MSW33'!E40</f>
        <v/>
      </c>
      <c r="F40" s="271">
        <v>9.0</v>
      </c>
    </row>
    <row r="41">
      <c r="A41" s="243">
        <f>'MSW33'!A41</f>
        <v>8</v>
      </c>
      <c r="B41" s="237">
        <f>'MSW33'!B41</f>
        <v>165</v>
      </c>
      <c r="C41" s="245" t="str">
        <f>'MSW33'!C41</f>
        <v>REP OUT</v>
      </c>
      <c r="D41" s="65" t="str">
        <f>'MSW33'!D41</f>
        <v>1-3 MIN</v>
      </c>
      <c r="E41" s="258" t="str">
        <f>'MSW33'!E41</f>
        <v/>
      </c>
      <c r="F41" s="271"/>
    </row>
    <row r="42">
      <c r="A42" s="272" t="str">
        <f>'MSW33'!A42</f>
        <v>FINAL MAX</v>
      </c>
      <c r="B42" s="273">
        <f>'MSW33'!B42</f>
        <v>235</v>
      </c>
      <c r="C42" s="11"/>
      <c r="D42" s="11"/>
      <c r="E42" s="11"/>
      <c r="F42" s="46"/>
    </row>
    <row r="43">
      <c r="A43" s="302" t="str">
        <f>'MSW33'!A43</f>
        <v/>
      </c>
      <c r="B43" s="302" t="str">
        <f>'MSW33'!B43</f>
        <v/>
      </c>
      <c r="C43" s="302" t="str">
        <f>'MSW33'!C43</f>
        <v/>
      </c>
      <c r="D43" s="302" t="str">
        <f>'MSW33'!D43</f>
        <v/>
      </c>
      <c r="E43" s="303" t="str">
        <f>'MSW33'!E43</f>
        <v/>
      </c>
      <c r="F43" s="103" t="str">
        <f>'MSW33'!F43</f>
        <v/>
      </c>
    </row>
    <row r="44">
      <c r="A44" s="302" t="str">
        <f>'MSW33'!A44</f>
        <v/>
      </c>
      <c r="B44" s="302" t="str">
        <f>'MSW33'!B44</f>
        <v/>
      </c>
      <c r="C44" s="302" t="str">
        <f>'MSW33'!C44</f>
        <v/>
      </c>
      <c r="D44" s="302" t="str">
        <f>'MSW33'!D44</f>
        <v/>
      </c>
      <c r="E44" s="303" t="str">
        <f>'MSW33'!E44</f>
        <v/>
      </c>
      <c r="F44" s="103" t="str">
        <f>'MSW33'!F44</f>
        <v/>
      </c>
    </row>
    <row r="45">
      <c r="A45" s="73" t="str">
        <f>'MSW33'!A45</f>
        <v>3. MACHINE LOW ROW</v>
      </c>
      <c r="B45" s="53"/>
      <c r="C45" s="53"/>
      <c r="D45" s="53"/>
      <c r="E45" s="53"/>
      <c r="F45" s="54"/>
    </row>
    <row r="46">
      <c r="A46" s="282" t="str">
        <f>'MSW33'!A46</f>
        <v>CURRENT MAX</v>
      </c>
      <c r="B46" s="56">
        <f>'MSW33'!B46</f>
        <v>225</v>
      </c>
      <c r="C46" s="13"/>
      <c r="D46" s="13"/>
      <c r="E46" s="13"/>
      <c r="F46" s="57"/>
    </row>
    <row r="47">
      <c r="A47" s="58" t="str">
        <f>'MSW33'!A47</f>
        <v>SET</v>
      </c>
      <c r="B47" s="59" t="str">
        <f>'MSW33'!B47</f>
        <v>WEIGHT</v>
      </c>
      <c r="C47" s="59" t="str">
        <f>'MSW33'!C47</f>
        <v>REPS</v>
      </c>
      <c r="D47" s="59" t="str">
        <f>'MSW33'!D47</f>
        <v>REST</v>
      </c>
      <c r="E47" s="60" t="str">
        <f>'MSW33'!E47</f>
        <v>PREVIOUS</v>
      </c>
      <c r="F47" s="286" t="str">
        <f>'MSW33'!F47</f>
        <v>REP LOG</v>
      </c>
    </row>
    <row r="48">
      <c r="A48" s="62">
        <f>'MSW33'!A48</f>
        <v>1</v>
      </c>
      <c r="B48" s="63">
        <f>'MSW33'!B48</f>
        <v>205</v>
      </c>
      <c r="C48" s="104" t="str">
        <f>'MSW33'!C48</f>
        <v>REP OUT</v>
      </c>
      <c r="D48" s="65" t="str">
        <f>'MSW33'!D48</f>
        <v>1 MIN</v>
      </c>
      <c r="E48" s="66" t="str">
        <f>'MSW33'!E48</f>
        <v/>
      </c>
      <c r="F48" s="67"/>
    </row>
    <row r="49">
      <c r="A49" s="62">
        <f>'MSW33'!A49</f>
        <v>2</v>
      </c>
      <c r="B49" s="63">
        <f>'MSW33'!B49</f>
        <v>180</v>
      </c>
      <c r="C49" s="104" t="str">
        <f>'MSW33'!C49</f>
        <v>REP OUT</v>
      </c>
      <c r="D49" s="65" t="str">
        <f>'MSW33'!D49</f>
        <v>1 MIN</v>
      </c>
      <c r="E49" s="66" t="str">
        <f>'MSW33'!E49</f>
        <v/>
      </c>
      <c r="F49" s="67"/>
    </row>
    <row r="50">
      <c r="A50" s="68">
        <f>'MSW33'!A50</f>
        <v>3</v>
      </c>
      <c r="B50" s="69">
        <f>'MSW33'!B50</f>
        <v>155</v>
      </c>
      <c r="C50" s="105" t="str">
        <f>'MSW33'!C50</f>
        <v>REP OUT</v>
      </c>
      <c r="D50" s="71" t="str">
        <f>'MSW33'!D50</f>
        <v>1 MIN</v>
      </c>
      <c r="E50" s="72" t="str">
        <f>'MSW33'!E50</f>
        <v/>
      </c>
      <c r="F50" s="67"/>
    </row>
    <row r="51">
      <c r="A51" s="103" t="str">
        <f>'MSW33'!A51</f>
        <v/>
      </c>
      <c r="B51" s="103" t="str">
        <f>'MSW33'!B51</f>
        <v/>
      </c>
      <c r="C51" s="103" t="str">
        <f>'MSW33'!C51</f>
        <v/>
      </c>
      <c r="D51" s="103" t="str">
        <f>'MSW33'!D51</f>
        <v/>
      </c>
      <c r="E51" s="222" t="str">
        <f>'MSW33'!E51</f>
        <v/>
      </c>
      <c r="F51" s="103" t="str">
        <f>'MSW33'!F51</f>
        <v/>
      </c>
    </row>
    <row r="52">
      <c r="A52" s="103" t="str">
        <f>'MSW33'!A52</f>
        <v/>
      </c>
      <c r="B52" s="103" t="str">
        <f>'MSW33'!B52</f>
        <v/>
      </c>
      <c r="C52" s="103" t="str">
        <f>'MSW33'!C52</f>
        <v/>
      </c>
      <c r="D52" s="103" t="str">
        <f>'MSW33'!D52</f>
        <v/>
      </c>
      <c r="E52" s="222" t="str">
        <f>'MSW33'!E52</f>
        <v/>
      </c>
      <c r="F52" s="103" t="str">
        <f>'MSW33'!F52</f>
        <v/>
      </c>
    </row>
    <row r="53">
      <c r="A53" s="73" t="str">
        <f>'MSW33'!A53</f>
        <v>4. MACHINE HIGH ROW</v>
      </c>
      <c r="B53" s="53"/>
      <c r="C53" s="53"/>
      <c r="D53" s="53"/>
      <c r="E53" s="53"/>
      <c r="F53" s="54"/>
    </row>
    <row r="54">
      <c r="A54" s="282" t="str">
        <f>'MSW33'!A54</f>
        <v>CURRENT MAX</v>
      </c>
      <c r="B54" s="56">
        <f>'MSW33'!B54</f>
        <v>175</v>
      </c>
      <c r="C54" s="13"/>
      <c r="D54" s="13"/>
      <c r="E54" s="13"/>
      <c r="F54" s="57"/>
    </row>
    <row r="55">
      <c r="A55" s="58" t="str">
        <f>'MSW33'!A55</f>
        <v>SET</v>
      </c>
      <c r="B55" s="59" t="str">
        <f>'MSW33'!B55</f>
        <v>WEIGHT</v>
      </c>
      <c r="C55" s="59" t="str">
        <f>'MSW33'!C55</f>
        <v>REPS</v>
      </c>
      <c r="D55" s="59" t="str">
        <f>'MSW33'!D55</f>
        <v>REST</v>
      </c>
      <c r="E55" s="60" t="str">
        <f>'MSW33'!E55</f>
        <v>PREVIOUS</v>
      </c>
      <c r="F55" s="286" t="str">
        <f>'MSW33'!F55</f>
        <v>REP LOG</v>
      </c>
    </row>
    <row r="56">
      <c r="A56" s="62">
        <f>'MSW33'!A56</f>
        <v>1</v>
      </c>
      <c r="B56" s="63">
        <f>'MSW33'!B56</f>
        <v>150</v>
      </c>
      <c r="C56" s="104" t="str">
        <f>'MSW33'!C56</f>
        <v>REP OUT</v>
      </c>
      <c r="D56" s="65" t="str">
        <f>'MSW33'!D56</f>
        <v>1 MIN</v>
      </c>
      <c r="E56" s="66" t="str">
        <f>'MSW33'!E56</f>
        <v/>
      </c>
      <c r="F56" s="67"/>
    </row>
    <row r="57">
      <c r="A57" s="62">
        <f>'MSW33'!A57</f>
        <v>2</v>
      </c>
      <c r="B57" s="63">
        <f>'MSW33'!B57</f>
        <v>125</v>
      </c>
      <c r="C57" s="104" t="str">
        <f>'MSW33'!C57</f>
        <v>REP OUT</v>
      </c>
      <c r="D57" s="65" t="str">
        <f>'MSW33'!D57</f>
        <v>1 MIN</v>
      </c>
      <c r="E57" s="66" t="str">
        <f>'MSW33'!E57</f>
        <v/>
      </c>
      <c r="F57" s="67"/>
    </row>
    <row r="58">
      <c r="A58" s="68">
        <f>'MSW33'!A58</f>
        <v>3</v>
      </c>
      <c r="B58" s="87">
        <f>'MSW33'!B58</f>
        <v>100</v>
      </c>
      <c r="C58" s="105" t="str">
        <f>'MSW33'!C58</f>
        <v>REP OUT</v>
      </c>
      <c r="D58" s="309" t="str">
        <f>'MSW33'!D58</f>
        <v>1 MIN</v>
      </c>
      <c r="E58" s="72" t="str">
        <f>'MSW33'!E58</f>
        <v/>
      </c>
      <c r="F58" s="67"/>
    </row>
    <row r="59">
      <c r="A59" t="str">
        <f>'MSW33'!A59</f>
        <v/>
      </c>
    </row>
    <row r="61">
      <c r="A61" s="310" t="str">
        <f>'MSW33'!A61</f>
        <v>CLICK TO COMPLETE WORKOUT</v>
      </c>
      <c r="B61" s="36"/>
      <c r="C61" s="36"/>
      <c r="D61" s="36"/>
      <c r="E61" s="36"/>
      <c r="F61" s="37"/>
    </row>
    <row r="62">
      <c r="A62" t="str">
        <f>'MSW33'!A62</f>
        <v/>
      </c>
    </row>
    <row r="63">
      <c r="A63" s="224" t="str">
        <f>'MSW33'!A63</f>
        <v>DAY 2 </v>
      </c>
      <c r="B63" s="36"/>
      <c r="C63" s="36"/>
      <c r="D63" s="36"/>
      <c r="E63" s="36"/>
      <c r="F63" s="37"/>
    </row>
    <row r="66">
      <c r="A66" s="1261" t="str">
        <f>'MSW33'!A66</f>
        <v>1. MACHINE SQUAT</v>
      </c>
      <c r="B66" s="53"/>
      <c r="C66" s="53"/>
      <c r="D66" s="53"/>
      <c r="E66" s="53"/>
      <c r="F66" s="54"/>
    </row>
    <row r="67">
      <c r="A67" s="1283" t="str">
        <f>'MSW33'!A67</f>
        <v>10 REP MAX</v>
      </c>
      <c r="B67" s="1035">
        <f>'MSW33'!B67</f>
        <v>25</v>
      </c>
      <c r="C67" s="13"/>
      <c r="D67" s="13"/>
      <c r="E67" s="13"/>
      <c r="F67" s="57"/>
    </row>
    <row r="68">
      <c r="A68" s="231" t="str">
        <f>'MSW33'!A68</f>
        <v>SET</v>
      </c>
      <c r="B68" s="232" t="str">
        <f>'MSW33'!B68</f>
        <v>WEIGHT</v>
      </c>
      <c r="C68" s="232" t="str">
        <f>'MSW33'!C68</f>
        <v>REPS</v>
      </c>
      <c r="D68" s="232" t="str">
        <f>'MSW33'!D68</f>
        <v>REST</v>
      </c>
      <c r="E68" s="1073" t="str">
        <f>'MSW33'!E68</f>
        <v>PREVIOUS</v>
      </c>
      <c r="F68" s="1006"/>
    </row>
    <row r="69">
      <c r="A69" s="236">
        <f>'MSW33'!A69</f>
        <v>1</v>
      </c>
      <c r="B69" s="237">
        <f>'MSW33'!B69</f>
        <v>10</v>
      </c>
      <c r="C69" s="238">
        <f>'MSW33'!C69</f>
        <v>10</v>
      </c>
      <c r="D69" s="238" t="str">
        <f>'MSW33'!D69</f>
        <v>30s</v>
      </c>
      <c r="E69" s="1202" t="str">
        <f>'MSW33'!E69</f>
        <v/>
      </c>
      <c r="F69" s="1284"/>
    </row>
    <row r="70">
      <c r="A70" s="236">
        <f>'MSW33'!A70</f>
        <v>2</v>
      </c>
      <c r="B70" s="237">
        <f>'MSW33'!B70</f>
        <v>15</v>
      </c>
      <c r="C70" s="238">
        <f>'MSW33'!C70</f>
        <v>10</v>
      </c>
      <c r="D70" s="238" t="str">
        <f>'MSW33'!D70</f>
        <v>1-2 MIN</v>
      </c>
      <c r="E70" s="1202" t="str">
        <f>'MSW33'!E70</f>
        <v/>
      </c>
      <c r="F70" s="904"/>
    </row>
    <row r="71">
      <c r="A71" s="242">
        <f>'MSW33'!A71</f>
        <v>3</v>
      </c>
      <c r="B71" s="237">
        <f>'MSW33'!B71</f>
        <v>25</v>
      </c>
      <c r="C71" s="238">
        <f>'MSW33'!C71</f>
        <v>10</v>
      </c>
      <c r="D71" s="238" t="str">
        <f>'MSW33'!D71</f>
        <v>1-2 MIN</v>
      </c>
      <c r="E71" s="1202" t="str">
        <f>'MSW33'!E71</f>
        <v/>
      </c>
      <c r="F71" s="904"/>
    </row>
    <row r="72">
      <c r="A72" s="249">
        <f>'MSW33'!A72</f>
        <v>4</v>
      </c>
      <c r="B72" s="175">
        <f>'MSW33'!B72</f>
        <v>20</v>
      </c>
      <c r="C72" s="238">
        <f>'MSW33'!C72</f>
        <v>10</v>
      </c>
      <c r="D72" s="238" t="str">
        <f>'MSW33'!D72</f>
        <v>1-5 MIN</v>
      </c>
      <c r="E72" s="1263" t="str">
        <f>'MSW33'!E72</f>
        <v/>
      </c>
      <c r="F72" s="904"/>
    </row>
    <row r="73">
      <c r="A73" s="249">
        <f>'MSW33'!A73</f>
        <v>5</v>
      </c>
      <c r="B73" s="175">
        <f>'MSW33'!B73</f>
        <v>15</v>
      </c>
      <c r="C73" s="238">
        <f>'MSW33'!C73</f>
        <v>10</v>
      </c>
      <c r="D73" s="238" t="str">
        <f>'MSW33'!D73</f>
        <v>1-5 MIN</v>
      </c>
      <c r="E73" s="1104" t="str">
        <f>'MSW33'!E73</f>
        <v/>
      </c>
      <c r="F73" s="904"/>
    </row>
    <row r="74">
      <c r="A74" s="249">
        <f>'MSW33'!A74</f>
        <v>6</v>
      </c>
      <c r="B74" s="175">
        <f>'MSW33'!B74</f>
        <v>10</v>
      </c>
      <c r="C74" s="238">
        <f>'MSW33'!C74</f>
        <v>10</v>
      </c>
      <c r="D74" s="238" t="str">
        <f>'MSW33'!D74</f>
        <v>1-5 MIN</v>
      </c>
      <c r="E74" s="1104" t="str">
        <f>'MSW33'!E74</f>
        <v/>
      </c>
      <c r="F74" s="904"/>
    </row>
    <row r="75">
      <c r="A75" s="1038" t="str">
        <f>'MSW33'!A75</f>
        <v>7</v>
      </c>
      <c r="B75" s="175">
        <f>'MSW33'!B75</f>
        <v>10</v>
      </c>
      <c r="C75" s="238">
        <f>'MSW33'!C75</f>
        <v>10</v>
      </c>
      <c r="D75" s="238" t="str">
        <f>'MSW33'!D75</f>
        <v>1-5 MIN</v>
      </c>
      <c r="E75" s="1104" t="str">
        <f>'MSW33'!E75</f>
        <v/>
      </c>
      <c r="F75" s="905"/>
    </row>
    <row r="76">
      <c r="A76" s="272" t="str">
        <f>'MSW33'!A76</f>
        <v>8 REP MAX</v>
      </c>
      <c r="B76" s="1039">
        <f>'MSW33'!B76</f>
        <v>25</v>
      </c>
      <c r="C76" s="11"/>
      <c r="D76" s="11"/>
      <c r="E76" s="11"/>
      <c r="F76" s="46"/>
    </row>
    <row r="77">
      <c r="A77" s="1042" t="str">
        <f>'MSW33'!A77</f>
        <v/>
      </c>
    </row>
    <row r="79">
      <c r="A79" s="1285" t="str">
        <f>'MSW33'!A79</f>
        <v>2. LEG EXTENSION</v>
      </c>
      <c r="B79" s="53"/>
      <c r="C79" s="53"/>
      <c r="D79" s="53"/>
      <c r="E79" s="53"/>
      <c r="F79" s="54"/>
    </row>
    <row r="80">
      <c r="A80" s="1045" t="str">
        <f>'MSW33'!A80</f>
        <v>CURRENT MAX</v>
      </c>
      <c r="B80" s="1046">
        <f>'MSW33'!B80</f>
        <v>155</v>
      </c>
      <c r="C80" s="13"/>
      <c r="D80" s="13"/>
      <c r="E80" s="13"/>
      <c r="F80" s="57"/>
    </row>
    <row r="81">
      <c r="A81" s="567" t="str">
        <f>'MSW33'!A81</f>
        <v>SET</v>
      </c>
      <c r="B81" s="568" t="str">
        <f>'MSW33'!B81</f>
        <v>WEIGHT</v>
      </c>
      <c r="C81" s="568" t="str">
        <f>'MSW33'!C81</f>
        <v>REPS</v>
      </c>
      <c r="D81" s="568" t="str">
        <f>'MSW33'!D81</f>
        <v>REST</v>
      </c>
      <c r="E81" s="1047" t="str">
        <f>'MSW33'!E81</f>
        <v>PREVIOUS</v>
      </c>
      <c r="F81" s="1048" t="str">
        <f>'MSW33'!F81</f>
        <v>REP LOG</v>
      </c>
    </row>
    <row r="82">
      <c r="A82" s="1049">
        <f>'MSW33'!A82</f>
        <v>1</v>
      </c>
      <c r="B82" s="1050">
        <f>'MSW33'!B82</f>
        <v>155</v>
      </c>
      <c r="C82" s="1051" t="str">
        <f>'MSW33'!C82</f>
        <v>10 - 20</v>
      </c>
      <c r="D82" s="1052" t="str">
        <f>'MSW33'!D82</f>
        <v>1 MIN</v>
      </c>
      <c r="E82" s="1010" t="str">
        <f>'MSW33'!E82</f>
        <v/>
      </c>
      <c r="F82" s="1011"/>
    </row>
    <row r="83">
      <c r="A83" s="1049">
        <f>'MSW33'!A83</f>
        <v>2</v>
      </c>
      <c r="B83" s="1050">
        <f>'MSW33'!B83</f>
        <v>125</v>
      </c>
      <c r="C83" s="1051" t="str">
        <f>'MSW33'!C83</f>
        <v>10 - 20</v>
      </c>
      <c r="D83" s="1052" t="str">
        <f>'MSW33'!D83</f>
        <v>1 MIN</v>
      </c>
      <c r="E83" s="1010" t="str">
        <f>'MSW33'!E83</f>
        <v/>
      </c>
      <c r="F83" s="1011"/>
    </row>
    <row r="84">
      <c r="A84" s="1053">
        <f>'MSW33'!A84</f>
        <v>3</v>
      </c>
      <c r="B84" s="1054">
        <f>'MSW33'!B84</f>
        <v>100</v>
      </c>
      <c r="C84" s="1055" t="str">
        <f>'MSW33'!C84</f>
        <v>10 - 20</v>
      </c>
      <c r="D84" s="1056" t="str">
        <f>'MSW33'!D84</f>
        <v>1 MIN</v>
      </c>
      <c r="E84" s="1021" t="str">
        <f>'MSW33'!E84</f>
        <v/>
      </c>
      <c r="F84" s="1011"/>
    </row>
    <row r="85">
      <c r="A85" t="str">
        <f>'MSW33'!A85</f>
        <v/>
      </c>
    </row>
    <row r="86">
      <c r="A86" t="str">
        <f>'MSW33'!A86</f>
        <v/>
      </c>
      <c r="B86" t="str">
        <f>'MSW33'!B86</f>
        <v/>
      </c>
      <c r="C86" t="str">
        <f>'MSW33'!C86</f>
        <v/>
      </c>
      <c r="D86" t="str">
        <f>'MSW33'!D86</f>
        <v/>
      </c>
      <c r="E86" t="str">
        <f>'MSW33'!E86</f>
        <v/>
      </c>
      <c r="F86" t="str">
        <f>'MSW33'!F86</f>
        <v/>
      </c>
    </row>
    <row r="87">
      <c r="A87" s="323" t="str">
        <f>'MSW33'!A87</f>
        <v>4. MACHINE LEG CURL</v>
      </c>
      <c r="B87" s="53"/>
      <c r="C87" s="53"/>
      <c r="D87" s="53"/>
      <c r="E87" s="53"/>
      <c r="F87" s="54"/>
      <c r="G87" s="141" t="str">
        <f>'MSW33'!G87</f>
        <v/>
      </c>
      <c r="H87" s="323" t="str">
        <f>'MSW33'!H87</f>
        <v>4. PRONE LEG CURL</v>
      </c>
      <c r="I87" s="53"/>
      <c r="J87" s="53"/>
      <c r="K87" s="53"/>
      <c r="L87" s="53"/>
      <c r="M87" s="53"/>
    </row>
    <row r="88">
      <c r="A88" s="1045" t="str">
        <f>'MSW33'!A88</f>
        <v>CURRENT MAX</v>
      </c>
      <c r="B88" s="1046">
        <f>'MSW33'!B88</f>
        <v>15</v>
      </c>
      <c r="C88" s="13"/>
      <c r="D88" s="13"/>
      <c r="E88" s="13"/>
      <c r="F88" s="57"/>
      <c r="H88" s="1045" t="str">
        <f>'MSW33'!H88</f>
        <v>CURRENT MAX</v>
      </c>
      <c r="I88" s="1046">
        <f>'MSW33'!I88</f>
        <v>15</v>
      </c>
      <c r="J88" s="13"/>
      <c r="K88" s="13"/>
      <c r="L88" s="13"/>
      <c r="M88" s="13"/>
    </row>
    <row r="89">
      <c r="A89" s="567" t="str">
        <f>'MSW33'!A89</f>
        <v>SET</v>
      </c>
      <c r="B89" s="568" t="str">
        <f>'MSW33'!B89</f>
        <v>WEIGHT</v>
      </c>
      <c r="C89" s="568" t="str">
        <f>'MSW33'!C89</f>
        <v>REPS</v>
      </c>
      <c r="D89" s="568" t="str">
        <f>'MSW33'!D89</f>
        <v>REST</v>
      </c>
      <c r="E89" s="1047" t="str">
        <f>'MSW33'!E89</f>
        <v>PREVIOUS</v>
      </c>
      <c r="F89" s="1048" t="str">
        <f>'MSW33'!F89</f>
        <v>REP LOG</v>
      </c>
      <c r="H89" s="567" t="str">
        <f>'MSW33'!H89</f>
        <v>SET</v>
      </c>
      <c r="I89" s="568" t="str">
        <f>'MSW33'!I89</f>
        <v>WEIGHT</v>
      </c>
      <c r="J89" s="568" t="str">
        <f>'MSW33'!J89</f>
        <v>REPS</v>
      </c>
      <c r="K89" s="568" t="str">
        <f>'MSW33'!K89</f>
        <v>REST</v>
      </c>
      <c r="L89" s="1047" t="str">
        <f>'MSW33'!L89</f>
        <v>PREVIOUS</v>
      </c>
      <c r="M89" s="1048" t="str">
        <f>'MSW33'!M89</f>
        <v>REP LOG</v>
      </c>
    </row>
    <row r="90">
      <c r="A90" s="1049">
        <f>'MSW33'!A90</f>
        <v>1</v>
      </c>
      <c r="B90" s="1050">
        <f>'MSW33'!B90</f>
        <v>15</v>
      </c>
      <c r="C90" s="1051" t="str">
        <f>'MSW33'!C90</f>
        <v>10 - 20</v>
      </c>
      <c r="D90" s="1052" t="str">
        <f>'MSW33'!D90</f>
        <v>1 MIN</v>
      </c>
      <c r="E90" s="1010" t="str">
        <f>'MSW33'!E90</f>
        <v/>
      </c>
      <c r="F90" s="1011"/>
      <c r="G90" s="434" t="str">
        <f>'MSW33'!G90</f>
        <v>ALTERNATE</v>
      </c>
      <c r="H90" s="1049">
        <f>'MSW33'!H90</f>
        <v>1</v>
      </c>
      <c r="I90" s="1050">
        <f>'MSW33'!I90</f>
        <v>15</v>
      </c>
      <c r="J90" s="1051" t="str">
        <f>'MSW33'!J90</f>
        <v>10 - 20</v>
      </c>
      <c r="K90" s="1052" t="str">
        <f>'MSW33'!K90</f>
        <v>1 MIN</v>
      </c>
      <c r="L90" s="1010" t="str">
        <f>'MSW33'!L90</f>
        <v/>
      </c>
      <c r="M90" s="1011"/>
    </row>
    <row r="91">
      <c r="A91" s="1049">
        <f>'MSW33'!A91</f>
        <v>2</v>
      </c>
      <c r="B91" s="1050">
        <f>'MSW33'!B91</f>
        <v>10</v>
      </c>
      <c r="C91" s="1051" t="str">
        <f>'MSW33'!C91</f>
        <v>10 - 20</v>
      </c>
      <c r="D91" s="1052" t="str">
        <f>'MSW33'!D91</f>
        <v>1 MIN</v>
      </c>
      <c r="E91" s="1010" t="str">
        <f>'MSW33'!E91</f>
        <v/>
      </c>
      <c r="F91" s="1011"/>
      <c r="H91" s="1049">
        <f>'MSW33'!H91</f>
        <v>2</v>
      </c>
      <c r="I91" s="1050">
        <f>'MSW33'!I91</f>
        <v>10</v>
      </c>
      <c r="J91" s="1051" t="str">
        <f>'MSW33'!J91</f>
        <v>10 - 20</v>
      </c>
      <c r="K91" s="1052" t="str">
        <f>'MSW33'!K91</f>
        <v>1 MIN</v>
      </c>
      <c r="L91" s="1010" t="str">
        <f>'MSW33'!L91</f>
        <v/>
      </c>
      <c r="M91" s="1011"/>
    </row>
    <row r="92">
      <c r="A92" s="1053">
        <f>'MSW33'!A92</f>
        <v>3</v>
      </c>
      <c r="B92" s="1054">
        <f>'MSW33'!B92</f>
        <v>10</v>
      </c>
      <c r="C92" s="1055" t="str">
        <f>'MSW33'!C92</f>
        <v>10 - 20</v>
      </c>
      <c r="D92" s="1056" t="str">
        <f>'MSW33'!D92</f>
        <v>1 MIN</v>
      </c>
      <c r="E92" s="1021" t="str">
        <f>'MSW33'!E92</f>
        <v/>
      </c>
      <c r="F92" s="1011"/>
      <c r="G92" s="682" t="str">
        <f>'MSW33'!G92</f>
        <v/>
      </c>
      <c r="H92" s="1053">
        <f>'MSW33'!H92</f>
        <v>3</v>
      </c>
      <c r="I92" s="1054">
        <f>'MSW33'!I92</f>
        <v>10</v>
      </c>
      <c r="J92" s="1055" t="str">
        <f>'MSW33'!J92</f>
        <v>10 - 20</v>
      </c>
      <c r="K92" s="1056" t="str">
        <f>'MSW33'!K92</f>
        <v>1 MIN</v>
      </c>
      <c r="L92" s="1021" t="str">
        <f>'MSW33'!L92</f>
        <v/>
      </c>
      <c r="M92" s="1011"/>
    </row>
    <row r="93">
      <c r="A93" s="849" t="str">
        <f>'MSW33'!A93</f>
        <v/>
      </c>
      <c r="G93" s="849" t="str">
        <f>'MSW33'!H93</f>
        <v/>
      </c>
    </row>
    <row r="94">
      <c r="A94" s="310" t="str">
        <f>'MSW33'!A94</f>
        <v>CLICK TO COMPLETE WORKOUT</v>
      </c>
      <c r="B94" s="36"/>
      <c r="C94" s="36"/>
      <c r="D94" s="36"/>
      <c r="E94" s="36"/>
      <c r="F94" s="37"/>
    </row>
    <row r="95">
      <c r="A95" t="str">
        <f>'MSW33'!A95</f>
        <v/>
      </c>
    </row>
    <row r="96">
      <c r="A96" s="1120" t="str">
        <f>'MSW33'!A96</f>
        <v>DAY 3</v>
      </c>
      <c r="B96" s="36"/>
      <c r="C96" s="36"/>
      <c r="D96" s="36"/>
      <c r="E96" s="36"/>
      <c r="F96" s="37"/>
    </row>
    <row r="97">
      <c r="A97" t="str">
        <f>'MSW33'!A97</f>
        <v/>
      </c>
    </row>
    <row r="99">
      <c r="A99" s="51" t="str">
        <f>'MSW33'!A99</f>
        <v>SHOULDERS &amp; ARMS</v>
      </c>
      <c r="B99" s="36"/>
      <c r="C99" s="36"/>
      <c r="D99" s="36"/>
      <c r="E99" s="36"/>
      <c r="F99" s="37"/>
      <c r="G99" t="str">
        <f>'MSW33'!G99</f>
        <v/>
      </c>
      <c r="H99" s="51" t="str">
        <f>'MSW33'!H99</f>
        <v>SHOULDERS &amp; ARMS</v>
      </c>
      <c r="I99" s="36"/>
      <c r="J99" s="36"/>
      <c r="K99" s="36"/>
      <c r="L99" s="36"/>
      <c r="M99" s="37"/>
    </row>
    <row r="100">
      <c r="A100" s="504" t="str">
        <f>'MSW33'!A100</f>
        <v>1. SHOULDER PRESS</v>
      </c>
      <c r="B100" s="53"/>
      <c r="C100" s="53"/>
      <c r="D100" s="53"/>
      <c r="E100" s="53"/>
      <c r="F100" s="54"/>
      <c r="H100" s="778" t="str">
        <f>'MSW33'!H100</f>
        <v>1. MACHINE SHOULDER PRESS</v>
      </c>
      <c r="I100" s="53"/>
      <c r="J100" s="53"/>
      <c r="K100" s="53"/>
      <c r="L100" s="53"/>
      <c r="M100" s="54"/>
    </row>
    <row r="101">
      <c r="A101" s="589" t="str">
        <f>'MSW33'!A101</f>
        <v>CURRENT MAX</v>
      </c>
      <c r="B101" s="227" t="str">
        <f>'MSW33'!B101</f>
        <v/>
      </c>
      <c r="C101" s="20"/>
      <c r="D101" s="20"/>
      <c r="E101" s="20"/>
      <c r="F101" s="95"/>
      <c r="H101" s="589" t="str">
        <f>'MSW33'!H101</f>
        <v>CURRENT MAX</v>
      </c>
      <c r="I101" s="227">
        <f>'WEEK 8'!I97</f>
        <v>150</v>
      </c>
      <c r="J101" s="20"/>
      <c r="K101" s="20"/>
      <c r="L101" s="20"/>
      <c r="M101" s="95"/>
    </row>
    <row r="102">
      <c r="A102" s="364" t="str">
        <f>'MSW33'!A102</f>
        <v>SET</v>
      </c>
      <c r="B102" s="365" t="str">
        <f>'MSW33'!B102</f>
        <v>WEIGHT</v>
      </c>
      <c r="C102" s="365" t="str">
        <f>'MSW33'!C102</f>
        <v>REPS</v>
      </c>
      <c r="D102" s="365" t="str">
        <f>'MSW33'!D102</f>
        <v>REST</v>
      </c>
      <c r="E102" s="609" t="str">
        <f>'MSW33'!E102</f>
        <v>PREVIOUS</v>
      </c>
      <c r="F102" s="61" t="str">
        <f>'MSW33'!F102</f>
        <v>REP LOG</v>
      </c>
      <c r="H102" s="364" t="str">
        <f>'MSW33'!H102</f>
        <v>SET</v>
      </c>
      <c r="I102" s="365" t="str">
        <f>'MSW33'!I102</f>
        <v>WEIGHT</v>
      </c>
      <c r="J102" s="365" t="str">
        <f>'MSW33'!J102</f>
        <v>REPS</v>
      </c>
      <c r="K102" s="365" t="str">
        <f>'MSW33'!K102</f>
        <v>REST</v>
      </c>
      <c r="L102" s="609" t="str">
        <f>'MSW33'!L102</f>
        <v>PREVIOUS</v>
      </c>
      <c r="M102" s="61" t="str">
        <f>'MSW33'!M102</f>
        <v>REP LOG</v>
      </c>
    </row>
    <row r="103">
      <c r="A103" s="236">
        <f>'MSW33'!A103</f>
        <v>1</v>
      </c>
      <c r="B103" s="237">
        <f>'MSW33'!B103</f>
        <v>35</v>
      </c>
      <c r="C103" s="237">
        <f>'MSW33'!C103</f>
        <v>6</v>
      </c>
      <c r="D103" s="238" t="str">
        <f>'MSW33'!D103</f>
        <v>30s</v>
      </c>
      <c r="E103" s="66" t="str">
        <f>'MSW33'!E103</f>
        <v/>
      </c>
      <c r="F103" s="67"/>
      <c r="H103" s="236">
        <f>'MSW33'!H103</f>
        <v>1</v>
      </c>
      <c r="I103" s="237">
        <f>'MSW33'!I103</f>
        <v>30</v>
      </c>
      <c r="J103" s="237">
        <f>'MSW33'!J103</f>
        <v>6</v>
      </c>
      <c r="K103" s="238" t="str">
        <f>'MSW33'!K103</f>
        <v>30s</v>
      </c>
      <c r="L103" s="66" t="str">
        <f>'MSW33'!L103</f>
        <v/>
      </c>
      <c r="M103" s="67"/>
    </row>
    <row r="104">
      <c r="A104" s="236">
        <f>'MSW33'!A104</f>
        <v>2</v>
      </c>
      <c r="B104" s="237">
        <f>'MSW33'!B104</f>
        <v>0</v>
      </c>
      <c r="C104" s="237">
        <f>'MSW33'!C104</f>
        <v>1</v>
      </c>
      <c r="D104" s="238" t="str">
        <f>'MSW33'!D104</f>
        <v>1 MIN</v>
      </c>
      <c r="E104" s="66" t="str">
        <f>'MSW33'!E104</f>
        <v/>
      </c>
      <c r="F104" s="67"/>
      <c r="H104" s="236">
        <f>'MSW33'!H104</f>
        <v>2</v>
      </c>
      <c r="I104" s="237">
        <f>'MSW33'!I104</f>
        <v>100</v>
      </c>
      <c r="J104" s="237">
        <f>'MSW33'!J104</f>
        <v>1</v>
      </c>
      <c r="K104" s="238" t="str">
        <f>'MSW33'!K104</f>
        <v>1 MIN</v>
      </c>
      <c r="L104" s="66" t="str">
        <f>'MSW33'!L104</f>
        <v/>
      </c>
      <c r="M104" s="67"/>
    </row>
    <row r="105">
      <c r="A105" s="779">
        <f>'MSW33'!A105</f>
        <v>4</v>
      </c>
      <c r="B105" s="780">
        <f>'MSW33'!B105</f>
        <v>0</v>
      </c>
      <c r="C105" s="781" t="str">
        <f>'MSW33'!C105</f>
        <v>REP OUT</v>
      </c>
      <c r="D105" s="782" t="str">
        <f>'MSW33'!D105</f>
        <v>1 MIN</v>
      </c>
      <c r="E105" s="783" t="str">
        <f>'MSW33'!E105</f>
        <v/>
      </c>
      <c r="F105" s="1286"/>
      <c r="H105" s="779">
        <f>'MSW33'!H105</f>
        <v>4</v>
      </c>
      <c r="I105" s="780">
        <f>'MSW33'!I105</f>
        <v>130</v>
      </c>
      <c r="J105" s="781" t="str">
        <f>'MSW33'!J105</f>
        <v>REP OUT</v>
      </c>
      <c r="K105" s="782" t="str">
        <f>'MSW33'!K105</f>
        <v>1 MIN</v>
      </c>
      <c r="L105" s="783" t="str">
        <f>'MSW33'!L105</f>
        <v/>
      </c>
      <c r="M105" s="1286"/>
    </row>
    <row r="106">
      <c r="A106" s="785">
        <f>'MSW33'!A106</f>
        <v>5</v>
      </c>
      <c r="B106" s="388">
        <f>'MSW33'!B106</f>
        <v>0</v>
      </c>
      <c r="C106" s="781" t="str">
        <f>'MSW33'!C106</f>
        <v>REP OUT</v>
      </c>
      <c r="D106" s="390" t="str">
        <f>'MSW33'!D106</f>
        <v>1 MIN</v>
      </c>
      <c r="E106" s="786" t="str">
        <f>'MSW33'!E106</f>
        <v/>
      </c>
      <c r="F106" s="1287"/>
      <c r="H106" s="785">
        <f>'MSW33'!H106</f>
        <v>5</v>
      </c>
      <c r="I106" s="388">
        <f>'MSW33'!I106</f>
        <v>110</v>
      </c>
      <c r="J106" s="781" t="str">
        <f>'MSW33'!J106</f>
        <v>REP OUT</v>
      </c>
      <c r="K106" s="390" t="str">
        <f>'MSW33'!K106</f>
        <v>1 MIN</v>
      </c>
      <c r="L106" s="786" t="str">
        <f>'MSW33'!L106</f>
        <v/>
      </c>
      <c r="M106" s="1287"/>
    </row>
    <row r="107">
      <c r="A107" s="787">
        <f>'MSW33'!A107</f>
        <v>6</v>
      </c>
      <c r="B107" s="788">
        <f>'MSW33'!B107</f>
        <v>0</v>
      </c>
      <c r="C107" s="789" t="str">
        <f>'MSW33'!C107</f>
        <v>REP OUT</v>
      </c>
      <c r="D107" s="397" t="str">
        <f>'MSW33'!D107</f>
        <v>1 MIN</v>
      </c>
      <c r="E107" s="790" t="str">
        <f>'MSW33'!E107</f>
        <v/>
      </c>
      <c r="F107" s="1288"/>
      <c r="H107" s="787">
        <f>'MSW33'!H107</f>
        <v>6</v>
      </c>
      <c r="I107" s="788">
        <f>'MSW33'!I107</f>
        <v>90</v>
      </c>
      <c r="J107" s="789" t="str">
        <f>'MSW33'!J107</f>
        <v>REP OUT</v>
      </c>
      <c r="K107" s="397" t="str">
        <f>'MSW33'!K107</f>
        <v>1 MIN</v>
      </c>
      <c r="L107" s="790" t="str">
        <f>'MSW33'!L107</f>
        <v/>
      </c>
      <c r="M107" s="1288" t="str">
        <f>'MSW33'!M107</f>
        <v/>
      </c>
    </row>
    <row r="108">
      <c r="A108" s="623" t="str">
        <f>'MSW33'!A108</f>
        <v/>
      </c>
    </row>
    <row r="110">
      <c r="A110" s="1217" t="str">
        <f>'MSW33'!A110</f>
        <v>2. DUMBBELL REAR DELT FLY </v>
      </c>
      <c r="B110" s="53"/>
      <c r="C110" s="53"/>
      <c r="D110" s="53"/>
      <c r="E110" s="53"/>
      <c r="F110" s="54"/>
      <c r="G110" t="str">
        <f>'MSW33'!G110</f>
        <v/>
      </c>
      <c r="H110" s="1289" t="str">
        <f>'MSW33'!H110</f>
        <v>2. MACHINE REAR DELT FLY</v>
      </c>
      <c r="I110" s="53"/>
      <c r="J110" s="53"/>
      <c r="K110" s="53"/>
      <c r="L110" s="53"/>
      <c r="M110" s="54"/>
    </row>
    <row r="111">
      <c r="A111" s="961" t="str">
        <f>'MSW33'!A111</f>
        <v>SHLDR PRSS MAX</v>
      </c>
      <c r="B111" s="76" t="str">
        <f>'MSW33'!B111</f>
        <v/>
      </c>
      <c r="C111" s="13"/>
      <c r="D111" s="13"/>
      <c r="E111" s="13"/>
      <c r="F111" s="57"/>
      <c r="H111" s="961" t="str">
        <f>'MSW33'!H111</f>
        <v>CURRENT MAX</v>
      </c>
      <c r="I111" s="76" t="str">
        <f>'MSW33'!I111</f>
        <v/>
      </c>
      <c r="J111" s="13"/>
      <c r="K111" s="13"/>
      <c r="L111" s="13"/>
      <c r="M111" s="57"/>
    </row>
    <row r="112">
      <c r="A112" s="962" t="str">
        <f>'MSW33'!A112</f>
        <v>SET</v>
      </c>
      <c r="B112" s="963" t="str">
        <f>'MSW33'!B112</f>
        <v>WEIGHT</v>
      </c>
      <c r="C112" s="963" t="str">
        <f>'MSW33'!C112</f>
        <v>REPS</v>
      </c>
      <c r="D112" s="963" t="str">
        <f>'MSW33'!D112</f>
        <v>REST</v>
      </c>
      <c r="E112" s="1005" t="str">
        <f>'MSW33'!E112</f>
        <v>PREVIOUS</v>
      </c>
      <c r="F112" s="1006" t="str">
        <f>'MSW33'!F112</f>
        <v>REP LOG</v>
      </c>
      <c r="H112" s="962" t="str">
        <f>'MSW33'!H112</f>
        <v>SET</v>
      </c>
      <c r="I112" s="963" t="str">
        <f>'MSW33'!I112</f>
        <v>WEIGHT</v>
      </c>
      <c r="J112" s="963" t="str">
        <f>'MSW33'!J112</f>
        <v>REPS</v>
      </c>
      <c r="K112" s="963" t="str">
        <f>'MSW33'!K112</f>
        <v>REST</v>
      </c>
      <c r="L112" s="1073" t="str">
        <f>'MSW33'!L112</f>
        <v>PREVIOUS</v>
      </c>
      <c r="M112" s="1006" t="str">
        <f>'MSW33'!M112</f>
        <v>REP LOG</v>
      </c>
    </row>
    <row r="113">
      <c r="A113" s="967">
        <f>'MSW33'!A113</f>
        <v>1</v>
      </c>
      <c r="B113" s="1028">
        <f>'MSW33'!B113</f>
        <v>0</v>
      </c>
      <c r="C113" s="1269" t="str">
        <f>'MSW33'!C113</f>
        <v>10 - 15</v>
      </c>
      <c r="D113" s="1067" t="str">
        <f>'MSW33'!D113</f>
        <v>1-5 MIN</v>
      </c>
      <c r="E113" s="1010" t="str">
        <f>'MSW33'!E113</f>
        <v/>
      </c>
      <c r="F113" s="1011"/>
      <c r="H113" s="967">
        <f>'MSW33'!H113</f>
        <v>1</v>
      </c>
      <c r="I113" s="1028">
        <f>'MSW33'!I113</f>
        <v>0</v>
      </c>
      <c r="J113" s="968" t="str">
        <f>'MSW33'!J113</f>
        <v>10 - 15</v>
      </c>
      <c r="K113" s="968" t="str">
        <f>'MSW33'!K113</f>
        <v>1-2 MIN</v>
      </c>
      <c r="L113" s="1235" t="str">
        <f>'MSW33'!L113</f>
        <v/>
      </c>
      <c r="M113" s="1017" t="str">
        <f>'MSW33'!M113</f>
        <v/>
      </c>
    </row>
    <row r="114">
      <c r="A114" s="967">
        <f>'MSW33'!A114</f>
        <v>2</v>
      </c>
      <c r="B114" s="1028">
        <f>'MSW33'!B114</f>
        <v>0</v>
      </c>
      <c r="C114" s="1269" t="str">
        <f>'MSW33'!C114</f>
        <v>10 - 15</v>
      </c>
      <c r="D114" s="1067" t="str">
        <f>'MSW33'!D114</f>
        <v>1-5 MIN</v>
      </c>
      <c r="E114" s="1010" t="str">
        <f>'MSW33'!E114</f>
        <v/>
      </c>
      <c r="F114" s="1011"/>
      <c r="H114" s="967">
        <f>'MSW33'!H114</f>
        <v>2</v>
      </c>
      <c r="I114" s="1028">
        <f>'MSW33'!I114</f>
        <v>0</v>
      </c>
      <c r="J114" s="968" t="str">
        <f>'MSW33'!J114</f>
        <v>10 - 15</v>
      </c>
      <c r="K114" s="968" t="str">
        <f>'MSW33'!K114</f>
        <v>1-2 MIN</v>
      </c>
      <c r="L114" s="1235" t="str">
        <f>'MSW33'!L114</f>
        <v/>
      </c>
      <c r="M114" s="1017" t="str">
        <f>'MSW33'!M114</f>
        <v/>
      </c>
    </row>
    <row r="115">
      <c r="A115" s="971">
        <f>'MSW33'!A115</f>
        <v>3</v>
      </c>
      <c r="B115" s="1123">
        <f>'MSW33'!B115</f>
        <v>0</v>
      </c>
      <c r="C115" s="1270" t="str">
        <f>'MSW33'!C115</f>
        <v>10 - 15</v>
      </c>
      <c r="D115" s="1220" t="str">
        <f>'MSW33'!D115</f>
        <v>1-5 MIN</v>
      </c>
      <c r="E115" s="1021" t="str">
        <f>'MSW33'!E115</f>
        <v/>
      </c>
      <c r="F115" s="1017" t="str">
        <f>'MSW33'!F115</f>
        <v/>
      </c>
      <c r="H115" s="971">
        <f>'MSW33'!H115</f>
        <v>3</v>
      </c>
      <c r="I115" s="1123">
        <f>'MSW33'!I115</f>
        <v>0</v>
      </c>
      <c r="J115" s="972" t="str">
        <f>'MSW33'!J115</f>
        <v>10 - 15</v>
      </c>
      <c r="K115" s="972" t="str">
        <f>'MSW33'!K115</f>
        <v>1-2 MIN</v>
      </c>
      <c r="L115" s="1271" t="str">
        <f>'MSW33'!L115</f>
        <v/>
      </c>
      <c r="M115" s="1017" t="str">
        <f>'MSW33'!M115</f>
        <v/>
      </c>
    </row>
    <row r="116">
      <c r="A116" s="1068" t="str">
        <f>'MSW33'!A116</f>
        <v/>
      </c>
      <c r="G116" t="str">
        <f>'MSW33'!G116</f>
        <v/>
      </c>
    </row>
    <row r="118">
      <c r="A118" s="1070" t="str">
        <f>'MSW33'!A118</f>
        <v>3. DUMBBELL SIDE LATERAL RAISE</v>
      </c>
      <c r="B118" s="13"/>
      <c r="C118" s="13"/>
      <c r="D118" s="13"/>
      <c r="E118" s="13"/>
      <c r="F118" s="57"/>
    </row>
    <row r="119">
      <c r="A119" s="961" t="str">
        <f>'MSW33'!A119</f>
        <v>SHLDR PRSS MAX</v>
      </c>
      <c r="B119" s="76" t="str">
        <f>'MSW33'!B119</f>
        <v/>
      </c>
      <c r="C119" s="13"/>
      <c r="D119" s="13"/>
      <c r="E119" s="13"/>
      <c r="F119" s="57"/>
    </row>
    <row r="120">
      <c r="A120" s="1071" t="str">
        <f>'MSW33'!A120</f>
        <v>SET</v>
      </c>
      <c r="B120" s="1072" t="str">
        <f>'MSW33'!B120</f>
        <v>WEIGHT</v>
      </c>
      <c r="C120" s="1072" t="str">
        <f>'MSW33'!C120</f>
        <v>REPS</v>
      </c>
      <c r="D120" s="1072" t="str">
        <f>'MSW33'!D120</f>
        <v>REST</v>
      </c>
      <c r="E120" s="1073" t="str">
        <f>'MSW33'!E120</f>
        <v>PREVIOUS</v>
      </c>
      <c r="F120" s="1006" t="str">
        <f>'MSW33'!F120</f>
        <v>REP LOG</v>
      </c>
    </row>
    <row r="121">
      <c r="A121" s="1074">
        <f>'MSW33'!A121</f>
        <v>1</v>
      </c>
      <c r="B121" s="968">
        <f>'MSW33'!B121</f>
        <v>0</v>
      </c>
      <c r="C121" s="1015" t="str">
        <f>'MSW33'!C121</f>
        <v>10 - 15</v>
      </c>
      <c r="D121" s="1076" t="str">
        <f>'MSW33'!D121</f>
        <v>1 MIN</v>
      </c>
      <c r="E121" s="1077" t="str">
        <f>'MSW33'!E121</f>
        <v/>
      </c>
      <c r="F121" s="1011"/>
    </row>
    <row r="122">
      <c r="A122" s="1074">
        <f>'MSW33'!A122</f>
        <v>2</v>
      </c>
      <c r="B122" s="968">
        <f>'MSW33'!B122</f>
        <v>0</v>
      </c>
      <c r="C122" s="1015" t="str">
        <f>'MSW33'!C122</f>
        <v>10 - 15</v>
      </c>
      <c r="D122" s="1076" t="str">
        <f>'MSW33'!D122</f>
        <v>1 MIN</v>
      </c>
      <c r="E122" s="1077" t="str">
        <f>'MSW33'!E122</f>
        <v/>
      </c>
      <c r="F122" s="1011"/>
    </row>
    <row r="123">
      <c r="A123" s="1078">
        <f>'MSW33'!A123</f>
        <v>3</v>
      </c>
      <c r="B123" s="972">
        <f>'MSW33'!B123</f>
        <v>0</v>
      </c>
      <c r="C123" s="1019" t="str">
        <f>'MSW33'!C123</f>
        <v>10 - 15</v>
      </c>
      <c r="D123" s="1080" t="str">
        <f>'MSW33'!D123</f>
        <v>1 MIN</v>
      </c>
      <c r="E123" s="31" t="str">
        <f>'MSW33'!E123</f>
        <v/>
      </c>
      <c r="F123" s="1017" t="str">
        <f>'MSW33'!F123</f>
        <v/>
      </c>
    </row>
    <row r="126">
      <c r="A126" s="1217" t="str">
        <f>'MSW33'!A126</f>
        <v>2.  TRICEP OVERHEAD ROPE EXTENSION</v>
      </c>
      <c r="B126" s="53"/>
      <c r="C126" s="53"/>
      <c r="D126" s="53"/>
      <c r="E126" s="53"/>
      <c r="F126" s="54"/>
    </row>
    <row r="127">
      <c r="A127" s="961" t="str">
        <f>'MSW33'!A127</f>
        <v>CURRENT MAX</v>
      </c>
      <c r="B127" s="76">
        <f>'MSW33'!B127</f>
        <v>5</v>
      </c>
      <c r="C127" s="13"/>
      <c r="D127" s="13"/>
      <c r="E127" s="13"/>
      <c r="F127" s="57"/>
    </row>
    <row r="128">
      <c r="A128" s="1071" t="str">
        <f>'MSW33'!A128</f>
        <v>SET</v>
      </c>
      <c r="B128" s="1072" t="str">
        <f>'MSW33'!B128</f>
        <v>WEIGHT</v>
      </c>
      <c r="C128" s="1072" t="str">
        <f>'MSW33'!C128</f>
        <v>REPS</v>
      </c>
      <c r="D128" s="1072" t="str">
        <f>'MSW33'!D128</f>
        <v>REST</v>
      </c>
      <c r="E128" s="1073" t="str">
        <f>'MSW33'!E128</f>
        <v>PREVIOUS</v>
      </c>
      <c r="F128" s="1006" t="str">
        <f>'MSW33'!F128</f>
        <v>REP LOG</v>
      </c>
    </row>
    <row r="129">
      <c r="A129" s="1074">
        <f>'MSW33'!A129</f>
        <v>1</v>
      </c>
      <c r="B129" s="968">
        <f>'MSW33'!B129</f>
        <v>5</v>
      </c>
      <c r="C129" s="1015" t="str">
        <f>'MSW33'!C129</f>
        <v>10 - 15</v>
      </c>
      <c r="D129" s="1076" t="str">
        <f>'MSW33'!D129</f>
        <v>1MIN</v>
      </c>
      <c r="E129" s="1290" t="str">
        <f>'MSW33'!E129</f>
        <v/>
      </c>
      <c r="F129" s="1011"/>
    </row>
    <row r="130">
      <c r="A130" s="1074">
        <f>'MSW33'!A130</f>
        <v>2</v>
      </c>
      <c r="B130" s="968">
        <f>'MSW33'!B130</f>
        <v>5</v>
      </c>
      <c r="C130" s="1015" t="str">
        <f>'MSW33'!C130</f>
        <v>10 - 15</v>
      </c>
      <c r="D130" s="1076" t="str">
        <f>'MSW33'!D130</f>
        <v>1MIN</v>
      </c>
      <c r="E130" s="1290" t="str">
        <f>'MSW33'!E130</f>
        <v/>
      </c>
      <c r="F130" s="1011"/>
    </row>
    <row r="131">
      <c r="A131" s="1078">
        <f>'MSW33'!A131</f>
        <v>3</v>
      </c>
      <c r="B131" s="972">
        <f>'MSW33'!B131</f>
        <v>5</v>
      </c>
      <c r="C131" s="1019" t="str">
        <f>'MSW33'!C131</f>
        <v>10 - 15</v>
      </c>
      <c r="D131" s="1080" t="str">
        <f>'MSW33'!D131</f>
        <v>1MIN</v>
      </c>
      <c r="E131" s="1291" t="str">
        <f>'MSW33'!E131</f>
        <v/>
      </c>
      <c r="F131" s="1011"/>
    </row>
    <row r="134">
      <c r="A134" s="1217" t="str">
        <f>'MSW33'!A134</f>
        <v>4. ALTERNATING DUMBBELL BICEP CURLS</v>
      </c>
      <c r="B134" s="53"/>
      <c r="C134" s="53"/>
      <c r="D134" s="53"/>
      <c r="E134" s="53"/>
      <c r="F134" s="54"/>
    </row>
    <row r="135">
      <c r="A135" s="961" t="str">
        <f>'MSW33'!A135</f>
        <v>CURRENT MAX</v>
      </c>
      <c r="B135" s="76">
        <f>'MSW33'!B135</f>
        <v>25</v>
      </c>
      <c r="C135" s="13"/>
      <c r="D135" s="13"/>
      <c r="E135" s="13"/>
      <c r="F135" s="57"/>
    </row>
    <row r="136">
      <c r="A136" s="962" t="str">
        <f>'MSW33'!A136</f>
        <v>SET</v>
      </c>
      <c r="B136" s="963" t="str">
        <f>'MSW33'!B136</f>
        <v>WEIGHT</v>
      </c>
      <c r="C136" s="963" t="str">
        <f>'MSW33'!C136</f>
        <v>REPS</v>
      </c>
      <c r="D136" s="963" t="str">
        <f>'MSW33'!D136</f>
        <v>REST</v>
      </c>
      <c r="E136" s="1073" t="str">
        <f>'MSW33'!E136</f>
        <v>PREVIOUS</v>
      </c>
      <c r="F136" s="1292" t="str">
        <f>'MSW33'!F136</f>
        <v>REP LOG</v>
      </c>
    </row>
    <row r="137">
      <c r="A137" s="967">
        <f>'MSW33'!A137</f>
        <v>1</v>
      </c>
      <c r="B137" s="968">
        <f>'MSW33'!B137</f>
        <v>20</v>
      </c>
      <c r="C137" s="968" t="str">
        <f>'MSW33'!C137</f>
        <v>10 - 15</v>
      </c>
      <c r="D137" s="1076" t="str">
        <f>'MSW33'!D137</f>
        <v>1 MIN</v>
      </c>
      <c r="E137" s="1010" t="str">
        <f>'MSW33'!E137</f>
        <v/>
      </c>
      <c r="F137" s="1131"/>
    </row>
    <row r="138">
      <c r="A138" s="967">
        <f>'MSW33'!A138</f>
        <v>2</v>
      </c>
      <c r="B138" s="968">
        <f>'MSW33'!B138</f>
        <v>15</v>
      </c>
      <c r="C138" s="968" t="str">
        <f>'MSW33'!C138</f>
        <v>10 - 15</v>
      </c>
      <c r="D138" s="1076" t="str">
        <f>'MSW33'!D138</f>
        <v>1 MIN</v>
      </c>
      <c r="E138" s="1010" t="str">
        <f>'MSW33'!E138</f>
        <v/>
      </c>
      <c r="F138" s="1131"/>
    </row>
    <row r="139">
      <c r="A139" s="971">
        <f>'MSW33'!A139</f>
        <v>3</v>
      </c>
      <c r="B139" s="972">
        <f>'MSW33'!B139</f>
        <v>10</v>
      </c>
      <c r="C139" s="972" t="str">
        <f>'MSW33'!C139</f>
        <v>10 - 15</v>
      </c>
      <c r="D139" s="1080" t="str">
        <f>'MSW33'!D139</f>
        <v>1 MIN</v>
      </c>
      <c r="E139" s="1021" t="str">
        <f>'MSW33'!E139</f>
        <v/>
      </c>
      <c r="F139" s="984"/>
    </row>
    <row r="140">
      <c r="A140" t="str">
        <f>'MSW33'!A140</f>
        <v/>
      </c>
    </row>
    <row r="142">
      <c r="A142" s="1149" t="str">
        <f>'MSW33'!A142</f>
        <v>WORKOUT COMPLETE!</v>
      </c>
      <c r="B142" s="36"/>
      <c r="C142" s="36"/>
      <c r="D142" s="36"/>
      <c r="E142" s="36"/>
      <c r="F142" s="37"/>
    </row>
    <row r="143">
      <c r="A143" s="623" t="str">
        <f>'MSW33'!A143</f>
        <v/>
      </c>
    </row>
    <row r="144">
      <c r="A144" s="1275" t="str">
        <f>'MSW33'!A144</f>
        <v>WANT TO LEARN MORE?</v>
      </c>
      <c r="B144" s="25"/>
      <c r="C144" s="25"/>
      <c r="D144" s="25"/>
      <c r="E144" s="25"/>
      <c r="F144" s="26"/>
    </row>
    <row r="145">
      <c r="A145" s="336"/>
      <c r="B145" s="11"/>
      <c r="C145" s="11"/>
      <c r="D145" s="11"/>
      <c r="E145" s="11"/>
      <c r="F145" s="46"/>
    </row>
    <row r="146">
      <c r="A146" s="1276" t="str">
        <f>'MSW33'!A146</f>
        <v/>
      </c>
      <c r="B146" s="999" t="str">
        <f>'MSW33'!B146</f>
        <v/>
      </c>
      <c r="C146" s="1150" t="str">
        <f>'MSW33'!C146</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46" s="28"/>
    </row>
    <row r="147">
      <c r="A147" s="1276" t="str">
        <f>'MSW33'!A147</f>
        <v/>
      </c>
      <c r="B147" s="999" t="str">
        <f>'MSW33'!B147</f>
        <v/>
      </c>
      <c r="F147" s="28"/>
    </row>
    <row r="148">
      <c r="A148" s="1276" t="str">
        <f>'MSW33'!A148</f>
        <v/>
      </c>
      <c r="B148" s="999" t="str">
        <f>'MSW33'!B148</f>
        <v/>
      </c>
      <c r="F148" s="28"/>
    </row>
    <row r="149">
      <c r="A149" s="1276" t="str">
        <f>'MSW33'!A149</f>
        <v/>
      </c>
      <c r="B149" s="999" t="str">
        <f>'MSW33'!B149</f>
        <v/>
      </c>
      <c r="F149" s="28"/>
    </row>
    <row r="150">
      <c r="A150" s="1276" t="str">
        <f>'MSW33'!A150</f>
        <v/>
      </c>
      <c r="B150" s="999" t="str">
        <f>'MSW33'!B150</f>
        <v/>
      </c>
      <c r="F150" s="28"/>
    </row>
    <row r="151">
      <c r="A151" s="1276" t="str">
        <f>'MSW33'!A151</f>
        <v/>
      </c>
      <c r="B151" s="999" t="str">
        <f>'MSW33'!B151</f>
        <v/>
      </c>
      <c r="F151" s="28"/>
    </row>
    <row r="152">
      <c r="A152" s="1277" t="str">
        <f>'MSW33'!A152</f>
        <v/>
      </c>
      <c r="B152" s="999" t="str">
        <f>'MSW33'!B152</f>
        <v/>
      </c>
      <c r="F152" s="28"/>
    </row>
    <row r="153">
      <c r="A153" s="1276" t="str">
        <f>'MSW33'!A153</f>
        <v/>
      </c>
      <c r="B153" s="999" t="str">
        <f>'MSW33'!B153</f>
        <v/>
      </c>
      <c r="F153" s="28"/>
    </row>
    <row r="154">
      <c r="A154" s="1276" t="str">
        <f>'MSW33'!A154</f>
        <v/>
      </c>
      <c r="B154" s="999" t="str">
        <f>'MSW33'!B154</f>
        <v/>
      </c>
      <c r="F154" s="28"/>
    </row>
    <row r="155">
      <c r="A155" s="1278" t="str">
        <f>'MSW33'!A155</f>
        <v/>
      </c>
      <c r="B155" s="999" t="str">
        <f>'MSW33'!B155</f>
        <v/>
      </c>
      <c r="F155" s="28"/>
    </row>
    <row r="156">
      <c r="A156" s="1276" t="str">
        <f>'MSW33'!A156</f>
        <v/>
      </c>
      <c r="B156" s="999" t="str">
        <f>'MSW33'!B156</f>
        <v/>
      </c>
      <c r="F156" s="28"/>
    </row>
    <row r="157">
      <c r="A157" s="1276" t="str">
        <f>'MSW33'!A157</f>
        <v/>
      </c>
      <c r="B157" s="999" t="str">
        <f>'MSW33'!B157</f>
        <v/>
      </c>
      <c r="F157" s="28"/>
    </row>
    <row r="158">
      <c r="A158" s="1276" t="str">
        <f>'MSW33'!A158</f>
        <v/>
      </c>
      <c r="B158" s="999" t="str">
        <f>'MSW33'!B158</f>
        <v/>
      </c>
      <c r="F158" s="28"/>
    </row>
    <row r="159">
      <c r="A159" s="1276" t="str">
        <f>'MSW33'!A159</f>
        <v/>
      </c>
      <c r="B159" s="999" t="str">
        <f>'MSW33'!B159</f>
        <v/>
      </c>
      <c r="F159" s="28"/>
    </row>
    <row r="160">
      <c r="A160" s="1279" t="str">
        <f>'MSW33'!A160</f>
        <v/>
      </c>
      <c r="B160" s="1280" t="str">
        <f>'MSW33'!B160</f>
        <v/>
      </c>
      <c r="C160" s="11"/>
      <c r="D160" s="11"/>
      <c r="E160" s="11"/>
      <c r="F160" s="46"/>
    </row>
  </sheetData>
  <mergeCells count="79">
    <mergeCell ref="A99:F99"/>
    <mergeCell ref="A100:F100"/>
    <mergeCell ref="A87:F87"/>
    <mergeCell ref="B88:F88"/>
    <mergeCell ref="A93:F93"/>
    <mergeCell ref="A94:F94"/>
    <mergeCell ref="A95:F95"/>
    <mergeCell ref="A96:F96"/>
    <mergeCell ref="A97:F98"/>
    <mergeCell ref="A118:F118"/>
    <mergeCell ref="B119:F119"/>
    <mergeCell ref="A108:M109"/>
    <mergeCell ref="A110:F110"/>
    <mergeCell ref="G110:G115"/>
    <mergeCell ref="H110:M110"/>
    <mergeCell ref="B111:F111"/>
    <mergeCell ref="I111:M111"/>
    <mergeCell ref="A116:F117"/>
    <mergeCell ref="A142:F142"/>
    <mergeCell ref="A143:F143"/>
    <mergeCell ref="A124:F125"/>
    <mergeCell ref="A126:F126"/>
    <mergeCell ref="B127:F127"/>
    <mergeCell ref="A132:F133"/>
    <mergeCell ref="A134:F134"/>
    <mergeCell ref="B135:F135"/>
    <mergeCell ref="A140:F141"/>
    <mergeCell ref="A1:M8"/>
    <mergeCell ref="A9:F9"/>
    <mergeCell ref="G9:G11"/>
    <mergeCell ref="H9:M9"/>
    <mergeCell ref="A10:F11"/>
    <mergeCell ref="H10:M10"/>
    <mergeCell ref="G12:M14"/>
    <mergeCell ref="A12:F12"/>
    <mergeCell ref="A13:F13"/>
    <mergeCell ref="A15:F15"/>
    <mergeCell ref="G15:G24"/>
    <mergeCell ref="A16:F16"/>
    <mergeCell ref="B17:F17"/>
    <mergeCell ref="A22:F28"/>
    <mergeCell ref="A29:F29"/>
    <mergeCell ref="B30:F30"/>
    <mergeCell ref="A36:F36"/>
    <mergeCell ref="A39:F39"/>
    <mergeCell ref="B42:F42"/>
    <mergeCell ref="A45:F45"/>
    <mergeCell ref="B46:F46"/>
    <mergeCell ref="A53:F53"/>
    <mergeCell ref="B54:F54"/>
    <mergeCell ref="A59:F60"/>
    <mergeCell ref="A61:F61"/>
    <mergeCell ref="A62:F62"/>
    <mergeCell ref="A63:F63"/>
    <mergeCell ref="A64:F65"/>
    <mergeCell ref="H15:M15"/>
    <mergeCell ref="H16:M16"/>
    <mergeCell ref="I17:M17"/>
    <mergeCell ref="G25:M86"/>
    <mergeCell ref="G87:G89"/>
    <mergeCell ref="H87:M87"/>
    <mergeCell ref="I88:M88"/>
    <mergeCell ref="G116:M160"/>
    <mergeCell ref="G90:G91"/>
    <mergeCell ref="G93:M98"/>
    <mergeCell ref="G99:G107"/>
    <mergeCell ref="H99:M99"/>
    <mergeCell ref="H100:M100"/>
    <mergeCell ref="B101:F101"/>
    <mergeCell ref="I101:M101"/>
    <mergeCell ref="A144:F145"/>
    <mergeCell ref="C146:F160"/>
    <mergeCell ref="A66:F66"/>
    <mergeCell ref="B67:F67"/>
    <mergeCell ref="B76:F76"/>
    <mergeCell ref="A77:F78"/>
    <mergeCell ref="A79:F79"/>
    <mergeCell ref="B80:F80"/>
    <mergeCell ref="A85:F85"/>
  </mergeCells>
  <dataValidations>
    <dataValidation type="decimal" allowBlank="1" showDropDown="1" showInputMessage="1" showErrorMessage="1" prompt="Enter a number between 0 and 30" sqref="F14 F18:F21 M18:M24 F31:F35 F37:F38 F40:F41 F43:F44 F47:F52 F55:F58 F68:F75 F81:F84 F86 F89:F92 M89:M92 F102:F107 M102:M107 F112:F115 M112:M115 F120:F123 F128:F131 F136:F139">
      <formula1>0.0</formula1>
      <formula2>30.0</formula2>
    </dataValidation>
    <dataValidation type="decimal" operator="greaterThan" allowBlank="1" showDropDown="1" showErrorMessage="1" sqref="M11">
      <formula1>0.0</formula1>
    </dataValidation>
  </dataValidations>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293" t="s">
        <v>337</v>
      </c>
      <c r="B9" s="36"/>
      <c r="C9" s="36"/>
      <c r="D9" s="36"/>
      <c r="E9" s="36"/>
      <c r="F9" s="37"/>
      <c r="G9" s="419"/>
      <c r="H9" s="24" t="s">
        <v>35</v>
      </c>
      <c r="I9" s="25"/>
      <c r="J9" s="25"/>
      <c r="K9" s="25"/>
      <c r="L9" s="25"/>
      <c r="M9" s="26"/>
    </row>
    <row r="10">
      <c r="A10" s="719" t="str">
        <f>HYPERLINK("https://goo.gl/forms/3ibooB993Hi7SS2d2","PRESS TO RECORD BODY WEIGHT")</f>
        <v>PRESS TO RECORD BODY WEIGHT</v>
      </c>
      <c r="B10" s="25"/>
      <c r="C10" s="25"/>
      <c r="D10" s="25"/>
      <c r="E10" s="25"/>
      <c r="F10" s="26"/>
      <c r="G10" s="419"/>
      <c r="H10" s="147" t="s">
        <v>338</v>
      </c>
      <c r="M10" s="28"/>
    </row>
    <row r="11">
      <c r="A11" s="336"/>
      <c r="B11" s="11"/>
      <c r="C11" s="11"/>
      <c r="D11" s="11"/>
      <c r="E11" s="11"/>
      <c r="F11" s="46"/>
      <c r="G11" s="419"/>
      <c r="H11" s="29" t="s">
        <v>339</v>
      </c>
      <c r="I11" s="30"/>
      <c r="J11" s="30"/>
      <c r="K11" s="30"/>
      <c r="L11" s="30"/>
      <c r="M11" s="31"/>
    </row>
    <row r="12">
      <c r="A12" s="720" t="s">
        <v>69</v>
      </c>
      <c r="B12" s="36"/>
      <c r="C12" s="36"/>
      <c r="D12" s="36"/>
      <c r="E12" s="36"/>
      <c r="F12" s="37"/>
      <c r="G12" s="419"/>
      <c r="H12" s="419"/>
      <c r="I12" s="419"/>
      <c r="J12" s="419"/>
      <c r="K12" s="419"/>
      <c r="L12" s="717"/>
      <c r="M12" s="419"/>
    </row>
    <row r="13">
      <c r="A13" s="721" t="s">
        <v>149</v>
      </c>
      <c r="B13" s="36"/>
      <c r="C13" s="36"/>
      <c r="D13" s="36"/>
      <c r="E13" s="36"/>
      <c r="F13" s="37"/>
      <c r="G13" s="419"/>
      <c r="H13" s="419"/>
      <c r="I13" s="419"/>
      <c r="J13" s="419"/>
      <c r="K13" s="419"/>
      <c r="L13" s="717"/>
      <c r="M13" s="419"/>
    </row>
    <row r="14">
      <c r="A14" s="653"/>
      <c r="B14" s="653"/>
      <c r="C14" s="653"/>
      <c r="D14" s="653"/>
      <c r="E14" s="654"/>
      <c r="F14" s="141"/>
      <c r="G14" s="419"/>
      <c r="H14" s="419"/>
      <c r="I14" s="419"/>
      <c r="J14" s="419"/>
      <c r="K14" s="419"/>
      <c r="L14" s="717"/>
      <c r="M14" s="419"/>
    </row>
    <row r="15">
      <c r="A15" s="50" t="s">
        <v>47</v>
      </c>
      <c r="B15" s="36"/>
      <c r="C15" s="36"/>
      <c r="D15" s="36"/>
      <c r="E15" s="36"/>
      <c r="F15" s="37"/>
      <c r="G15" s="722"/>
      <c r="H15" s="429" t="s">
        <v>118</v>
      </c>
      <c r="I15" s="36"/>
      <c r="J15" s="36"/>
      <c r="K15" s="36"/>
      <c r="L15" s="36"/>
      <c r="M15" s="37"/>
    </row>
    <row r="16">
      <c r="A16" s="657"/>
      <c r="B16" s="657"/>
      <c r="C16" s="657"/>
      <c r="D16" s="657"/>
      <c r="E16" s="657"/>
      <c r="F16" s="657"/>
      <c r="G16" s="722"/>
      <c r="H16" s="657"/>
      <c r="I16" s="657"/>
      <c r="J16" s="657"/>
      <c r="K16" s="657"/>
      <c r="L16" s="657"/>
      <c r="M16" s="657"/>
    </row>
    <row r="17">
      <c r="A17" s="657"/>
      <c r="B17" s="657"/>
      <c r="C17" s="657"/>
      <c r="D17" s="657"/>
      <c r="E17" s="657"/>
      <c r="F17" s="657"/>
      <c r="G17" s="722"/>
      <c r="H17" s="657"/>
      <c r="I17" s="657"/>
      <c r="J17" s="657"/>
      <c r="K17" s="657"/>
      <c r="L17" s="657"/>
      <c r="M17" s="657"/>
    </row>
    <row r="18">
      <c r="A18" s="51" t="s">
        <v>48</v>
      </c>
      <c r="B18" s="36"/>
      <c r="C18" s="36"/>
      <c r="D18" s="36"/>
      <c r="E18" s="36"/>
      <c r="F18" s="37"/>
      <c r="G18" s="722"/>
      <c r="H18" s="51" t="s">
        <v>48</v>
      </c>
      <c r="I18" s="36"/>
      <c r="J18" s="36"/>
      <c r="K18" s="36"/>
      <c r="L18" s="36"/>
      <c r="M18" s="37"/>
    </row>
    <row r="19">
      <c r="A19" s="93" t="str">
        <f>HYPERLINK("https://youtu.be/iLgUDezDMbU","1. BENCH PRESS")</f>
        <v>1. BENCH PRESS</v>
      </c>
      <c r="B19" s="53"/>
      <c r="C19" s="53"/>
      <c r="D19" s="53"/>
      <c r="E19" s="53"/>
      <c r="F19" s="54"/>
      <c r="G19" s="722"/>
      <c r="H19" s="93" t="str">
        <f>HYPERLINK("https://youtu.be/75e_H9Vq_Lw","1. MACHINE PRESS")</f>
        <v>1. MACHINE PRESS</v>
      </c>
      <c r="I19" s="53"/>
      <c r="J19" s="53"/>
      <c r="K19" s="53"/>
      <c r="L19" s="53"/>
      <c r="M19" s="54"/>
    </row>
    <row r="20">
      <c r="A20" s="226" t="s">
        <v>119</v>
      </c>
      <c r="B20" s="691">
        <f>'WEEK 33'!B17</f>
        <v>250</v>
      </c>
      <c r="C20" s="13"/>
      <c r="D20" s="13"/>
      <c r="E20" s="13"/>
      <c r="F20" s="57"/>
      <c r="G20" s="722"/>
      <c r="H20" s="226" t="s">
        <v>119</v>
      </c>
      <c r="I20" s="691" t="str">
        <f>if('WEEK 32'!I34="",'WEEK 31'!Q34,'WEEK 32'!I34)</f>
        <v/>
      </c>
      <c r="J20" s="13"/>
      <c r="K20" s="13"/>
      <c r="L20" s="13"/>
      <c r="M20" s="57"/>
    </row>
    <row r="21">
      <c r="A21" s="96" t="s">
        <v>50</v>
      </c>
      <c r="B21" s="97" t="s">
        <v>51</v>
      </c>
      <c r="C21" s="97" t="s">
        <v>52</v>
      </c>
      <c r="D21" s="97" t="s">
        <v>53</v>
      </c>
      <c r="E21" s="341" t="s">
        <v>54</v>
      </c>
      <c r="F21" s="235" t="s">
        <v>55</v>
      </c>
      <c r="G21" s="723"/>
      <c r="H21" s="96" t="s">
        <v>50</v>
      </c>
      <c r="I21" s="97" t="s">
        <v>51</v>
      </c>
      <c r="J21" s="97" t="s">
        <v>52</v>
      </c>
      <c r="K21" s="97" t="s">
        <v>53</v>
      </c>
      <c r="L21" s="341" t="s">
        <v>54</v>
      </c>
      <c r="M21" s="235" t="s">
        <v>55</v>
      </c>
    </row>
    <row r="22">
      <c r="A22" s="725">
        <v>1.0</v>
      </c>
      <c r="B22" s="1473">
        <f>IF( 'WEEK 34'!B20&lt;125,45, mround('WEEK 34'!B20*0.9*0.35,5))</f>
        <v>70</v>
      </c>
      <c r="C22" s="344">
        <v>6.0</v>
      </c>
      <c r="D22" s="343" t="s">
        <v>150</v>
      </c>
      <c r="E22" s="66" t="str">
        <f>IF('WEEK 34'!B22='WEEK 30'!B22,'WEEK 30'!F22,"")</f>
        <v/>
      </c>
      <c r="F22" s="85"/>
      <c r="G22" s="423"/>
      <c r="H22" s="725">
        <v>1.0</v>
      </c>
      <c r="I22" s="344">
        <f>mround('WEEK 34'!I20*0.9*0.35,5)</f>
        <v>0</v>
      </c>
      <c r="J22" s="344">
        <v>6.0</v>
      </c>
      <c r="K22" s="343" t="s">
        <v>150</v>
      </c>
      <c r="L22" s="66" t="str">
        <f>IF('WEEK 34'!I22='WEEK 30'!T22,'WEEK 30'!T22,"")</f>
        <v/>
      </c>
      <c r="M22" s="85"/>
    </row>
    <row r="23">
      <c r="A23" s="725">
        <v>2.0</v>
      </c>
      <c r="B23" s="1474">
        <f>IF( 'WEEK 34'!B20&lt;70,MROUND('WEEK 34'!B20*0.78,5),MROUND('WEEK 34'!B20*0.9*0.72,5))</f>
        <v>145</v>
      </c>
      <c r="C23" s="344">
        <v>1.0</v>
      </c>
      <c r="D23" s="343" t="s">
        <v>151</v>
      </c>
      <c r="E23" s="66" t="str">
        <f>IF('WEEK 34'!B23='WEEK 30'!B23,'WEEK 30'!F23,"")</f>
        <v/>
      </c>
      <c r="F23" s="85"/>
      <c r="G23" s="423"/>
      <c r="H23" s="725">
        <v>2.0</v>
      </c>
      <c r="I23" s="344">
        <f>mround('WEEK 34'!I20*0.9*0.72,5)</f>
        <v>0</v>
      </c>
      <c r="J23" s="344">
        <v>1.0</v>
      </c>
      <c r="K23" s="343" t="s">
        <v>151</v>
      </c>
      <c r="L23" s="66" t="str">
        <f>IF('WEEK 34'!I23='WEEK 30'!T23,'WEEK 30'!T23,"")</f>
        <v/>
      </c>
      <c r="M23" s="85"/>
    </row>
    <row r="24">
      <c r="A24" s="725">
        <v>3.0</v>
      </c>
      <c r="B24" s="344">
        <f>mround('WEEK 34'!B20*0.9*0.9,5)</f>
        <v>180</v>
      </c>
      <c r="C24" s="344">
        <v>1.0</v>
      </c>
      <c r="D24" s="343" t="s">
        <v>57</v>
      </c>
      <c r="E24" s="66" t="str">
        <f>IF('WEEK 34'!B24='WEEK 30'!B24,'WEEK 30'!F24,"")</f>
        <v/>
      </c>
      <c r="F24" s="85"/>
      <c r="G24" s="423"/>
      <c r="H24" s="725">
        <v>3.0</v>
      </c>
      <c r="I24" s="344">
        <f>mround('WEEK 34'!I20*0.9*0.9,5)</f>
        <v>0</v>
      </c>
      <c r="J24" s="344">
        <v>1.0</v>
      </c>
      <c r="K24" s="343" t="s">
        <v>57</v>
      </c>
      <c r="L24" s="66" t="str">
        <f>IF('WEEK 34'!I24='WEEK 30'!T24,'WEEK 30'!T24,"")</f>
        <v/>
      </c>
      <c r="M24" s="85"/>
    </row>
    <row r="25">
      <c r="A25" s="730" t="s">
        <v>152</v>
      </c>
      <c r="B25" s="13"/>
      <c r="C25" s="13"/>
      <c r="D25" s="13"/>
      <c r="E25" s="13"/>
      <c r="F25" s="57"/>
      <c r="G25" s="731" t="s">
        <v>123</v>
      </c>
      <c r="H25" s="730" t="s">
        <v>152</v>
      </c>
      <c r="I25" s="13"/>
      <c r="J25" s="13"/>
      <c r="K25" s="13"/>
      <c r="L25" s="13"/>
      <c r="M25" s="57"/>
    </row>
    <row r="26">
      <c r="A26" s="96" t="s">
        <v>50</v>
      </c>
      <c r="B26" s="97" t="s">
        <v>51</v>
      </c>
      <c r="C26" s="97" t="s">
        <v>52</v>
      </c>
      <c r="D26" s="97" t="s">
        <v>53</v>
      </c>
      <c r="E26" s="341" t="s">
        <v>54</v>
      </c>
      <c r="F26" s="235" t="s">
        <v>55</v>
      </c>
      <c r="H26" s="96" t="s">
        <v>50</v>
      </c>
      <c r="I26" s="97" t="s">
        <v>51</v>
      </c>
      <c r="J26" s="97" t="s">
        <v>52</v>
      </c>
      <c r="K26" s="97" t="s">
        <v>53</v>
      </c>
      <c r="L26" s="341" t="s">
        <v>54</v>
      </c>
      <c r="M26" s="235" t="s">
        <v>55</v>
      </c>
    </row>
    <row r="27">
      <c r="A27" s="342">
        <v>1.0</v>
      </c>
      <c r="B27" s="348">
        <f>mround('WEEK 34'!B20*1*0.9,5)</f>
        <v>205</v>
      </c>
      <c r="C27" s="437" t="s">
        <v>65</v>
      </c>
      <c r="D27" s="343" t="s">
        <v>122</v>
      </c>
      <c r="E27" s="66" t="str">
        <f>IF('WEEK 34'!B27='WEEK 30'!B27,'WEEK 30'!F27,"")</f>
        <v/>
      </c>
      <c r="F27" s="85"/>
      <c r="G27" s="423"/>
      <c r="H27" s="725">
        <v>1.0</v>
      </c>
      <c r="I27" s="348">
        <f>mround('WEEK 34'!I20*1*0.9,5)</f>
        <v>0</v>
      </c>
      <c r="J27" s="437" t="s">
        <v>65</v>
      </c>
      <c r="K27" s="343" t="s">
        <v>122</v>
      </c>
      <c r="L27" s="66" t="str">
        <f>IF('WEEK 34'!I27='WEEK 30'!T27,'WEEK 30'!T27,"")</f>
        <v/>
      </c>
      <c r="M27" s="85"/>
    </row>
    <row r="28">
      <c r="A28" s="725">
        <v>2.0</v>
      </c>
      <c r="B28" s="348">
        <f>IF('WEEK 34'!F27&lt;3,MROUND('WEEK 34'!B27*0.75,5),IF('WEEK 34'!F27&lt;6,MROUND('WEEK 34'!B27*0.85,5),mround('WEEK 34'!B27*0.9,5)))</f>
        <v>185</v>
      </c>
      <c r="C28" s="437" t="s">
        <v>65</v>
      </c>
      <c r="D28" s="343" t="s">
        <v>122</v>
      </c>
      <c r="E28" s="66" t="str">
        <f>IF('WEEK 34'!B28='WEEK 30'!B28,'WEEK 30'!F28,"")</f>
        <v/>
      </c>
      <c r="F28" s="85"/>
      <c r="G28" s="722"/>
      <c r="H28" s="725">
        <v>2.0</v>
      </c>
      <c r="I28" s="348">
        <f>IF('WEEK 34'!M27&lt;3,MROUND('WEEK 34'!I27*0.75,5),IF('WEEK 34'!M27&lt;6,MROUND('WEEK 34'!I27*0.85,5),mround('WEEK 34'!I27*0.9,5)))</f>
        <v>0</v>
      </c>
      <c r="J28" s="437" t="s">
        <v>65</v>
      </c>
      <c r="K28" s="343" t="s">
        <v>122</v>
      </c>
      <c r="L28" s="66" t="str">
        <f>IF('WEEK 34'!I28='WEEK 30'!T28,'WEEK 30'!T28,"")</f>
        <v/>
      </c>
      <c r="M28" s="85"/>
    </row>
    <row r="29">
      <c r="A29" s="485">
        <v>3.0</v>
      </c>
      <c r="B29" s="732">
        <f>IF('WEEK 34'!F28&lt;3,MROUND('WEEK 34'!B28*0.75,5),IF('WEEK 34'!F28&lt;6,MROUND('WEEK 34'!B28*0.85,5),mround('WEEK 34'!B28*0.9,5)))</f>
        <v>165</v>
      </c>
      <c r="C29" s="733" t="s">
        <v>65</v>
      </c>
      <c r="D29" s="486" t="s">
        <v>122</v>
      </c>
      <c r="E29" s="66" t="str">
        <f>IF('WEEK 34'!B29='WEEK 30'!B29,'WEEK 30'!F29,"")</f>
        <v/>
      </c>
      <c r="F29" s="85"/>
      <c r="G29" s="722"/>
      <c r="H29" s="735">
        <v>3.0</v>
      </c>
      <c r="I29" s="736">
        <f>IF('WEEK 34'!M28&lt;3,MROUND('WEEK 34'!I28*0.75,5),IF('WEEK 34'!M28&lt;6,MROUND('WEEK 34'!I28*0.85,5),mround('WEEK 34'!I28*0.9,5)))</f>
        <v>0</v>
      </c>
      <c r="J29" s="737" t="s">
        <v>65</v>
      </c>
      <c r="K29" s="738" t="s">
        <v>122</v>
      </c>
      <c r="L29" s="66" t="str">
        <f>IF('WEEK 34'!I29='WEEK 30'!T29,'WEEK 30'!T29,"")</f>
        <v/>
      </c>
      <c r="M29" s="330"/>
    </row>
    <row r="30">
      <c r="A30" s="740"/>
      <c r="B30" s="740"/>
      <c r="C30" s="740"/>
      <c r="D30" s="740"/>
      <c r="E30" s="741"/>
      <c r="F30" s="419"/>
      <c r="G30" s="722"/>
      <c r="H30" s="742"/>
      <c r="I30" s="742"/>
      <c r="J30" s="742"/>
      <c r="K30" s="742"/>
      <c r="L30" s="742"/>
      <c r="M30" s="742"/>
    </row>
    <row r="31">
      <c r="A31" s="740"/>
      <c r="B31" s="740"/>
      <c r="C31" s="740"/>
      <c r="D31" s="740"/>
      <c r="E31" s="741"/>
      <c r="F31" s="419"/>
      <c r="G31" s="419"/>
      <c r="H31" s="657"/>
      <c r="I31" s="657"/>
      <c r="J31" s="657"/>
      <c r="K31" s="657"/>
      <c r="L31" s="657"/>
      <c r="M31" s="657"/>
    </row>
    <row r="32">
      <c r="A32" s="440" t="str">
        <f>HYPERLINK("https://www.youtube.com/watch?v=mGv8D2DGyNQ","2. DB CHEST FLY")</f>
        <v>2. DB CHEST FLY</v>
      </c>
      <c r="B32" s="53"/>
      <c r="C32" s="53"/>
      <c r="D32" s="53"/>
      <c r="E32" s="53"/>
      <c r="F32" s="54"/>
      <c r="G32" s="419"/>
      <c r="H32" s="504" t="str">
        <f>HYPERLINK("https://www.youtube.com/watch?v=THb0dhfIu1k","2. MACHINE CHEST FLY")</f>
        <v>2. MACHINE CHEST FLY</v>
      </c>
      <c r="I32" s="53"/>
      <c r="J32" s="53"/>
      <c r="K32" s="53"/>
      <c r="L32" s="53"/>
      <c r="M32" s="54"/>
    </row>
    <row r="33">
      <c r="A33" s="226" t="s">
        <v>215</v>
      </c>
      <c r="B33" s="691">
        <f>'WEEK 32'!B38</f>
        <v>90</v>
      </c>
      <c r="C33" s="13"/>
      <c r="D33" s="13"/>
      <c r="E33" s="13"/>
      <c r="F33" s="57"/>
      <c r="G33" s="419"/>
      <c r="H33" s="226" t="s">
        <v>215</v>
      </c>
      <c r="I33" s="548">
        <f>'WEEK 32'!I38</f>
        <v>90</v>
      </c>
      <c r="J33" s="13"/>
      <c r="K33" s="13"/>
      <c r="L33" s="13"/>
      <c r="M33" s="57"/>
    </row>
    <row r="34">
      <c r="A34" s="743" t="s">
        <v>50</v>
      </c>
      <c r="B34" s="744" t="s">
        <v>51</v>
      </c>
      <c r="C34" s="744" t="s">
        <v>52</v>
      </c>
      <c r="D34" s="744" t="s">
        <v>53</v>
      </c>
      <c r="E34" s="745" t="s">
        <v>54</v>
      </c>
      <c r="F34" s="746" t="s">
        <v>55</v>
      </c>
      <c r="G34" s="724"/>
      <c r="H34" s="96" t="s">
        <v>50</v>
      </c>
      <c r="I34" s="97" t="s">
        <v>51</v>
      </c>
      <c r="J34" s="97" t="s">
        <v>52</v>
      </c>
      <c r="K34" s="97" t="s">
        <v>53</v>
      </c>
      <c r="L34" s="341" t="s">
        <v>54</v>
      </c>
      <c r="M34" s="235" t="s">
        <v>55</v>
      </c>
    </row>
    <row r="35">
      <c r="A35" s="725">
        <v>1.0</v>
      </c>
      <c r="B35" s="254">
        <f>mround('WEEK 34'!B33*0.29,2.5)</f>
        <v>25</v>
      </c>
      <c r="C35" s="344">
        <v>15.0</v>
      </c>
      <c r="D35" s="343" t="s">
        <v>57</v>
      </c>
      <c r="E35" s="66" t="str">
        <f>IF('WEEK 34'!B35='WEEK 30'!B35,'WEEK 30'!F35,"")</f>
        <v/>
      </c>
      <c r="F35" s="85"/>
      <c r="G35" s="728"/>
      <c r="H35" s="240">
        <v>1.0</v>
      </c>
      <c r="I35" s="254">
        <f>mround('WEEK 34'!I33*0.75,10)</f>
        <v>70</v>
      </c>
      <c r="J35" s="241">
        <v>15.0</v>
      </c>
      <c r="K35" s="83" t="s">
        <v>57</v>
      </c>
      <c r="L35" s="66" t="str">
        <f>IF('WEEK 34'!I35='WEEK 30'!I35,'WEEK 30'!M35,"")</f>
        <v/>
      </c>
      <c r="M35" s="85"/>
    </row>
    <row r="36">
      <c r="A36" s="747">
        <v>2.0</v>
      </c>
      <c r="B36" s="662">
        <f>mround('WEEK 34'!B33*0.29,2.5)</f>
        <v>25</v>
      </c>
      <c r="C36" s="813">
        <v>15.0</v>
      </c>
      <c r="D36" s="486" t="s">
        <v>57</v>
      </c>
      <c r="E36" s="66" t="str">
        <f>IF('WEEK 34'!B36='WEEK 30'!B36,'WEEK 6'!F36,"")</f>
        <v/>
      </c>
      <c r="F36" s="85"/>
      <c r="G36" s="728"/>
      <c r="H36" s="661">
        <v>2.0</v>
      </c>
      <c r="I36" s="662">
        <f>mround('WEEK 34'!I33*0.75,10)</f>
        <v>70</v>
      </c>
      <c r="J36" s="662">
        <v>15.0</v>
      </c>
      <c r="K36" s="88" t="s">
        <v>57</v>
      </c>
      <c r="L36" s="66" t="str">
        <f>IF('WEEK 34'!I36='WEEK 30'!I36,'WEEK 30'!M36,"")</f>
        <v/>
      </c>
      <c r="M36" s="85"/>
    </row>
    <row r="39">
      <c r="A39" s="73" t="str">
        <f>HYPERLINK("https://youtu.be/9YH1YvZbiY0","3. MACHINE LOW ROW ")</f>
        <v>3. MACHINE LOW ROW </v>
      </c>
      <c r="B39" s="53"/>
      <c r="C39" s="53"/>
      <c r="D39" s="53"/>
      <c r="E39" s="53"/>
      <c r="F39" s="54"/>
    </row>
    <row r="40">
      <c r="A40" s="226" t="s">
        <v>119</v>
      </c>
      <c r="B40" s="227">
        <f>'WEEK 33'!B46</f>
        <v>225</v>
      </c>
      <c r="C40" s="20"/>
      <c r="D40" s="20"/>
      <c r="E40" s="20"/>
      <c r="F40" s="95"/>
    </row>
    <row r="41">
      <c r="A41" s="231" t="s">
        <v>50</v>
      </c>
      <c r="B41" s="232" t="s">
        <v>51</v>
      </c>
      <c r="C41" s="232" t="s">
        <v>52</v>
      </c>
      <c r="D41" s="232" t="s">
        <v>53</v>
      </c>
      <c r="E41" s="233" t="s">
        <v>54</v>
      </c>
      <c r="F41" s="61" t="s">
        <v>55</v>
      </c>
    </row>
    <row r="42">
      <c r="A42" s="236">
        <v>1.0</v>
      </c>
      <c r="B42" s="237">
        <f>mround('WEEK 34'!B40*0.35,5)</f>
        <v>80</v>
      </c>
      <c r="C42" s="237">
        <v>6.0</v>
      </c>
      <c r="D42" s="238" t="s">
        <v>120</v>
      </c>
      <c r="E42" s="66" t="str">
        <f>IF('WEEK 34'!B42='WEEK 30'!B42,'WEEK 30'!F42,"")</f>
        <v/>
      </c>
      <c r="F42" s="67">
        <v>6.0</v>
      </c>
    </row>
    <row r="43">
      <c r="A43" s="236">
        <v>2.0</v>
      </c>
      <c r="B43" s="237">
        <f>mround('WEEK 34'!B40*0.65,5)</f>
        <v>145</v>
      </c>
      <c r="C43" s="238">
        <v>3.0</v>
      </c>
      <c r="D43" s="238" t="s">
        <v>121</v>
      </c>
      <c r="E43" s="66" t="str">
        <f>IF('WEEK 34'!B43='WEEK 30'!B43,'WEEK 30'!F43,"")</f>
        <v/>
      </c>
      <c r="F43" s="67">
        <v>3.0</v>
      </c>
    </row>
    <row r="44">
      <c r="A44" s="242">
        <v>3.0</v>
      </c>
      <c r="B44" s="237">
        <f>mround('WEEK 34'!B40*0.9,5)</f>
        <v>205</v>
      </c>
      <c r="C44" s="63">
        <v>2.0</v>
      </c>
      <c r="D44" s="238" t="s">
        <v>121</v>
      </c>
      <c r="E44" s="66" t="str">
        <f>IF('WEEK 34'!B44='WEEK 30'!B44,'WEEK 30'!F44,"")</f>
        <v/>
      </c>
      <c r="F44" s="67">
        <v>2.0</v>
      </c>
    </row>
    <row r="45">
      <c r="A45" s="243">
        <v>4.0</v>
      </c>
      <c r="B45" s="237">
        <f>'WEEK 34'!B40</f>
        <v>225</v>
      </c>
      <c r="C45" s="257">
        <v>3.0</v>
      </c>
      <c r="D45" s="238" t="s">
        <v>122</v>
      </c>
      <c r="E45" s="66" t="str">
        <f>IF('WEEK 34'!B45='WEEK 30'!B45,'WEEK 30'!F45,"")</f>
        <v/>
      </c>
      <c r="F45" s="67">
        <v>3.0</v>
      </c>
    </row>
    <row r="46">
      <c r="A46" s="246" t="str">
        <f>IF('WEEK 34'!F45&lt;3,"PROCEED TO DOWN SETS","NEW 4 REP MAX ATTEMPT")</f>
        <v>PROCEED TO DOWN SETS</v>
      </c>
      <c r="B46" s="20"/>
      <c r="C46" s="20"/>
      <c r="D46" s="20"/>
      <c r="E46" s="20"/>
      <c r="F46" s="95"/>
    </row>
    <row r="47">
      <c r="A47" s="249" t="str">
        <f>if('WEEK 34'!F45&lt;=2,"",5)</f>
        <v/>
      </c>
      <c r="B47" s="175" t="str">
        <f>IF('WEEK 34'!F45&lt;=2,"",'WEEK 34'!B45+5)</f>
        <v/>
      </c>
      <c r="C47" s="238" t="str">
        <f>if('WEEK 34'!F45&lt;=2,"",4)</f>
        <v/>
      </c>
      <c r="D47" s="238" t="str">
        <f>if('WEEK 34'!F45&lt;=2,"","1-5 MIN")</f>
        <v/>
      </c>
      <c r="E47" s="66" t="str">
        <f>IF('WEEK 34'!B47='WEEK 30'!B47,'WEEK 30'!F47,"")</f>
        <v/>
      </c>
      <c r="F47" s="67">
        <v>4.0</v>
      </c>
    </row>
    <row r="48">
      <c r="A48" s="259" t="str">
        <f>IF('WEEK 34'!F47&lt;4,"","6")</f>
        <v/>
      </c>
      <c r="B48" s="237" t="str">
        <f>IF('WEEK 34'!F47&lt;4,"",'WEEK 34'!B47+5)</f>
        <v/>
      </c>
      <c r="C48" s="257" t="str">
        <f>IF('WEEK 34'!F47&lt;4,"","4")</f>
        <v/>
      </c>
      <c r="D48" s="257" t="str">
        <f>IF('WEEK 34'!F47&lt;4,"","1-5 MIN")</f>
        <v/>
      </c>
      <c r="E48" s="66" t="str">
        <f>IF('WEEK 34'!B48='WEEK 30'!B48,'WEEK 30'!F48,"")</f>
        <v/>
      </c>
      <c r="F48" s="67">
        <v>4.0</v>
      </c>
    </row>
    <row r="49">
      <c r="A49" s="246" t="s">
        <v>133</v>
      </c>
      <c r="B49" s="20"/>
      <c r="C49" s="20"/>
      <c r="D49" s="20"/>
      <c r="E49" s="20"/>
      <c r="F49" s="95"/>
    </row>
    <row r="50">
      <c r="A50" s="264">
        <f>IF(OR(ISBLANK('WEEK 34'!F45),ISBLANK('WEEK 34'!F44),ISBLANK('WEEK 34'!F43)),"",IF((AND('WEEK 34'!A47="",'WEEK 34'!A48="")),5,IF((AND('WEEK 34'!A47&gt;1,'WEEK 34'!A48="")),6,7)))</f>
        <v>5</v>
      </c>
      <c r="B50" s="265">
        <f>MROUND('WEEK 34'!B52*0.8,5)</f>
        <v>175</v>
      </c>
      <c r="C50" s="266" t="s">
        <v>65</v>
      </c>
      <c r="D50" s="267" t="s">
        <v>127</v>
      </c>
      <c r="E50" s="66" t="str">
        <f>IF('WEEK 34'!B50='WEEK 30'!B50,'WEEK 30'!F50,"")</f>
        <v/>
      </c>
      <c r="F50" s="67"/>
    </row>
    <row r="51">
      <c r="A51" s="243">
        <f>IF(OR(ISBLANK('WEEK 34'!F45),ISBLANK('WEEK 34'!F44),ISBLANK('WEEK 34'!F43)),"",IF((AND('WEEK 34'!A47="",'WEEK 34'!A48="")),6,IF((AND('WEEK 34'!A47&gt;1,'WEEK 34'!A48="")),7,8)))</f>
        <v>6</v>
      </c>
      <c r="B51" s="237">
        <f>mround('WEEK 34'!B52*0.7,5)</f>
        <v>155</v>
      </c>
      <c r="C51" s="245" t="s">
        <v>65</v>
      </c>
      <c r="D51" s="65" t="s">
        <v>127</v>
      </c>
      <c r="E51" s="66" t="str">
        <f>IF('WEEK 34'!B51='WEEK 30'!B51,'WEEK 30'!F51,"")</f>
        <v/>
      </c>
      <c r="F51" s="271"/>
    </row>
    <row r="52">
      <c r="A52" s="272" t="s">
        <v>124</v>
      </c>
      <c r="B52" s="273">
        <f>IF(OR(ISBLANK('WEEK 34'!B45),ISBLANK('WEEK 34'!B44),ISBLANK('WEEK 34'!B43)),"",IF('WEEK 34'!F48&gt;=4,'WEEK 34'!B48,IF('WEEK 34'!F47&gt;=1,'WEEK 34'!B47,IF('WEEK 34'!F45&lt;3,'WEEK 34'!B45-5,'WEEK 34'!B45))))</f>
        <v>220</v>
      </c>
      <c r="C52" s="11"/>
      <c r="D52" s="11"/>
      <c r="E52" s="11"/>
      <c r="F52" s="46"/>
    </row>
    <row r="53">
      <c r="A53" s="292"/>
      <c r="B53" s="292"/>
      <c r="C53" s="292"/>
      <c r="D53" s="292"/>
      <c r="E53" s="292"/>
      <c r="F53" s="292"/>
    </row>
    <row r="54">
      <c r="A54" s="73" t="str">
        <f>HYPERLINK("https://youtu.be/hMUUvL3FlkE","4. HIGH ROW")</f>
        <v>4. HIGH ROW</v>
      </c>
      <c r="B54" s="53"/>
      <c r="C54" s="53"/>
      <c r="D54" s="53"/>
      <c r="E54" s="53"/>
      <c r="F54" s="54"/>
    </row>
    <row r="55">
      <c r="A55" s="282" t="s">
        <v>119</v>
      </c>
      <c r="B55" s="56">
        <f>'WEEK 33'!B54</f>
        <v>175</v>
      </c>
      <c r="C55" s="13"/>
      <c r="D55" s="13"/>
      <c r="E55" s="13"/>
      <c r="F55" s="57"/>
    </row>
    <row r="56">
      <c r="A56" s="58" t="s">
        <v>50</v>
      </c>
      <c r="B56" s="59" t="s">
        <v>51</v>
      </c>
      <c r="C56" s="59" t="s">
        <v>52</v>
      </c>
      <c r="D56" s="59" t="s">
        <v>53</v>
      </c>
      <c r="E56" s="60" t="s">
        <v>54</v>
      </c>
      <c r="F56" s="61" t="s">
        <v>55</v>
      </c>
    </row>
    <row r="57">
      <c r="A57" s="62">
        <v>1.0</v>
      </c>
      <c r="B57" s="63">
        <f> mround('WEEK 34'!B55*0.85,5)</f>
        <v>150</v>
      </c>
      <c r="C57" s="104" t="s">
        <v>65</v>
      </c>
      <c r="D57" s="65" t="s">
        <v>57</v>
      </c>
      <c r="E57" s="66" t="str">
        <f>IF('WEEK 34'!B57='WEEK 30'!B57,'WEEK 30'!F57,"")</f>
        <v/>
      </c>
      <c r="F57" s="67"/>
    </row>
    <row r="58">
      <c r="A58" s="62">
        <v>2.0</v>
      </c>
      <c r="B58" s="63">
        <f>IF('WEEK 34'!F57&lt;6,MROUND('WEEK 34'!B55*0.75,5),IF('WEEK 34'!F57&lt;=11,MROUND('WEEK 34'!B55*0.85,5),'WEEK 34'!B57))</f>
        <v>150</v>
      </c>
      <c r="C58" s="104" t="s">
        <v>65</v>
      </c>
      <c r="D58" s="65" t="s">
        <v>57</v>
      </c>
      <c r="E58" s="66" t="str">
        <f>IF('WEEK 34'!B58='WEEK 30'!B58,'WEEK 30'!F58,"")</f>
        <v/>
      </c>
      <c r="F58" s="67"/>
    </row>
    <row r="59">
      <c r="A59" s="68">
        <v>3.0</v>
      </c>
      <c r="B59" s="69">
        <f>IF('WEEK 34'!F58&lt;6,MROUND('WEEK 34'!B55*0.75,5),IF('WEEK 34'!F58&lt;=11,MROUND('WEEK 34'!B55*0.85,5),'WEEK 34'!B58))</f>
        <v>150</v>
      </c>
      <c r="C59" s="105" t="s">
        <v>65</v>
      </c>
      <c r="D59" s="71" t="s">
        <v>57</v>
      </c>
      <c r="E59" s="66" t="str">
        <f>IF('WEEK 34'!B59='WEEK 30'!B59,'WEEK 30'!F59,"")</f>
        <v/>
      </c>
      <c r="F59" s="67"/>
    </row>
    <row r="60">
      <c r="A60" s="657"/>
    </row>
    <row r="62">
      <c r="A62" s="440" t="str">
        <f>HYPERLINK("https://www.youtube.com/watch?v=PnaDzYh2axA","5. LAT PULL DOWN")</f>
        <v>5. LAT PULL DOWN</v>
      </c>
      <c r="B62" s="53"/>
      <c r="C62" s="53"/>
      <c r="D62" s="53"/>
      <c r="E62" s="53"/>
      <c r="F62" s="54"/>
    </row>
    <row r="63">
      <c r="A63" s="282" t="s">
        <v>119</v>
      </c>
      <c r="B63" s="56">
        <f>'WEEK 33'!B42</f>
        <v>235</v>
      </c>
      <c r="C63" s="13"/>
      <c r="D63" s="13"/>
      <c r="E63" s="13"/>
      <c r="F63" s="57"/>
    </row>
    <row r="64">
      <c r="A64" s="58" t="s">
        <v>50</v>
      </c>
      <c r="B64" s="59" t="s">
        <v>51</v>
      </c>
      <c r="C64" s="59" t="s">
        <v>52</v>
      </c>
      <c r="D64" s="59" t="s">
        <v>53</v>
      </c>
      <c r="E64" s="60" t="s">
        <v>54</v>
      </c>
      <c r="F64" s="61" t="s">
        <v>55</v>
      </c>
    </row>
    <row r="65">
      <c r="A65" s="62">
        <v>1.0</v>
      </c>
      <c r="B65" s="63">
        <f> mround('WEEK 34'!B63*0.8,5)</f>
        <v>190</v>
      </c>
      <c r="C65" s="104" t="s">
        <v>65</v>
      </c>
      <c r="D65" s="65" t="s">
        <v>57</v>
      </c>
      <c r="E65" s="66" t="str">
        <f>IF('WEEK 34'!B65='WEEK 30'!B65,'WEEK 30'!F65,"")</f>
        <v/>
      </c>
      <c r="F65" s="67"/>
    </row>
    <row r="66">
      <c r="A66" s="62">
        <v>2.0</v>
      </c>
      <c r="B66" s="63">
        <f>IF('WEEK 34'!F65&lt;6,MROUND('WEEK 34'!B63*0.75,5),IF('WEEK 34'!F65&lt;=11,MROUND('WEEK 34'!B63*0.85,5),'WEEK 34'!B65))</f>
        <v>175</v>
      </c>
      <c r="C66" s="104" t="s">
        <v>65</v>
      </c>
      <c r="D66" s="65" t="s">
        <v>57</v>
      </c>
      <c r="E66" s="66" t="str">
        <f>IF('WEEK 34'!B66='WEEK 30'!B66,'WEEK 30'!F66,"")</f>
        <v/>
      </c>
      <c r="F66" s="67"/>
    </row>
    <row r="67">
      <c r="A67" s="68">
        <v>3.0</v>
      </c>
      <c r="B67" s="69">
        <f>IF('WEEK 34'!F66&lt;6,MROUND('WEEK 34'!B63*0.75,5),IF('WEEK 34'!F66&lt;=11,MROUND('WEEK 34'!B63*0.85,5),'WEEK 34'!B66))</f>
        <v>175</v>
      </c>
      <c r="C67" s="105" t="s">
        <v>65</v>
      </c>
      <c r="D67" s="71" t="s">
        <v>57</v>
      </c>
      <c r="E67" s="66" t="str">
        <f>IF('WEEK 34'!B67='WEEK 30'!B67,'WEEK 30'!F67,"")</f>
        <v/>
      </c>
      <c r="F67" s="67"/>
    </row>
    <row r="70">
      <c r="A70" s="310" t="str">
        <f>HYPERLINK("https://docs.google.com/a/fitnessresults.com/forms/d/e/1FAIpQLSd7MoczESe8Yjv6BKpmwAZGn9Aiymrs9-UdgfYIUpbr9t5NXg/viewform?usp=pp_url&amp;entry.93370101","CLICK TO COMPLETE WORKOUT")</f>
        <v>CLICK TO COMPLETE WORKOUT</v>
      </c>
      <c r="B70" s="36"/>
      <c r="C70" s="36"/>
      <c r="D70" s="36"/>
      <c r="E70" s="36"/>
      <c r="F70" s="37"/>
    </row>
    <row r="71">
      <c r="E71" s="1248"/>
    </row>
    <row r="72">
      <c r="A72" s="224" t="s">
        <v>128</v>
      </c>
      <c r="B72" s="36"/>
      <c r="C72" s="36"/>
      <c r="D72" s="36"/>
      <c r="E72" s="36"/>
      <c r="F72" s="37"/>
    </row>
    <row r="75">
      <c r="A75" s="1261" t="str">
        <f>'WEEK 32'!A65</f>
        <v>1. MACHINE SQUAT</v>
      </c>
      <c r="B75" s="53"/>
      <c r="C75" s="53"/>
      <c r="D75" s="53"/>
      <c r="E75" s="53"/>
      <c r="F75" s="54"/>
    </row>
    <row r="76">
      <c r="A76" s="961" t="s">
        <v>119</v>
      </c>
      <c r="B76" s="1035">
        <f>'WEEK 32'!B74</f>
        <v>35</v>
      </c>
      <c r="C76" s="13"/>
      <c r="D76" s="13"/>
      <c r="E76" s="13"/>
      <c r="F76" s="57"/>
    </row>
    <row r="77">
      <c r="A77" s="231" t="s">
        <v>50</v>
      </c>
      <c r="B77" s="232" t="s">
        <v>51</v>
      </c>
      <c r="C77" s="232" t="s">
        <v>52</v>
      </c>
      <c r="D77" s="232" t="s">
        <v>53</v>
      </c>
      <c r="E77" s="233" t="s">
        <v>54</v>
      </c>
      <c r="F77" s="61" t="s">
        <v>55</v>
      </c>
      <c r="H77" s="1130"/>
    </row>
    <row r="78">
      <c r="A78" s="236">
        <v>1.0</v>
      </c>
      <c r="B78" s="237">
        <f>mround('WEEK 34'!B76*0.35,5)</f>
        <v>10</v>
      </c>
      <c r="C78" s="238">
        <v>10.0</v>
      </c>
      <c r="D78" s="238" t="s">
        <v>120</v>
      </c>
      <c r="E78" s="1130" t="str">
        <f>IF('WEEK 34'!B78='WEEK 33'!B69,'WEEK 33'!F69,"")</f>
        <v/>
      </c>
      <c r="F78" s="67"/>
    </row>
    <row r="79">
      <c r="A79" s="236">
        <v>2.0</v>
      </c>
      <c r="B79" s="237">
        <f>mround('WEEK 34'!B76*0.65,5)</f>
        <v>25</v>
      </c>
      <c r="C79" s="238">
        <v>10.0</v>
      </c>
      <c r="D79" s="238" t="s">
        <v>121</v>
      </c>
      <c r="E79" s="1130" t="str">
        <f>IF('WEEK 34'!B79='WEEK 33'!B70,'WEEK 33'!F70,"")</f>
        <v/>
      </c>
      <c r="F79" s="67"/>
    </row>
    <row r="80">
      <c r="A80" s="242">
        <v>3.0</v>
      </c>
      <c r="B80" s="237">
        <f>mround('WEEK 34'!B76*0.9,5)</f>
        <v>30</v>
      </c>
      <c r="C80" s="238">
        <v>10.0</v>
      </c>
      <c r="D80" s="238" t="s">
        <v>121</v>
      </c>
      <c r="E80" s="1130" t="str">
        <f>IF('WEEK 34'!B80='WEEK 33'!B71,'WEEK 33'!F71,"")</f>
        <v/>
      </c>
      <c r="F80" s="67"/>
    </row>
    <row r="81">
      <c r="A81" s="249">
        <v>4.0</v>
      </c>
      <c r="B81" s="175">
        <f>if('WEEK 34'!F80&lt;4,MROUND('WEEK 34'!B80-('WEEK 34'!B80*20%),5),'WEEK 34'!B76)</f>
        <v>25</v>
      </c>
      <c r="C81" s="238">
        <v>10.0</v>
      </c>
      <c r="D81" s="238" t="s">
        <v>122</v>
      </c>
      <c r="E81" s="1130" t="str">
        <f>IF('WEEK 34'!B81='WEEK 33'!B72,'WEEK 33'!F72,"")</f>
        <v/>
      </c>
      <c r="F81" s="67"/>
    </row>
    <row r="82">
      <c r="A82" s="249">
        <v>5.0</v>
      </c>
      <c r="B82" s="175">
        <f>IF((AND('WEEK 34'!B81&lt;='WEEK 34'!B80,'WEEK 34'!F81&gt;=4)),'WEEK 34'!B81,IF('WEEK 34'!F81&lt;4,MROUND('WEEK 34'!B81-('WEEK 34'!B81*20%),5),if( 'WEEK 34'!F81&lt;4,MROUND('WEEK 34'!B81-('WEEK 34'!B81*10%),5),MROUND('WEEK 34'!B81+('WEEK 34'!B81*10%),5))))</f>
        <v>20</v>
      </c>
      <c r="C82" s="238">
        <v>10.0</v>
      </c>
      <c r="D82" s="238" t="s">
        <v>122</v>
      </c>
      <c r="E82" s="1130" t="str">
        <f>IF('WEEK 34'!B82='WEEK 33'!B73,'WEEK 33'!F73,"")</f>
        <v/>
      </c>
      <c r="F82" s="1037"/>
    </row>
    <row r="83">
      <c r="A83" s="249">
        <f>if(F81&lt;4,6,6)</f>
        <v>6</v>
      </c>
      <c r="B83" s="175">
        <f>IF((AND('WEEK 34'!B82&lt;='WEEK 34'!B81,'WEEK 34'!F82&gt;=4)),'WEEK 34'!B82,IF('WEEK 34'!F82&lt;4,MROUND('WEEK 34'!B82-('WEEK 34'!B82*20%),5),if( 'WEEK 34'!F82&lt;4,MROUND('WEEK 34'!B82-('WEEK 34'!B82*10%),5),MROUND('WEEK 34'!B82+('WEEK 34'!B82*10%),5))))</f>
        <v>15</v>
      </c>
      <c r="C83" s="238">
        <v>10.0</v>
      </c>
      <c r="D83" s="238" t="s">
        <v>122</v>
      </c>
      <c r="E83" s="1130" t="str">
        <f>IF('WEEK 34'!B83='WEEK 33'!B74,'WEEK 33'!F74,"")</f>
        <v/>
      </c>
      <c r="F83" s="67"/>
    </row>
    <row r="84">
      <c r="A84" s="1038">
        <f>IF(F83&lt;4,7,"7")</f>
        <v>7</v>
      </c>
      <c r="B84" s="175">
        <f>IF((AND('WEEK 34'!B83&lt;='WEEK 34'!B82,'WEEK 34'!F83&gt;=4)),'WEEK 34'!B83,IF('WEEK 34'!F83&lt;4,MROUND('WEEK 34'!B83-('WEEK 34'!B83*20%),5),if( 'WEEK 34'!F83&lt;4,MROUND('WEEK 34'!B83-('WEEK 34'!B83*10%),5),MROUND('WEEK 34'!B83+('WEEK 34'!B83*10%),5))))</f>
        <v>10</v>
      </c>
      <c r="C84" s="238">
        <v>10.0</v>
      </c>
      <c r="D84" s="238" t="s">
        <v>122</v>
      </c>
      <c r="E84" s="1130" t="str">
        <f>IF('WEEK 34'!B84='WEEK 33'!B75,'WEEK 33'!F75,"")</f>
        <v/>
      </c>
      <c r="F84" s="67"/>
    </row>
    <row r="85">
      <c r="A85" s="249">
        <f>IF(F84&lt;4,8,"8")</f>
        <v>8</v>
      </c>
      <c r="B85" s="175">
        <f>IF((AND('WEEK 34'!B84&lt;='WEEK 34'!B83,'WEEK 34'!F84&gt;=4)),'WEEK 34'!B84,IF('WEEK 34'!F84&lt;4,MROUND('WEEK 34'!B84-('WEEK 34'!B84*20%),5),if( 'WEEK 34'!F84&lt;4,MROUND('WEEK 34'!B84-('WEEK 34'!B84*10%),5),MROUND('WEEK 34'!B84+('WEEK 34'!B84*10%),5))))</f>
        <v>10</v>
      </c>
      <c r="C85" s="238">
        <v>10.0</v>
      </c>
      <c r="D85" s="238" t="s">
        <v>122</v>
      </c>
      <c r="E85" s="1130" t="str">
        <f>IF('WEEK 34'!B85='WEEK 33'!B76,'WEEK 33'!F76,"")</f>
        <v/>
      </c>
      <c r="F85" s="67"/>
    </row>
    <row r="86">
      <c r="A86" s="272" t="s">
        <v>216</v>
      </c>
      <c r="B86" s="1109">
        <f>IF((AND('WEEK 34'!F85&gt;=4,'WEEK 34'!B85&gt;'WEEK 34'!B84)),'WEEK 34'!B85,IF((AND('WEEK 34'!F84&gt;=4,'WEEK 34'!B84&gt;'WEEK 34'!B83)),'WEEK 34'!B84,IF((AND('WEEK 34'!F83&gt;=4,'WEEK 34'!B83&gt;'WEEK 34'!B82)),'WEEK 34'!B83,IF((AND('WEEK 34'!F82&gt;=4,'WEEK 34'!B82&gt;'WEEK 34'!B81)),'WEEK 34'!B82,IF((AND('WEEK 34'!F81&gt;=4,'WEEK 34'!B81&gt;'WEEK 34'!B80)),'WEEK 34'!B81,IF((AND('WEEK 34'!F80&gt;=4,'WEEK 34'!B80&gt;'WEEK 34'!B79)),'WEEK 34'!B80,IF((AND('WEEK 34'!F79&gt;=4,'WEEK 34'!B79&gt;'WEEK 34'!B78)),'WEEK 34'!B79,IF((AND('WEEK 34'!F78&gt;=4,'WEEK 34'!B78&gt;'WEEK 34'!B77)),'WEEK 34'!B78,IF((AND('WEEK 34'!F77&gt;=4,'WEEK 34'!B77&gt;'WEEK 34'!B76)),'WEEK 34'!B76)))))))))</f>
        <v>35</v>
      </c>
      <c r="C86" s="11"/>
      <c r="D86" s="11"/>
      <c r="E86" s="11"/>
      <c r="F86" s="46"/>
    </row>
    <row r="89">
      <c r="A89" s="1044" t="str">
        <f>HYPERLINK("https://www.youtube.com/watch?v=NZ9KiFtbiMs","2. LEG EXTENSION")</f>
        <v>2. LEG EXTENSION</v>
      </c>
      <c r="B89" s="13"/>
      <c r="C89" s="13"/>
      <c r="D89" s="13"/>
      <c r="E89" s="13"/>
      <c r="F89" s="57"/>
    </row>
    <row r="90">
      <c r="A90" s="1045" t="s">
        <v>119</v>
      </c>
      <c r="B90" s="1046">
        <f>IF('WEEK 33'!B82='WEEK 33'!B84,'WEEK 33'!B82+5,IF('WEEK 33'!F82&lt;=9,MROUND('WEEK 33'!B80*0.95,5),'WEEK 33'!B82))</f>
        <v>145</v>
      </c>
      <c r="C90" s="13"/>
      <c r="D90" s="13"/>
      <c r="E90" s="13"/>
      <c r="F90" s="57"/>
    </row>
    <row r="91">
      <c r="A91" s="567" t="s">
        <v>50</v>
      </c>
      <c r="B91" s="568" t="s">
        <v>51</v>
      </c>
      <c r="C91" s="568" t="s">
        <v>52</v>
      </c>
      <c r="D91" s="568" t="s">
        <v>53</v>
      </c>
      <c r="E91" s="1047" t="s">
        <v>54</v>
      </c>
      <c r="F91" s="1048" t="s">
        <v>55</v>
      </c>
    </row>
    <row r="92">
      <c r="A92" s="1049">
        <v>1.0</v>
      </c>
      <c r="B92" s="1050">
        <f>'WEEK 34'!B90</f>
        <v>145</v>
      </c>
      <c r="C92" s="1051" t="s">
        <v>144</v>
      </c>
      <c r="D92" s="1052" t="s">
        <v>57</v>
      </c>
      <c r="E92" s="1130" t="str">
        <f>IF('WEEK 34'!B92='WEEK 33'!B82,'WEEK 33'!F82,"")</f>
        <v/>
      </c>
      <c r="F92" s="1017"/>
    </row>
    <row r="93">
      <c r="A93" s="1049">
        <v>2.0</v>
      </c>
      <c r="B93" s="1050">
        <f>if('WEEK 34'!F92&lt;12,mround('WEEK 34'!B92*0.8,5),IF('WEEK 34'!F92&lt;=19,MROUND('WEEK 34'!B92*0.95,5),'WEEK 34'!B92))</f>
        <v>115</v>
      </c>
      <c r="C93" s="1051" t="s">
        <v>144</v>
      </c>
      <c r="D93" s="1052" t="s">
        <v>57</v>
      </c>
      <c r="E93" s="1130" t="str">
        <f>IF('WEEK 34'!B93='WEEK 33'!B83,'WEEK 33'!F83,"")</f>
        <v/>
      </c>
      <c r="F93" s="1017"/>
    </row>
    <row r="94">
      <c r="A94" s="1053">
        <v>3.0</v>
      </c>
      <c r="B94" s="1054">
        <f>if('WEEK 34'!F93&lt;12,mround('WEEK 34'!B93*0.8,5),IF('WEEK 34'!F93&lt;=19,MROUND('WEEK 34'!B93*0.95,5),'WEEK 34'!B93))</f>
        <v>90</v>
      </c>
      <c r="C94" s="1055" t="s">
        <v>144</v>
      </c>
      <c r="D94" s="1056" t="s">
        <v>57</v>
      </c>
      <c r="E94" s="1130" t="str">
        <f>IF('WEEK 34'!B94='WEEK 33'!B84,'WEEK 33'!F84,"")</f>
        <v/>
      </c>
      <c r="F94" s="1017"/>
    </row>
    <row r="97">
      <c r="A97" s="323" t="str">
        <f>HYPERLINK("https://www.youtube.com/watch?v=XepOfsnGFJg","3. MACHINE LEG CURL")</f>
        <v>3. MACHINE LEG CURL</v>
      </c>
      <c r="B97" s="53"/>
      <c r="C97" s="53"/>
      <c r="D97" s="53"/>
      <c r="E97" s="53"/>
      <c r="F97" s="54"/>
      <c r="G97" s="141"/>
      <c r="H97" s="323" t="str">
        <f>HYPERLINK("https://youtu.be/kmN9cJ79PDE","3. PRONE LEG CURL")</f>
        <v>3. PRONE LEG CURL</v>
      </c>
      <c r="I97" s="53"/>
      <c r="J97" s="53"/>
      <c r="K97" s="53"/>
      <c r="L97" s="53"/>
      <c r="M97" s="54"/>
    </row>
    <row r="98">
      <c r="A98" s="1045" t="s">
        <v>119</v>
      </c>
      <c r="B98" s="1046">
        <f>IF('WEEK 33'!B90='WEEK 33'!B92,'WEEK 33'!B90+5,IF('WEEK 33'!F90&lt;=9,MROUND('WEEK 33'!B88*0.95,5),'WEEK 33'!B90))</f>
        <v>15</v>
      </c>
      <c r="C98" s="13"/>
      <c r="D98" s="13"/>
      <c r="E98" s="13"/>
      <c r="F98" s="57"/>
      <c r="H98" s="1045" t="s">
        <v>119</v>
      </c>
      <c r="I98" s="1046">
        <f>IF('WEEK 33'!I90='WEEK 33'!I92,'WEEK 33'!I90+5,IF('WEEK 33'!M90&lt;=9,MROUND('WEEK 33'!I88*0.95,5),'WEEK 33'!I90))</f>
        <v>15</v>
      </c>
      <c r="J98" s="13"/>
      <c r="K98" s="13"/>
      <c r="L98" s="13"/>
      <c r="M98" s="57"/>
    </row>
    <row r="99">
      <c r="A99" s="567" t="s">
        <v>50</v>
      </c>
      <c r="B99" s="568" t="s">
        <v>51</v>
      </c>
      <c r="C99" s="568" t="s">
        <v>52</v>
      </c>
      <c r="D99" s="568" t="s">
        <v>53</v>
      </c>
      <c r="E99" s="1047" t="s">
        <v>54</v>
      </c>
      <c r="F99" s="1048" t="s">
        <v>55</v>
      </c>
      <c r="H99" s="567" t="s">
        <v>50</v>
      </c>
      <c r="I99" s="568" t="s">
        <v>51</v>
      </c>
      <c r="J99" s="568" t="s">
        <v>52</v>
      </c>
      <c r="K99" s="568" t="s">
        <v>53</v>
      </c>
      <c r="L99" s="1047" t="s">
        <v>54</v>
      </c>
      <c r="M99" s="1048" t="s">
        <v>55</v>
      </c>
    </row>
    <row r="100">
      <c r="A100" s="1049">
        <v>1.0</v>
      </c>
      <c r="B100" s="1050">
        <f>'WEEK 34'!B98</f>
        <v>15</v>
      </c>
      <c r="C100" s="1051" t="s">
        <v>144</v>
      </c>
      <c r="D100" s="1052" t="s">
        <v>57</v>
      </c>
      <c r="E100" s="1130" t="str">
        <f>IF('WEEK 34'!B100='WEEK 33'!B90,'WEEK 33'!F90,"")</f>
        <v/>
      </c>
      <c r="F100" s="1017"/>
      <c r="G100" s="434" t="s">
        <v>123</v>
      </c>
      <c r="H100" s="1049">
        <v>1.0</v>
      </c>
      <c r="I100" s="1050">
        <f>'WEEK 34'!I98</f>
        <v>15</v>
      </c>
      <c r="J100" s="1051" t="s">
        <v>144</v>
      </c>
      <c r="K100" s="1052" t="s">
        <v>57</v>
      </c>
      <c r="L100" s="1010"/>
      <c r="M100" s="1017"/>
    </row>
    <row r="101">
      <c r="A101" s="1049">
        <v>2.0</v>
      </c>
      <c r="B101" s="1050">
        <f>if('WEEK 34'!F100&lt;12,mround('WEEK 34'!B100*0.8,5),IF('WEEK 34'!F100&lt;=19,MROUND('WEEK 34'!B100*0.95,5),'WEEK 34'!B100))</f>
        <v>10</v>
      </c>
      <c r="C101" s="1051" t="s">
        <v>144</v>
      </c>
      <c r="D101" s="1052" t="s">
        <v>57</v>
      </c>
      <c r="E101" s="1130" t="str">
        <f>IF('WEEK 34'!B101='WEEK 33'!B91,'WEEK 33'!F91,"")</f>
        <v/>
      </c>
      <c r="F101" s="1017"/>
      <c r="H101" s="1049">
        <v>2.0</v>
      </c>
      <c r="I101" s="1050">
        <f>if('WEEK 34'!M100&lt;12,mround('WEEK 34'!I100*0.8,5),IF('WEEK 34'!M100&lt;=19,MROUND('WEEK 34'!I100*0.95,5),'WEEK 34'!I100))</f>
        <v>10</v>
      </c>
      <c r="J101" s="1051" t="s">
        <v>144</v>
      </c>
      <c r="K101" s="1052" t="s">
        <v>57</v>
      </c>
      <c r="L101" s="1010"/>
      <c r="M101" s="1017"/>
    </row>
    <row r="102">
      <c r="A102" s="1053">
        <v>3.0</v>
      </c>
      <c r="B102" s="1054">
        <f>if('WEEK 34'!F101&lt;12,mround('WEEK 34'!B101*0.8,5),IF('WEEK 34'!F101&lt;=19,MROUND('WEEK 34'!B101*0.95,5),'WEEK 34'!B101))</f>
        <v>10</v>
      </c>
      <c r="C102" s="1055" t="s">
        <v>144</v>
      </c>
      <c r="D102" s="1056" t="s">
        <v>57</v>
      </c>
      <c r="E102" s="1130" t="str">
        <f>IF('WEEK 34'!B102='WEEK 33'!B92,'WEEK 33'!F92,"")</f>
        <v/>
      </c>
      <c r="F102" s="1017"/>
      <c r="G102" s="682"/>
      <c r="H102" s="1053">
        <v>3.0</v>
      </c>
      <c r="I102" s="1054">
        <f>if('WEEK 34'!M101&lt;12,mround('WEEK 34'!I101*0.8,5),IF('WEEK 34'!M101&lt;=19,MROUND('WEEK 34'!I101*0.95,5),'WEEK 34'!I101))</f>
        <v>10</v>
      </c>
      <c r="J102" s="1055" t="s">
        <v>144</v>
      </c>
      <c r="K102" s="1056" t="s">
        <v>57</v>
      </c>
      <c r="L102" s="1021"/>
      <c r="M102" s="1017"/>
    </row>
    <row r="103">
      <c r="A103" s="849"/>
      <c r="B103" s="849"/>
      <c r="C103" s="849"/>
      <c r="D103" s="849"/>
      <c r="E103" s="849"/>
      <c r="F103" s="849"/>
      <c r="H103" s="849"/>
      <c r="I103" s="850"/>
      <c r="J103" s="850"/>
      <c r="K103" s="850"/>
      <c r="L103" s="850"/>
      <c r="M103" s="850"/>
    </row>
    <row r="105">
      <c r="A105" s="1120" t="s">
        <v>62</v>
      </c>
      <c r="B105" s="36"/>
      <c r="C105" s="36"/>
      <c r="D105" s="36"/>
      <c r="E105" s="36"/>
      <c r="F105" s="37"/>
    </row>
    <row r="108">
      <c r="A108" s="44" t="s">
        <v>131</v>
      </c>
      <c r="B108" s="36"/>
      <c r="C108" s="36"/>
      <c r="D108" s="36"/>
      <c r="E108" s="36"/>
      <c r="F108" s="37"/>
      <c r="H108" s="44" t="s">
        <v>131</v>
      </c>
      <c r="I108" s="36"/>
      <c r="J108" s="36"/>
      <c r="K108" s="36"/>
      <c r="L108" s="36"/>
      <c r="M108" s="37"/>
    </row>
    <row r="109">
      <c r="A109" s="112" t="str">
        <f>HYPERLINK("https://www.youtube.com/watch?v=rmxOkkd2hUk","1. SHOULDER PRESS")</f>
        <v>1. SHOULDER PRESS</v>
      </c>
      <c r="B109" s="13"/>
      <c r="C109" s="13"/>
      <c r="D109" s="13"/>
      <c r="E109" s="13"/>
      <c r="F109" s="57"/>
      <c r="H109" s="1139" t="str">
        <f>HYPERLINK("https://www.youtube.com/watch?v=-cSBPE-y38M","1. MACHINE SHOULDER PRESS")</f>
        <v>1. MACHINE SHOULDER PRESS</v>
      </c>
      <c r="I109" s="13"/>
      <c r="J109" s="13"/>
      <c r="K109" s="13"/>
      <c r="L109" s="13"/>
      <c r="M109" s="57"/>
    </row>
    <row r="110">
      <c r="A110" s="226" t="s">
        <v>119</v>
      </c>
      <c r="B110" s="227" t="str">
        <f>'WEEK 31'!B127</f>
        <v/>
      </c>
      <c r="C110" s="20"/>
      <c r="D110" s="20"/>
      <c r="E110" s="20"/>
      <c r="F110" s="95"/>
      <c r="H110" s="226" t="s">
        <v>119</v>
      </c>
      <c r="I110" s="227">
        <f>'WEEK 33'!I101</f>
        <v>150</v>
      </c>
      <c r="J110" s="20"/>
      <c r="K110" s="20"/>
      <c r="L110" s="20"/>
      <c r="M110" s="95"/>
    </row>
    <row r="111">
      <c r="A111" s="231" t="s">
        <v>50</v>
      </c>
      <c r="B111" s="232" t="s">
        <v>51</v>
      </c>
      <c r="C111" s="232" t="s">
        <v>52</v>
      </c>
      <c r="D111" s="232" t="s">
        <v>53</v>
      </c>
      <c r="E111" s="233" t="s">
        <v>54</v>
      </c>
      <c r="F111" s="61" t="s">
        <v>55</v>
      </c>
      <c r="H111" s="231" t="s">
        <v>50</v>
      </c>
      <c r="I111" s="232" t="s">
        <v>51</v>
      </c>
      <c r="J111" s="232" t="s">
        <v>52</v>
      </c>
      <c r="K111" s="232" t="s">
        <v>53</v>
      </c>
      <c r="L111" s="233" t="s">
        <v>54</v>
      </c>
      <c r="M111" s="61" t="s">
        <v>55</v>
      </c>
    </row>
    <row r="112">
      <c r="A112" s="1140">
        <v>1.0</v>
      </c>
      <c r="B112" s="237">
        <f>mround('WEEK 34'!B110*0.35,5)</f>
        <v>0</v>
      </c>
      <c r="C112" s="237">
        <v>6.0</v>
      </c>
      <c r="D112" s="238" t="s">
        <v>120</v>
      </c>
      <c r="E112" s="1130" t="str">
        <f>IF('WEEK 34'!B112='WEEK 7 MASTER SHEET'!B117,'WEEK 7 MASTER SHEET'!F117,"")</f>
        <v/>
      </c>
      <c r="F112" s="67"/>
      <c r="H112" s="1140">
        <v>1.0</v>
      </c>
      <c r="I112" s="237">
        <f>mround('WEEK 34'!I110*0.35,5)</f>
        <v>55</v>
      </c>
      <c r="J112" s="237">
        <v>6.0</v>
      </c>
      <c r="K112" s="238" t="s">
        <v>120</v>
      </c>
      <c r="L112" s="1130" t="str">
        <f>IF('WEEK 34'!I112='WEEK 7 MASTER SHEET'!I117,'WEEK 7 MASTER SHEET'!M117,"")</f>
        <v/>
      </c>
      <c r="M112" s="67"/>
    </row>
    <row r="113">
      <c r="A113" s="236">
        <v>2.0</v>
      </c>
      <c r="B113" s="237">
        <f>mround('WEEK 34'!B110*0.65,5)</f>
        <v>0</v>
      </c>
      <c r="C113" s="237">
        <v>1.0</v>
      </c>
      <c r="D113" s="238" t="s">
        <v>121</v>
      </c>
      <c r="E113" s="1130" t="str">
        <f>IF('WEEK 34'!B113='WEEK 7 MASTER SHEET'!B118,'WEEK 7 MASTER SHEET'!F118,"")</f>
        <v/>
      </c>
      <c r="F113" s="67"/>
      <c r="H113" s="236">
        <v>2.0</v>
      </c>
      <c r="I113" s="237">
        <f>mround('WEEK 34'!I110*0.65,5)</f>
        <v>100</v>
      </c>
      <c r="J113" s="237">
        <v>1.0</v>
      </c>
      <c r="K113" s="238" t="s">
        <v>121</v>
      </c>
      <c r="L113" s="1130" t="str">
        <f>IF('WEEK 34'!I113='WEEK 7 MASTER SHEET'!I118,'WEEK 7 MASTER SHEET'!M118,"")</f>
        <v/>
      </c>
      <c r="M113" s="67"/>
    </row>
    <row r="114">
      <c r="A114" s="242">
        <v>3.0</v>
      </c>
      <c r="B114" s="237">
        <f>mround('WEEK 34'!B110*0.9,5)</f>
        <v>0</v>
      </c>
      <c r="C114" s="82">
        <v>1.0</v>
      </c>
      <c r="D114" s="238" t="s">
        <v>121</v>
      </c>
      <c r="E114" s="1130" t="str">
        <f>IF('WEEK 34'!B114='WEEK 7 MASTER SHEET'!B119,'WEEK 7 MASTER SHEET'!F119,"")</f>
        <v/>
      </c>
      <c r="F114" s="67"/>
      <c r="H114" s="242">
        <v>3.0</v>
      </c>
      <c r="I114" s="237">
        <f>mround('WEEK 34'!I110*0.9,5)</f>
        <v>135</v>
      </c>
      <c r="J114" s="82">
        <v>1.0</v>
      </c>
      <c r="K114" s="238" t="s">
        <v>121</v>
      </c>
      <c r="L114" s="1130" t="str">
        <f>IF('WEEK 34'!I114='WEEK 7 MASTER SHEET'!I119,'WEEK 7 MASTER SHEET'!M119,"")</f>
        <v/>
      </c>
      <c r="M114" s="67"/>
    </row>
    <row r="115">
      <c r="A115" s="243">
        <v>4.0</v>
      </c>
      <c r="B115" s="237" t="str">
        <f>'WEEK 34'!B110</f>
        <v/>
      </c>
      <c r="C115" s="257">
        <v>1.0</v>
      </c>
      <c r="D115" s="238" t="s">
        <v>122</v>
      </c>
      <c r="E115" s="1130" t="str">
        <f>IF('WEEK 34'!B115='WEEK 7 MASTER SHEET'!B120,'WEEK 7 MASTER SHEET'!F120,"")</f>
        <v/>
      </c>
      <c r="F115" s="67"/>
      <c r="H115" s="243">
        <v>4.0</v>
      </c>
      <c r="I115" s="237">
        <f>'WEEK 34'!I110</f>
        <v>150</v>
      </c>
      <c r="J115" s="257">
        <v>1.0</v>
      </c>
      <c r="K115" s="238" t="s">
        <v>122</v>
      </c>
      <c r="L115" s="1130" t="str">
        <f>IF('WEEK 34'!I115='WEEK 7 MASTER SHEET'!I120,'WEEK 7 MASTER SHEET'!M120,"")</f>
        <v/>
      </c>
      <c r="M115" s="67"/>
    </row>
    <row r="116">
      <c r="A116" s="246" t="str">
        <f>IF('WEEK 34'!F115&lt;1,"PROCEED TO DOWN SETS","NEW 4 REP MAX ATTEMPT")</f>
        <v>PROCEED TO DOWN SETS</v>
      </c>
      <c r="B116" s="20"/>
      <c r="C116" s="20"/>
      <c r="D116" s="20"/>
      <c r="E116" s="20"/>
      <c r="F116" s="95"/>
      <c r="H116" s="246" t="str">
        <f>IF('WEEK 34'!M115&lt;1,"PROCEED TO DOWN SETS","NEW 4 REP MAX ATTEMPT")</f>
        <v>PROCEED TO DOWN SETS</v>
      </c>
      <c r="I116" s="20"/>
      <c r="J116" s="20"/>
      <c r="K116" s="20"/>
      <c r="L116" s="20"/>
      <c r="M116" s="95"/>
    </row>
    <row r="117">
      <c r="A117" s="249" t="str">
        <f>IF(OR(ISBLANK('WEEK 34'!F115),ISBLANK('WEEK 34'!F114),ISBLANK('WEEK 34'!F113)), "",if('WEEK 34'!F115&lt;1,"",5))</f>
        <v/>
      </c>
      <c r="B117" s="175" t="str">
        <f>IF('WEEK 34'!F115&lt;1,"",'WEEK 34'!B115+5)</f>
        <v/>
      </c>
      <c r="C117" s="238" t="str">
        <f>if('WEEK 34'!F115&lt;1,"",4)</f>
        <v/>
      </c>
      <c r="D117" s="238" t="str">
        <f>if('WEEK 34'!F115&lt;1,"","1-5 MIN")</f>
        <v/>
      </c>
      <c r="E117" s="1130" t="str">
        <f>IF('WEEK 34'!B117='WEEK 7 MASTER SHEET'!B122,'WEEK 7 MASTER SHEET'!F122,"")</f>
        <v/>
      </c>
      <c r="F117" s="67"/>
      <c r="H117" s="249" t="str">
        <f>IF(OR(ISBLANK('WEEK 34'!M115),ISBLANK('WEEK 34'!M114),ISBLANK('WEEK 34'!M113)), "",if('WEEK 34'!M115&lt;1,"",5))</f>
        <v/>
      </c>
      <c r="I117" s="175" t="str">
        <f>IF('WEEK 34'!M115&lt;1,"",'WEEK 34'!I115+5)</f>
        <v/>
      </c>
      <c r="J117" s="238" t="str">
        <f>if('WEEK 34'!M115&lt;1,"",4)</f>
        <v/>
      </c>
      <c r="K117" s="238" t="str">
        <f>if('WEEK 34'!M115&lt;1,"","1-5 MIN")</f>
        <v/>
      </c>
      <c r="L117" s="1130" t="str">
        <f>IF('WEEK 34'!I117='WEEK 7 MASTER SHEET'!I122,'WEEK 7 MASTER SHEET'!M122,"")</f>
        <v/>
      </c>
      <c r="M117" s="67"/>
    </row>
    <row r="118">
      <c r="A118" s="259" t="str">
        <f>IF(OR(ISBLANK('WEEK 34'!F114),ISBLANK('WEEK 34'!F115),ISBLANK('WEEK 34'!F117)), "",IF('WEEK 34'!F117&lt;4,"","6"))</f>
        <v/>
      </c>
      <c r="B118" s="237" t="str">
        <f>IF(OR(ISBLANK('WEEK 34'!F114),ISBLANK('WEEK 34'!F115),ISBLANK('WEEK 34'!F117)), "",IF('WEEK 34'!F117&lt;4,"",'WEEK 34'!B117+5))</f>
        <v/>
      </c>
      <c r="C118" s="257" t="str">
        <f>IF(OR(ISBLANK('WEEK 34'!F114),ISBLANK('WEEK 34'!F115),ISBLANK('WEEK 34'!F117)), "",IF('WEEK 34'!F117&lt;4,"","4"))</f>
        <v/>
      </c>
      <c r="D118" s="257" t="str">
        <f>IF(OR(ISBLANK('WEEK 34'!F114),ISBLANK('WEEK 34'!F115),ISBLANK('WEEK 34'!F117)), "",IF('WEEK 34'!F117&lt;4,"","1-5 MIN"))</f>
        <v/>
      </c>
      <c r="E118" s="1130" t="str">
        <f>IF('WEEK 34'!B118='WEEK 7 MASTER SHEET'!B123,'WEEK 7 MASTER SHEET'!F123,"")</f>
        <v/>
      </c>
      <c r="F118" s="67"/>
      <c r="H118" s="259" t="str">
        <f>IF(OR(ISBLANK('WEEK 34'!M114),ISBLANK('WEEK 34'!M115),ISBLANK('WEEK 34'!M117)), "",IF('WEEK 34'!M117&lt;4,"","6"))</f>
        <v/>
      </c>
      <c r="I118" s="237" t="str">
        <f>IF(OR(ISBLANK('WEEK 34'!M114),ISBLANK('WEEK 34'!M115),ISBLANK('WEEK 34'!M117)), "",IF('WEEK 34'!M117&lt;4,"",'WEEK 34'!I117+5))</f>
        <v/>
      </c>
      <c r="J118" s="257" t="str">
        <f>IF(OR(ISBLANK('WEEK 34'!M114),ISBLANK('WEEK 34'!M115),ISBLANK('WEEK 34'!M117)), "",IF('WEEK 34'!M117&lt;4,"","4"))</f>
        <v/>
      </c>
      <c r="K118" s="257" t="str">
        <f>IF(OR(ISBLANK('WEEK 34'!M114),ISBLANK('WEEK 34'!M115),ISBLANK('WEEK 34'!M117)), "",IF('WEEK 34'!M117&lt;4,"","1-5 MIN"))</f>
        <v/>
      </c>
      <c r="L118" s="1130" t="str">
        <f>IF('WEEK 34'!I118='WEEK 7 MASTER SHEET'!I123,'WEEK 7 MASTER SHEET'!M123,"")</f>
        <v/>
      </c>
      <c r="M118" s="67"/>
    </row>
    <row r="119">
      <c r="A119" s="246" t="s">
        <v>133</v>
      </c>
      <c r="B119" s="20"/>
      <c r="C119" s="20"/>
      <c r="D119" s="20"/>
      <c r="E119" s="20"/>
      <c r="F119" s="95"/>
      <c r="H119" s="246" t="s">
        <v>133</v>
      </c>
      <c r="I119" s="20"/>
      <c r="J119" s="20"/>
      <c r="K119" s="20"/>
      <c r="L119" s="20"/>
      <c r="M119" s="95"/>
    </row>
    <row r="120">
      <c r="A120" s="264" t="str">
        <f>IF(OR(ISBLANK('WEEK 34'!F115),ISBLANK('WEEK 34'!F114),ISBLANK('WEEK 34'!F113)),"",IF((AND(A117="",A118="")),5,IF((AND(A117&gt;1,A118="")),6,7)))</f>
        <v/>
      </c>
      <c r="B120" s="265">
        <f>MROUND('WEEK 34'!B122*0.9,5)</f>
        <v>0</v>
      </c>
      <c r="C120" s="266" t="s">
        <v>65</v>
      </c>
      <c r="D120" s="631" t="s">
        <v>127</v>
      </c>
      <c r="E120" s="1130" t="str">
        <f>IF('WEEK 34'!B120='WEEK 7 MASTER SHEET'!B125,'WEEK 7 MASTER SHEET'!F125,"")</f>
        <v/>
      </c>
      <c r="F120" s="67"/>
      <c r="H120" s="264" t="str">
        <f>IF(OR(ISBLANK('WEEK 34'!M115),ISBLANK('WEEK 34'!M114),ISBLANK('WEEK 34'!M113)),"",IF((AND(H117="",H118="")),5,IF((AND(H117&gt;1,H118="")),6,7)))</f>
        <v/>
      </c>
      <c r="I120" s="265">
        <f>MROUND('WEEK 34'!I122*0.9,5)</f>
        <v>0</v>
      </c>
      <c r="J120" s="266" t="s">
        <v>65</v>
      </c>
      <c r="K120" s="267" t="s">
        <v>127</v>
      </c>
      <c r="L120" s="1130" t="str">
        <f>IF('WEEK 34'!I120='WEEK 7 MASTER SHEET'!I125,'WEEK 7 MASTER SHEET'!M125,"")</f>
        <v/>
      </c>
      <c r="M120" s="67"/>
    </row>
    <row r="121">
      <c r="A121" s="243" t="str">
        <f>IF(OR(ISBLANK('WEEK 34'!F115),ISBLANK('WEEK 34'!F114),ISBLANK('WEEK 34'!F113)),"",IF((AND(A117="",A118="")),6,IF((AND(A117&gt;1,A118="")),7,8)))</f>
        <v/>
      </c>
      <c r="B121" s="237">
        <f>mround('WEEK 34'!B122*0.78,5)</f>
        <v>0</v>
      </c>
      <c r="C121" s="245" t="s">
        <v>65</v>
      </c>
      <c r="D121" s="65" t="s">
        <v>127</v>
      </c>
      <c r="E121" s="1130" t="str">
        <f>IF('WEEK 34'!B121='WEEK 7 MASTER SHEET'!B126,'WEEK 7 MASTER SHEET'!F126,"")</f>
        <v/>
      </c>
      <c r="F121" s="271"/>
      <c r="H121" s="243" t="str">
        <f>IF(OR(ISBLANK('WEEK 34'!M115),ISBLANK('WEEK 34'!M114),ISBLANK('WEEK 34'!M113)),"",IF((AND(H117="",H118="")),6,IF((AND(H117&gt;1,H118="")),7,8)))</f>
        <v/>
      </c>
      <c r="I121" s="237">
        <f>mround('WEEK 34'!I122*0.78,5)</f>
        <v>0</v>
      </c>
      <c r="J121" s="245" t="s">
        <v>65</v>
      </c>
      <c r="K121" s="65" t="s">
        <v>127</v>
      </c>
      <c r="L121" s="1130" t="str">
        <f>IF('WEEK 34'!I121='WEEK 7 MASTER SHEET'!I126,'WEEK 7 MASTER SHEET'!M126,"")</f>
        <v/>
      </c>
      <c r="M121" s="271"/>
    </row>
    <row r="122">
      <c r="A122" s="272" t="s">
        <v>124</v>
      </c>
      <c r="B122" s="273" t="str">
        <f>IF(OR(ISBLANK('WEEK 34'!F115),ISBLANK('WEEK 34'!F114),ISBLANK('WEEK 34'!F113)),"",IF('WEEK 34'!F118&gt;=1,'WEEK 34'!B118,IF('WEEK 34'!F117&gt;=4,'WEEK 34'!B117,IF('WEEK 34'!F115&lt;1,'WEEK 34'!B115-5,'WEEK 34'!B115))))</f>
        <v/>
      </c>
      <c r="C122" s="11"/>
      <c r="D122" s="11"/>
      <c r="E122" s="11"/>
      <c r="F122" s="46"/>
      <c r="H122" s="272" t="s">
        <v>124</v>
      </c>
      <c r="I122" s="273" t="str">
        <f>IF(OR(ISBLANK('WEEK 34'!M115),ISBLANK('WEEK 34'!M114),ISBLANK('WEEK 34'!M113)),"",IF('WEEK 34'!M118&gt;=1,'WEEK 34'!I118,IF('WEEK 34'!M117&gt;=4,'WEEK 34'!I117,IF('WEEK 34'!M115&lt;1,'WEEK 34'!I115-5,'WEEK 34'!I115))))</f>
        <v/>
      </c>
      <c r="J122" s="11"/>
      <c r="K122" s="11"/>
      <c r="L122" s="11"/>
      <c r="M122" s="46"/>
    </row>
    <row r="125">
      <c r="A125" s="1217" t="str">
        <f>HYPERLINK("https://www.youtube.com/watch?v=XDLQt1j3qUU","2. DUMBBELL REAR DELT FLY ")</f>
        <v>2. DUMBBELL REAR DELT FLY </v>
      </c>
      <c r="B125" s="53"/>
      <c r="C125" s="53"/>
      <c r="D125" s="53"/>
      <c r="E125" s="53"/>
      <c r="F125" s="54"/>
      <c r="H125" s="1289" t="str">
        <f>HYPERLINK("https://www.youtube.com/watch?v=0BaHgGyCFJY&amp;feature=youtu.be","2. MACHINE REAR DELT FLY")</f>
        <v>2. MACHINE REAR DELT FLY</v>
      </c>
      <c r="I125" s="53"/>
      <c r="J125" s="53"/>
      <c r="K125" s="53"/>
      <c r="L125" s="53"/>
      <c r="M125" s="54"/>
    </row>
    <row r="126">
      <c r="A126" s="1268" t="s">
        <v>134</v>
      </c>
      <c r="B126" s="76">
        <f>mround('WEEK 34'!B122,2.5)</f>
        <v>0</v>
      </c>
      <c r="C126" s="13"/>
      <c r="D126" s="13"/>
      <c r="E126" s="13"/>
      <c r="F126" s="57"/>
      <c r="H126" s="1268" t="s">
        <v>134</v>
      </c>
      <c r="I126" s="1294" t="str">
        <f>'WEEK 34'!B122</f>
        <v/>
      </c>
      <c r="J126" s="13"/>
      <c r="K126" s="13"/>
      <c r="L126" s="13"/>
      <c r="M126" s="57"/>
    </row>
    <row r="127">
      <c r="A127" s="962" t="s">
        <v>50</v>
      </c>
      <c r="B127" s="963" t="s">
        <v>51</v>
      </c>
      <c r="C127" s="963" t="s">
        <v>52</v>
      </c>
      <c r="D127" s="963" t="s">
        <v>53</v>
      </c>
      <c r="E127" s="1005" t="s">
        <v>54</v>
      </c>
      <c r="F127" s="1006" t="s">
        <v>55</v>
      </c>
      <c r="H127" s="962" t="s">
        <v>50</v>
      </c>
      <c r="I127" s="963" t="s">
        <v>51</v>
      </c>
      <c r="J127" s="963" t="s">
        <v>52</v>
      </c>
      <c r="K127" s="963" t="s">
        <v>53</v>
      </c>
      <c r="L127" s="1073" t="s">
        <v>54</v>
      </c>
      <c r="M127" s="1006" t="s">
        <v>55</v>
      </c>
    </row>
    <row r="128">
      <c r="A128" s="967">
        <v>1.0</v>
      </c>
      <c r="B128" s="1028">
        <f>MROUND('WEEK 34'!B126*0.2,2.5)</f>
        <v>0</v>
      </c>
      <c r="C128" s="1075" t="s">
        <v>168</v>
      </c>
      <c r="D128" s="1067" t="s">
        <v>122</v>
      </c>
      <c r="E128" s="1235" t="str">
        <f>IF('WEEK 34'!B128='WEEK 33'!B113,'WEEK 33'!F113,"")</f>
        <v/>
      </c>
      <c r="F128" s="1017"/>
      <c r="H128" s="967">
        <v>1.0</v>
      </c>
      <c r="I128" s="1028">
        <f>MROUND(('WEEK 34'!I126*2)*0.9,10)</f>
        <v>0</v>
      </c>
      <c r="J128" s="1067" t="s">
        <v>61</v>
      </c>
      <c r="K128" s="968" t="s">
        <v>121</v>
      </c>
      <c r="L128" s="1235" t="str">
        <f>IF(I128='WEEK 33'!I113,'WEEK 33'!M113,"")</f>
        <v/>
      </c>
      <c r="M128" s="1017"/>
    </row>
    <row r="129">
      <c r="A129" s="967">
        <v>2.0</v>
      </c>
      <c r="B129" s="1028">
        <f>if('WEEK 34'!F128&lt;10,mround('WEEK 34'!B128*0.8,5),IF('WEEK 34'!F128&lt;=12,MROUND('WEEK 34'!B128*0.95,5),'WEEK 34'!B128))</f>
        <v>0</v>
      </c>
      <c r="C129" s="1075" t="s">
        <v>168</v>
      </c>
      <c r="D129" s="1067" t="s">
        <v>122</v>
      </c>
      <c r="E129" s="1235" t="str">
        <f>IF('WEEK 34'!B129='WEEK 33'!B114,'WEEK 33'!F114,"")</f>
        <v/>
      </c>
      <c r="F129" s="1017"/>
      <c r="H129" s="967">
        <v>2.0</v>
      </c>
      <c r="I129" s="1028">
        <f>if('WEEK 34'!M128&lt;10,mround('WEEK 34'!I128*0.8,5),IF('WEEK 34'!M128&lt;=12,MROUND('WEEK 34'!I128*0.95,5),'WEEK 34'!I128))</f>
        <v>0</v>
      </c>
      <c r="J129" s="1067" t="s">
        <v>61</v>
      </c>
      <c r="K129" s="968" t="s">
        <v>121</v>
      </c>
      <c r="L129" s="1235" t="str">
        <f>IF(I129='WEEK 33'!I114,'WEEK 33'!M114,"")</f>
        <v/>
      </c>
      <c r="M129" s="1017"/>
    </row>
    <row r="130">
      <c r="A130" s="971">
        <v>3.0</v>
      </c>
      <c r="B130" s="1123">
        <f>if('WEEK 34'!F129&lt;10,mround('WEEK 34'!B129*0.8,5),IF('WEEK 34'!F129&lt;=12,MROUND('WEEK 34'!B129*0.95,5),'WEEK 34'!B129))</f>
        <v>0</v>
      </c>
      <c r="C130" s="1079" t="s">
        <v>168</v>
      </c>
      <c r="D130" s="1220" t="s">
        <v>122</v>
      </c>
      <c r="E130" s="1271" t="str">
        <f>IF('WEEK 34'!B130='WEEK 33'!B115,'WEEK 33'!F115,"")</f>
        <v/>
      </c>
      <c r="F130" s="1017"/>
      <c r="H130" s="971">
        <v>3.0</v>
      </c>
      <c r="I130" s="1123">
        <f>if('WEEK 34'!M129&lt;10,mround('WEEK 34'!I129*0.8,5),IF('WEEK 34'!M129&lt;=12,MROUND('WEEK 34'!I129*0.95,5),'WEEK 34'!I129))</f>
        <v>0</v>
      </c>
      <c r="J130" s="1220" t="s">
        <v>61</v>
      </c>
      <c r="K130" s="972" t="s">
        <v>121</v>
      </c>
      <c r="L130" s="1271" t="str">
        <f>IF(I130='WEEK 33'!I115,'WEEK 33'!M115,"")</f>
        <v/>
      </c>
      <c r="M130" s="1017"/>
    </row>
    <row r="133">
      <c r="A133" s="1217" t="str">
        <f>HYPERLINK("https://youtu.be/QUNZvtb6mnY","3. DUMBBELL SIDE LATERAL RAISE")</f>
        <v>3. DUMBBELL SIDE LATERAL RAISE</v>
      </c>
      <c r="B133" s="53"/>
      <c r="C133" s="53"/>
      <c r="D133" s="53"/>
      <c r="E133" s="53"/>
      <c r="F133" s="54"/>
    </row>
    <row r="134">
      <c r="A134" s="1268" t="s">
        <v>134</v>
      </c>
      <c r="B134" s="76" t="str">
        <f>IF('WEEK 34'!B122="",'WEEK 33'!B101,'WEEK 34'!B122)</f>
        <v/>
      </c>
      <c r="C134" s="13"/>
      <c r="D134" s="13"/>
      <c r="E134" s="13"/>
      <c r="F134" s="57"/>
    </row>
    <row r="135">
      <c r="A135" s="1071" t="s">
        <v>50</v>
      </c>
      <c r="B135" s="1072" t="s">
        <v>51</v>
      </c>
      <c r="C135" s="1072" t="s">
        <v>52</v>
      </c>
      <c r="D135" s="1072" t="s">
        <v>53</v>
      </c>
      <c r="E135" s="1073" t="s">
        <v>54</v>
      </c>
      <c r="F135" s="1006" t="s">
        <v>55</v>
      </c>
    </row>
    <row r="136">
      <c r="A136" s="1074">
        <v>1.0</v>
      </c>
      <c r="B136" s="968">
        <f> mround('WEEK 34'!B134*0.2,5)</f>
        <v>0</v>
      </c>
      <c r="C136" s="1075" t="s">
        <v>168</v>
      </c>
      <c r="D136" s="1076" t="s">
        <v>57</v>
      </c>
      <c r="E136" s="1235" t="str">
        <f>IF('WEEK 34'!B136='WEEK 33'!B121,'WEEK 33'!F121,"")</f>
        <v/>
      </c>
      <c r="F136" s="1017"/>
    </row>
    <row r="137">
      <c r="A137" s="1074">
        <v>2.0</v>
      </c>
      <c r="B137" s="968">
        <f>if('WEEK 34'!F136&lt;12,mround('WEEK 34'!B134*0.15,2.5),'WEEK 34'!B136)</f>
        <v>0</v>
      </c>
      <c r="C137" s="1075" t="s">
        <v>168</v>
      </c>
      <c r="D137" s="1076" t="s">
        <v>57</v>
      </c>
      <c r="E137" s="1235" t="str">
        <f>IF('WEEK 34'!B137='WEEK 33'!B122,'WEEK 33'!F122,"")</f>
        <v/>
      </c>
      <c r="F137" s="1017"/>
    </row>
    <row r="138">
      <c r="A138" s="1078">
        <v>3.0</v>
      </c>
      <c r="B138" s="972">
        <f>if('WEEK 34'!F137&lt;12,mround('WEEK 34'!B134*0.1,2.5),'WEEK 34'!B137)</f>
        <v>0</v>
      </c>
      <c r="C138" s="1079" t="s">
        <v>168</v>
      </c>
      <c r="D138" s="1080" t="s">
        <v>57</v>
      </c>
      <c r="E138" s="1271" t="str">
        <f>IF('WEEK 34'!B138='WEEK 33'!B123,'WEEK 33'!F123,"")</f>
        <v/>
      </c>
      <c r="F138" s="1017"/>
    </row>
    <row r="141">
      <c r="A141" s="1295" t="str">
        <f>HYPERLINK("https://www.youtube.com/watch?v=NlchRoKP7s8","3. DUMBBELL TRICEP EXTENSIONS")</f>
        <v>3. DUMBBELL TRICEP EXTENSIONS</v>
      </c>
      <c r="B141" s="53"/>
      <c r="C141" s="53"/>
      <c r="D141" s="53"/>
      <c r="E141" s="53"/>
      <c r="F141" s="54"/>
    </row>
    <row r="142">
      <c r="A142" s="1268" t="s">
        <v>119</v>
      </c>
      <c r="B142" s="76">
        <f>'WEEK 30'!B136</f>
        <v>30</v>
      </c>
      <c r="C142" s="13"/>
      <c r="D142" s="13"/>
      <c r="E142" s="13"/>
      <c r="F142" s="57"/>
    </row>
    <row r="143">
      <c r="A143" s="1071" t="s">
        <v>50</v>
      </c>
      <c r="B143" s="1072" t="s">
        <v>51</v>
      </c>
      <c r="C143" s="1072" t="s">
        <v>52</v>
      </c>
      <c r="D143" s="1072" t="s">
        <v>53</v>
      </c>
      <c r="E143" s="1073" t="s">
        <v>54</v>
      </c>
      <c r="F143" s="1006" t="s">
        <v>55</v>
      </c>
    </row>
    <row r="144">
      <c r="A144" s="1074">
        <v>1.0</v>
      </c>
      <c r="B144" s="968">
        <f> mround('WEEK 34'!B142,5)</f>
        <v>30</v>
      </c>
      <c r="C144" s="1075" t="s">
        <v>168</v>
      </c>
      <c r="D144" s="1076" t="s">
        <v>57</v>
      </c>
      <c r="E144" s="1235" t="str">
        <f>IF('WEEK 34'!B144='WEEK 33'!B138,'WEEK 33'!F138,"")</f>
        <v/>
      </c>
      <c r="F144" s="1017"/>
    </row>
    <row r="145">
      <c r="A145" s="1074">
        <v>2.0</v>
      </c>
      <c r="B145" s="968">
        <f>if('WEEK 34'!F144&lt;15,mround('WEEK 34'!B142*0.15,2.5),'WEEK 34'!B144)</f>
        <v>5</v>
      </c>
      <c r="C145" s="1075" t="s">
        <v>168</v>
      </c>
      <c r="D145" s="1076" t="s">
        <v>57</v>
      </c>
      <c r="E145" s="1235" t="str">
        <f>IF('WEEK 34'!B145='WEEK 33'!B139,'WEEK 33'!F139,"")</f>
        <v/>
      </c>
      <c r="F145" s="1017"/>
    </row>
    <row r="146">
      <c r="A146" s="1078">
        <v>3.0</v>
      </c>
      <c r="B146" s="972">
        <f>if('WEEK 34'!F145&lt;15,mround('WEEK 34'!B142*0.1,2.5),'WEEK 34'!B145)</f>
        <v>2.5</v>
      </c>
      <c r="C146" s="1079" t="s">
        <v>168</v>
      </c>
      <c r="D146" s="1080" t="s">
        <v>57</v>
      </c>
      <c r="E146" s="1271" t="str">
        <f>IF('WEEK 34'!B146='WEEK 33'!B140,'WEEK 33'!F140,"")</f>
        <v/>
      </c>
      <c r="F146" s="1017"/>
    </row>
    <row r="149">
      <c r="A149" s="75" t="str">
        <f>HYPERLINK("https://www.youtube.com/watch?v=Bi6Do6QIlpQ","4. BICEP EZ BAR CURL")</f>
        <v>4. BICEP EZ BAR CURL</v>
      </c>
      <c r="B149" s="53"/>
      <c r="C149" s="53"/>
      <c r="D149" s="53"/>
      <c r="E149" s="53"/>
      <c r="F149" s="54"/>
    </row>
    <row r="150">
      <c r="A150" s="961" t="s">
        <v>119</v>
      </c>
      <c r="B150" s="76" t="str">
        <f>'WEEK 31'!B163</f>
        <v/>
      </c>
      <c r="C150" s="13"/>
      <c r="D150" s="13"/>
      <c r="E150" s="13"/>
      <c r="F150" s="57"/>
    </row>
    <row r="151">
      <c r="A151" s="962" t="s">
        <v>50</v>
      </c>
      <c r="B151" s="963" t="s">
        <v>51</v>
      </c>
      <c r="C151" s="963" t="s">
        <v>52</v>
      </c>
      <c r="D151" s="963" t="s">
        <v>53</v>
      </c>
      <c r="E151" s="1073" t="s">
        <v>54</v>
      </c>
      <c r="F151" s="1006" t="s">
        <v>55</v>
      </c>
    </row>
    <row r="152">
      <c r="A152" s="967">
        <v>1.0</v>
      </c>
      <c r="B152" s="968">
        <f> mround('WEEK 34'!B150*0.85,5)</f>
        <v>0</v>
      </c>
      <c r="C152" s="937" t="s">
        <v>217</v>
      </c>
      <c r="D152" s="1296" t="s">
        <v>127</v>
      </c>
      <c r="E152" s="1235" t="str">
        <f>if('WEEK 34'!B152='WEEK 30'!B153,'WEEK 30'!F153,"")</f>
        <v/>
      </c>
      <c r="F152" s="984">
        <v>10.0</v>
      </c>
    </row>
    <row r="153">
      <c r="A153" s="967">
        <v>2.0</v>
      </c>
      <c r="B153" s="968">
        <f>if('WEEK 34'!F152&lt;8,mround('WEEK 34'!B152*0.75,5),if('WEEK 34'!F152&lt;15,mround('WEEK 34'!B152*0.85,5),'WEEK 34'!B152))</f>
        <v>0</v>
      </c>
      <c r="C153" s="1297" t="s">
        <v>217</v>
      </c>
      <c r="D153" s="1296" t="s">
        <v>127</v>
      </c>
      <c r="E153" s="1235" t="str">
        <f>if('WEEK 34'!B153='WEEK 30'!B154,'WEEK 30'!F154,"")</f>
        <v/>
      </c>
      <c r="F153" s="1131">
        <v>15.0</v>
      </c>
    </row>
    <row r="154">
      <c r="A154" s="971">
        <v>3.0</v>
      </c>
      <c r="B154" s="968">
        <f>if('WEEK 34'!F153&lt;8,mround('WEEK 34'!B153*0.75,5),if('WEEK 34'!F153&lt;15,mround('WEEK 34'!B153*0.85,5),'WEEK 34'!B153))</f>
        <v>0</v>
      </c>
      <c r="C154" s="1298" t="s">
        <v>217</v>
      </c>
      <c r="D154" s="1296" t="s">
        <v>127</v>
      </c>
      <c r="E154" s="1271" t="str">
        <f>if('WEEK 34'!B154='WEEK 30'!B155,'WEEK 30'!F155,"")</f>
        <v/>
      </c>
      <c r="F154" s="984">
        <v>5.0</v>
      </c>
    </row>
    <row r="157">
      <c r="A157" s="1149" t="s">
        <v>135</v>
      </c>
      <c r="B157" s="36"/>
      <c r="C157" s="36"/>
      <c r="D157" s="36"/>
      <c r="E157" s="36"/>
      <c r="F157" s="37"/>
    </row>
    <row r="158">
      <c r="A158" s="623"/>
      <c r="B158" s="623"/>
      <c r="C158" s="623"/>
      <c r="D158" s="623"/>
      <c r="E158" s="1274"/>
      <c r="F158" s="623"/>
    </row>
    <row r="159">
      <c r="A159" s="1275" t="str">
        <f>HYPERLINK("https://www.amazon.com/30-Minute-Body-Investment-Champion/dp/0692791892/ref=sr_1_1?ie=UTF8&amp;qid=1490447969&amp;sr=8-1&amp;keywords=30+minute+body","WANT TO LEARN MORE?")</f>
        <v>WANT TO LEARN MORE?</v>
      </c>
      <c r="B159" s="25"/>
      <c r="C159" s="25"/>
      <c r="D159" s="25"/>
      <c r="E159" s="25"/>
      <c r="F159" s="26"/>
    </row>
    <row r="160">
      <c r="A160" s="529"/>
      <c r="F160" s="28"/>
    </row>
    <row r="161">
      <c r="A161" s="1276"/>
      <c r="B161" s="999"/>
      <c r="C161" s="1150" t="s">
        <v>67</v>
      </c>
      <c r="F161" s="28"/>
    </row>
    <row r="162">
      <c r="A162" s="1276"/>
      <c r="B162" s="999"/>
      <c r="F162" s="28"/>
    </row>
    <row r="163">
      <c r="A163" s="1276"/>
      <c r="B163" s="999"/>
      <c r="F163" s="28"/>
    </row>
    <row r="164">
      <c r="A164" s="1276"/>
      <c r="B164" s="999"/>
      <c r="F164" s="28"/>
    </row>
    <row r="165">
      <c r="A165" s="1276"/>
      <c r="B165" s="999"/>
      <c r="F165" s="28"/>
    </row>
    <row r="166">
      <c r="A166" s="1276"/>
      <c r="B166" s="999"/>
      <c r="F166" s="28"/>
    </row>
    <row r="167">
      <c r="A167" s="1277"/>
      <c r="B167" s="999"/>
      <c r="F167" s="28"/>
    </row>
    <row r="168">
      <c r="A168" s="1276"/>
      <c r="B168" s="999"/>
      <c r="F168" s="28"/>
    </row>
    <row r="169">
      <c r="A169" s="1276"/>
      <c r="B169" s="999"/>
      <c r="F169" s="28"/>
    </row>
    <row r="170">
      <c r="A170" s="1278"/>
      <c r="B170" s="999"/>
      <c r="F170" s="28"/>
    </row>
    <row r="171">
      <c r="A171" s="1276"/>
      <c r="B171" s="999"/>
      <c r="F171" s="28"/>
    </row>
    <row r="172">
      <c r="A172" s="1276"/>
      <c r="B172" s="999"/>
      <c r="F172" s="28"/>
    </row>
    <row r="173">
      <c r="A173" s="1276"/>
      <c r="B173" s="999"/>
      <c r="F173" s="28"/>
    </row>
    <row r="174">
      <c r="A174" s="1276"/>
      <c r="B174" s="999"/>
      <c r="F174" s="28"/>
    </row>
    <row r="175">
      <c r="A175" s="1279"/>
      <c r="B175" s="1280"/>
      <c r="C175" s="11"/>
      <c r="D175" s="11"/>
      <c r="E175" s="11"/>
      <c r="F175" s="46"/>
    </row>
  </sheetData>
  <mergeCells count="71">
    <mergeCell ref="G97:G99"/>
    <mergeCell ref="G100:G101"/>
    <mergeCell ref="G102:G103"/>
    <mergeCell ref="A105:F105"/>
    <mergeCell ref="A108:F108"/>
    <mergeCell ref="H108:M108"/>
    <mergeCell ref="H109:M109"/>
    <mergeCell ref="I110:M110"/>
    <mergeCell ref="A109:F109"/>
    <mergeCell ref="B110:F110"/>
    <mergeCell ref="A116:F116"/>
    <mergeCell ref="H116:M116"/>
    <mergeCell ref="A119:F119"/>
    <mergeCell ref="H119:M119"/>
    <mergeCell ref="I122:M122"/>
    <mergeCell ref="A9:F9"/>
    <mergeCell ref="H9:M9"/>
    <mergeCell ref="A10:F11"/>
    <mergeCell ref="H10:M10"/>
    <mergeCell ref="A12:F12"/>
    <mergeCell ref="A13:F13"/>
    <mergeCell ref="H15:M15"/>
    <mergeCell ref="A15:F15"/>
    <mergeCell ref="A18:F18"/>
    <mergeCell ref="H18:M18"/>
    <mergeCell ref="A19:F19"/>
    <mergeCell ref="H19:M19"/>
    <mergeCell ref="B20:F20"/>
    <mergeCell ref="I20:M20"/>
    <mergeCell ref="A25:F25"/>
    <mergeCell ref="G25:G26"/>
    <mergeCell ref="H25:M25"/>
    <mergeCell ref="A32:F32"/>
    <mergeCell ref="H32:M32"/>
    <mergeCell ref="B33:F33"/>
    <mergeCell ref="I33:M33"/>
    <mergeCell ref="A39:F39"/>
    <mergeCell ref="B40:F40"/>
    <mergeCell ref="A46:F46"/>
    <mergeCell ref="A49:F49"/>
    <mergeCell ref="B52:F52"/>
    <mergeCell ref="A54:F54"/>
    <mergeCell ref="B55:F55"/>
    <mergeCell ref="A60:F61"/>
    <mergeCell ref="A62:F62"/>
    <mergeCell ref="B63:F63"/>
    <mergeCell ref="A70:F70"/>
    <mergeCell ref="A72:F72"/>
    <mergeCell ref="A75:F75"/>
    <mergeCell ref="B76:F76"/>
    <mergeCell ref="B86:F86"/>
    <mergeCell ref="A89:F89"/>
    <mergeCell ref="B90:F90"/>
    <mergeCell ref="A97:F97"/>
    <mergeCell ref="H97:M97"/>
    <mergeCell ref="B98:F98"/>
    <mergeCell ref="I98:M98"/>
    <mergeCell ref="A141:F141"/>
    <mergeCell ref="B142:F142"/>
    <mergeCell ref="A149:F149"/>
    <mergeCell ref="B150:F150"/>
    <mergeCell ref="A157:F157"/>
    <mergeCell ref="A159:F160"/>
    <mergeCell ref="C161:F175"/>
    <mergeCell ref="B122:F122"/>
    <mergeCell ref="A125:F125"/>
    <mergeCell ref="H125:M125"/>
    <mergeCell ref="B126:F126"/>
    <mergeCell ref="I126:M126"/>
    <mergeCell ref="A133:F133"/>
    <mergeCell ref="B134:F134"/>
  </mergeCells>
  <dataValidations>
    <dataValidation type="decimal" operator="greaterThanOrEqual" allowBlank="1" showDropDown="1" showErrorMessage="1" sqref="F41:F44 F48 F50 F56:F59 F64:F67">
      <formula1>0.0</formula1>
    </dataValidation>
    <dataValidation type="decimal" operator="greaterThanOrEqual" allowBlank="1" showDropDown="1" sqref="F77:F81 F83">
      <formula1>0.0</formula1>
    </dataValidation>
  </dataValidations>
  <drawing r:id="rId2"/>
  <legacyDrawing r:id="rId3"/>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'MSW34'!A1</f>
        <v/>
      </c>
    </row>
    <row r="8">
      <c r="A8" s="11"/>
      <c r="B8" s="11"/>
      <c r="C8" s="11"/>
      <c r="D8" s="11"/>
      <c r="E8" s="11"/>
      <c r="F8" s="11"/>
      <c r="G8" s="11"/>
      <c r="H8" s="11"/>
      <c r="I8" s="11"/>
      <c r="J8" s="11"/>
      <c r="K8" s="11"/>
      <c r="L8" s="11"/>
      <c r="M8" s="11"/>
    </row>
    <row r="9">
      <c r="A9" s="1293" t="str">
        <f>'MSW34'!A9</f>
        <v>Week 34</v>
      </c>
      <c r="B9" s="36"/>
      <c r="C9" s="36"/>
      <c r="D9" s="36"/>
      <c r="E9" s="36"/>
      <c r="F9" s="37"/>
      <c r="G9" s="419" t="str">
        <f>'MSW34'!G9</f>
        <v/>
      </c>
      <c r="H9" s="24" t="s">
        <v>35</v>
      </c>
      <c r="I9" s="25"/>
      <c r="J9" s="25"/>
      <c r="K9" s="25"/>
      <c r="L9" s="25"/>
      <c r="M9" s="26"/>
    </row>
    <row r="10">
      <c r="A10" s="719" t="str">
        <f>'MSW34'!A10</f>
        <v>PRESS TO RECORD BODY WEIGHT</v>
      </c>
      <c r="B10" s="25"/>
      <c r="C10" s="25"/>
      <c r="D10" s="25"/>
      <c r="E10" s="25"/>
      <c r="F10" s="26"/>
      <c r="H10" s="27" t="s">
        <v>340</v>
      </c>
      <c r="M10" s="28"/>
    </row>
    <row r="11">
      <c r="A11" s="336"/>
      <c r="B11" s="11"/>
      <c r="C11" s="11"/>
      <c r="D11" s="11"/>
      <c r="E11" s="11"/>
      <c r="F11" s="46"/>
      <c r="H11" s="29" t="s">
        <v>341</v>
      </c>
      <c r="I11" s="30"/>
      <c r="J11" s="30"/>
      <c r="K11" s="30"/>
      <c r="L11" s="30"/>
      <c r="M11" s="31"/>
    </row>
    <row r="12">
      <c r="A12" s="720" t="str">
        <f>'MSW34'!A12</f>
        <v>This Weeks Goals</v>
      </c>
      <c r="B12" s="36"/>
      <c r="C12" s="36"/>
      <c r="D12" s="36"/>
      <c r="E12" s="36"/>
      <c r="F12" s="37"/>
      <c r="H12" s="419"/>
    </row>
    <row r="13">
      <c r="A13" s="721" t="str">
        <f>'MSW34'!A13</f>
        <v>This is what we call percentage week. For the most part we are going to work your body just under it's maximum potential and go for more repititions. There are however a few areas that are excluded from this principle but the general theme of the week is working under your max. </v>
      </c>
      <c r="B13" s="36"/>
      <c r="C13" s="36"/>
      <c r="D13" s="36"/>
      <c r="E13" s="36"/>
      <c r="F13" s="37"/>
    </row>
    <row r="14">
      <c r="A14" s="653" t="str">
        <f>'MSW34'!A14</f>
        <v/>
      </c>
    </row>
    <row r="15">
      <c r="A15" s="50" t="str">
        <f>'MSW34'!A15</f>
        <v>DAY 1 </v>
      </c>
      <c r="B15" s="36"/>
      <c r="C15" s="36"/>
      <c r="D15" s="36"/>
      <c r="E15" s="36"/>
      <c r="F15" s="37"/>
      <c r="G15" s="722" t="str">
        <f>'MSW34'!G15</f>
        <v/>
      </c>
      <c r="H15" s="429" t="str">
        <f>'MSW34'!H15</f>
        <v>ALTERNATE WORKOUTS</v>
      </c>
      <c r="I15" s="36"/>
      <c r="J15" s="36"/>
      <c r="K15" s="36"/>
      <c r="L15" s="36"/>
      <c r="M15" s="37"/>
    </row>
    <row r="16">
      <c r="A16" s="657" t="str">
        <f>'MSW34'!A16</f>
        <v/>
      </c>
      <c r="H16" s="657" t="str">
        <f>'MSW34'!H16</f>
        <v/>
      </c>
    </row>
    <row r="18">
      <c r="A18" s="51" t="str">
        <f>'MSW34'!A18</f>
        <v>CHEST &amp; BACK </v>
      </c>
      <c r="B18" s="36"/>
      <c r="C18" s="36"/>
      <c r="D18" s="36"/>
      <c r="E18" s="36"/>
      <c r="F18" s="37"/>
      <c r="H18" s="51" t="str">
        <f>'MSW34'!H18</f>
        <v>CHEST &amp; BACK </v>
      </c>
      <c r="I18" s="36"/>
      <c r="J18" s="36"/>
      <c r="K18" s="36"/>
      <c r="L18" s="36"/>
      <c r="M18" s="37"/>
    </row>
    <row r="19">
      <c r="A19" s="93" t="str">
        <f>'MSW34'!A19</f>
        <v>1. BENCH PRESS</v>
      </c>
      <c r="B19" s="53"/>
      <c r="C19" s="53"/>
      <c r="D19" s="53"/>
      <c r="E19" s="53"/>
      <c r="F19" s="54"/>
      <c r="H19" s="93" t="str">
        <f>'MSW34'!H19</f>
        <v>1. MACHINE PRESS</v>
      </c>
      <c r="I19" s="53"/>
      <c r="J19" s="53"/>
      <c r="K19" s="53"/>
      <c r="L19" s="53"/>
      <c r="M19" s="54"/>
    </row>
    <row r="20">
      <c r="A20" s="226" t="str">
        <f>'MSW34'!A20</f>
        <v>CURRENT MAX</v>
      </c>
      <c r="B20" s="691">
        <v>225.0</v>
      </c>
      <c r="C20" s="13"/>
      <c r="D20" s="13"/>
      <c r="E20" s="13"/>
      <c r="F20" s="57"/>
      <c r="H20" s="226" t="str">
        <f>'MSW34'!H20</f>
        <v>CURRENT MAX</v>
      </c>
      <c r="I20" s="691" t="str">
        <f>'MSW34'!I20</f>
        <v/>
      </c>
      <c r="J20" s="13"/>
      <c r="K20" s="13"/>
      <c r="L20" s="13"/>
      <c r="M20" s="57"/>
    </row>
    <row r="21">
      <c r="A21" s="96" t="str">
        <f>'MSW34'!A21</f>
        <v>SET</v>
      </c>
      <c r="B21" s="97" t="str">
        <f>'MSW34'!B21</f>
        <v>WEIGHT</v>
      </c>
      <c r="C21" s="97" t="str">
        <f>'MSW34'!C21</f>
        <v>REPS</v>
      </c>
      <c r="D21" s="97" t="str">
        <f>'MSW34'!D21</f>
        <v>REST</v>
      </c>
      <c r="E21" s="341" t="str">
        <f>'MSW34'!E21</f>
        <v>PREVIOUS</v>
      </c>
      <c r="F21" s="235" t="str">
        <f>'MSW34'!F21</f>
        <v>REP LOG</v>
      </c>
      <c r="H21" s="96" t="str">
        <f>'MSW34'!H21</f>
        <v>SET</v>
      </c>
      <c r="I21" s="97" t="str">
        <f>'MSW34'!I21</f>
        <v>WEIGHT</v>
      </c>
      <c r="J21" s="97" t="str">
        <f>'MSW34'!J21</f>
        <v>REPS</v>
      </c>
      <c r="K21" s="97" t="str">
        <f>'MSW34'!K21</f>
        <v>REST</v>
      </c>
      <c r="L21" s="341" t="str">
        <f>'MSW34'!L21</f>
        <v>PREVIOUS</v>
      </c>
      <c r="M21" s="235" t="str">
        <f>'MSW34'!M21</f>
        <v>REP LOG</v>
      </c>
    </row>
    <row r="22">
      <c r="A22" s="725">
        <f>'MSW34'!A22</f>
        <v>1</v>
      </c>
      <c r="B22" s="344">
        <f>'MSW34'!B22</f>
        <v>70</v>
      </c>
      <c r="C22" s="344">
        <f>'MSW34'!C22</f>
        <v>6</v>
      </c>
      <c r="D22" s="343" t="str">
        <f>'MSW34'!D22</f>
        <v>30 sec</v>
      </c>
      <c r="E22" s="727" t="str">
        <f>'MSW34'!E22</f>
        <v/>
      </c>
      <c r="F22" s="85">
        <v>6.0</v>
      </c>
      <c r="H22" s="725">
        <f>'MSW34'!H22</f>
        <v>1</v>
      </c>
      <c r="I22" s="344">
        <f>'MSW34'!I22</f>
        <v>0</v>
      </c>
      <c r="J22" s="344">
        <f>'MSW34'!J22</f>
        <v>6</v>
      </c>
      <c r="K22" s="343" t="str">
        <f>'MSW34'!K22</f>
        <v>30 sec</v>
      </c>
      <c r="L22" s="727" t="str">
        <f>'MSW34'!L22</f>
        <v/>
      </c>
      <c r="M22" s="85"/>
    </row>
    <row r="23">
      <c r="A23" s="725">
        <f>'MSW34'!A23</f>
        <v>2</v>
      </c>
      <c r="B23" s="344">
        <f>'MSW34'!B23</f>
        <v>145</v>
      </c>
      <c r="C23" s="344">
        <f>'MSW34'!C23</f>
        <v>1</v>
      </c>
      <c r="D23" s="343" t="str">
        <f>'MSW34'!D23</f>
        <v>45 sec</v>
      </c>
      <c r="E23" s="727" t="str">
        <f>'MSW34'!E23</f>
        <v/>
      </c>
      <c r="F23" s="85">
        <v>1.0</v>
      </c>
      <c r="H23" s="725">
        <f>'MSW34'!H23</f>
        <v>2</v>
      </c>
      <c r="I23" s="344">
        <f>'MSW34'!I23</f>
        <v>0</v>
      </c>
      <c r="J23" s="344">
        <f>'MSW34'!J23</f>
        <v>1</v>
      </c>
      <c r="K23" s="343" t="str">
        <f>'MSW34'!K23</f>
        <v>45 sec</v>
      </c>
      <c r="L23" s="727" t="str">
        <f>'MSW34'!L23</f>
        <v/>
      </c>
      <c r="M23" s="85"/>
    </row>
    <row r="24">
      <c r="A24" s="725">
        <f>'MSW34'!A24</f>
        <v>3</v>
      </c>
      <c r="B24" s="344">
        <f>'MSW34'!B24</f>
        <v>180</v>
      </c>
      <c r="C24" s="344">
        <f>'MSW34'!C24</f>
        <v>1</v>
      </c>
      <c r="D24" s="343" t="str">
        <f>'MSW34'!D24</f>
        <v>1 MIN</v>
      </c>
      <c r="E24" s="727" t="str">
        <f>'MSW34'!E24</f>
        <v/>
      </c>
      <c r="F24" s="85">
        <v>1.0</v>
      </c>
      <c r="H24" s="725">
        <f>'MSW34'!H24</f>
        <v>3</v>
      </c>
      <c r="I24" s="344">
        <f>'MSW34'!I24</f>
        <v>0</v>
      </c>
      <c r="J24" s="344">
        <f>'MSW34'!J24</f>
        <v>1</v>
      </c>
      <c r="K24" s="343" t="str">
        <f>'MSW34'!K24</f>
        <v>1 MIN</v>
      </c>
      <c r="L24" s="727" t="str">
        <f>'MSW34'!L24</f>
        <v/>
      </c>
      <c r="M24" s="85"/>
    </row>
    <row r="25">
      <c r="A25" s="730" t="str">
        <f>'MSW34'!A25</f>
        <v>Working Set</v>
      </c>
      <c r="B25" s="13"/>
      <c r="C25" s="13"/>
      <c r="D25" s="13"/>
      <c r="E25" s="13"/>
      <c r="F25" s="57"/>
      <c r="G25" s="434" t="str">
        <f>'MSW34'!G25</f>
        <v>ALTERNATE</v>
      </c>
      <c r="H25" s="730" t="str">
        <f>'MSW34'!H25</f>
        <v>Working Set</v>
      </c>
      <c r="I25" s="13"/>
      <c r="J25" s="13"/>
      <c r="K25" s="13"/>
      <c r="L25" s="13"/>
      <c r="M25" s="57"/>
    </row>
    <row r="26">
      <c r="A26" s="96" t="str">
        <f>'MSW34'!A26</f>
        <v>SET</v>
      </c>
      <c r="B26" s="97" t="str">
        <f>'MSW34'!B26</f>
        <v>WEIGHT</v>
      </c>
      <c r="C26" s="97" t="str">
        <f>'MSW34'!C26</f>
        <v>REPS</v>
      </c>
      <c r="D26" s="97" t="str">
        <f>'MSW34'!D26</f>
        <v>REST</v>
      </c>
      <c r="E26" s="341" t="str">
        <f>'MSW34'!E26</f>
        <v>PREVIOUS</v>
      </c>
      <c r="F26" s="235" t="str">
        <f>'MSW34'!F26</f>
        <v>REP LOG</v>
      </c>
      <c r="H26" s="96" t="str">
        <f>'MSW34'!H26</f>
        <v>SET</v>
      </c>
      <c r="I26" s="97" t="str">
        <f>'MSW34'!I26</f>
        <v>WEIGHT</v>
      </c>
      <c r="J26" s="97" t="str">
        <f>'MSW34'!J26</f>
        <v>REPS</v>
      </c>
      <c r="K26" s="97" t="str">
        <f>'MSW34'!K26</f>
        <v>REST</v>
      </c>
      <c r="L26" s="341" t="str">
        <f>'MSW34'!L26</f>
        <v>PREVIOUS</v>
      </c>
      <c r="M26" s="235" t="str">
        <f>'MSW34'!M26</f>
        <v>REP LOG</v>
      </c>
    </row>
    <row r="27">
      <c r="A27" s="342">
        <f>'MSW34'!A27</f>
        <v>1</v>
      </c>
      <c r="B27" s="348">
        <f>'MSW34'!B27</f>
        <v>205</v>
      </c>
      <c r="C27" s="437" t="str">
        <f>'MSW34'!C27</f>
        <v>REP OUT</v>
      </c>
      <c r="D27" s="343" t="str">
        <f>'MSW34'!D27</f>
        <v>1-5 MIN</v>
      </c>
      <c r="E27" s="727" t="str">
        <f>'MSW34'!E27</f>
        <v/>
      </c>
      <c r="F27" s="85">
        <v>7.0</v>
      </c>
      <c r="G27" s="423" t="str">
        <f>'MSW34'!G27</f>
        <v/>
      </c>
      <c r="H27" s="725">
        <f>'MSW34'!H27</f>
        <v>1</v>
      </c>
      <c r="I27" s="348">
        <f>'MSW34'!I27</f>
        <v>0</v>
      </c>
      <c r="J27" s="437" t="str">
        <f>'MSW34'!J27</f>
        <v>REP OUT</v>
      </c>
      <c r="K27" s="343" t="str">
        <f>'MSW34'!K27</f>
        <v>1-5 MIN</v>
      </c>
      <c r="L27" s="727" t="str">
        <f>'MSW34'!L27</f>
        <v/>
      </c>
      <c r="M27" s="85"/>
    </row>
    <row r="28">
      <c r="A28" s="725">
        <f>'MSW34'!A28</f>
        <v>2</v>
      </c>
      <c r="B28" s="348">
        <f>'MSW34'!B28</f>
        <v>185</v>
      </c>
      <c r="C28" s="437" t="str">
        <f>'MSW34'!C28</f>
        <v>REP OUT</v>
      </c>
      <c r="D28" s="343" t="str">
        <f>'MSW34'!D28</f>
        <v>1-5 MIN</v>
      </c>
      <c r="E28" s="727" t="str">
        <f>'MSW34'!E28</f>
        <v/>
      </c>
      <c r="F28" s="85">
        <v>6.0</v>
      </c>
      <c r="H28" s="725">
        <f>'MSW34'!H28</f>
        <v>2</v>
      </c>
      <c r="I28" s="348">
        <f>'MSW34'!I28</f>
        <v>0</v>
      </c>
      <c r="J28" s="437" t="str">
        <f>'MSW34'!J28</f>
        <v>REP OUT</v>
      </c>
      <c r="K28" s="343" t="str">
        <f>'MSW34'!K28</f>
        <v>1-5 MIN</v>
      </c>
      <c r="L28" s="727" t="str">
        <f>'MSW34'!L28</f>
        <v/>
      </c>
      <c r="M28" s="85"/>
    </row>
    <row r="29">
      <c r="A29" s="485">
        <f>'MSW34'!A29</f>
        <v>3</v>
      </c>
      <c r="B29" s="732">
        <f>'MSW34'!B29</f>
        <v>165</v>
      </c>
      <c r="C29" s="733" t="str">
        <f>'MSW34'!C29</f>
        <v>REP OUT</v>
      </c>
      <c r="D29" s="486" t="str">
        <f>'MSW34'!D29</f>
        <v>1-5 MIN</v>
      </c>
      <c r="E29" s="734" t="str">
        <f>'MSW34'!E29</f>
        <v/>
      </c>
      <c r="F29" s="85"/>
      <c r="H29" s="735">
        <f>'MSW34'!H29</f>
        <v>3</v>
      </c>
      <c r="I29" s="736">
        <f>'MSW34'!I29</f>
        <v>0</v>
      </c>
      <c r="J29" s="737" t="str">
        <f>'MSW34'!J29</f>
        <v>REP OUT</v>
      </c>
      <c r="K29" s="738" t="str">
        <f>'MSW34'!K29</f>
        <v>1-5 MIN</v>
      </c>
      <c r="L29" s="739" t="str">
        <f>'MSW34'!L29</f>
        <v/>
      </c>
      <c r="M29" s="330"/>
    </row>
    <row r="30">
      <c r="A30" s="740" t="str">
        <f>'MSW34'!A30</f>
        <v/>
      </c>
      <c r="H30" s="742" t="str">
        <f>'MSW34'!H30</f>
        <v/>
      </c>
      <c r="I30" s="25"/>
      <c r="J30" s="25"/>
      <c r="K30" s="25"/>
      <c r="L30" s="25"/>
      <c r="M30" s="25"/>
    </row>
    <row r="32">
      <c r="A32" s="440" t="str">
        <f>'MSW34'!A32</f>
        <v>2. DB CHEST FLY</v>
      </c>
      <c r="B32" s="53"/>
      <c r="C32" s="53"/>
      <c r="D32" s="53"/>
      <c r="E32" s="53"/>
      <c r="F32" s="54"/>
      <c r="H32" s="504" t="str">
        <f>'MSW34'!H32</f>
        <v>2. MACHINE CHEST FLY</v>
      </c>
      <c r="I32" s="53"/>
      <c r="J32" s="53"/>
      <c r="K32" s="53"/>
      <c r="L32" s="53"/>
      <c r="M32" s="54"/>
    </row>
    <row r="33">
      <c r="A33" s="226" t="str">
        <f>'MSW34'!A33</f>
        <v>INCL DB PRSS MAX</v>
      </c>
      <c r="B33" s="691">
        <f>'MSW34'!B33</f>
        <v>90</v>
      </c>
      <c r="C33" s="13"/>
      <c r="D33" s="13"/>
      <c r="E33" s="13"/>
      <c r="F33" s="57"/>
      <c r="H33" s="226" t="str">
        <f>'MSW34'!H33</f>
        <v>INCL DB PRSS MAX</v>
      </c>
      <c r="I33" s="548">
        <f>'MSW34'!I33</f>
        <v>90</v>
      </c>
      <c r="J33" s="13"/>
      <c r="K33" s="13"/>
      <c r="L33" s="13"/>
      <c r="M33" s="57"/>
    </row>
    <row r="34">
      <c r="A34" s="743" t="str">
        <f>'MSW34'!A34</f>
        <v>SET</v>
      </c>
      <c r="B34" s="744" t="str">
        <f>'MSW34'!B34</f>
        <v>WEIGHT</v>
      </c>
      <c r="C34" s="744" t="str">
        <f>'MSW34'!C34</f>
        <v>REPS</v>
      </c>
      <c r="D34" s="744" t="str">
        <f>'MSW34'!D34</f>
        <v>REST</v>
      </c>
      <c r="E34" s="745" t="str">
        <f>'MSW34'!E34</f>
        <v>PREVIOUS</v>
      </c>
      <c r="F34" s="746" t="str">
        <f>'MSW34'!F34</f>
        <v>REP LOG</v>
      </c>
      <c r="H34" s="96" t="str">
        <f>'MSW34'!H34</f>
        <v>SET</v>
      </c>
      <c r="I34" s="97" t="str">
        <f>'MSW34'!I34</f>
        <v>WEIGHT</v>
      </c>
      <c r="J34" s="97" t="str">
        <f>'MSW34'!J34</f>
        <v>REPS</v>
      </c>
      <c r="K34" s="97" t="str">
        <f>'MSW34'!K34</f>
        <v>REST</v>
      </c>
      <c r="L34" s="341" t="str">
        <f>'MSW34'!L34</f>
        <v>PREVIOUS</v>
      </c>
      <c r="M34" s="235" t="str">
        <f>'MSW34'!M34</f>
        <v>REP LOG</v>
      </c>
    </row>
    <row r="35">
      <c r="A35" s="725">
        <f>'MSW34'!A35</f>
        <v>1</v>
      </c>
      <c r="B35" s="254">
        <f>'MSW34'!B35</f>
        <v>25</v>
      </c>
      <c r="C35" s="344">
        <f>'MSW34'!C35</f>
        <v>15</v>
      </c>
      <c r="D35" s="343" t="str">
        <f>'MSW34'!D35</f>
        <v>1 MIN</v>
      </c>
      <c r="E35" s="727" t="str">
        <f>'MSW34'!E35</f>
        <v/>
      </c>
      <c r="F35" s="85" t="str">
        <f>'MSW34'!F35</f>
        <v/>
      </c>
      <c r="H35" s="240">
        <f>'MSW34'!H35</f>
        <v>1</v>
      </c>
      <c r="I35" s="254">
        <f>'MSW34'!I35</f>
        <v>70</v>
      </c>
      <c r="J35" s="241">
        <f>'MSW34'!J35</f>
        <v>15</v>
      </c>
      <c r="K35" s="83" t="str">
        <f>'MSW34'!K35</f>
        <v>1 MIN</v>
      </c>
      <c r="L35" s="84" t="str">
        <f>'MSW34'!L35</f>
        <v/>
      </c>
      <c r="M35" s="85" t="str">
        <f>'MSW34'!M35</f>
        <v/>
      </c>
    </row>
    <row r="36">
      <c r="A36" s="747">
        <f>'MSW34'!A36</f>
        <v>2</v>
      </c>
      <c r="B36" s="662">
        <f>'MSW34'!B36</f>
        <v>25</v>
      </c>
      <c r="C36" s="813">
        <f>'MSW34'!C36</f>
        <v>15</v>
      </c>
      <c r="D36" s="486" t="str">
        <f>'MSW34'!D36</f>
        <v>1 MIN</v>
      </c>
      <c r="E36" s="734" t="str">
        <f>'MSW34'!E36</f>
        <v/>
      </c>
      <c r="F36" s="85" t="str">
        <f>'MSW34'!F36</f>
        <v/>
      </c>
      <c r="H36" s="661">
        <f>'MSW34'!H36</f>
        <v>2</v>
      </c>
      <c r="I36" s="662">
        <f>'MSW34'!I36</f>
        <v>70</v>
      </c>
      <c r="J36" s="662">
        <f>'MSW34'!J36</f>
        <v>15</v>
      </c>
      <c r="K36" s="88" t="str">
        <f>'MSW34'!K36</f>
        <v>1 MIN</v>
      </c>
      <c r="L36" s="89" t="str">
        <f>'MSW34'!L36</f>
        <v/>
      </c>
      <c r="M36" s="85" t="str">
        <f>'MSW34'!M36</f>
        <v/>
      </c>
    </row>
    <row r="37">
      <c r="A37" t="str">
        <f>'MSW34'!A37</f>
        <v/>
      </c>
      <c r="G37" t="str">
        <f>'MSW34'!G37</f>
        <v/>
      </c>
    </row>
    <row r="39">
      <c r="A39" s="73" t="str">
        <f>'MSW34'!A39</f>
        <v>3. MACHINE LOW ROW </v>
      </c>
      <c r="B39" s="53"/>
      <c r="C39" s="53"/>
      <c r="D39" s="53"/>
      <c r="E39" s="53"/>
      <c r="F39" s="54"/>
    </row>
    <row r="40">
      <c r="A40" s="226" t="str">
        <f>'MSW34'!A40</f>
        <v>CURRENT MAX</v>
      </c>
      <c r="B40" s="227">
        <f>'MSW34'!B40</f>
        <v>225</v>
      </c>
      <c r="C40" s="20"/>
      <c r="D40" s="20"/>
      <c r="E40" s="20"/>
      <c r="F40" s="95"/>
    </row>
    <row r="41">
      <c r="A41" s="231" t="str">
        <f>'MSW34'!A41</f>
        <v>SET</v>
      </c>
      <c r="B41" s="232" t="str">
        <f>'MSW34'!B41</f>
        <v>WEIGHT</v>
      </c>
      <c r="C41" s="232" t="str">
        <f>'MSW34'!C41</f>
        <v>REPS</v>
      </c>
      <c r="D41" s="232" t="str">
        <f>'MSW34'!D41</f>
        <v>REST</v>
      </c>
      <c r="E41" s="233" t="str">
        <f>'MSW34'!E41</f>
        <v>PREVIOUS</v>
      </c>
      <c r="F41" s="61" t="str">
        <f>'MSW34'!F41</f>
        <v>REP LOG</v>
      </c>
    </row>
    <row r="42">
      <c r="A42" s="236">
        <f>'MSW34'!A42</f>
        <v>1</v>
      </c>
      <c r="B42" s="237">
        <f>'MSW34'!B42</f>
        <v>80</v>
      </c>
      <c r="C42" s="237">
        <f>'MSW34'!C42</f>
        <v>6</v>
      </c>
      <c r="D42" s="238" t="str">
        <f>'MSW34'!D42</f>
        <v>30s</v>
      </c>
      <c r="E42" s="66" t="str">
        <f>'MSW34'!E42</f>
        <v/>
      </c>
      <c r="F42" s="67">
        <v>6.0</v>
      </c>
    </row>
    <row r="43">
      <c r="A43" s="236">
        <f>'MSW34'!A43</f>
        <v>2</v>
      </c>
      <c r="B43" s="237">
        <f>'MSW34'!B43</f>
        <v>145</v>
      </c>
      <c r="C43" s="238">
        <f>'MSW34'!C43</f>
        <v>3</v>
      </c>
      <c r="D43" s="238" t="str">
        <f>'MSW34'!D43</f>
        <v>1-2 MIN</v>
      </c>
      <c r="E43" s="66" t="str">
        <f>'MSW34'!E43</f>
        <v/>
      </c>
      <c r="F43" s="67">
        <v>3.0</v>
      </c>
    </row>
    <row r="44">
      <c r="A44" s="242">
        <f>'MSW34'!A44</f>
        <v>3</v>
      </c>
      <c r="B44" s="237">
        <f>'MSW34'!B44</f>
        <v>205</v>
      </c>
      <c r="C44" s="63">
        <f>'MSW34'!C44</f>
        <v>2</v>
      </c>
      <c r="D44" s="238" t="str">
        <f>'MSW34'!D44</f>
        <v>1-2 MIN</v>
      </c>
      <c r="E44" s="66" t="str">
        <f>'MSW34'!E44</f>
        <v/>
      </c>
      <c r="F44" s="67">
        <v>2.0</v>
      </c>
    </row>
    <row r="45">
      <c r="A45" s="243">
        <f>'MSW34'!A45</f>
        <v>4</v>
      </c>
      <c r="B45" s="237">
        <f>'MSW34'!B45</f>
        <v>225</v>
      </c>
      <c r="C45" s="257">
        <f>'MSW34'!C45</f>
        <v>3</v>
      </c>
      <c r="D45" s="238" t="str">
        <f>'MSW34'!D45</f>
        <v>1-5 MIN</v>
      </c>
      <c r="E45" s="66" t="str">
        <f>'MSW34'!E45</f>
        <v/>
      </c>
      <c r="F45" s="67">
        <v>0.0</v>
      </c>
    </row>
    <row r="46">
      <c r="A46" s="246" t="str">
        <f>'MSW34'!A46</f>
        <v>PROCEED TO DOWN SETS</v>
      </c>
      <c r="B46" s="20"/>
      <c r="C46" s="20"/>
      <c r="D46" s="20"/>
      <c r="E46" s="20"/>
      <c r="F46" s="95"/>
    </row>
    <row r="47">
      <c r="A47" s="249" t="str">
        <f>'MSW34'!A47</f>
        <v/>
      </c>
      <c r="B47" s="175" t="str">
        <f>'MSW34'!B47</f>
        <v/>
      </c>
      <c r="C47" s="238" t="str">
        <f>'MSW34'!C47</f>
        <v/>
      </c>
      <c r="D47" s="238" t="str">
        <f>'MSW34'!D47</f>
        <v/>
      </c>
      <c r="E47" s="250" t="str">
        <f>'MSW34'!E47</f>
        <v/>
      </c>
      <c r="F47" s="67"/>
    </row>
    <row r="48">
      <c r="A48" s="259" t="str">
        <f>'MSW34'!A48</f>
        <v/>
      </c>
      <c r="B48" s="237" t="str">
        <f>'MSW34'!B48</f>
        <v/>
      </c>
      <c r="C48" s="257" t="str">
        <f>'MSW34'!C48</f>
        <v/>
      </c>
      <c r="D48" s="257" t="str">
        <f>'MSW34'!D48</f>
        <v/>
      </c>
      <c r="E48" s="258" t="str">
        <f>'MSW34'!E48</f>
        <v/>
      </c>
      <c r="F48" s="67"/>
    </row>
    <row r="49">
      <c r="A49" s="246" t="str">
        <f>'MSW34'!A49</f>
        <v>DOWN SETS</v>
      </c>
      <c r="B49" s="20"/>
      <c r="C49" s="20"/>
      <c r="D49" s="20"/>
      <c r="E49" s="20"/>
      <c r="F49" s="95"/>
    </row>
    <row r="50">
      <c r="A50" s="264">
        <f>'MSW34'!A50</f>
        <v>5</v>
      </c>
      <c r="B50" s="265">
        <f>'MSW34'!B50</f>
        <v>175</v>
      </c>
      <c r="C50" s="266" t="str">
        <f>'MSW34'!C50</f>
        <v>REP OUT</v>
      </c>
      <c r="D50" s="267" t="str">
        <f>'MSW34'!D50</f>
        <v>1-3 MIN</v>
      </c>
      <c r="E50" s="268" t="str">
        <f>'MSW34'!E50</f>
        <v/>
      </c>
      <c r="F50" s="67">
        <v>7.0</v>
      </c>
    </row>
    <row r="51">
      <c r="A51" s="243">
        <f>'MSW34'!A51</f>
        <v>6</v>
      </c>
      <c r="B51" s="237">
        <f>'MSW34'!B51</f>
        <v>155</v>
      </c>
      <c r="C51" s="245" t="str">
        <f>'MSW34'!C51</f>
        <v>REP OUT</v>
      </c>
      <c r="D51" s="65" t="str">
        <f>'MSW34'!D51</f>
        <v>1-3 MIN</v>
      </c>
      <c r="E51" s="258" t="str">
        <f>'MSW34'!E51</f>
        <v/>
      </c>
      <c r="F51" s="271">
        <v>12.0</v>
      </c>
    </row>
    <row r="52">
      <c r="A52" s="272" t="str">
        <f>'MSW34'!A52</f>
        <v>FINAL MAX</v>
      </c>
      <c r="B52" s="273">
        <f>'MSW34'!B52</f>
        <v>220</v>
      </c>
      <c r="C52" s="11"/>
      <c r="D52" s="11"/>
      <c r="E52" s="11"/>
      <c r="F52" s="46"/>
    </row>
    <row r="53">
      <c r="A53" s="292" t="str">
        <f>'MSW34'!A53</f>
        <v/>
      </c>
    </row>
    <row r="54">
      <c r="A54" s="73" t="str">
        <f>'MSW34'!A54</f>
        <v>4. HIGH ROW</v>
      </c>
      <c r="B54" s="53"/>
      <c r="C54" s="53"/>
      <c r="D54" s="53"/>
      <c r="E54" s="53"/>
      <c r="F54" s="54"/>
    </row>
    <row r="55">
      <c r="A55" s="282" t="str">
        <f>'MSW34'!A55</f>
        <v>CURRENT MAX</v>
      </c>
      <c r="B55" s="56">
        <f>'MSW34'!B55</f>
        <v>175</v>
      </c>
      <c r="C55" s="13"/>
      <c r="D55" s="13"/>
      <c r="E55" s="13"/>
      <c r="F55" s="57"/>
    </row>
    <row r="56">
      <c r="A56" s="58" t="str">
        <f>'MSW34'!A56</f>
        <v>SET</v>
      </c>
      <c r="B56" s="59" t="str">
        <f>'MSW34'!B56</f>
        <v>WEIGHT</v>
      </c>
      <c r="C56" s="59" t="str">
        <f>'MSW34'!C56</f>
        <v>REPS</v>
      </c>
      <c r="D56" s="59" t="str">
        <f>'MSW34'!D56</f>
        <v>REST</v>
      </c>
      <c r="E56" s="60" t="str">
        <f>'MSW34'!E56</f>
        <v>PREVIOUS</v>
      </c>
      <c r="F56" s="61" t="str">
        <f>'MSW34'!F56</f>
        <v>REP LOG</v>
      </c>
    </row>
    <row r="57">
      <c r="A57" s="62">
        <f>'MSW34'!A57</f>
        <v>1</v>
      </c>
      <c r="B57" s="63">
        <f>'MSW34'!B57</f>
        <v>150</v>
      </c>
      <c r="C57" s="104" t="str">
        <f>'MSW34'!C57</f>
        <v>REP OUT</v>
      </c>
      <c r="D57" s="65" t="str">
        <f>'MSW34'!D57</f>
        <v>1 MIN</v>
      </c>
      <c r="E57" s="84" t="str">
        <f>'MSW34'!E57</f>
        <v/>
      </c>
      <c r="F57" s="67">
        <v>25.0</v>
      </c>
    </row>
    <row r="58">
      <c r="A58" s="62">
        <f>'MSW34'!A58</f>
        <v>2</v>
      </c>
      <c r="B58" s="63">
        <f>'MSW34'!B58</f>
        <v>150</v>
      </c>
      <c r="C58" s="104" t="str">
        <f>'MSW34'!C58</f>
        <v>REP OUT</v>
      </c>
      <c r="D58" s="65" t="str">
        <f>'MSW34'!D58</f>
        <v>1 MIN</v>
      </c>
      <c r="E58" s="84" t="str">
        <f>'MSW34'!E58</f>
        <v/>
      </c>
      <c r="F58" s="67">
        <v>17.0</v>
      </c>
    </row>
    <row r="59">
      <c r="A59" s="68">
        <f>'MSW34'!A59</f>
        <v>3</v>
      </c>
      <c r="B59" s="69">
        <f>'MSW34'!B59</f>
        <v>150</v>
      </c>
      <c r="C59" s="105" t="str">
        <f>'MSW34'!C59</f>
        <v>REP OUT</v>
      </c>
      <c r="D59" s="71" t="str">
        <f>'MSW34'!D59</f>
        <v>1 MIN</v>
      </c>
      <c r="E59" s="89" t="str">
        <f>'MSW34'!E59</f>
        <v/>
      </c>
      <c r="F59" s="67" t="str">
        <f>'MSW34'!F59</f>
        <v/>
      </c>
    </row>
    <row r="60">
      <c r="A60" s="657" t="str">
        <f>'MSW34'!A60</f>
        <v/>
      </c>
    </row>
    <row r="62">
      <c r="A62" s="440" t="str">
        <f>'MSW34'!A62</f>
        <v>5. LAT PULL DOWN</v>
      </c>
      <c r="B62" s="53"/>
      <c r="C62" s="53"/>
      <c r="D62" s="53"/>
      <c r="E62" s="53"/>
      <c r="F62" s="54"/>
    </row>
    <row r="63">
      <c r="A63" s="282" t="str">
        <f>'MSW34'!A63</f>
        <v>CURRENT MAX</v>
      </c>
      <c r="B63" s="56">
        <f>'MSW34'!B63</f>
        <v>235</v>
      </c>
      <c r="C63" s="13"/>
      <c r="D63" s="13"/>
      <c r="E63" s="13"/>
      <c r="F63" s="57"/>
    </row>
    <row r="64">
      <c r="A64" s="58" t="str">
        <f>'MSW34'!A64</f>
        <v>SET</v>
      </c>
      <c r="B64" s="59" t="str">
        <f>'MSW34'!B64</f>
        <v>WEIGHT</v>
      </c>
      <c r="C64" s="59" t="str">
        <f>'MSW34'!C64</f>
        <v>REPS</v>
      </c>
      <c r="D64" s="59" t="str">
        <f>'MSW34'!D64</f>
        <v>REST</v>
      </c>
      <c r="E64" s="60" t="str">
        <f>'MSW34'!E64</f>
        <v>PREVIOUS</v>
      </c>
      <c r="F64" s="61" t="str">
        <f>'MSW34'!F64</f>
        <v>REP LOG</v>
      </c>
    </row>
    <row r="65">
      <c r="A65" s="62">
        <f>'MSW34'!A65</f>
        <v>1</v>
      </c>
      <c r="B65" s="63">
        <f>'MSW34'!B65</f>
        <v>190</v>
      </c>
      <c r="C65" s="104" t="str">
        <f>'MSW34'!C65</f>
        <v>REP OUT</v>
      </c>
      <c r="D65" s="65" t="str">
        <f>'MSW34'!D65</f>
        <v>1 MIN</v>
      </c>
      <c r="E65" s="66" t="str">
        <f>'MSW34'!E65</f>
        <v/>
      </c>
      <c r="F65" s="67">
        <v>5.0</v>
      </c>
    </row>
    <row r="66">
      <c r="A66" s="62">
        <f>'MSW34'!A66</f>
        <v>2</v>
      </c>
      <c r="B66" s="63">
        <f>'MSW34'!B66</f>
        <v>175</v>
      </c>
      <c r="C66" s="104" t="str">
        <f>'MSW34'!C66</f>
        <v>REP OUT</v>
      </c>
      <c r="D66" s="65" t="str">
        <f>'MSW34'!D66</f>
        <v>1 MIN</v>
      </c>
      <c r="E66" s="66" t="str">
        <f>'MSW34'!E66</f>
        <v/>
      </c>
      <c r="F66" s="67" t="str">
        <f>'MSW34'!F66</f>
        <v/>
      </c>
    </row>
    <row r="67">
      <c r="A67" s="68">
        <f>'MSW34'!A67</f>
        <v>3</v>
      </c>
      <c r="B67" s="69">
        <f>'MSW34'!B67</f>
        <v>175</v>
      </c>
      <c r="C67" s="105" t="str">
        <f>'MSW34'!C67</f>
        <v>REP OUT</v>
      </c>
      <c r="D67" s="71" t="str">
        <f>'MSW34'!D67</f>
        <v>1 MIN</v>
      </c>
      <c r="E67" s="72" t="str">
        <f>'MSW34'!E67</f>
        <v/>
      </c>
      <c r="F67" s="67" t="str">
        <f>'MSW34'!F67</f>
        <v/>
      </c>
    </row>
    <row r="68">
      <c r="A68" t="str">
        <f>'MSW34'!A68</f>
        <v/>
      </c>
    </row>
    <row r="70">
      <c r="A70" s="310" t="str">
        <f>'MSW34'!A70</f>
        <v>CLICK TO COMPLETE WORKOUT</v>
      </c>
      <c r="B70" s="36"/>
      <c r="C70" s="36"/>
      <c r="D70" s="36"/>
      <c r="E70" s="36"/>
      <c r="F70" s="1299"/>
    </row>
    <row r="71">
      <c r="A71" t="str">
        <f>'MSW34'!A71</f>
        <v/>
      </c>
    </row>
    <row r="72">
      <c r="A72" s="224" t="str">
        <f>'MSW34'!A72</f>
        <v>DAY 2 </v>
      </c>
      <c r="B72" s="36"/>
      <c r="C72" s="36"/>
      <c r="D72" s="36"/>
      <c r="E72" s="36"/>
      <c r="F72" s="1299"/>
    </row>
    <row r="73">
      <c r="A73" t="str">
        <f>'MSW34'!A73</f>
        <v/>
      </c>
    </row>
    <row r="75">
      <c r="A75" s="1261" t="str">
        <f>'MSW34'!A75</f>
        <v>1. MACHINE SQUAT</v>
      </c>
      <c r="B75" s="53"/>
      <c r="C75" s="53"/>
      <c r="D75" s="53"/>
      <c r="E75" s="53"/>
      <c r="F75" s="54"/>
    </row>
    <row r="76">
      <c r="A76" s="961" t="str">
        <f>'MSW34'!A76</f>
        <v>CURRENT MAX</v>
      </c>
      <c r="B76" s="1035">
        <f>'MSW34'!B76</f>
        <v>35</v>
      </c>
      <c r="C76" s="13"/>
      <c r="D76" s="13"/>
      <c r="E76" s="13"/>
      <c r="F76" s="57"/>
    </row>
    <row r="77">
      <c r="A77" s="231" t="str">
        <f>'MSW34'!A77</f>
        <v>SET</v>
      </c>
      <c r="B77" s="232" t="str">
        <f>'MSW34'!B77</f>
        <v>WEIGHT</v>
      </c>
      <c r="C77" s="232" t="str">
        <f>'MSW34'!C77</f>
        <v>REPS</v>
      </c>
      <c r="D77" s="232" t="str">
        <f>'MSW34'!D77</f>
        <v>REST</v>
      </c>
      <c r="E77" s="233" t="str">
        <f>'MSW34'!E77</f>
        <v>PREVIOUS</v>
      </c>
      <c r="F77" s="61" t="str">
        <f>'MSW34'!F77</f>
        <v>REP LOG</v>
      </c>
    </row>
    <row r="78">
      <c r="A78" s="236">
        <f>'MSW34'!A78</f>
        <v>1</v>
      </c>
      <c r="B78" s="237">
        <f>'MSW34'!B78</f>
        <v>10</v>
      </c>
      <c r="C78" s="238">
        <f>'MSW34'!C78</f>
        <v>10</v>
      </c>
      <c r="D78" s="238" t="str">
        <f>'MSW34'!D78</f>
        <v>30s</v>
      </c>
      <c r="E78" s="66" t="str">
        <f>'MSW34'!E78</f>
        <v/>
      </c>
      <c r="F78" s="1300"/>
    </row>
    <row r="79">
      <c r="A79" s="236">
        <f>'MSW34'!A79</f>
        <v>2</v>
      </c>
      <c r="B79" s="237">
        <f>'MSW34'!B79</f>
        <v>25</v>
      </c>
      <c r="C79" s="238">
        <f>'MSW34'!C79</f>
        <v>10</v>
      </c>
      <c r="D79" s="238" t="str">
        <f>'MSW34'!D79</f>
        <v>1-2 MIN</v>
      </c>
      <c r="E79" s="66" t="str">
        <f>'MSW34'!E79</f>
        <v/>
      </c>
      <c r="F79" s="1300"/>
    </row>
    <row r="80">
      <c r="A80" s="242">
        <f>'MSW34'!A80</f>
        <v>3</v>
      </c>
      <c r="B80" s="237">
        <f>'MSW34'!B80</f>
        <v>30</v>
      </c>
      <c r="C80" s="238">
        <f>'MSW34'!C80</f>
        <v>10</v>
      </c>
      <c r="D80" s="238" t="str">
        <f>'MSW34'!D80</f>
        <v>1-2 MIN</v>
      </c>
      <c r="E80" s="66" t="str">
        <f>'MSW34'!E80</f>
        <v/>
      </c>
      <c r="F80" s="1300"/>
    </row>
    <row r="81">
      <c r="A81" s="249">
        <f>'MSW34'!A81</f>
        <v>4</v>
      </c>
      <c r="B81" s="175">
        <f>'MSW34'!B81</f>
        <v>25</v>
      </c>
      <c r="C81" s="238">
        <f>'MSW34'!C81</f>
        <v>10</v>
      </c>
      <c r="D81" s="238" t="str">
        <f>'MSW34'!D81</f>
        <v>1-5 MIN</v>
      </c>
      <c r="E81" s="66" t="str">
        <f>'MSW34'!E81</f>
        <v/>
      </c>
      <c r="F81" s="1300"/>
    </row>
    <row r="82">
      <c r="A82" s="249">
        <f>'MSW34'!A82</f>
        <v>5</v>
      </c>
      <c r="B82" s="175">
        <f>'MSW34'!B82</f>
        <v>20</v>
      </c>
      <c r="C82" s="238">
        <f>'MSW34'!C82</f>
        <v>10</v>
      </c>
      <c r="D82" s="238" t="str">
        <f>'MSW34'!D82</f>
        <v>1-5 MIN</v>
      </c>
      <c r="E82" s="66" t="str">
        <f>'MSW34'!E82</f>
        <v/>
      </c>
      <c r="F82" s="1301"/>
    </row>
    <row r="83">
      <c r="A83" s="249">
        <f>'MSW34'!A83</f>
        <v>6</v>
      </c>
      <c r="B83" s="175">
        <f>'MSW34'!B83</f>
        <v>15</v>
      </c>
      <c r="C83" s="238">
        <f>'MSW34'!C83</f>
        <v>10</v>
      </c>
      <c r="D83" s="238" t="str">
        <f>'MSW34'!D83</f>
        <v>1-5 MIN</v>
      </c>
      <c r="E83" s="66" t="str">
        <f>'MSW34'!E83</f>
        <v/>
      </c>
      <c r="F83" s="1300"/>
    </row>
    <row r="84">
      <c r="A84" s="1038">
        <f>'MSW34'!A84</f>
        <v>7</v>
      </c>
      <c r="B84" s="175">
        <f>'MSW34'!B84</f>
        <v>10</v>
      </c>
      <c r="C84" s="238">
        <f>'MSW34'!C84</f>
        <v>10</v>
      </c>
      <c r="D84" s="238" t="str">
        <f>'MSW34'!D84</f>
        <v>1-5 MIN</v>
      </c>
      <c r="E84" s="66" t="str">
        <f>'MSW34'!E84</f>
        <v/>
      </c>
      <c r="F84" s="1300"/>
    </row>
    <row r="85">
      <c r="A85" s="249">
        <f>'MSW34'!A85</f>
        <v>8</v>
      </c>
      <c r="B85" s="175">
        <f>'MSW34'!B85</f>
        <v>10</v>
      </c>
      <c r="C85" s="238">
        <f>'MSW34'!C85</f>
        <v>10</v>
      </c>
      <c r="D85" s="238" t="str">
        <f>'MSW34'!D85</f>
        <v>1-5 MIN</v>
      </c>
      <c r="E85" s="66" t="str">
        <f>'MSW34'!E85</f>
        <v/>
      </c>
      <c r="F85" s="1300"/>
    </row>
    <row r="86">
      <c r="A86" s="272" t="str">
        <f>'MSW34'!A86</f>
        <v>4 REP MAX</v>
      </c>
      <c r="B86" s="1109">
        <f>'MSW34'!B86</f>
        <v>35</v>
      </c>
      <c r="C86" s="11"/>
      <c r="D86" s="11"/>
      <c r="E86" s="11"/>
      <c r="F86" s="46"/>
    </row>
    <row r="87">
      <c r="A87" s="10" t="str">
        <f>'MSW34'!A87</f>
        <v/>
      </c>
    </row>
    <row r="88">
      <c r="A88" s="11"/>
      <c r="B88" s="11"/>
      <c r="C88" s="11"/>
      <c r="D88" s="11"/>
      <c r="E88" s="11"/>
      <c r="F88" s="11"/>
    </row>
    <row r="89">
      <c r="A89" s="1044" t="str">
        <f>'MSW34'!A89</f>
        <v>2. LEG EXTENSION</v>
      </c>
      <c r="B89" s="13"/>
      <c r="C89" s="13"/>
      <c r="D89" s="13"/>
      <c r="E89" s="13"/>
      <c r="F89" s="57"/>
    </row>
    <row r="90">
      <c r="A90" s="1045" t="str">
        <f>'MSW34'!A90</f>
        <v>CURRENT MAX</v>
      </c>
      <c r="B90" s="1046">
        <f>'MSW34'!B90</f>
        <v>145</v>
      </c>
      <c r="C90" s="13"/>
      <c r="D90" s="13"/>
      <c r="E90" s="13"/>
      <c r="F90" s="57"/>
    </row>
    <row r="91">
      <c r="A91" s="567" t="str">
        <f>'MSW34'!A91</f>
        <v>SET</v>
      </c>
      <c r="B91" s="568" t="str">
        <f>'MSW34'!B91</f>
        <v>WEIGHT</v>
      </c>
      <c r="C91" s="568" t="str">
        <f>'MSW34'!C91</f>
        <v>REPS</v>
      </c>
      <c r="D91" s="568" t="str">
        <f>'MSW34'!D91</f>
        <v>REST</v>
      </c>
      <c r="E91" s="1047" t="str">
        <f>'MSW34'!E91</f>
        <v>PREVIOUS</v>
      </c>
      <c r="F91" s="1048" t="str">
        <f>'MSW34'!F91</f>
        <v>REP LOG</v>
      </c>
    </row>
    <row r="92">
      <c r="A92" s="1049">
        <f>'MSW34'!A92</f>
        <v>1</v>
      </c>
      <c r="B92" s="1050">
        <f>'MSW34'!B92</f>
        <v>145</v>
      </c>
      <c r="C92" s="1051" t="str">
        <f>'MSW34'!C92</f>
        <v>10 - 20</v>
      </c>
      <c r="D92" s="1052" t="str">
        <f>'MSW34'!D92</f>
        <v>1 MIN</v>
      </c>
      <c r="E92" s="1010" t="str">
        <f>'MSW34'!E92</f>
        <v/>
      </c>
      <c r="F92" s="1011"/>
    </row>
    <row r="93">
      <c r="A93" s="1049">
        <f>'MSW34'!A93</f>
        <v>2</v>
      </c>
      <c r="B93" s="1050">
        <f>'MSW34'!B93</f>
        <v>115</v>
      </c>
      <c r="C93" s="1051" t="str">
        <f>'MSW34'!C93</f>
        <v>10 - 20</v>
      </c>
      <c r="D93" s="1052" t="str">
        <f>'MSW34'!D93</f>
        <v>1 MIN</v>
      </c>
      <c r="E93" s="1010" t="str">
        <f>'MSW34'!E93</f>
        <v/>
      </c>
      <c r="F93" s="1011"/>
    </row>
    <row r="94">
      <c r="A94" s="1053">
        <f>'MSW34'!A94</f>
        <v>3</v>
      </c>
      <c r="B94" s="1054">
        <f>'MSW34'!B94</f>
        <v>90</v>
      </c>
      <c r="C94" s="1055" t="str">
        <f>'MSW34'!C94</f>
        <v>10 - 20</v>
      </c>
      <c r="D94" s="1056" t="str">
        <f>'MSW34'!D94</f>
        <v>1 MIN</v>
      </c>
      <c r="E94" s="1021" t="str">
        <f>'MSW34'!E94</f>
        <v/>
      </c>
      <c r="F94" s="1011"/>
    </row>
    <row r="95">
      <c r="A95" t="str">
        <f>'MSW34'!A95</f>
        <v/>
      </c>
    </row>
    <row r="97">
      <c r="A97" s="323" t="str">
        <f>'MSW34'!A97</f>
        <v>3. MACHINE LEG CURL</v>
      </c>
      <c r="B97" s="53"/>
      <c r="C97" s="53"/>
      <c r="D97" s="53"/>
      <c r="E97" s="53"/>
      <c r="F97" s="54"/>
      <c r="G97" s="141" t="str">
        <f>'MSW34'!G97</f>
        <v/>
      </c>
      <c r="H97" s="323" t="str">
        <f>'MSW34'!H97</f>
        <v>3. PRONE LEG CURL</v>
      </c>
      <c r="I97" s="53"/>
      <c r="J97" s="53"/>
      <c r="K97" s="53"/>
      <c r="L97" s="53"/>
      <c r="M97" s="54"/>
    </row>
    <row r="98">
      <c r="A98" s="1045" t="str">
        <f>'MSW34'!A98</f>
        <v>CURRENT MAX</v>
      </c>
      <c r="B98" s="1046">
        <f>'MSW34'!B98</f>
        <v>15</v>
      </c>
      <c r="C98" s="13"/>
      <c r="D98" s="13"/>
      <c r="E98" s="13"/>
      <c r="F98" s="57"/>
      <c r="H98" s="1045" t="str">
        <f>'MSW34'!H98</f>
        <v>CURRENT MAX</v>
      </c>
      <c r="I98" s="1046">
        <f>'MSW34'!I98</f>
        <v>15</v>
      </c>
      <c r="J98" s="13"/>
      <c r="K98" s="13"/>
      <c r="L98" s="13"/>
      <c r="M98" s="57"/>
    </row>
    <row r="99">
      <c r="A99" s="567" t="str">
        <f>'MSW34'!A99</f>
        <v>SET</v>
      </c>
      <c r="B99" s="568" t="str">
        <f>'MSW34'!B99</f>
        <v>WEIGHT</v>
      </c>
      <c r="C99" s="568" t="str">
        <f>'MSW34'!C99</f>
        <v>REPS</v>
      </c>
      <c r="D99" s="568" t="str">
        <f>'MSW34'!D99</f>
        <v>REST</v>
      </c>
      <c r="E99" s="1047" t="str">
        <f>'MSW34'!E99</f>
        <v>PREVIOUS</v>
      </c>
      <c r="F99" s="1048" t="str">
        <f>'MSW34'!F99</f>
        <v>REP LOG</v>
      </c>
      <c r="H99" s="567" t="str">
        <f>'MSW34'!H99</f>
        <v>SET</v>
      </c>
      <c r="I99" s="568" t="str">
        <f>'MSW34'!I99</f>
        <v>WEIGHT</v>
      </c>
      <c r="J99" s="568" t="str">
        <f>'MSW34'!J99</f>
        <v>REPS</v>
      </c>
      <c r="K99" s="568" t="str">
        <f>'MSW34'!K99</f>
        <v>REST</v>
      </c>
      <c r="L99" s="1047" t="str">
        <f>'MSW34'!L99</f>
        <v>PREVIOUS</v>
      </c>
      <c r="M99" s="1048" t="str">
        <f>'MSW34'!M99</f>
        <v>REP LOG</v>
      </c>
    </row>
    <row r="100">
      <c r="A100" s="1049">
        <f>'MSW34'!A100</f>
        <v>1</v>
      </c>
      <c r="B100" s="1050">
        <f>'MSW34'!B100</f>
        <v>15</v>
      </c>
      <c r="C100" s="1051" t="str">
        <f>'MSW34'!C100</f>
        <v>10 - 20</v>
      </c>
      <c r="D100" s="1052" t="str">
        <f>'MSW34'!D100</f>
        <v>1 MIN</v>
      </c>
      <c r="E100" s="1010" t="str">
        <f>'MSW34'!E100</f>
        <v/>
      </c>
      <c r="F100" s="1011"/>
      <c r="G100" s="434" t="str">
        <f>'MSW34'!G100</f>
        <v>ALTERNATE</v>
      </c>
      <c r="H100" s="1049">
        <f>'MSW34'!H100</f>
        <v>1</v>
      </c>
      <c r="I100" s="1050">
        <f>'MSW34'!I100</f>
        <v>15</v>
      </c>
      <c r="J100" s="1051" t="str">
        <f>'MSW34'!J100</f>
        <v>10 - 20</v>
      </c>
      <c r="K100" s="1052" t="str">
        <f>'MSW34'!K100</f>
        <v>1 MIN</v>
      </c>
      <c r="L100" s="1010" t="str">
        <f>'MSW34'!L100</f>
        <v/>
      </c>
      <c r="M100" s="1011"/>
    </row>
    <row r="101">
      <c r="A101" s="1049">
        <f>'MSW34'!A101</f>
        <v>2</v>
      </c>
      <c r="B101" s="1050">
        <f>'MSW34'!B101</f>
        <v>10</v>
      </c>
      <c r="C101" s="1051" t="str">
        <f>'MSW34'!C101</f>
        <v>10 - 20</v>
      </c>
      <c r="D101" s="1052" t="str">
        <f>'MSW34'!D101</f>
        <v>1 MIN</v>
      </c>
      <c r="E101" s="1010" t="str">
        <f>'MSW34'!E101</f>
        <v/>
      </c>
      <c r="F101" s="1011"/>
      <c r="H101" s="1049">
        <f>'MSW34'!H101</f>
        <v>2</v>
      </c>
      <c r="I101" s="1050">
        <f>'MSW34'!I101</f>
        <v>10</v>
      </c>
      <c r="J101" s="1051" t="str">
        <f>'MSW34'!J101</f>
        <v>10 - 20</v>
      </c>
      <c r="K101" s="1052" t="str">
        <f>'MSW34'!K101</f>
        <v>1 MIN</v>
      </c>
      <c r="L101" s="1010" t="str">
        <f>'MSW34'!L101</f>
        <v/>
      </c>
      <c r="M101" s="1011"/>
    </row>
    <row r="102">
      <c r="A102" s="1053">
        <f>'MSW34'!A102</f>
        <v>3</v>
      </c>
      <c r="B102" s="1054">
        <f>'MSW34'!B102</f>
        <v>10</v>
      </c>
      <c r="C102" s="1055" t="str">
        <f>'MSW34'!C102</f>
        <v>10 - 20</v>
      </c>
      <c r="D102" s="1056" t="str">
        <f>'MSW34'!D102</f>
        <v>1 MIN</v>
      </c>
      <c r="E102" s="1021" t="str">
        <f>'MSW34'!E102</f>
        <v/>
      </c>
      <c r="F102" s="1011"/>
      <c r="G102" s="682" t="str">
        <f>'MSW34'!G102</f>
        <v/>
      </c>
      <c r="H102" s="1053">
        <f>'MSW34'!H102</f>
        <v>3</v>
      </c>
      <c r="I102" s="1054">
        <f>'MSW34'!I102</f>
        <v>10</v>
      </c>
      <c r="J102" s="1055" t="str">
        <f>'MSW34'!J102</f>
        <v>10 - 20</v>
      </c>
      <c r="K102" s="1056" t="str">
        <f>'MSW34'!K102</f>
        <v>1 MIN</v>
      </c>
      <c r="L102" s="1021" t="str">
        <f>'MSW34'!L102</f>
        <v/>
      </c>
      <c r="M102" s="1011"/>
    </row>
    <row r="103">
      <c r="A103" s="849" t="str">
        <f>'MSW34'!A103</f>
        <v/>
      </c>
      <c r="G103" s="849" t="str">
        <f>'MSW34'!H103</f>
        <v/>
      </c>
    </row>
    <row r="105">
      <c r="A105" s="1120" t="str">
        <f>'MSW34'!A105</f>
        <v>DAY 3</v>
      </c>
      <c r="B105" s="36"/>
      <c r="C105" s="36"/>
      <c r="D105" s="36"/>
      <c r="E105" s="36"/>
      <c r="F105" s="37"/>
    </row>
    <row r="106">
      <c r="A106" t="str">
        <f>'MSW34'!A106</f>
        <v/>
      </c>
    </row>
    <row r="108">
      <c r="A108" s="44" t="str">
        <f>'MSW34'!A108</f>
        <v>SHOULDERS &amp; ARMS</v>
      </c>
      <c r="B108" s="36"/>
      <c r="C108" s="36"/>
      <c r="D108" s="36"/>
      <c r="E108" s="36"/>
      <c r="F108" s="37"/>
      <c r="G108" t="str">
        <f>'MSW34'!G108</f>
        <v/>
      </c>
      <c r="H108" s="44" t="str">
        <f>'MSW34'!H108</f>
        <v>SHOULDERS &amp; ARMS</v>
      </c>
      <c r="I108" s="36"/>
      <c r="J108" s="36"/>
      <c r="K108" s="36"/>
      <c r="L108" s="36"/>
      <c r="M108" s="37"/>
    </row>
    <row r="109">
      <c r="A109" s="112" t="str">
        <f>'MSW34'!A109</f>
        <v>1. SHOULDER PRESS</v>
      </c>
      <c r="B109" s="13"/>
      <c r="C109" s="13"/>
      <c r="D109" s="13"/>
      <c r="E109" s="13"/>
      <c r="F109" s="57"/>
      <c r="H109" s="1139" t="str">
        <f>'MSW34'!H109</f>
        <v>1. MACHINE SHOULDER PRESS</v>
      </c>
      <c r="I109" s="13"/>
      <c r="J109" s="13"/>
      <c r="K109" s="13"/>
      <c r="L109" s="13"/>
      <c r="M109" s="57"/>
    </row>
    <row r="110">
      <c r="A110" s="226" t="str">
        <f>'MSW34'!A110</f>
        <v>CURRENT MAX</v>
      </c>
      <c r="B110" s="227" t="str">
        <f>'MSW34'!B110</f>
        <v/>
      </c>
      <c r="C110" s="20"/>
      <c r="D110" s="20"/>
      <c r="E110" s="20"/>
      <c r="F110" s="95"/>
      <c r="H110" s="226" t="str">
        <f>'MSW34'!H110</f>
        <v>CURRENT MAX</v>
      </c>
      <c r="I110" s="227">
        <f>'MSW34'!I110</f>
        <v>150</v>
      </c>
      <c r="J110" s="20"/>
      <c r="K110" s="20"/>
      <c r="L110" s="20"/>
      <c r="M110" s="95"/>
    </row>
    <row r="111">
      <c r="A111" s="231" t="str">
        <f>'MSW34'!A111</f>
        <v>SET</v>
      </c>
      <c r="B111" s="232" t="str">
        <f>'MSW34'!B111</f>
        <v>WEIGHT</v>
      </c>
      <c r="C111" s="232" t="str">
        <f>'MSW34'!C111</f>
        <v>REPS</v>
      </c>
      <c r="D111" s="232" t="str">
        <f>'MSW34'!D111</f>
        <v>REST</v>
      </c>
      <c r="E111" s="233" t="str">
        <f>'MSW34'!E111</f>
        <v>PREVIOUS</v>
      </c>
      <c r="F111" s="61" t="str">
        <f>'MSW34'!F111</f>
        <v>REP LOG</v>
      </c>
      <c r="H111" s="231" t="str">
        <f>'MSW34'!H111</f>
        <v>SET</v>
      </c>
      <c r="I111" s="232" t="str">
        <f>'MSW34'!I111</f>
        <v>WEIGHT</v>
      </c>
      <c r="J111" s="232" t="str">
        <f>'MSW34'!J111</f>
        <v>REPS</v>
      </c>
      <c r="K111" s="232" t="str">
        <f>'MSW34'!K111</f>
        <v>REST</v>
      </c>
      <c r="L111" s="233" t="str">
        <f>'MSW34'!L111</f>
        <v>PREVIOUS</v>
      </c>
      <c r="M111" s="61" t="str">
        <f>'MSW34'!M111</f>
        <v>REP LOG</v>
      </c>
    </row>
    <row r="112">
      <c r="A112" s="1140">
        <f>'MSW34'!A112</f>
        <v>1</v>
      </c>
      <c r="B112" s="237">
        <f>'MSW34'!B112</f>
        <v>0</v>
      </c>
      <c r="C112" s="237">
        <f>'MSW34'!C112</f>
        <v>6</v>
      </c>
      <c r="D112" s="238" t="str">
        <f>'MSW34'!D112</f>
        <v>30s</v>
      </c>
      <c r="E112" s="66" t="str">
        <f>'MSW34'!E112</f>
        <v/>
      </c>
      <c r="F112" s="67"/>
      <c r="H112" s="1140">
        <f>'MSW34'!H112</f>
        <v>1</v>
      </c>
      <c r="I112" s="237">
        <f>'MSW34'!I112</f>
        <v>55</v>
      </c>
      <c r="J112" s="237">
        <f>'MSW34'!J112</f>
        <v>6</v>
      </c>
      <c r="K112" s="238" t="str">
        <f>'MSW34'!K112</f>
        <v>30s</v>
      </c>
      <c r="L112" s="66" t="str">
        <f>'MSW34'!L112</f>
        <v/>
      </c>
      <c r="M112" s="67"/>
    </row>
    <row r="113">
      <c r="A113" s="236">
        <f>'MSW34'!A113</f>
        <v>2</v>
      </c>
      <c r="B113" s="237">
        <f>'MSW34'!B113</f>
        <v>0</v>
      </c>
      <c r="C113" s="237">
        <f>'MSW34'!C113</f>
        <v>1</v>
      </c>
      <c r="D113" s="238" t="str">
        <f>'MSW34'!D113</f>
        <v>1-2 MIN</v>
      </c>
      <c r="E113" s="66" t="str">
        <f>'MSW34'!E113</f>
        <v/>
      </c>
      <c r="F113" s="67"/>
      <c r="H113" s="236">
        <f>'MSW34'!H113</f>
        <v>2</v>
      </c>
      <c r="I113" s="237">
        <f>'MSW34'!I113</f>
        <v>100</v>
      </c>
      <c r="J113" s="237">
        <f>'MSW34'!J113</f>
        <v>1</v>
      </c>
      <c r="K113" s="238" t="str">
        <f>'MSW34'!K113</f>
        <v>1-2 MIN</v>
      </c>
      <c r="L113" s="66" t="str">
        <f>'MSW34'!L113</f>
        <v/>
      </c>
      <c r="M113" s="67"/>
    </row>
    <row r="114">
      <c r="A114" s="242">
        <f>'MSW34'!A114</f>
        <v>3</v>
      </c>
      <c r="B114" s="237">
        <f>'MSW34'!B114</f>
        <v>0</v>
      </c>
      <c r="C114" s="82">
        <f>'MSW34'!C114</f>
        <v>1</v>
      </c>
      <c r="D114" s="238" t="str">
        <f>'MSW34'!D114</f>
        <v>1-2 MIN</v>
      </c>
      <c r="E114" s="66" t="str">
        <f>'MSW34'!E114</f>
        <v/>
      </c>
      <c r="F114" s="67"/>
      <c r="H114" s="242">
        <f>'MSW34'!H114</f>
        <v>3</v>
      </c>
      <c r="I114" s="237">
        <f>'MSW34'!I114</f>
        <v>135</v>
      </c>
      <c r="J114" s="82">
        <f>'MSW34'!J114</f>
        <v>1</v>
      </c>
      <c r="K114" s="238" t="str">
        <f>'MSW34'!K114</f>
        <v>1-2 MIN</v>
      </c>
      <c r="L114" s="66" t="str">
        <f>'MSW34'!L114</f>
        <v/>
      </c>
      <c r="M114" s="67"/>
    </row>
    <row r="115">
      <c r="A115" s="243">
        <f>'MSW34'!A115</f>
        <v>4</v>
      </c>
      <c r="B115" s="237" t="str">
        <f>'MSW34'!B115</f>
        <v/>
      </c>
      <c r="C115" s="257">
        <f>'MSW34'!C115</f>
        <v>1</v>
      </c>
      <c r="D115" s="238" t="str">
        <f>'MSW34'!D115</f>
        <v>1-5 MIN</v>
      </c>
      <c r="E115" s="66" t="str">
        <f>'MSW34'!E115</f>
        <v/>
      </c>
      <c r="F115" s="67"/>
      <c r="H115" s="243">
        <f>'MSW34'!H115</f>
        <v>4</v>
      </c>
      <c r="I115" s="237">
        <f>'MSW34'!I115</f>
        <v>150</v>
      </c>
      <c r="J115" s="257">
        <f>'MSW34'!J115</f>
        <v>1</v>
      </c>
      <c r="K115" s="238" t="str">
        <f>'MSW34'!K115</f>
        <v>1-5 MIN</v>
      </c>
      <c r="L115" s="66" t="str">
        <f>'MSW34'!L115</f>
        <v/>
      </c>
      <c r="M115" s="67"/>
    </row>
    <row r="116">
      <c r="A116" s="246" t="str">
        <f>'MSW34'!A116</f>
        <v>PROCEED TO DOWN SETS</v>
      </c>
      <c r="B116" s="20"/>
      <c r="C116" s="20"/>
      <c r="D116" s="20"/>
      <c r="E116" s="20"/>
      <c r="F116" s="95"/>
      <c r="H116" s="246" t="str">
        <f>'MSW34'!H116</f>
        <v>PROCEED TO DOWN SETS</v>
      </c>
      <c r="I116" s="20"/>
      <c r="J116" s="20"/>
      <c r="K116" s="20"/>
      <c r="L116" s="20"/>
      <c r="M116" s="95"/>
    </row>
    <row r="117">
      <c r="A117" s="249" t="str">
        <f>'MSW34'!A117</f>
        <v/>
      </c>
      <c r="B117" s="175" t="str">
        <f>'MSW34'!B117</f>
        <v/>
      </c>
      <c r="C117" s="238" t="str">
        <f>'MSW34'!C117</f>
        <v/>
      </c>
      <c r="D117" s="238" t="str">
        <f>'MSW34'!D117</f>
        <v/>
      </c>
      <c r="E117" s="250" t="str">
        <f>'MSW34'!E117</f>
        <v/>
      </c>
      <c r="F117" s="67"/>
      <c r="H117" s="249" t="str">
        <f>'MSW34'!H117</f>
        <v/>
      </c>
      <c r="I117" s="175" t="str">
        <f>'MSW34'!I117</f>
        <v/>
      </c>
      <c r="J117" s="238" t="str">
        <f>'MSW34'!J117</f>
        <v/>
      </c>
      <c r="K117" s="238" t="str">
        <f>'MSW34'!K117</f>
        <v/>
      </c>
      <c r="L117" s="250" t="str">
        <f>'MSW34'!L117</f>
        <v/>
      </c>
      <c r="M117" s="67"/>
    </row>
    <row r="118">
      <c r="A118" s="259" t="str">
        <f>'MSW34'!A118</f>
        <v/>
      </c>
      <c r="B118" s="237" t="str">
        <f>'MSW34'!B118</f>
        <v/>
      </c>
      <c r="C118" s="257" t="str">
        <f>'MSW34'!C118</f>
        <v/>
      </c>
      <c r="D118" s="257" t="str">
        <f>'MSW34'!D118</f>
        <v/>
      </c>
      <c r="E118" s="258" t="str">
        <f>'MSW34'!E118</f>
        <v/>
      </c>
      <c r="F118" s="67"/>
      <c r="H118" s="259" t="str">
        <f>'MSW34'!H118</f>
        <v/>
      </c>
      <c r="I118" s="237" t="str">
        <f>'MSW34'!I118</f>
        <v/>
      </c>
      <c r="J118" s="257" t="str">
        <f>'MSW34'!J118</f>
        <v/>
      </c>
      <c r="K118" s="257" t="str">
        <f>'MSW34'!K118</f>
        <v/>
      </c>
      <c r="L118" s="258" t="str">
        <f>'MSW34'!L118</f>
        <v/>
      </c>
      <c r="M118" s="67"/>
    </row>
    <row r="119">
      <c r="A119" s="246" t="str">
        <f>'MSW34'!A119</f>
        <v>DOWN SETS</v>
      </c>
      <c r="B119" s="20"/>
      <c r="C119" s="20"/>
      <c r="D119" s="20"/>
      <c r="E119" s="20"/>
      <c r="F119" s="95"/>
      <c r="H119" s="246" t="str">
        <f>'MSW34'!H119</f>
        <v>DOWN SETS</v>
      </c>
      <c r="I119" s="20"/>
      <c r="J119" s="20"/>
      <c r="K119" s="20"/>
      <c r="L119" s="20"/>
      <c r="M119" s="95"/>
    </row>
    <row r="120">
      <c r="A120" s="264" t="str">
        <f>'MSW34'!A120</f>
        <v/>
      </c>
      <c r="B120" s="265">
        <f>'MSW34'!B120</f>
        <v>0</v>
      </c>
      <c r="C120" s="266" t="str">
        <f>'MSW34'!C120</f>
        <v>REP OUT</v>
      </c>
      <c r="D120" s="267" t="str">
        <f>'MSW34'!D120</f>
        <v>1-3 MIN</v>
      </c>
      <c r="E120" s="268" t="str">
        <f>'MSW34'!E120</f>
        <v/>
      </c>
      <c r="F120" s="67"/>
      <c r="H120" s="264" t="str">
        <f>'MSW34'!H120</f>
        <v/>
      </c>
      <c r="I120" s="265">
        <f>'MSW34'!I120</f>
        <v>0</v>
      </c>
      <c r="J120" s="266" t="str">
        <f>'MSW34'!J120</f>
        <v>REP OUT</v>
      </c>
      <c r="K120" s="267" t="str">
        <f>'MSW34'!K120</f>
        <v>1-3 MIN</v>
      </c>
      <c r="L120" s="268" t="str">
        <f>'MSW34'!L120</f>
        <v/>
      </c>
      <c r="M120" s="67"/>
    </row>
    <row r="121">
      <c r="A121" s="243" t="str">
        <f>'MSW34'!A121</f>
        <v/>
      </c>
      <c r="B121" s="237">
        <f>'MSW34'!B121</f>
        <v>0</v>
      </c>
      <c r="C121" s="245" t="str">
        <f>'MSW34'!C121</f>
        <v>REP OUT</v>
      </c>
      <c r="D121" s="65" t="str">
        <f>'MSW34'!D121</f>
        <v>1-3 MIN</v>
      </c>
      <c r="E121" s="258" t="str">
        <f>'MSW34'!E121</f>
        <v/>
      </c>
      <c r="F121" s="271"/>
      <c r="H121" s="243" t="str">
        <f>'MSW34'!H121</f>
        <v/>
      </c>
      <c r="I121" s="237">
        <f>'MSW34'!I121</f>
        <v>0</v>
      </c>
      <c r="J121" s="245" t="str">
        <f>'MSW34'!J121</f>
        <v>REP OUT</v>
      </c>
      <c r="K121" s="65" t="str">
        <f>'MSW34'!K121</f>
        <v>1-3 MIN</v>
      </c>
      <c r="L121" s="258" t="str">
        <f>'MSW34'!L121</f>
        <v/>
      </c>
      <c r="M121" s="271"/>
    </row>
    <row r="122">
      <c r="A122" s="272" t="str">
        <f>'MSW34'!A122</f>
        <v>FINAL MAX</v>
      </c>
      <c r="B122" s="273" t="str">
        <f>'MSW34'!B122</f>
        <v/>
      </c>
      <c r="C122" s="11"/>
      <c r="D122" s="11"/>
      <c r="E122" s="11"/>
      <c r="F122" s="46"/>
      <c r="H122" s="272" t="str">
        <f>'MSW34'!H122</f>
        <v>FINAL MAX</v>
      </c>
      <c r="I122" s="273" t="str">
        <f>'MSW34'!I122</f>
        <v/>
      </c>
      <c r="J122" s="11"/>
      <c r="K122" s="11"/>
      <c r="L122" s="11"/>
      <c r="M122" s="46"/>
    </row>
    <row r="123">
      <c r="A123" t="str">
        <f>'MSW34'!A123</f>
        <v/>
      </c>
    </row>
    <row r="125">
      <c r="A125" s="1217" t="str">
        <f>'MSW34'!A125</f>
        <v>2. DUMBBELL REAR DELT FLY </v>
      </c>
      <c r="B125" s="53"/>
      <c r="C125" s="53"/>
      <c r="D125" s="53"/>
      <c r="E125" s="53"/>
      <c r="F125" s="54"/>
      <c r="G125" t="str">
        <f>'MSW34'!G125</f>
        <v/>
      </c>
      <c r="H125" s="1289" t="str">
        <f>'MSW34'!G125:H125</f>
        <v>2. MACHINE REAR DELT FLY</v>
      </c>
      <c r="I125" s="53"/>
      <c r="J125" s="53"/>
      <c r="K125" s="53"/>
      <c r="L125" s="53"/>
      <c r="M125" s="53"/>
    </row>
    <row r="126">
      <c r="A126" s="1268" t="s">
        <v>134</v>
      </c>
      <c r="B126" s="76">
        <f>'MSW34'!B126</f>
        <v>0</v>
      </c>
      <c r="C126" s="13"/>
      <c r="D126" s="13"/>
      <c r="E126" s="13"/>
      <c r="F126" s="57"/>
      <c r="H126" s="1268" t="s">
        <v>134</v>
      </c>
      <c r="I126" s="76" t="str">
        <f>'MSW34'!I126</f>
        <v/>
      </c>
      <c r="J126" s="13"/>
      <c r="K126" s="13"/>
      <c r="L126" s="13"/>
      <c r="M126" s="13"/>
    </row>
    <row r="127">
      <c r="A127" s="962" t="str">
        <f>'MSW34'!A127</f>
        <v>SET</v>
      </c>
      <c r="B127" s="963" t="str">
        <f>'MSW34'!B127</f>
        <v>WEIGHT</v>
      </c>
      <c r="C127" s="963" t="str">
        <f>'MSW34'!C127</f>
        <v>REPS</v>
      </c>
      <c r="D127" s="963" t="str">
        <f>'MSW34'!D127</f>
        <v>REST</v>
      </c>
      <c r="E127" s="1005" t="str">
        <f>'MSW34'!E127</f>
        <v>PREVIOUS</v>
      </c>
      <c r="F127" s="1006" t="str">
        <f>'MSW34'!F127</f>
        <v>REP LOG</v>
      </c>
      <c r="H127" s="962" t="str">
        <f>'MSW34'!G127:H127</f>
        <v>SET</v>
      </c>
      <c r="I127" s="963" t="str">
        <f>'MSW34'!H127:I127</f>
        <v>WEIGHT</v>
      </c>
      <c r="J127" s="963" t="str">
        <f>'MSW34'!I127:J127</f>
        <v>REPS</v>
      </c>
      <c r="K127" s="963" t="str">
        <f>'MSW34'!J127:K127</f>
        <v>REST</v>
      </c>
      <c r="L127" s="1073" t="str">
        <f>'MSW34'!K127:L127</f>
        <v>PREVIOUS</v>
      </c>
      <c r="M127" s="1302" t="str">
        <f>'MSW34'!L127:M127</f>
        <v>REP LOG</v>
      </c>
    </row>
    <row r="128">
      <c r="A128" s="967">
        <f>'MSW34'!A128</f>
        <v>1</v>
      </c>
      <c r="B128" s="1028">
        <f>'MSW34'!B128</f>
        <v>0</v>
      </c>
      <c r="C128" s="1269" t="str">
        <f>'MSW34'!C128</f>
        <v>5 - 15</v>
      </c>
      <c r="D128" s="1067" t="str">
        <f>'MSW34'!D128</f>
        <v>1-5 MIN</v>
      </c>
      <c r="E128" s="1010" t="str">
        <f>'MSW34'!E128</f>
        <v/>
      </c>
      <c r="F128" s="1011"/>
      <c r="H128" s="967">
        <f>'MSW34'!G128:H128</f>
        <v>1</v>
      </c>
      <c r="I128" s="1028">
        <f>'MSW34'!H128:I128</f>
        <v>0</v>
      </c>
      <c r="J128" s="1067" t="str">
        <f>'MSW34'!I128:J128</f>
        <v>10 - 15</v>
      </c>
      <c r="K128" s="968" t="str">
        <f>'MSW34'!J128:K128</f>
        <v>1-2 MIN</v>
      </c>
      <c r="L128" s="1235" t="str">
        <f>'MSW34'!K128:L128</f>
        <v/>
      </c>
      <c r="M128" s="1303"/>
    </row>
    <row r="129">
      <c r="A129" s="967">
        <f>'MSW34'!A129</f>
        <v>2</v>
      </c>
      <c r="B129" s="1028">
        <f>'MSW34'!B129</f>
        <v>0</v>
      </c>
      <c r="C129" s="1269" t="str">
        <f>'MSW34'!C129</f>
        <v>5 - 15</v>
      </c>
      <c r="D129" s="1067" t="str">
        <f>'MSW34'!D129</f>
        <v>1-5 MIN</v>
      </c>
      <c r="E129" s="1010" t="str">
        <f>'MSW34'!E129</f>
        <v/>
      </c>
      <c r="F129" s="1011"/>
      <c r="H129" s="967">
        <f>'MSW34'!G129:H129</f>
        <v>2</v>
      </c>
      <c r="I129" s="1028">
        <f>'MSW34'!I129</f>
        <v>0</v>
      </c>
      <c r="J129" s="1067" t="str">
        <f>'MSW34'!I129:J129</f>
        <v>10 - 15</v>
      </c>
      <c r="K129" s="968" t="str">
        <f>'MSW34'!J129:K129</f>
        <v>1-2 MIN</v>
      </c>
      <c r="L129" s="1235" t="str">
        <f>'MSW34'!K129:L129</f>
        <v/>
      </c>
      <c r="M129" s="1303"/>
    </row>
    <row r="130">
      <c r="A130" s="971">
        <f>'MSW34'!A130</f>
        <v>3</v>
      </c>
      <c r="B130" s="1123">
        <f>'MSW34'!B130</f>
        <v>0</v>
      </c>
      <c r="C130" s="1270" t="str">
        <f>'MSW34'!C130</f>
        <v>5 - 15</v>
      </c>
      <c r="D130" s="1220" t="str">
        <f>'MSW34'!D130</f>
        <v>1-5 MIN</v>
      </c>
      <c r="E130" s="1021" t="str">
        <f>'MSW34'!E130</f>
        <v/>
      </c>
      <c r="F130" s="1011"/>
      <c r="H130" s="971">
        <f>'MSW34'!G130:H130</f>
        <v>3</v>
      </c>
      <c r="I130" s="1123">
        <f>'MSW34'!I130</f>
        <v>0</v>
      </c>
      <c r="J130" s="1220" t="str">
        <f>'MSW34'!I130:J130</f>
        <v>10 - 15</v>
      </c>
      <c r="K130" s="972" t="str">
        <f>'MSW34'!J130:K130</f>
        <v>1-2 MIN</v>
      </c>
      <c r="L130" s="1271" t="str">
        <f>'MSW34'!K130:L130</f>
        <v/>
      </c>
      <c r="M130" s="1570" t="str">
        <f>'MSW34'!L130:M130</f>
        <v/>
      </c>
    </row>
    <row r="131">
      <c r="A131" t="str">
        <f>'MSW34'!A131</f>
        <v/>
      </c>
    </row>
    <row r="133">
      <c r="A133" s="1217" t="str">
        <f>'MSW34'!A133</f>
        <v>3. DUMBBELL SIDE LATERAL RAISE</v>
      </c>
      <c r="B133" s="53"/>
      <c r="C133" s="53"/>
      <c r="D133" s="53"/>
      <c r="E133" s="53"/>
      <c r="F133" s="54"/>
      <c r="G133" t="str">
        <f>'MSW34'!G133</f>
        <v/>
      </c>
    </row>
    <row r="134">
      <c r="A134" s="1268" t="s">
        <v>134</v>
      </c>
      <c r="B134" s="76" t="str">
        <f>'MSW34'!B134</f>
        <v/>
      </c>
      <c r="C134" s="13"/>
      <c r="D134" s="13"/>
      <c r="E134" s="13"/>
      <c r="F134" s="57"/>
    </row>
    <row r="135">
      <c r="A135" s="1071" t="str">
        <f>'MSW34'!A135</f>
        <v>SET</v>
      </c>
      <c r="B135" s="1072" t="str">
        <f>'MSW34'!B135</f>
        <v>WEIGHT</v>
      </c>
      <c r="C135" s="1072" t="str">
        <f>'MSW34'!C135</f>
        <v>REPS</v>
      </c>
      <c r="D135" s="1072" t="str">
        <f>'MSW34'!D135</f>
        <v>REST</v>
      </c>
      <c r="E135" s="1073" t="str">
        <f>'MSW34'!E135</f>
        <v>PREVIOUS</v>
      </c>
      <c r="F135" s="1006" t="str">
        <f>'MSW34'!F135</f>
        <v>REP LOG</v>
      </c>
    </row>
    <row r="136">
      <c r="A136" s="1074">
        <f>'MSW34'!A136</f>
        <v>1</v>
      </c>
      <c r="B136" s="968">
        <f>'MSW34'!B136</f>
        <v>0</v>
      </c>
      <c r="C136" s="1015" t="str">
        <f>'MSW34'!C136</f>
        <v>5 - 15</v>
      </c>
      <c r="D136" s="1076" t="str">
        <f>'MSW34'!D136</f>
        <v>1 MIN</v>
      </c>
      <c r="E136" s="1235" t="str">
        <f>'MSW34'!E136</f>
        <v/>
      </c>
      <c r="F136" s="1011"/>
    </row>
    <row r="137">
      <c r="A137" s="1074">
        <f>'MSW34'!A137</f>
        <v>2</v>
      </c>
      <c r="B137" s="968">
        <f>'MSW34'!B137</f>
        <v>0</v>
      </c>
      <c r="C137" s="1015" t="str">
        <f>'MSW34'!C137</f>
        <v>5 - 15</v>
      </c>
      <c r="D137" s="1076" t="str">
        <f>'MSW34'!D137</f>
        <v>1 MIN</v>
      </c>
      <c r="E137" s="1235" t="str">
        <f>'MSW34'!E137</f>
        <v/>
      </c>
      <c r="F137" s="1011"/>
    </row>
    <row r="138">
      <c r="A138" s="1078">
        <f>'MSW34'!A138</f>
        <v>3</v>
      </c>
      <c r="B138" s="972">
        <f>'MSW34'!B138</f>
        <v>0</v>
      </c>
      <c r="C138" s="1019" t="str">
        <f>'MSW34'!C138</f>
        <v>5 - 15</v>
      </c>
      <c r="D138" s="1080" t="str">
        <f>'MSW34'!D138</f>
        <v>1 MIN</v>
      </c>
      <c r="E138" s="1271" t="str">
        <f>'MSW34'!E138</f>
        <v/>
      </c>
      <c r="F138" s="1011"/>
    </row>
    <row r="139">
      <c r="A139" t="str">
        <f>'MSW34'!A139</f>
        <v/>
      </c>
    </row>
    <row r="141">
      <c r="A141" s="1295" t="str">
        <f>'MSW34'!A141</f>
        <v>3. DUMBBELL TRICEP EXTENSIONS</v>
      </c>
      <c r="B141" s="53"/>
      <c r="C141" s="53"/>
      <c r="D141" s="53"/>
      <c r="E141" s="53"/>
      <c r="F141" s="54"/>
    </row>
    <row r="142">
      <c r="A142" s="961" t="str">
        <f>'MSW34'!A142</f>
        <v>CURRENT MAX</v>
      </c>
      <c r="B142" s="76">
        <f>'MSW34'!B142</f>
        <v>30</v>
      </c>
      <c r="C142" s="13"/>
      <c r="D142" s="13"/>
      <c r="E142" s="13"/>
      <c r="F142" s="57"/>
    </row>
    <row r="143">
      <c r="A143" s="1071" t="str">
        <f>'MSW34'!A143</f>
        <v>SET</v>
      </c>
      <c r="B143" s="1072" t="str">
        <f>'MSW34'!B143</f>
        <v>WEIGHT</v>
      </c>
      <c r="C143" s="1072" t="str">
        <f>'MSW34'!C143</f>
        <v>REPS</v>
      </c>
      <c r="D143" s="1072" t="str">
        <f>'MSW34'!D143</f>
        <v>REST</v>
      </c>
      <c r="E143" s="1073" t="str">
        <f>'MSW34'!E143</f>
        <v>PREVIOUS</v>
      </c>
      <c r="F143" s="1006" t="str">
        <f>'MSW34'!F143</f>
        <v>REP LOG</v>
      </c>
    </row>
    <row r="144">
      <c r="A144" s="1074">
        <f>'MSW34'!A144</f>
        <v>1</v>
      </c>
      <c r="B144" s="968">
        <f>'MSW34'!B144</f>
        <v>30</v>
      </c>
      <c r="C144" s="1075" t="str">
        <f>'MSW34'!C144</f>
        <v>5 - 15</v>
      </c>
      <c r="D144" s="1076" t="str">
        <f>'MSW34'!D144</f>
        <v>1 MIN</v>
      </c>
      <c r="E144" s="1235" t="str">
        <f>'MSW34'!E144</f>
        <v/>
      </c>
      <c r="F144" s="1011"/>
    </row>
    <row r="145">
      <c r="A145" s="1074">
        <f>'MSW34'!A145</f>
        <v>2</v>
      </c>
      <c r="B145" s="968">
        <f>'MSW34'!B145</f>
        <v>5</v>
      </c>
      <c r="C145" s="1075" t="str">
        <f>'MSW34'!C145</f>
        <v>5 - 15</v>
      </c>
      <c r="D145" s="1076" t="str">
        <f>'MSW34'!D145</f>
        <v>1 MIN</v>
      </c>
      <c r="E145" s="1235" t="str">
        <f>'MSW34'!E145</f>
        <v/>
      </c>
      <c r="F145" s="1011"/>
    </row>
    <row r="146">
      <c r="A146" s="1078">
        <f>'MSW34'!A146</f>
        <v>3</v>
      </c>
      <c r="B146" s="972">
        <f>'MSW34'!B146</f>
        <v>2.5</v>
      </c>
      <c r="C146" s="1079" t="str">
        <f>'MSW34'!C146</f>
        <v>5 - 15</v>
      </c>
      <c r="D146" s="1080" t="str">
        <f>'MSW34'!D146</f>
        <v>1 MIN</v>
      </c>
      <c r="E146" s="1271" t="str">
        <f>'MSW34'!E146</f>
        <v/>
      </c>
      <c r="F146" s="1011"/>
    </row>
    <row r="147">
      <c r="A147" t="str">
        <f>'MSW34'!A147</f>
        <v/>
      </c>
    </row>
    <row r="149">
      <c r="A149" s="75" t="str">
        <f>'MSW34'!A149</f>
        <v>4. BICEP EZ BAR CURL</v>
      </c>
      <c r="B149" s="53"/>
      <c r="C149" s="53"/>
      <c r="D149" s="53"/>
      <c r="E149" s="53"/>
      <c r="F149" s="54"/>
    </row>
    <row r="150">
      <c r="A150" s="961" t="str">
        <f>'MSW34'!A150</f>
        <v>CURRENT MAX</v>
      </c>
      <c r="B150" s="76" t="str">
        <f>'MSW34'!B150</f>
        <v/>
      </c>
      <c r="C150" s="13"/>
      <c r="D150" s="13"/>
      <c r="E150" s="13"/>
      <c r="F150" s="57"/>
    </row>
    <row r="151">
      <c r="A151" s="962" t="str">
        <f>'MSW34'!A151</f>
        <v>SET</v>
      </c>
      <c r="B151" s="963" t="str">
        <f>'MSW34'!B151</f>
        <v>WEIGHT</v>
      </c>
      <c r="C151" s="963" t="str">
        <f>'MSW34'!C151</f>
        <v>REPS</v>
      </c>
      <c r="D151" s="963" t="str">
        <f>'MSW34'!D151</f>
        <v>REST</v>
      </c>
      <c r="E151" s="1073" t="str">
        <f>'MSW34'!E151</f>
        <v>PREVIOUS</v>
      </c>
      <c r="F151" s="1006" t="str">
        <f>'MSW34'!F151</f>
        <v>REP LOG</v>
      </c>
    </row>
    <row r="152">
      <c r="A152" s="967">
        <f>'MSW34'!A152</f>
        <v>1</v>
      </c>
      <c r="B152" s="968">
        <f>'MSW34'!B152</f>
        <v>0</v>
      </c>
      <c r="C152" s="937" t="str">
        <f>'MSW34'!C152</f>
        <v>4 - 15</v>
      </c>
      <c r="D152" s="1296" t="str">
        <f>'MSW34'!D152</f>
        <v>1-3 MIN</v>
      </c>
      <c r="E152" s="1235" t="str">
        <f>'MSW34'!E152</f>
        <v/>
      </c>
      <c r="F152" s="984"/>
    </row>
    <row r="153">
      <c r="A153" s="967">
        <f>'MSW34'!A153</f>
        <v>2</v>
      </c>
      <c r="B153" s="968">
        <f>'MSW34'!B153</f>
        <v>0</v>
      </c>
      <c r="C153" s="937" t="str">
        <f>'MSW34'!C153</f>
        <v>4 - 15</v>
      </c>
      <c r="D153" s="1296" t="str">
        <f>'MSW34'!D153</f>
        <v>1-3 MIN</v>
      </c>
      <c r="E153" s="1235" t="str">
        <f>'MSW34'!E153</f>
        <v/>
      </c>
      <c r="F153" s="1131"/>
    </row>
    <row r="154">
      <c r="A154" s="971">
        <f>'MSW34'!A154</f>
        <v>3</v>
      </c>
      <c r="B154" s="972">
        <f>'MSW34'!B154</f>
        <v>0</v>
      </c>
      <c r="C154" s="1298" t="str">
        <f>'MSW34'!C154</f>
        <v>4 - 15</v>
      </c>
      <c r="D154" s="1304" t="str">
        <f>'MSW34'!D154</f>
        <v>1-3 MIN</v>
      </c>
      <c r="E154" s="1271" t="str">
        <f>'MSW34'!E154</f>
        <v/>
      </c>
      <c r="F154" s="984"/>
    </row>
    <row r="155">
      <c r="A155" t="str">
        <f>'MSW34'!A155</f>
        <v/>
      </c>
    </row>
    <row r="157">
      <c r="A157" s="1149" t="str">
        <f>'MSW34'!A157</f>
        <v>WORKOUT COMPLETE!</v>
      </c>
      <c r="B157" s="36"/>
      <c r="C157" s="36"/>
      <c r="D157" s="36"/>
      <c r="E157" s="36"/>
      <c r="F157" s="37"/>
    </row>
    <row r="158">
      <c r="A158" s="623" t="str">
        <f>'MSW34'!A158</f>
        <v/>
      </c>
    </row>
    <row r="159">
      <c r="A159" s="1275" t="str">
        <f>'MSW34'!A159</f>
        <v>WANT TO LEARN MORE?</v>
      </c>
      <c r="B159" s="25"/>
      <c r="C159" s="25"/>
      <c r="D159" s="25"/>
      <c r="E159" s="25"/>
      <c r="F159" s="26"/>
    </row>
    <row r="160">
      <c r="A160" s="336"/>
      <c r="B160" s="11"/>
      <c r="C160" s="11"/>
      <c r="D160" s="11"/>
      <c r="E160" s="11"/>
      <c r="F160" s="46"/>
    </row>
    <row r="161">
      <c r="A161" s="1276" t="str">
        <f>'MSW34'!A161</f>
        <v/>
      </c>
      <c r="B161" s="999" t="str">
        <f>'MSW34'!B161</f>
        <v/>
      </c>
      <c r="C161" s="1150" t="str">
        <f>'MSW34'!C161</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61" s="28"/>
    </row>
    <row r="162">
      <c r="A162" s="1276" t="str">
        <f>'MSW34'!A162</f>
        <v/>
      </c>
      <c r="B162" s="999" t="str">
        <f>'MSW34'!B162</f>
        <v/>
      </c>
      <c r="F162" s="28"/>
    </row>
    <row r="163">
      <c r="A163" s="1276" t="str">
        <f>'MSW34'!A163</f>
        <v/>
      </c>
      <c r="B163" s="999" t="str">
        <f>'MSW34'!B163</f>
        <v/>
      </c>
      <c r="F163" s="28"/>
    </row>
    <row r="164">
      <c r="A164" s="1276" t="str">
        <f>'MSW34'!A164</f>
        <v/>
      </c>
      <c r="B164" s="999" t="str">
        <f>'MSW34'!B164</f>
        <v/>
      </c>
      <c r="F164" s="28"/>
    </row>
    <row r="165">
      <c r="A165" s="1276" t="str">
        <f>'MSW34'!A165</f>
        <v/>
      </c>
      <c r="B165" s="999" t="str">
        <f>'MSW34'!B165</f>
        <v/>
      </c>
      <c r="F165" s="28"/>
    </row>
    <row r="166">
      <c r="A166" s="1276" t="str">
        <f>'MSW34'!A166</f>
        <v/>
      </c>
      <c r="B166" s="999" t="str">
        <f>'MSW34'!B166</f>
        <v/>
      </c>
      <c r="F166" s="28"/>
    </row>
    <row r="167">
      <c r="A167" s="1277" t="str">
        <f>'MSW34'!A167</f>
        <v/>
      </c>
      <c r="B167" s="999" t="str">
        <f>'MSW34'!B167</f>
        <v/>
      </c>
      <c r="F167" s="28"/>
    </row>
    <row r="168">
      <c r="A168" s="1276" t="str">
        <f>'MSW34'!A168</f>
        <v/>
      </c>
      <c r="B168" s="999" t="str">
        <f>'MSW34'!B168</f>
        <v/>
      </c>
      <c r="F168" s="28"/>
    </row>
    <row r="169">
      <c r="A169" s="1276" t="str">
        <f>'MSW34'!A169</f>
        <v/>
      </c>
      <c r="B169" s="999" t="str">
        <f>'MSW34'!B169</f>
        <v/>
      </c>
      <c r="F169" s="28"/>
    </row>
    <row r="170">
      <c r="A170" s="1278" t="str">
        <f>'MSW34'!A170</f>
        <v/>
      </c>
      <c r="B170" s="999" t="str">
        <f>'MSW34'!B170</f>
        <v/>
      </c>
      <c r="F170" s="28"/>
    </row>
    <row r="171">
      <c r="A171" s="1276" t="str">
        <f>'MSW34'!A171</f>
        <v/>
      </c>
      <c r="B171" s="999" t="str">
        <f>'MSW34'!B171</f>
        <v/>
      </c>
      <c r="F171" s="28"/>
    </row>
    <row r="172">
      <c r="A172" s="1276" t="str">
        <f>'MSW34'!A172</f>
        <v/>
      </c>
      <c r="B172" s="999" t="str">
        <f>'MSW34'!B172</f>
        <v/>
      </c>
      <c r="F172" s="28"/>
    </row>
    <row r="173">
      <c r="A173" s="1276" t="str">
        <f>'MSW34'!A173</f>
        <v/>
      </c>
      <c r="B173" s="999" t="str">
        <f>'MSW34'!B173</f>
        <v/>
      </c>
      <c r="F173" s="28"/>
    </row>
    <row r="174">
      <c r="A174" s="1276"/>
      <c r="B174" s="999"/>
      <c r="F174" s="28"/>
    </row>
    <row r="175">
      <c r="A175" s="1279"/>
      <c r="B175" s="1280"/>
      <c r="C175" s="11"/>
      <c r="D175" s="11"/>
      <c r="E175" s="11"/>
      <c r="F175" s="46"/>
    </row>
  </sheetData>
  <mergeCells count="100">
    <mergeCell ref="A89:F89"/>
    <mergeCell ref="B90:F90"/>
    <mergeCell ref="A71:F71"/>
    <mergeCell ref="A72:F72"/>
    <mergeCell ref="A73:F74"/>
    <mergeCell ref="A75:F75"/>
    <mergeCell ref="B76:F76"/>
    <mergeCell ref="B86:F86"/>
    <mergeCell ref="A87:F88"/>
    <mergeCell ref="A95:F96"/>
    <mergeCell ref="A97:F97"/>
    <mergeCell ref="G97:G99"/>
    <mergeCell ref="B98:F98"/>
    <mergeCell ref="G100:G101"/>
    <mergeCell ref="A103:F104"/>
    <mergeCell ref="A105:F105"/>
    <mergeCell ref="G108:G122"/>
    <mergeCell ref="G125:G130"/>
    <mergeCell ref="A106:F107"/>
    <mergeCell ref="A108:F108"/>
    <mergeCell ref="A109:F109"/>
    <mergeCell ref="B110:F110"/>
    <mergeCell ref="A116:F116"/>
    <mergeCell ref="A119:F119"/>
    <mergeCell ref="B122:F122"/>
    <mergeCell ref="B126:F126"/>
    <mergeCell ref="H108:M108"/>
    <mergeCell ref="H109:M109"/>
    <mergeCell ref="I110:M110"/>
    <mergeCell ref="H116:M116"/>
    <mergeCell ref="H119:M119"/>
    <mergeCell ref="I122:M122"/>
    <mergeCell ref="A123:M124"/>
    <mergeCell ref="A139:F140"/>
    <mergeCell ref="A141:F141"/>
    <mergeCell ref="B142:F142"/>
    <mergeCell ref="A147:F148"/>
    <mergeCell ref="A149:F149"/>
    <mergeCell ref="B150:F150"/>
    <mergeCell ref="A155:F156"/>
    <mergeCell ref="A157:F157"/>
    <mergeCell ref="A158:F158"/>
    <mergeCell ref="A159:F160"/>
    <mergeCell ref="A125:F125"/>
    <mergeCell ref="H125:M125"/>
    <mergeCell ref="I126:M126"/>
    <mergeCell ref="A131:M132"/>
    <mergeCell ref="A133:F133"/>
    <mergeCell ref="G133:M175"/>
    <mergeCell ref="B134:F134"/>
    <mergeCell ref="C161:F175"/>
    <mergeCell ref="A1:M8"/>
    <mergeCell ref="A9:F9"/>
    <mergeCell ref="G9:G14"/>
    <mergeCell ref="H9:M9"/>
    <mergeCell ref="A10:F11"/>
    <mergeCell ref="H10:M10"/>
    <mergeCell ref="A14:F14"/>
    <mergeCell ref="A12:F12"/>
    <mergeCell ref="A13:F13"/>
    <mergeCell ref="A15:F15"/>
    <mergeCell ref="G15:G24"/>
    <mergeCell ref="A16:F17"/>
    <mergeCell ref="A18:F18"/>
    <mergeCell ref="A19:F19"/>
    <mergeCell ref="H12:M14"/>
    <mergeCell ref="H15:M15"/>
    <mergeCell ref="H16:M17"/>
    <mergeCell ref="H18:M18"/>
    <mergeCell ref="H19:M19"/>
    <mergeCell ref="I20:M20"/>
    <mergeCell ref="H25:M25"/>
    <mergeCell ref="B20:F20"/>
    <mergeCell ref="A25:F25"/>
    <mergeCell ref="G25:G26"/>
    <mergeCell ref="G27:G36"/>
    <mergeCell ref="A30:F31"/>
    <mergeCell ref="A32:F32"/>
    <mergeCell ref="B33:F33"/>
    <mergeCell ref="A37:F38"/>
    <mergeCell ref="A39:F39"/>
    <mergeCell ref="B40:F40"/>
    <mergeCell ref="A46:F46"/>
    <mergeCell ref="A49:F49"/>
    <mergeCell ref="B52:F52"/>
    <mergeCell ref="A53:F53"/>
    <mergeCell ref="A54:F54"/>
    <mergeCell ref="B55:F55"/>
    <mergeCell ref="A60:F61"/>
    <mergeCell ref="A62:F62"/>
    <mergeCell ref="B63:F63"/>
    <mergeCell ref="A68:F69"/>
    <mergeCell ref="A70:F70"/>
    <mergeCell ref="H30:M31"/>
    <mergeCell ref="H32:M32"/>
    <mergeCell ref="I33:M33"/>
    <mergeCell ref="G37:M96"/>
    <mergeCell ref="H97:M97"/>
    <mergeCell ref="I98:M98"/>
    <mergeCell ref="G103:M107"/>
  </mergeCells>
  <dataValidations>
    <dataValidation type="decimal" allowBlank="1" showDropDown="1" showInputMessage="1" showErrorMessage="1" prompt="Enter a number between 0 and 30" sqref="F21:F24 M21:M24 F26:F29 M26:M29 F34:F36 M34:M36 F41:F45 F47:F48 F50:F51 F56:F59 F64:F67 F77:F85 F91:F94 F99:F102 M99:M102 F111:F115 M111:M115 F117:F118 M117:M118 F120:F121 M120:M121 F127:F130 M127:M130 F135:F138 F143:F146 F151:F154">
      <formula1>0.0</formula1>
      <formula2>30.0</formula2>
    </dataValidation>
    <dataValidation type="decimal" operator="greaterThan" allowBlank="1" showDropDown="1" showErrorMessage="1" sqref="M11">
      <formula1>0.0</formula1>
    </dataValidation>
  </dataValidations>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305" t="s">
        <v>342</v>
      </c>
      <c r="B9" s="36"/>
      <c r="C9" s="36"/>
      <c r="D9" s="36"/>
      <c r="E9" s="36"/>
      <c r="F9" s="37"/>
      <c r="G9" s="987"/>
      <c r="H9" s="24" t="s">
        <v>35</v>
      </c>
      <c r="I9" s="25"/>
      <c r="J9" s="25"/>
      <c r="K9" s="25"/>
      <c r="L9" s="25"/>
      <c r="M9" s="26"/>
    </row>
    <row r="10">
      <c r="A10" s="991" t="str">
        <f>HYPERLINK("https://goo.gl/forms/3ibooB993Hi7SS2d2","PRESS TO RECORD BODY WEIGHT")</f>
        <v>PRESS TO RECORD BODY WEIGHT</v>
      </c>
      <c r="F10" s="28"/>
      <c r="G10" s="987"/>
      <c r="H10" s="147" t="s">
        <v>343</v>
      </c>
      <c r="M10" s="28"/>
    </row>
    <row r="11">
      <c r="A11" s="336"/>
      <c r="B11" s="11"/>
      <c r="C11" s="11"/>
      <c r="D11" s="11"/>
      <c r="E11" s="11"/>
      <c r="F11" s="46"/>
      <c r="G11" s="987"/>
      <c r="H11" s="29" t="s">
        <v>344</v>
      </c>
      <c r="I11" s="30"/>
      <c r="J11" s="30"/>
      <c r="K11" s="30"/>
      <c r="L11" s="30"/>
      <c r="M11" s="31"/>
    </row>
    <row r="12">
      <c r="A12" s="992" t="s">
        <v>69</v>
      </c>
      <c r="B12" s="11"/>
      <c r="C12" s="11"/>
      <c r="D12" s="11"/>
      <c r="E12" s="11"/>
      <c r="F12" s="46"/>
      <c r="G12" s="987"/>
      <c r="H12" s="987"/>
      <c r="I12" s="987"/>
      <c r="J12" s="987"/>
      <c r="K12" s="987"/>
      <c r="L12" s="987"/>
      <c r="M12" s="987"/>
    </row>
    <row r="13">
      <c r="A13" s="1128" t="s">
        <v>190</v>
      </c>
      <c r="B13" s="11"/>
      <c r="C13" s="11"/>
      <c r="D13" s="11"/>
      <c r="E13" s="11"/>
      <c r="F13" s="46"/>
      <c r="G13" s="987"/>
      <c r="H13" s="987"/>
      <c r="I13" s="987"/>
      <c r="J13" s="987"/>
      <c r="K13" s="987"/>
      <c r="L13" s="987"/>
      <c r="M13" s="987"/>
    </row>
    <row r="14">
      <c r="A14" s="994"/>
      <c r="B14" s="994"/>
      <c r="C14" s="994"/>
      <c r="D14" s="994"/>
      <c r="E14" s="994"/>
      <c r="F14" s="995"/>
      <c r="G14" s="987"/>
      <c r="H14" s="989"/>
      <c r="I14" s="989"/>
      <c r="J14" s="989"/>
      <c r="K14" s="989"/>
      <c r="L14" s="989"/>
      <c r="M14" s="989"/>
    </row>
    <row r="15">
      <c r="A15" s="996" t="s">
        <v>47</v>
      </c>
      <c r="B15" s="11"/>
      <c r="C15" s="11"/>
      <c r="D15" s="11"/>
      <c r="E15" s="11"/>
      <c r="F15" s="46"/>
      <c r="G15" s="997"/>
      <c r="H15" s="998" t="s">
        <v>118</v>
      </c>
      <c r="I15" s="11"/>
      <c r="J15" s="11"/>
      <c r="K15" s="11"/>
      <c r="L15" s="11"/>
      <c r="M15" s="46"/>
    </row>
    <row r="16">
      <c r="A16" s="987"/>
      <c r="B16" s="987"/>
      <c r="C16" s="987"/>
      <c r="D16" s="987"/>
      <c r="E16" s="987"/>
      <c r="F16" s="987"/>
      <c r="G16" s="623"/>
      <c r="H16" s="987"/>
      <c r="I16" s="987"/>
      <c r="J16" s="987"/>
      <c r="K16" s="987"/>
      <c r="L16" s="987"/>
      <c r="M16" s="987"/>
    </row>
    <row r="19">
      <c r="A19" s="51" t="s">
        <v>48</v>
      </c>
      <c r="B19" s="36"/>
      <c r="C19" s="36"/>
      <c r="D19" s="36"/>
      <c r="E19" s="36"/>
      <c r="F19" s="37"/>
      <c r="H19" s="51" t="s">
        <v>48</v>
      </c>
      <c r="I19" s="36"/>
      <c r="J19" s="36"/>
      <c r="K19" s="36"/>
      <c r="L19" s="36"/>
      <c r="M19" s="37"/>
      <c r="N19" s="141"/>
      <c r="O19" s="51" t="s">
        <v>48</v>
      </c>
      <c r="P19" s="36"/>
      <c r="Q19" s="36"/>
      <c r="R19" s="36"/>
      <c r="S19" s="36"/>
      <c r="T19" s="37"/>
    </row>
    <row r="20">
      <c r="A20" s="225" t="str">
        <f>HYPERLINK("https://www.youtube.com/watch?v=iLgUDezDMbU","1. BENCH PRESS")</f>
        <v>1. BENCH PRESS</v>
      </c>
      <c r="B20" s="13"/>
      <c r="C20" s="13"/>
      <c r="D20" s="13"/>
      <c r="E20" s="13"/>
      <c r="F20" s="57"/>
      <c r="H20" s="52" t="str">
        <f>HYPERLINK("https://youtu.be/ujVN-A0Z-ic","1. DUMBBELL INCLINE PRESS")</f>
        <v>1. DUMBBELL INCLINE PRESS</v>
      </c>
      <c r="I20" s="53"/>
      <c r="J20" s="53"/>
      <c r="K20" s="53"/>
      <c r="L20" s="53"/>
      <c r="M20" s="54"/>
      <c r="O20" s="52" t="str">
        <f>HYPERLINK("https://youtu.be/75e_H9Vq_Lw","1. MACHINE PRESS")</f>
        <v>1. MACHINE PRESS</v>
      </c>
      <c r="P20" s="53"/>
      <c r="Q20" s="53"/>
      <c r="R20" s="53"/>
      <c r="S20" s="53"/>
      <c r="T20" s="54"/>
    </row>
    <row r="21">
      <c r="A21" s="226" t="s">
        <v>119</v>
      </c>
      <c r="B21" s="227">
        <f>'WEEK 34'!B20</f>
        <v>225</v>
      </c>
      <c r="C21" s="20"/>
      <c r="D21" s="20"/>
      <c r="E21" s="20"/>
      <c r="F21" s="95"/>
      <c r="H21" s="228" t="s">
        <v>119</v>
      </c>
      <c r="I21" s="229">
        <f>IF('WEEK 32'!B34="",'WEEK 9'!I17,'WEEK 32'!B34)</f>
        <v>90</v>
      </c>
      <c r="J21" s="16"/>
      <c r="K21" s="16"/>
      <c r="L21" s="16"/>
      <c r="M21" s="230"/>
      <c r="O21" s="228" t="s">
        <v>119</v>
      </c>
      <c r="P21" s="229" t="str">
        <f>IF('WEEK 32'!I34="",'WEEK 34'!I20,'WEEK 32'!I34)</f>
        <v/>
      </c>
      <c r="Q21" s="16"/>
      <c r="R21" s="16"/>
      <c r="S21" s="16"/>
      <c r="T21" s="230"/>
    </row>
    <row r="22">
      <c r="A22" s="231" t="s">
        <v>50</v>
      </c>
      <c r="B22" s="232" t="s">
        <v>51</v>
      </c>
      <c r="C22" s="232" t="s">
        <v>52</v>
      </c>
      <c r="D22" s="232" t="s">
        <v>53</v>
      </c>
      <c r="E22" s="233" t="s">
        <v>54</v>
      </c>
      <c r="F22" s="61" t="s">
        <v>55</v>
      </c>
      <c r="H22" s="96" t="s">
        <v>50</v>
      </c>
      <c r="I22" s="97" t="s">
        <v>51</v>
      </c>
      <c r="J22" s="97" t="s">
        <v>52</v>
      </c>
      <c r="K22" s="97" t="s">
        <v>53</v>
      </c>
      <c r="L22" s="98" t="s">
        <v>54</v>
      </c>
      <c r="M22" s="235" t="s">
        <v>55</v>
      </c>
      <c r="O22" s="96" t="s">
        <v>50</v>
      </c>
      <c r="P22" s="97" t="s">
        <v>51</v>
      </c>
      <c r="Q22" s="97" t="s">
        <v>52</v>
      </c>
      <c r="R22" s="97" t="s">
        <v>53</v>
      </c>
      <c r="S22" s="98" t="s">
        <v>54</v>
      </c>
      <c r="T22" s="235" t="s">
        <v>55</v>
      </c>
    </row>
    <row r="23">
      <c r="A23" s="236">
        <v>1.0</v>
      </c>
      <c r="B23" s="237">
        <f>IF( 'WEEK 35'!B20&lt;125,45,mround('WEEK 35'!B21*0.35,5))</f>
        <v>45</v>
      </c>
      <c r="C23" s="237">
        <v>6.0</v>
      </c>
      <c r="D23" s="238" t="s">
        <v>120</v>
      </c>
      <c r="E23" s="66" t="str">
        <f>IF('WEEK 35'!B23='WEEK 31'!B23,'WEEK 31'!F23,"")</f>
        <v/>
      </c>
      <c r="F23" s="67">
        <v>6.0</v>
      </c>
      <c r="H23" s="244">
        <v>1.0</v>
      </c>
      <c r="I23" s="241">
        <f>mround('WEEK 35'!I21*0.35,5)</f>
        <v>30</v>
      </c>
      <c r="J23" s="63">
        <v>6.0</v>
      </c>
      <c r="K23" s="83" t="s">
        <v>127</v>
      </c>
      <c r="L23" s="66" t="str">
        <f>IF('WEEK 35'!I23='WEEK 31'!J23,'WEEK 31'!N23,"")</f>
        <v/>
      </c>
      <c r="M23" s="85"/>
      <c r="O23" s="244">
        <v>1.0</v>
      </c>
      <c r="P23" s="241">
        <f>mround('WEEK 35'!P21*0.35,5)</f>
        <v>0</v>
      </c>
      <c r="Q23" s="63">
        <v>6.0</v>
      </c>
      <c r="R23" s="83" t="s">
        <v>127</v>
      </c>
      <c r="S23" s="66" t="str">
        <f>IF('WEEK 35'!P23='WEEK 31'!Q23,'WEEK 31'!U23,"")</f>
        <v/>
      </c>
      <c r="T23" s="85">
        <v>6.0</v>
      </c>
    </row>
    <row r="24">
      <c r="A24" s="236">
        <v>2.0</v>
      </c>
      <c r="B24" s="237">
        <f>mround('WEEK 35'!B21*0.8,5)</f>
        <v>200</v>
      </c>
      <c r="C24" s="237">
        <v>1.0</v>
      </c>
      <c r="D24" s="238" t="s">
        <v>121</v>
      </c>
      <c r="E24" s="66" t="str">
        <f>IF('WEEK 35'!B24='WEEK 31'!B24,'WEEK 31'!F24,"")</f>
        <v/>
      </c>
      <c r="F24" s="67">
        <v>1.0</v>
      </c>
      <c r="G24" s="1129" t="s">
        <v>191</v>
      </c>
      <c r="H24" s="240">
        <v>2.0</v>
      </c>
      <c r="I24" s="241">
        <f>mround('WEEK 35'!I21*0.65,5)</f>
        <v>60</v>
      </c>
      <c r="J24" s="241">
        <v>1.0</v>
      </c>
      <c r="K24" s="83" t="s">
        <v>127</v>
      </c>
      <c r="L24" s="66">
        <f>IF('WEEK 35'!I24='WEEK 31'!J24,'WEEK 31'!N24,"")</f>
        <v>1</v>
      </c>
      <c r="M24" s="85"/>
      <c r="O24" s="240">
        <v>2.0</v>
      </c>
      <c r="P24" s="241">
        <f>mround('WEEK 35'!P21*0.65,5)</f>
        <v>0</v>
      </c>
      <c r="Q24" s="241">
        <v>1.0</v>
      </c>
      <c r="R24" s="83" t="s">
        <v>127</v>
      </c>
      <c r="S24" s="66" t="str">
        <f>IF('WEEK 35'!P24='WEEK 31'!Q24,'WEEK 31'!U24,"")</f>
        <v/>
      </c>
      <c r="T24" s="85">
        <v>1.0</v>
      </c>
    </row>
    <row r="25">
      <c r="A25" s="242">
        <v>3.0</v>
      </c>
      <c r="B25" s="237">
        <f>mround('WEEK 35'!B21*0.9,5)</f>
        <v>225</v>
      </c>
      <c r="C25" s="82">
        <v>1.0</v>
      </c>
      <c r="D25" s="238" t="s">
        <v>121</v>
      </c>
      <c r="E25" s="66" t="str">
        <f>IF('WEEK 35'!B25='WEEK 31'!B25,'WEEK 31'!F25,"")</f>
        <v/>
      </c>
      <c r="F25" s="67">
        <v>1.0</v>
      </c>
      <c r="H25" s="240">
        <v>3.0</v>
      </c>
      <c r="I25" s="241">
        <f>mround('WEEK 35'!I21*0.85,5)</f>
        <v>75</v>
      </c>
      <c r="J25" s="63">
        <v>1.0</v>
      </c>
      <c r="K25" s="83" t="s">
        <v>127</v>
      </c>
      <c r="L25" s="66" t="str">
        <f>IF('WEEK 35'!I25='WEEK 31'!J25,'WEEK 31'!N25,"")</f>
        <v/>
      </c>
      <c r="M25" s="85"/>
      <c r="O25" s="240">
        <v>3.0</v>
      </c>
      <c r="P25" s="241">
        <f>mround('WEEK 35'!P21*0.85,5)</f>
        <v>0</v>
      </c>
      <c r="Q25" s="241">
        <v>1.0</v>
      </c>
      <c r="R25" s="83" t="s">
        <v>127</v>
      </c>
      <c r="S25" s="66" t="str">
        <f>IF('WEEK 35'!P25='WEEK 31'!Q25,'WEEK 31'!U25,"")</f>
        <v/>
      </c>
      <c r="T25" s="85">
        <v>1.0</v>
      </c>
    </row>
    <row r="26">
      <c r="A26" s="243">
        <v>4.0</v>
      </c>
      <c r="B26" s="237">
        <f>'WEEK 35'!B21</f>
        <v>250</v>
      </c>
      <c r="C26" s="175">
        <v>1.0</v>
      </c>
      <c r="D26" s="238" t="s">
        <v>122</v>
      </c>
      <c r="E26" s="66" t="str">
        <f>IF('WEEK 35'!B26='WEEK 31'!B26,'WEEK 31'!F26,"")</f>
        <v/>
      </c>
      <c r="F26" s="67">
        <v>1.0</v>
      </c>
      <c r="H26" s="240">
        <v>4.0</v>
      </c>
      <c r="I26" s="241">
        <f>mround('WEEK 35'!I21*1,5)</f>
        <v>90</v>
      </c>
      <c r="J26" s="245" t="s">
        <v>65</v>
      </c>
      <c r="K26" s="83" t="s">
        <v>127</v>
      </c>
      <c r="L26" s="66" t="str">
        <f>IF('WEEK 35'!I26='WEEK 31'!J26,'WEEK 31'!N26,"")</f>
        <v/>
      </c>
      <c r="M26" s="85"/>
      <c r="O26" s="240">
        <v>4.0</v>
      </c>
      <c r="P26" s="241">
        <f>mround('WEEK 35'!P21*1,5)</f>
        <v>0</v>
      </c>
      <c r="Q26" s="245" t="s">
        <v>65</v>
      </c>
      <c r="R26" s="83" t="s">
        <v>127</v>
      </c>
      <c r="S26" s="66" t="str">
        <f>IF('WEEK 35'!P26='WEEK 31'!Q26,'WEEK 31'!U26,"")</f>
        <v/>
      </c>
      <c r="T26" s="85">
        <v>8.0</v>
      </c>
    </row>
    <row r="27">
      <c r="A27" s="246" t="str">
        <f>IF('WEEK 35'!F26&lt;1,"PROCEED TO DOWN SETS","NEW 1 REP MAX ATTEMPT")</f>
        <v>NEW 1 REP MAX ATTEMPT</v>
      </c>
      <c r="B27" s="20"/>
      <c r="C27" s="20"/>
      <c r="D27" s="20"/>
      <c r="E27" s="20"/>
      <c r="F27" s="95"/>
      <c r="H27" s="248" t="str">
        <f>IF(OR(ISBLANK('WEEK 35'!M26),ISBLANK('WEEK 35'!M25),ISBLANK('WEEK 35'!M24)),"PROCEED TO DOWNSETS",if('WEEK 35'!M26&gt;=6,"NEW 4 REP MAX ATTEMPT","PROCEED TO DOWN SETS"))</f>
        <v>PROCEED TO DOWNSETS</v>
      </c>
      <c r="M27" s="28"/>
      <c r="N27" s="247" t="s">
        <v>123</v>
      </c>
      <c r="O27" s="248" t="str">
        <f>IF(OR(ISBLANK('WEEK 35'!T26),ISBLANK('WEEK 35'!T25),ISBLANK('WEEK 35'!T24)),"PROCEED TO DOWNSETS",if('WEEK 35'!T26&gt;=6,"NEW 4 REP MAX ATTEMPT","PROCEED TO DOWN SETS"))</f>
        <v>PROCEED TO DOWNSETS</v>
      </c>
      <c r="T27" s="28"/>
    </row>
    <row r="28">
      <c r="A28" s="249">
        <f>if('WEEK 35'!F26&lt;1,"",5)</f>
        <v>5</v>
      </c>
      <c r="B28" s="175">
        <f>IF('WEEK 35'!F26&lt;1,"",'WEEK 35'!B26+5)</f>
        <v>255</v>
      </c>
      <c r="C28" s="238">
        <f>if('WEEK 35'!F26&lt;1,"",1)</f>
        <v>1</v>
      </c>
      <c r="D28" s="238" t="str">
        <f>if('WEEK 35'!F26&lt;1,"","1-5 MIN")</f>
        <v>1-5 MIN</v>
      </c>
      <c r="E28" s="66" t="str">
        <f>IF('WEEK 35'!B28='WEEK 31'!B28,'WEEK 31'!F28,"")</f>
        <v/>
      </c>
      <c r="F28" s="67"/>
      <c r="H28" s="251" t="str">
        <f>IF(OR(ISBLANK('WEEK 35'!M26),ISBLANK('WEEK 35'!M25),ISBLANK('WEEK 35'!M24)),"",IF('WEEK 35'!M26&gt;=6,5,""))</f>
        <v/>
      </c>
      <c r="I28" s="252" t="str">
        <f>IF(OR(ISBLANK('WEEK 35'!M26),ISBLANK('WEEK 35'!M25),ISBLANK('WEEK 35'!M24)),"",IF('WEEK 35'!M26&gt;=6,'WEEK 35'!I21+5,""))</f>
        <v/>
      </c>
      <c r="J28" s="253" t="str">
        <f>IF(OR(ISBLANK('WEEK 35'!M26),ISBLANK('WEEK 35'!M25),ISBLANK('WEEK 35'!M24)),"",IF('WEEK 35'!M26&gt;=6,"REP OUT",""))</f>
        <v/>
      </c>
      <c r="K28" s="254" t="str">
        <f>IF(OR(ISBLANK('WEEK 35'!M26),ISBLANK('WEEK 35'!M25),ISBLANK('WEEK 35'!M24)),"",IF('WEEK 35'!M26&gt;5,"1-3 MIN",""))</f>
        <v/>
      </c>
      <c r="L28" s="66" t="str">
        <f>IF('WEEK 35'!I28='WEEK 31'!J28,'WEEK 31'!N28,"")</f>
        <v/>
      </c>
      <c r="M28" s="67"/>
      <c r="O28" s="251" t="str">
        <f>IF(OR(ISBLANK('WEEK 35'!T26),ISBLANK('WEEK 35'!T25),ISBLANK('WEEK 35'!T24)),"",IF('WEEK 35'!T26&gt;=6,5,""))</f>
        <v/>
      </c>
      <c r="P28" s="252" t="str">
        <f>IF(OR(ISBLANK('WEEK 35'!T26),ISBLANK('WEEK 35'!T25),ISBLANK('WEEK 35'!T24)),"",IF('WEEK 35'!T26&gt;=6,'WEEK 35'!P21+5,""))</f>
        <v/>
      </c>
      <c r="Q28" s="253" t="str">
        <f>IF(OR(ISBLANK('WEEK 35'!T26),ISBLANK('WEEK 35'!T25),ISBLANK('WEEK 35'!T24)),"",IF('WEEK 35'!T26&gt;=6,"REP OUT",""))</f>
        <v/>
      </c>
      <c r="R28" s="254" t="str">
        <f>IF(OR(ISBLANK('WEEK 35'!T26),ISBLANK('WEEK 35'!T25),ISBLANK('WEEK 35'!T24)),"",IF('WEEK 35'!T26&gt;5,"1-3 MIN",""))</f>
        <v/>
      </c>
      <c r="S28" s="66" t="str">
        <f>IF('WEEK 35'!P28='WEEK 31'!Q28,'WEEK 31'!U28,"")</f>
        <v/>
      </c>
      <c r="T28" s="665">
        <v>4.0</v>
      </c>
    </row>
    <row r="29">
      <c r="A29" s="256" t="str">
        <f>IF('WEEK 35'!F28&lt;1,"","6")</f>
        <v>6</v>
      </c>
      <c r="B29" s="237">
        <f>IF('WEEK 35'!F28&lt;1,"",'WEEK 35'!B28+5)</f>
        <v>260</v>
      </c>
      <c r="C29" s="257" t="str">
        <f>IF('WEEK 35'!F28&lt;1,"","1")</f>
        <v>1</v>
      </c>
      <c r="D29" s="257" t="str">
        <f>IF('WEEK 35'!F28&lt;1,"","1-5 MIN")</f>
        <v>1-5 MIN</v>
      </c>
      <c r="E29" s="66" t="str">
        <f>IF('WEEK 35'!B29='WEEK 31'!B29,'WEEK 31'!F29,"")</f>
        <v/>
      </c>
      <c r="F29" s="67"/>
      <c r="H29" s="260" t="str">
        <f>IF(OR(ISBLANK('WEEK 35'!M26),ISBLANK('WEEK 35'!M25),ISBLANK('WEEK 35'!M24)),"FILL OUT REP LOG FIRST","DOWN SETS")</f>
        <v>FILL OUT REP LOG FIRST</v>
      </c>
      <c r="I29" s="16"/>
      <c r="J29" s="16"/>
      <c r="K29" s="16"/>
      <c r="L29" s="16"/>
      <c r="M29" s="230"/>
      <c r="N29" s="141"/>
      <c r="O29" s="260" t="str">
        <f>IF(OR(ISBLANK('WEEK 35'!T26),ISBLANK('WEEK 35'!T25),ISBLANK('WEEK 35'!T24)),"FILL OUT REP LOG FIRST","DOWN SETS")</f>
        <v>FILL OUT REP LOG FIRST</v>
      </c>
      <c r="P29" s="16"/>
      <c r="Q29" s="16"/>
      <c r="R29" s="16"/>
      <c r="S29" s="16"/>
      <c r="T29" s="230"/>
    </row>
    <row r="30">
      <c r="A30" s="246" t="str">
        <f>IF(OR(ISBLANK('WEEK 35'!F26),ISBLANK('WEEK 35'!F25),ISBLANK('WEEK 35'!F24)),"FILL OUT REP LOG FOR DOWN SETS","DOWN SETS")</f>
        <v>DOWN SETS</v>
      </c>
      <c r="B30" s="20"/>
      <c r="C30" s="20"/>
      <c r="D30" s="20"/>
      <c r="E30" s="20"/>
      <c r="F30" s="95"/>
      <c r="H30" s="91" t="str">
        <f>IF('WEEK 35'!M28&gt;=4,"",IF(OR(ISBLANK('WEEK 35'!M26),ISBLANK('WEEK 35'!M25),ISBLANK('WEEK 35'!M24)),"",IF('WEEK 35'!M26&gt;5,6,5)))</f>
        <v/>
      </c>
      <c r="I30" s="261" t="str">
        <f>IF('WEEK 35'!M28&gt;=4,"",IF(OR(ISBLANK('WEEK 35'!M26),ISBLANK('WEEK 35'!M25),ISBLANK('WEEK 35'!M24)),"",IF('WEEK 35'!M26&lt;6,mround('WEEK 35'!I21*0.8,5),IF('WEEK 35'!M26&lt;10,mround('WEEK 35'!I21*0.93,5),mround('WEEK 35'!I21*0.7,5)))))</f>
        <v/>
      </c>
      <c r="J30" s="262" t="str">
        <f>IF('WEEK 35'!M28&gt;=4,"",IF(OR(ISBLANK('WEEK 35'!M26),ISBLANK('WEEK 35'!M25),ISBLANK('WEEK 35'!M24)),"","REP OUT"))</f>
        <v/>
      </c>
      <c r="K30" s="65" t="str">
        <f>IF('WEEK 35'!M28&gt;=4,"",IF(OR(ISBLANK('WEEK 35'!M26),ISBLANK('WEEK 35'!M25),ISBLANK('WEEK 35'!M24)),"","1-3 MIN"))</f>
        <v/>
      </c>
      <c r="L30" s="66" t="str">
        <f>IF('WEEK 35'!I30='WEEK 31'!J30,'WEEK 31'!N30,"")</f>
        <v/>
      </c>
      <c r="M30" s="263"/>
      <c r="O30" s="91" t="str">
        <f>IF('WEEK 35'!T28&gt;=4,"",IF(OR(ISBLANK('WEEK 35'!T26),ISBLANK('WEEK 35'!T25),ISBLANK('WEEK 35'!T24)),"",IF('WEEK 35'!T26&gt;5,6,5)))</f>
        <v/>
      </c>
      <c r="P30" s="261" t="str">
        <f>IF('WEEK 35'!T28&gt;=4,"",IF(OR(ISBLANK('WEEK 35'!T26),ISBLANK('WEEK 35'!T25),ISBLANK('WEEK 35'!T24)),"",IF('WEEK 35'!T26&lt;6,mround('WEEK 35'!P21*0.8,5),IF('WEEK 35'!T26&lt;10,mround('WEEK 35'!P21*0.93,5),mround('WEEK 35'!P21*0.7,5)))))</f>
        <v/>
      </c>
      <c r="Q30" s="262" t="str">
        <f>IF('WEEK 35'!T28&gt;=4,"",IF(OR(ISBLANK('WEEK 35'!T26),ISBLANK('WEEK 35'!T25),ISBLANK('WEEK 35'!T24)),"","REP OUT"))</f>
        <v/>
      </c>
      <c r="R30" s="65" t="str">
        <f>IF('WEEK 35'!T28&gt;=4,"",IF(OR(ISBLANK('WEEK 35'!T26),ISBLANK('WEEK 35'!T25),ISBLANK('WEEK 35'!T24)),"","1-3 MIN"))</f>
        <v/>
      </c>
      <c r="S30" s="66" t="str">
        <f>IF('WEEK 35'!P30='WEEK 31'!Q30,'WEEK 31'!U30,"")</f>
        <v/>
      </c>
      <c r="T30" s="263"/>
    </row>
    <row r="31">
      <c r="A31" s="264">
        <f>IF(OR(ISBLANK('WEEK 35'!F26),ISBLANK('WEEK 35'!F25),ISBLANK('WEEK 35'!F24)),"",IF((AND('WEEK 35'!A28="",'WEEK 35'!A29="")),5,IF((AND('WEEK 35'!A28&gt;1,'WEEK 35'!A29="")),6,7)))</f>
        <v>7</v>
      </c>
      <c r="B31" s="265">
        <f>IF(OR(ISBLANK('WEEK 35'!F26),ISBLANK('WEEK 35'!F25),ISBLANK('WEEK 35'!F24)),"",MROUND('WEEK 35'!B33*0.9,5))</f>
        <v>235</v>
      </c>
      <c r="C31" s="266" t="str">
        <f>IF(OR(ISBLANK('WEEK 35'!F26),ISBLANK('WEEK 35'!F25),ISBLANK('WEEK 35'!F24)),"","REP OUT")</f>
        <v>REP OUT</v>
      </c>
      <c r="D31" s="267" t="str">
        <f>IF(OR(ISBLANK('WEEK 35'!F26),ISBLANK('WEEK 35'!F25),ISBLANK('WEEK 35'!F24)),"","1-3 MIN")</f>
        <v>1-3 MIN</v>
      </c>
      <c r="E31" s="66" t="str">
        <f>IF('WEEK 35'!B31='WEEK 31'!B31,'WEEK 31'!F31,"")</f>
        <v/>
      </c>
      <c r="F31" s="67"/>
      <c r="H31" s="269" t="str">
        <f>IF('WEEK 35'!M28&gt;=4,"",IF(OR(ISBLANK('WEEK 35'!M26),ISBLANK('WEEK 35'!M25),ISBLANK('WEEK 35'!M24)),"",IF('WEEK 35'!M26&gt;5,7,6)))</f>
        <v/>
      </c>
      <c r="I31" s="254" t="str">
        <f>IF('WEEK 35'!M28&gt;=4,"",IF(OR(ISBLANK('WEEK 35'!M26),ISBLANK('WEEK 35'!M25),ISBLANK('WEEK 35'!M24)),"",IF('WEEK 35'!M26&lt;6,mround('WEEK 35'!I21*0.65,5),IF('WEEK 35'!M26&lt;10,mround('WEEK 35'!I21*0.7,5),mround('WEEK 35'!I21*0.65,5)))))</f>
        <v/>
      </c>
      <c r="J31" s="253" t="str">
        <f>IF('WEEK 35'!M28&gt;=4,"",IF(OR(ISBLANK('WEEK 35'!M26),ISBLANK('WEEK 35'!M25),ISBLANK('WEEK 35'!M24)),"","REP OUT"))</f>
        <v/>
      </c>
      <c r="K31" s="65" t="str">
        <f>IF('WEEK 35'!M28&gt;=4,"",IF(OR(ISBLANK('WEEK 35'!M26),ISBLANK('WEEK 35'!M25),ISBLANK('WEEK 35'!M24)),"","1-3 MIN"))</f>
        <v/>
      </c>
      <c r="L31" s="66" t="str">
        <f>IF('WEEK 35'!I31='WEEK 31'!J31,'WEEK 31'!N31,"")</f>
        <v/>
      </c>
      <c r="M31" s="270"/>
      <c r="O31" s="269" t="str">
        <f>IF('WEEK 35'!T28&gt;=4,"",IF(OR(ISBLANK('WEEK 35'!T26),ISBLANK('WEEK 35'!T25),ISBLANK('WEEK 35'!T24)),"",IF('WEEK 35'!T26&gt;5,7,6)))</f>
        <v/>
      </c>
      <c r="P31" s="254" t="str">
        <f>IF('WEEK 35'!T28&gt;=4,"",IF(OR(ISBLANK('WEEK 35'!T26),ISBLANK('WEEK 35'!T25),ISBLANK('WEEK 35'!T24)),"",IF('WEEK 35'!T26&lt;6,mround('WEEK 35'!P21*0.65,5),IF('WEEK 35'!T26&lt;10,mround('WEEK 35'!P21*0.7,5),mround('WEEK 35'!P21*0.65,5)))))</f>
        <v/>
      </c>
      <c r="Q31" s="253" t="str">
        <f>IF('WEEK 35'!T28&gt;=4,"",IF(OR(ISBLANK('WEEK 35'!T26),ISBLANK('WEEK 35'!T25),ISBLANK('WEEK 35'!T24)),"","REP OUT"))</f>
        <v/>
      </c>
      <c r="R31" s="65" t="str">
        <f>IF('WEEK 35'!T28&gt;=4,"",IF(OR(ISBLANK('WEEK 35'!T26),ISBLANK('WEEK 35'!T25),ISBLANK('WEEK 35'!T24)),"","1 MIN"))</f>
        <v/>
      </c>
      <c r="S31" s="66" t="str">
        <f>IF('WEEK 35'!P31='WEEK 31'!Q31,'WEEK 31'!U31,"")</f>
        <v/>
      </c>
      <c r="T31" s="270"/>
    </row>
    <row r="32">
      <c r="A32" s="243">
        <f>IF(OR(ISBLANK('WEEK 35'!F26),ISBLANK('WEEK 35'!F25),ISBLANK('WEEK 35'!F24)),"",IF((AND('WEEK 35'!A28="",'WEEK 35'!A29="")),6,IF((AND('WEEK 35'!A28&gt;1,'WEEK 35'!A29="")),7,8)))</f>
        <v>8</v>
      </c>
      <c r="B32" s="237">
        <f>IF(OR(ISBLANK('WEEK 35'!F26),ISBLANK('WEEK 35'!F25),ISBLANK('WEEK 35'!F24)),"",mround('WEEK 35'!B33*0.78,5))</f>
        <v>205</v>
      </c>
      <c r="C32" s="245" t="str">
        <f>IF(OR(ISBLANK('WEEK 35'!F26),ISBLANK('WEEK 35'!F25),ISBLANK('WEEK 35'!F24)),"","REP OUT")</f>
        <v>REP OUT</v>
      </c>
      <c r="D32" s="65" t="str">
        <f>IF(OR(ISBLANK('WEEK 35'!F26),ISBLANK('WEEK 35'!F25),ISBLANK('WEEK 35'!F24)),"","1-3 MIN")</f>
        <v>1-3 MIN</v>
      </c>
      <c r="E32" s="66" t="str">
        <f>IF('WEEK 35'!B32='WEEK 31'!B32,'WEEK 31'!F32,"")</f>
        <v/>
      </c>
      <c r="F32" s="271"/>
      <c r="H32" s="269" t="str">
        <f>IF('WEEK 35'!M28&lt;4,"",IF(OR(ISBLANK('WEEK 35'!M26),ISBLANK('WEEK 35'!M25),ISBLANK('WEEK 35'!M24)),"",IF('WEEK 35'!M28&gt;3,6,5)))</f>
        <v/>
      </c>
      <c r="I32" s="254" t="str">
        <f>IF('WEEK 35'!M28&lt;4,"",IF(OR(ISBLANK('WEEK 35'!M26),ISBLANK('WEEK 35'!M25),ISBLANK('WEEK 35'!M24)),"",IF('WEEK 35'!M28&lt;6,mround('WEEK 35'!I34*0.7,5),IF('WEEK 35'!M28&lt;10,mround('WEEK 35'!I34*0.8,5),mround(I34*0.93,5)))))</f>
        <v/>
      </c>
      <c r="J32" s="253" t="str">
        <f>IF('WEEK 35'!M28&lt;4,"",IF(OR(ISBLANK('WEEK 35'!M26),ISBLANK('WEEK 35'!M25),ISBLANK('WEEK 35'!M24)),"","REP OUT"))</f>
        <v/>
      </c>
      <c r="K32" s="65" t="str">
        <f>IF('WEEK 35'!M28&lt;4,"",IF(OR(ISBLANK('WEEK 35'!M26),ISBLANK('WEEK 35'!M25),ISBLANK('WEEK 35'!M24)),"","1-3 MIN"))</f>
        <v/>
      </c>
      <c r="L32" s="66" t="str">
        <f>IF('WEEK 35'!I32='WEEK 31'!J32,'WEEK 31'!N32,"")</f>
        <v/>
      </c>
      <c r="M32" s="270"/>
      <c r="N32" s="141"/>
      <c r="O32" s="269" t="str">
        <f>IF('WEEK 35'!T28&lt;4,"",IF(OR(ISBLANK('WEEK 35'!T26),ISBLANK('WEEK 35'!T25),ISBLANK('WEEK 35'!T24)),"",IF('WEEK 35'!T28&gt;3,6,5)))</f>
        <v/>
      </c>
      <c r="P32" s="254" t="str">
        <f>IF('WEEK 35'!T28&lt;4,"",IF(OR(ISBLANK('WEEK 35'!T26),ISBLANK('WEEK 35'!T25),ISBLANK('WEEK 35'!T24)),"",IF('WEEK 35'!T28&lt;6,mround('WEEK 35'!P34*0.7,5),IF('WEEK 35'!T28&lt;10,mround('WEEK 35'!P34*0.8,5),mround(P34*0.93,5)))))</f>
        <v/>
      </c>
      <c r="Q32" s="253" t="str">
        <f>IF('WEEK 35'!T28&lt;4,"",IF(OR(ISBLANK('WEEK 35'!T26),ISBLANK('WEEK 35'!T25),ISBLANK('WEEK 35'!T24)),"","REP OUT"))</f>
        <v/>
      </c>
      <c r="R32" s="65" t="str">
        <f>IF('WEEK 35'!T28&lt;4,"",IF(OR(ISBLANK('WEEK 35'!T26),ISBLANK('WEEK 35'!T25),ISBLANK('WEEK 35'!T24)),"","1-3 MIN"))</f>
        <v/>
      </c>
      <c r="S32" s="66" t="str">
        <f>IF('WEEK 35'!P32='WEEK 31'!Q32,'WEEK 31'!U32,"")</f>
        <v/>
      </c>
      <c r="T32" s="263"/>
    </row>
    <row r="33">
      <c r="A33" s="272" t="s">
        <v>124</v>
      </c>
      <c r="B33" s="273">
        <f>IF(OR(ISBLANK('WEEK 35'!F26),ISBLANK('WEEK 35'!F25),ISBLANK('WEEK 35'!F24)),"",IF('WEEK 35'!F29&gt;=1,'WEEK 35'!B29,IF('WEEK 35'!F28&gt;=1,'WEEK 35'!B28,IF('WEEK 35'!F26&lt;1,'WEEK 35'!B26-5,'WEEK 35'!B26))))</f>
        <v>260</v>
      </c>
      <c r="C33" s="11"/>
      <c r="D33" s="11"/>
      <c r="E33" s="11"/>
      <c r="F33" s="46"/>
      <c r="H33" s="269" t="str">
        <f>IF('WEEK 35'!M28&lt;4,"",IF(OR(ISBLANK('WEEK 35'!M26),ISBLANK('WEEK 35'!M25),ISBLANK('WEEK 35'!M24)),"",IF('WEEK 35'!M28&gt;3,7,"")))</f>
        <v/>
      </c>
      <c r="I33" s="254" t="str">
        <f>IF('WEEK 35'!M28&lt;4,"",IF(OR(ISBLANK('WEEK 35'!M26),ISBLANK('WEEK 35'!M25),ISBLANK('WEEK 35'!M24)),"",IF('WEEK 35'!M28&lt;6,mround('WEEK 35'!I34*0.65,5),IF('WEEK 35'!M28&lt;10,mround('WEEK 35'!I34*0.7,5),mround(I34*0.75,5)))))</f>
        <v/>
      </c>
      <c r="J33" s="253" t="str">
        <f>IF('WEEK 35'!M28&lt;4,"",IF(OR(ISBLANK('WEEK 35'!M26),ISBLANK('WEEK 35'!M25),ISBLANK('WEEK 35'!M24)),"","REP OUT"))</f>
        <v/>
      </c>
      <c r="K33" s="65" t="str">
        <f>IF('WEEK 35'!M28&lt;4,"",IF(OR(ISBLANK('WEEK 35'!M26),ISBLANK('WEEK 35'!M25),ISBLANK('WEEK 35'!M24)),"","1-3 MIN"))</f>
        <v/>
      </c>
      <c r="L33" s="66" t="str">
        <f>IF('WEEK 35'!I33='WEEK 31'!J33,'WEEK 31'!N33,"")</f>
        <v/>
      </c>
      <c r="M33" s="270"/>
      <c r="N33" s="141"/>
      <c r="O33" s="269" t="str">
        <f>IF('WEEK 35'!T28&lt;4,"",IF(OR(ISBLANK('WEEK 35'!T26),ISBLANK('WEEK 35'!T25),ISBLANK('WEEK 35'!T24)),"",IF('WEEK 35'!T28&gt;3,7,"")))</f>
        <v/>
      </c>
      <c r="P33" s="254" t="str">
        <f>IF('WEEK 35'!T28&lt;4,"",IF(OR(ISBLANK('WEEK 35'!T26),ISBLANK('WEEK 35'!T25),ISBLANK('WEEK 35'!T24)),"",IF('WEEK 35'!T28&lt;6,mround('WEEK 35'!P34*0.65,5),IF('WEEK 35'!T28&lt;10,mround('WEEK 35'!P34*0.7,5),mround(P34*0.75,5)))))</f>
        <v/>
      </c>
      <c r="Q33" s="253" t="str">
        <f>IF('WEEK 35'!T28&lt;4,"",IF(OR(ISBLANK('WEEK 35'!T26),ISBLANK('WEEK 35'!T25),ISBLANK('WEEK 35'!T24)),"","REP OUT"))</f>
        <v/>
      </c>
      <c r="R33" s="65" t="str">
        <f>IF('WEEK 35'!T28&lt;4,"",IF(OR(ISBLANK('WEEK 35'!T26),ISBLANK('WEEK 35'!T25),ISBLANK('WEEK 35'!T24)),"","1-3 MIN"))</f>
        <v/>
      </c>
      <c r="S33" s="66" t="str">
        <f>IF('WEEK 35'!P33='WEEK 31'!Q33,'WEEK 31'!U33,"")</f>
        <v/>
      </c>
      <c r="T33" s="263"/>
    </row>
    <row r="34">
      <c r="H34" s="280" t="s">
        <v>124</v>
      </c>
      <c r="I34" s="273" t="str">
        <f>IF(OR(ISBLANK('WEEK 35'!M24),ISBLANK('WEEK 35'!M25),ISBLANK('WEEK 35'!M26)),"",IF('WEEK 35'!M28&gt;=4,'WEEK 35'!I28,IF('WEEK 35'!M26&lt;=3,'WEEK 35'!I26-5,'WEEK 35'!I26)))</f>
        <v/>
      </c>
      <c r="J34" s="11"/>
      <c r="K34" s="11"/>
      <c r="L34" s="11"/>
      <c r="M34" s="46"/>
      <c r="N34" s="141"/>
      <c r="O34" s="280" t="s">
        <v>124</v>
      </c>
      <c r="P34" s="273" t="str">
        <f>IF(OR(ISBLANK('WEEK 35'!T24),ISBLANK('WEEK 35'!T25),ISBLANK('WEEK 35'!T26)),"",IF('WEEK 35'!T28&gt;=4,'WEEK 35'!P28,IF('WEEK 35'!T26&lt;=3,'WEEK 35'!P26-5,'WEEK 35'!P26)))</f>
        <v/>
      </c>
      <c r="Q34" s="11"/>
      <c r="R34" s="11"/>
      <c r="S34" s="11"/>
      <c r="T34" s="46"/>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215</v>
      </c>
      <c r="B38" s="548">
        <f>if('WEEK 35'!I34="",'WEEK 34'!B33,'WEEK 35'!I34)</f>
        <v>90</v>
      </c>
      <c r="C38" s="13"/>
      <c r="D38" s="13"/>
      <c r="E38" s="13"/>
      <c r="F38" s="57"/>
      <c r="H38" s="226" t="s">
        <v>215</v>
      </c>
      <c r="I38" s="548">
        <f>'WEEK 35'!B38</f>
        <v>90</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35'!B38*0.29,2.5)</f>
        <v>25</v>
      </c>
      <c r="C40" s="241">
        <v>15.0</v>
      </c>
      <c r="D40" s="83" t="s">
        <v>127</v>
      </c>
      <c r="E40" s="84" t="str">
        <f>IF('WEEK 34'!B40='WEEK 31'!B40,'WEEK 34'!F40,"")</f>
        <v/>
      </c>
      <c r="F40" s="85"/>
      <c r="H40" s="240">
        <v>1.0</v>
      </c>
      <c r="I40" s="254">
        <f>mround('WEEK 35'!I38*2*0.75,10)</f>
        <v>140</v>
      </c>
      <c r="J40" s="241">
        <v>15.0</v>
      </c>
      <c r="K40" s="83" t="s">
        <v>127</v>
      </c>
      <c r="L40" s="84" t="str">
        <f>IF('WEEK 34'!I40='WEEK 31'!J40,'WEEK 34'!M40,"")</f>
        <v/>
      </c>
      <c r="M40" s="85"/>
    </row>
    <row r="41">
      <c r="A41" s="661">
        <v>2.0</v>
      </c>
      <c r="B41" s="662">
        <f>mround('WEEK 35'!B38*0.29,2.5)</f>
        <v>25</v>
      </c>
      <c r="C41" s="662">
        <v>15.0</v>
      </c>
      <c r="D41" s="88" t="s">
        <v>127</v>
      </c>
      <c r="E41" s="89" t="str">
        <f>IF('WEEK 34'!B41='WEEK 31'!B41,'WEEK 34'!F41,"")</f>
        <v/>
      </c>
      <c r="F41" s="85"/>
      <c r="H41" s="661">
        <v>2.0</v>
      </c>
      <c r="I41" s="662">
        <f>mround('WEEK 35'!I38*2*0.75,10)</f>
        <v>140</v>
      </c>
      <c r="J41" s="662">
        <v>15.0</v>
      </c>
      <c r="K41" s="88" t="s">
        <v>127</v>
      </c>
      <c r="L41" s="89" t="str">
        <f>IF('WEEK 34'!I41='WEEK 31'!J41,'WEEK 34'!M41,"")</f>
        <v/>
      </c>
      <c r="M41" s="85"/>
    </row>
    <row r="44">
      <c r="A44" s="73" t="str">
        <f>HYPERLINK("https://youtu.be/hMUUvL3FlkE","3. MACHINE HIGH ROW")</f>
        <v>3. MACHINE HIGH ROW</v>
      </c>
      <c r="B44" s="53"/>
      <c r="C44" s="53"/>
      <c r="D44" s="53"/>
      <c r="E44" s="53"/>
      <c r="F44" s="54"/>
    </row>
    <row r="45">
      <c r="A45" s="226" t="s">
        <v>119</v>
      </c>
      <c r="B45" s="227">
        <f>'WEEK 34'!B55</f>
        <v>175</v>
      </c>
      <c r="C45" s="20"/>
      <c r="D45" s="20"/>
      <c r="E45" s="20"/>
      <c r="F45" s="95"/>
    </row>
    <row r="46">
      <c r="A46" s="231" t="s">
        <v>50</v>
      </c>
      <c r="B46" s="232" t="s">
        <v>51</v>
      </c>
      <c r="C46" s="232" t="s">
        <v>52</v>
      </c>
      <c r="D46" s="232" t="s">
        <v>53</v>
      </c>
      <c r="E46" s="233" t="s">
        <v>54</v>
      </c>
      <c r="F46" s="61" t="s">
        <v>55</v>
      </c>
    </row>
    <row r="47">
      <c r="A47" s="236">
        <v>1.0</v>
      </c>
      <c r="B47" s="237">
        <f>mround('WEEK 35'!B45*0.35,5)</f>
        <v>60</v>
      </c>
      <c r="C47" s="237">
        <v>6.0</v>
      </c>
      <c r="D47" s="238" t="s">
        <v>120</v>
      </c>
      <c r="E47" s="727" t="str">
        <f>IF('WEEK 35'!B47='WEEK 31'!E47,'WEEK 31'!F47,"")</f>
        <v/>
      </c>
      <c r="F47" s="67"/>
    </row>
    <row r="48">
      <c r="A48" s="236">
        <v>2.0</v>
      </c>
      <c r="B48" s="237">
        <f>mround('WEEK 35'!B45*0.65,5)</f>
        <v>115</v>
      </c>
      <c r="C48" s="238">
        <v>3.0</v>
      </c>
      <c r="D48" s="238" t="s">
        <v>121</v>
      </c>
      <c r="E48" s="727" t="str">
        <f>IF('WEEK 35'!B48='WEEK 31'!E48,'WEEK 31'!F48,"")</f>
        <v/>
      </c>
      <c r="F48" s="67"/>
    </row>
    <row r="49">
      <c r="A49" s="242">
        <v>3.0</v>
      </c>
      <c r="B49" s="237">
        <f>mround('WEEK 35'!B45*0.9,5)</f>
        <v>160</v>
      </c>
      <c r="C49" s="63">
        <v>2.0</v>
      </c>
      <c r="D49" s="238" t="s">
        <v>121</v>
      </c>
      <c r="E49" s="727" t="str">
        <f>IF('WEEK 35'!B49='WEEK 31'!E49,'WEEK 31'!F49,"")</f>
        <v/>
      </c>
      <c r="F49" s="67"/>
    </row>
    <row r="50">
      <c r="A50" s="243">
        <v>4.0</v>
      </c>
      <c r="B50" s="237">
        <f>'WEEK 35'!B45</f>
        <v>175</v>
      </c>
      <c r="C50" s="257">
        <v>3.0</v>
      </c>
      <c r="D50" s="238" t="s">
        <v>122</v>
      </c>
      <c r="E50" s="727" t="str">
        <f>IF('WEEK 35'!B50='WEEK 31'!E50,'WEEK 31'!F50,"")</f>
        <v/>
      </c>
      <c r="F50" s="67"/>
    </row>
    <row r="51">
      <c r="A51" s="246" t="str">
        <f>IF('WEEK 35'!F50&lt;3,"PROCEED TO DOWN SETS","NEW 4 REP MAX ATTEMPT")</f>
        <v>NEW 4 REP MAX ATTEMPT</v>
      </c>
      <c r="B51" s="20"/>
      <c r="C51" s="20"/>
      <c r="D51" s="20"/>
      <c r="E51" s="20"/>
      <c r="F51" s="95"/>
    </row>
    <row r="52">
      <c r="A52" s="249">
        <f>if('WEEK 35'!F50&lt;=2,"",5)</f>
        <v>5</v>
      </c>
      <c r="B52" s="175">
        <f>IF('WEEK 35'!F50&lt;=2,"",'WEEK 35'!B50+5)</f>
        <v>180</v>
      </c>
      <c r="C52" s="238">
        <f>if('WEEK 35'!F50&lt;=2,"",4)</f>
        <v>4</v>
      </c>
      <c r="D52" s="238" t="str">
        <f>if('WEEK 35'!F50&lt;=2,"","1-5 MIN")</f>
        <v>1-5 MIN</v>
      </c>
      <c r="E52" s="727" t="str">
        <f>IF('WEEK 35'!B52='WEEK 31'!E52,'WEEK 31'!F52,"")</f>
        <v/>
      </c>
      <c r="F52" s="67"/>
    </row>
    <row r="53">
      <c r="A53" s="259" t="str">
        <f>IF('WEEK 35'!F52&lt;4,"","6")</f>
        <v>6</v>
      </c>
      <c r="B53" s="237">
        <f>IF('WEEK 35'!F52&lt;4,"",'WEEK 35'!B52+5)</f>
        <v>195</v>
      </c>
      <c r="C53" s="257" t="str">
        <f>IF('WEEK 35'!F52&lt;4,"","4")</f>
        <v>4</v>
      </c>
      <c r="D53" s="257" t="str">
        <f>IF('WEEK 35'!F52&lt;4,"","1-5 MIN")</f>
        <v>1-5 MIN</v>
      </c>
      <c r="E53" s="727" t="str">
        <f>IF('WEEK 35'!B53='WEEK 31'!E53,'WEEK 31'!F53,"")</f>
        <v/>
      </c>
      <c r="F53" s="67"/>
    </row>
    <row r="54">
      <c r="A54" s="246" t="s">
        <v>133</v>
      </c>
      <c r="B54" s="20"/>
      <c r="C54" s="20"/>
      <c r="D54" s="20"/>
      <c r="E54" s="20"/>
      <c r="F54" s="95"/>
    </row>
    <row r="55">
      <c r="A55" s="264">
        <f>IF('WEEK 35'!F52&gt;=1,7,IF('WEEK 35'!F50&lt;1,5,6))</f>
        <v>7</v>
      </c>
      <c r="B55" s="265">
        <f>MROUND('WEEK 35'!B57*0.8,5)</f>
        <v>165</v>
      </c>
      <c r="C55" s="266" t="s">
        <v>65</v>
      </c>
      <c r="D55" s="267" t="s">
        <v>127</v>
      </c>
      <c r="E55" s="727" t="str">
        <f>IF('WEEK 35'!B55='WEEK 31'!E55,'WEEK 31'!F55,"")</f>
        <v/>
      </c>
      <c r="F55" s="67"/>
    </row>
    <row r="56">
      <c r="A56" s="243">
        <f>IF('WEEK 35'!F52&gt;=1,8,IF('WEEK 35'!F50&lt;1,6,7))</f>
        <v>8</v>
      </c>
      <c r="B56" s="237">
        <f>mround('WEEK 35'!B57*0.7,5)</f>
        <v>145</v>
      </c>
      <c r="C56" s="245" t="s">
        <v>65</v>
      </c>
      <c r="D56" s="65" t="s">
        <v>127</v>
      </c>
      <c r="E56" s="727" t="str">
        <f>IF('WEEK 35'!B56='WEEK 31'!E56,'WEEK 31'!F56,"")</f>
        <v/>
      </c>
      <c r="F56" s="271"/>
    </row>
    <row r="57">
      <c r="A57" s="228" t="s">
        <v>124</v>
      </c>
      <c r="B57" s="549">
        <f>IF(OR(ISBLANK('WEEK 35'!F50),ISBLANK('WEEK 35'!F49),ISBLANK('WEEK 35'!F48)),"",IF('WEEK 35'!F53&gt;=4,'WEEK 35'!B53,IF('WEEK 35'!F52&gt;=1,'WEEK 35'!B52,IF('WEEK 35'!F50&lt;3,'WEEK 35'!B50-5,'WEEK 35'!B50))))</f>
        <v>205</v>
      </c>
      <c r="F57" s="28"/>
    </row>
    <row r="58">
      <c r="A58" s="750"/>
      <c r="B58" s="750"/>
      <c r="C58" s="750"/>
      <c r="D58" s="750"/>
      <c r="E58" s="750"/>
      <c r="F58" s="750"/>
    </row>
    <row r="59">
      <c r="A59" s="751" t="str">
        <f>HYPERLINK("https://www.youtube.com/watch?v=PnaDzYh2axA","4. LAT PULL DOWN")</f>
        <v>4. LAT PULL DOWN</v>
      </c>
      <c r="B59" s="13"/>
      <c r="C59" s="13"/>
      <c r="D59" s="13"/>
      <c r="E59" s="13"/>
      <c r="F59" s="57"/>
    </row>
    <row r="60">
      <c r="A60" s="226" t="s">
        <v>119</v>
      </c>
      <c r="B60" s="691">
        <f>'WEEK 34'!B63</f>
        <v>235</v>
      </c>
      <c r="C60" s="13"/>
      <c r="D60" s="13"/>
      <c r="E60" s="13"/>
      <c r="F60" s="57"/>
    </row>
    <row r="61">
      <c r="A61" s="96" t="s">
        <v>50</v>
      </c>
      <c r="B61" s="97" t="s">
        <v>51</v>
      </c>
      <c r="C61" s="97" t="s">
        <v>52</v>
      </c>
      <c r="D61" s="97" t="s">
        <v>53</v>
      </c>
      <c r="E61" s="341" t="s">
        <v>54</v>
      </c>
      <c r="F61" s="235" t="s">
        <v>55</v>
      </c>
    </row>
    <row r="62">
      <c r="A62" s="725">
        <v>1.0</v>
      </c>
      <c r="B62" s="344">
        <f> mround('WEEK 35'!B60*0.9,5)</f>
        <v>210</v>
      </c>
      <c r="C62" s="437" t="s">
        <v>65</v>
      </c>
      <c r="D62" s="343" t="s">
        <v>57</v>
      </c>
      <c r="E62" s="727" t="str">
        <f>IF('WEEK 35'!B62='WEEK 31'!B54,'WEEK 31'!F54,"")</f>
        <v/>
      </c>
      <c r="F62" s="85">
        <v>3.0</v>
      </c>
    </row>
    <row r="63">
      <c r="A63" s="725">
        <v>2.0</v>
      </c>
      <c r="B63" s="344">
        <f>IF('WEEK 35'!F62&lt;6,MROUND('WEEK 35'!B62*0.8,5),IF('WEEK 35'!F62&lt;=11,MROUND('WEEK 35'!B62*0.8,5),'WEEK 35'!B62))</f>
        <v>170</v>
      </c>
      <c r="C63" s="437" t="s">
        <v>65</v>
      </c>
      <c r="D63" s="343" t="s">
        <v>57</v>
      </c>
      <c r="E63" s="727" t="str">
        <f>IF('WEEK 35'!B63='WEEK 31'!B55,'WEEK 31'!F55,"")</f>
        <v/>
      </c>
      <c r="F63" s="85">
        <v>3.0</v>
      </c>
    </row>
    <row r="64">
      <c r="A64" s="753">
        <v>3.0</v>
      </c>
      <c r="B64" s="754">
        <f>IF('WEEK 35'!F63&lt;6,MROUND('WEEK 35'!B63*0.75,5),IF('WEEK 35'!F63&lt;=11,MROUND('WEEK 35'!B63*0.85,5),'WEEK 35'!B63))</f>
        <v>145</v>
      </c>
      <c r="C64" s="733" t="s">
        <v>65</v>
      </c>
      <c r="D64" s="486" t="s">
        <v>57</v>
      </c>
      <c r="E64" s="734" t="str">
        <f>IF('WEEK 35'!B64='WEEK 31'!B56,'WEEK 31'!F56,"")</f>
        <v/>
      </c>
      <c r="F64" s="85"/>
    </row>
    <row r="65">
      <c r="A65" s="756"/>
      <c r="B65" s="756"/>
      <c r="C65" s="756"/>
      <c r="D65" s="756"/>
      <c r="E65" s="757"/>
      <c r="F65" s="419"/>
    </row>
    <row r="66">
      <c r="A66" s="756"/>
      <c r="B66" s="756"/>
      <c r="C66" s="756"/>
      <c r="D66" s="756"/>
      <c r="E66" s="757"/>
      <c r="F66" s="419"/>
    </row>
    <row r="67">
      <c r="A67" s="73" t="str">
        <f>HYPERLINK("https://youtu.be/9YH1YvZbiY0","5. LOW ROW ")</f>
        <v>5. LOW ROW </v>
      </c>
      <c r="B67" s="53"/>
      <c r="C67" s="53"/>
      <c r="D67" s="53"/>
      <c r="E67" s="53"/>
      <c r="F67" s="54"/>
    </row>
    <row r="68">
      <c r="A68" s="226" t="s">
        <v>119</v>
      </c>
      <c r="B68" s="691">
        <f>if('WEEK 34'!B52="",'WEEK 34'!B40,'WEEK 34'!B52)</f>
        <v>220</v>
      </c>
      <c r="C68" s="13"/>
      <c r="D68" s="13"/>
      <c r="E68" s="13"/>
      <c r="F68" s="57"/>
    </row>
    <row r="69">
      <c r="A69" s="96" t="s">
        <v>50</v>
      </c>
      <c r="B69" s="97" t="s">
        <v>51</v>
      </c>
      <c r="C69" s="97" t="s">
        <v>52</v>
      </c>
      <c r="D69" s="97" t="s">
        <v>53</v>
      </c>
      <c r="E69" s="341" t="s">
        <v>54</v>
      </c>
      <c r="F69" s="235" t="s">
        <v>55</v>
      </c>
    </row>
    <row r="70">
      <c r="A70" s="725">
        <v>1.0</v>
      </c>
      <c r="B70" s="344">
        <f>mround('WEEK 35'!B68*0.85,5)</f>
        <v>185</v>
      </c>
      <c r="C70" s="437" t="s">
        <v>65</v>
      </c>
      <c r="D70" s="343" t="s">
        <v>127</v>
      </c>
      <c r="E70" s="727" t="str">
        <f>IF('WEEK 35'!B70='WEEK 31'!B62,'WEEK 31'!F62,"")</f>
        <v/>
      </c>
      <c r="F70" s="85"/>
    </row>
    <row r="71">
      <c r="A71" s="725">
        <v>2.0</v>
      </c>
      <c r="B71" s="344">
        <f>IF('WEEK 35'!F70&lt;6,MROUND('WEEK 35'!B70*0.75,5),IF('WEEK 35'!F70&lt;=11,MROUND('WEEK 35'!B70*0.75,5),'WEEK 35'!B70))</f>
        <v>140</v>
      </c>
      <c r="C71" s="437" t="s">
        <v>65</v>
      </c>
      <c r="D71" s="343" t="s">
        <v>127</v>
      </c>
      <c r="E71" s="727" t="str">
        <f>IF('WEEK 35'!B71='WEEK 31'!B63,'WEEK 31'!F63,"")</f>
        <v/>
      </c>
      <c r="F71" s="85"/>
    </row>
    <row r="72">
      <c r="A72" s="753">
        <v>3.0</v>
      </c>
      <c r="B72" s="754">
        <f>IF('WEEK 35'!F71&lt;6,MROUND('WEEK 35'!B71*0.8,5),IF('WEEK 35'!F71&lt;=11,MROUND('WEEK 35'!B68*0.75,5),'WEEK 35'!B71))</f>
        <v>165</v>
      </c>
      <c r="C72" s="733" t="s">
        <v>65</v>
      </c>
      <c r="D72" s="486" t="s">
        <v>127</v>
      </c>
      <c r="E72" s="727" t="str">
        <f>IF('WEEK 35'!B72='WEEK 31'!B64,'WEEK 31'!F64,"")</f>
        <v/>
      </c>
      <c r="F72" s="85"/>
    </row>
    <row r="73">
      <c r="A73" s="758"/>
      <c r="B73" s="736"/>
      <c r="C73" s="759"/>
      <c r="D73" s="760"/>
      <c r="E73" s="761"/>
      <c r="F73" s="762"/>
    </row>
    <row r="74">
      <c r="A74" s="310" t="str">
        <f>HYPERLINK("https://docs.google.com/a/fitnessresults.com/forms/d/e/1FAIpQLSd7MoczESe8Yjv6BKpmwAZGn9Aiymrs9-UdgfYIUpbr9t5NXg/viewform?usp=pp_url&amp;entry.93370101","CLICK TO COMPLETE WORKOUT")</f>
        <v>CLICK TO COMPLETE WORKOUT</v>
      </c>
      <c r="B74" s="36"/>
      <c r="C74" s="36"/>
      <c r="D74" s="36"/>
      <c r="E74" s="36"/>
      <c r="F74" s="37"/>
    </row>
    <row r="75">
      <c r="A75" s="763"/>
      <c r="B75" s="764"/>
      <c r="C75" s="764"/>
      <c r="D75" s="764"/>
      <c r="E75" s="764"/>
      <c r="F75" s="764"/>
    </row>
    <row r="76">
      <c r="A76" s="50" t="s">
        <v>128</v>
      </c>
      <c r="B76" s="36"/>
      <c r="C76" s="36"/>
      <c r="D76" s="36"/>
      <c r="E76" s="36"/>
      <c r="F76" s="37"/>
    </row>
    <row r="78">
      <c r="A78" s="960" t="str">
        <f>HYPERLINK("https://www.youtube.com/watch?v=dVterVQksD4","1. LEG PRESS")</f>
        <v>1. LEG PRESS</v>
      </c>
      <c r="B78" s="53"/>
      <c r="C78" s="53"/>
      <c r="D78" s="53"/>
      <c r="E78" s="53"/>
      <c r="F78" s="54"/>
    </row>
    <row r="79">
      <c r="A79" s="961" t="s">
        <v>119</v>
      </c>
      <c r="B79" s="1035">
        <f>'WEEK 31'!B79</f>
        <v>300</v>
      </c>
      <c r="C79" s="13"/>
      <c r="D79" s="13"/>
      <c r="E79" s="13"/>
      <c r="F79" s="57"/>
    </row>
    <row r="80">
      <c r="A80" s="962" t="s">
        <v>50</v>
      </c>
      <c r="B80" s="1203" t="s">
        <v>51</v>
      </c>
      <c r="C80" s="963" t="s">
        <v>52</v>
      </c>
      <c r="D80" s="963" t="s">
        <v>53</v>
      </c>
      <c r="E80" s="1073" t="s">
        <v>54</v>
      </c>
      <c r="F80" s="1006" t="s">
        <v>55</v>
      </c>
    </row>
    <row r="81">
      <c r="A81" s="1307">
        <v>1.0</v>
      </c>
      <c r="B81" s="1015">
        <f>mround('WEEK 35'!B79*0.5,5)</f>
        <v>150</v>
      </c>
      <c r="C81" s="1234">
        <v>30.0</v>
      </c>
      <c r="D81" s="1234" t="s">
        <v>122</v>
      </c>
      <c r="E81" s="1077"/>
      <c r="F81" s="1131"/>
    </row>
    <row r="82">
      <c r="A82" s="967">
        <v>2.0</v>
      </c>
      <c r="B82" s="1015">
        <f>mround('WEEK 35'!B79*0.5,5)</f>
        <v>150</v>
      </c>
      <c r="C82" s="1067">
        <v>30.0</v>
      </c>
      <c r="D82" s="1234" t="s">
        <v>122</v>
      </c>
      <c r="E82" s="1077"/>
      <c r="F82" s="1131"/>
    </row>
    <row r="83">
      <c r="A83" s="1308">
        <v>3.0</v>
      </c>
      <c r="B83" s="1205">
        <f>mround('WEEK 35'!B79*0.5,5)</f>
        <v>150</v>
      </c>
      <c r="C83" s="1239">
        <v>30.0</v>
      </c>
      <c r="D83" s="1234" t="s">
        <v>122</v>
      </c>
      <c r="E83" s="1077"/>
      <c r="F83" s="1131"/>
    </row>
    <row r="84">
      <c r="A84" s="1308">
        <f>IF(OR(ISBLANK('WEEK 35'!F81),ISBLANK('WEEK 35'!F82),ISBLANK('WEEK 35'!F83),),"",IF('WEEK 35'!F83&lt;10,"",4))</f>
        <v>4</v>
      </c>
      <c r="B84" s="1028">
        <f>IF(OR(ISBLANK('WEEK 35'!F81),ISBLANK('WEEK 35'!F82),ISBLANK('WEEK 35'!F83),),"",IF('WEEK 35'!F83&lt;10,"",IF('WEEK 35'!F83&gt;=10,B83,)))</f>
        <v>150</v>
      </c>
      <c r="C84" s="1205">
        <f>IF(OR(ISBLANK('WEEK 35'!F81),ISBLANK('WEEK 35'!F82),ISBLANK('WEEK 35'!F83)),"",IF('WEEK 35'!F83&lt;10,"",30))</f>
        <v>30</v>
      </c>
      <c r="D84" s="1234" t="str">
        <f>IF(OR(ISBLANK('WEEK 35'!F81),ISBLANK('WEEK 35'!F82),ISBLANK('WEEK 35'!F83)),"",IF('WEEK 35'!F83&gt;=10,"1-5 MIN",""))</f>
        <v>1-5 MIN</v>
      </c>
      <c r="E84" s="1211"/>
      <c r="F84" s="1309"/>
    </row>
    <row r="85">
      <c r="A85" s="1308" t="str">
        <f>IF(OR(ISBLANK('WEEK 35'!F81),ISBLANK('WEEK 35'!F82),ISBLANK('WEEK 35'!F83),ISBLANK('WEEK 35'!F84)), "",IF('WEEK 35'!F84&gt;=10,"5",""))</f>
        <v>5</v>
      </c>
      <c r="B85" s="1205">
        <f>IF(OR(ISBLANK('WEEK 35'!F81),ISBLANK('WEEK 35'!F82),ISBLANK('WEEK 35'!F83),ISBLANK('WEEK 35'!F84)),"",IF('WEEK 35'!F84&lt;10,"",IF('WEEK 35'!F84&gt;=10,B84,)))</f>
        <v>150</v>
      </c>
      <c r="C85" s="1234" t="str">
        <f>IF(OR(ISBLANK('WEEK 35'!F81),ISBLANK('WEEK 35'!F82),ISBLANK('WEEK 35'!F83),ISBLANK('WEEK 35'!F84)), "",IF('WEEK 35'!F84&gt;=10,"30",""))</f>
        <v>30</v>
      </c>
      <c r="D85" s="1234" t="str">
        <f>IF(OR(ISBLANK('WEEK 35'!F81),ISBLANK('WEEK 35'!F82),ISBLANK('WEEK 35'!F83),ISBLANK('WEEK 35'!F84)), "",IF('WEEK 35'!F84&gt;=10,"1-5 MIN",""))</f>
        <v>1-5 MIN</v>
      </c>
      <c r="E85" s="1010"/>
      <c r="F85" s="1131"/>
    </row>
    <row r="86">
      <c r="A86" s="1310" t="str">
        <f>IF(OR(ISBLANK('WEEK 35'!F81),ISBLANK('WEEK 35'!F82),ISBLANK('WEEK 35'!F83),ISBLANK('WEEK 35'!F84),ISBLANK('WEEK 35'!F85)), "",IF('WEEK 35'!F85&lt;10,"","6"))</f>
        <v>6</v>
      </c>
      <c r="B86" s="1205">
        <f>IF(OR(ISBLANK('WEEK 35'!F81),ISBLANK('WEEK 35'!F82),ISBLANK('WEEK 35'!F83),ISBLANK('WEEK 35'!F84),ISBLANK('WEEK 35'!F85)), "",IF('WEEK 35'!F85&lt;10,"",IF('WEEK 35'!F85&gt;=10,B85,)))</f>
        <v>150</v>
      </c>
      <c r="C86" s="1311" t="str">
        <f>IF(OR(ISBLANK('WEEK 35'!F81),ISBLANK('WEEK 35'!F82),ISBLANK('WEEK 35'!F83),ISBLANK('WEEK 35'!F84),ISBLANK('WEEK 35'!F85)), "",IF('WEEK 35'!F85&gt;=10,"30",""))</f>
        <v>30</v>
      </c>
      <c r="D86" s="1234" t="str">
        <f>IF(OR(ISBLANK('WEEK 35'!F81),ISBLANK('WEEK 35'!F82),ISBLANK('WEEK 35'!F83),ISBLANK('WEEK 35'!F84),ISBLANK('WEEK 35'!F85)), "",IF('WEEK 35'!F85&gt;=10,"1-5 MIN",""))</f>
        <v>1-5 MIN</v>
      </c>
      <c r="E86" s="1010"/>
      <c r="F86" s="1017"/>
    </row>
    <row r="87">
      <c r="A87" s="1310">
        <f>IF(OR(ISBLANK('WEEK 35'!F81),ISBLANK('WEEK 35'!F82),ISBLANK('WEEK 35'!F83),ISBLANK('WEEK 35'!F84),ISBLANK('WEEK 35'!F85),ISBLANK('WEEK 35'!F86)), "",IF('WEEK 35'!F86&lt;10,"",7))</f>
        <v>7</v>
      </c>
      <c r="B87" s="1205">
        <f>IF(OR(ISBLANK('WEEK 35'!F81),ISBLANK('WEEK 35'!F82),ISBLANK('WEEK 35'!F83),ISBLANK('WEEK 35'!F84),ISBLANK('WEEK 35'!F85),ISBLANK('WEEK 35'!F86)), "",IF('WEEK 35'!F86&lt;10,"",IF('WEEK 35'!F86&gt;=10,B86,)))</f>
        <v>150</v>
      </c>
      <c r="C87" s="1311" t="str">
        <f>IF(OR(ISBLANK('WEEK 35'!F81),ISBLANK('WEEK 35'!F82),ISBLANK('WEEK 35'!F83),ISBLANK('WEEK 35'!F84),ISBLANK('WEEK 35'!F85),ISBLANK('WEEK 35'!F86)), "",IF('WEEK 35'!F86&gt;=10,C86,""))</f>
        <v>30</v>
      </c>
      <c r="D87" s="1234" t="str">
        <f>IF(OR(ISBLANK('WEEK 35'!F81),ISBLANK('WEEK 35'!F82),ISBLANK('WEEK 35'!F83),ISBLANK('WEEK 35'!F84),ISBLANK('WEEK 35'!F85),ISBLANK('WEEK 35'!F86)), "",IF('WEEK 35'!F86&gt;=10,D86,""))</f>
        <v>1-5 MIN</v>
      </c>
      <c r="E87" s="1010"/>
      <c r="F87" s="1085"/>
    </row>
    <row r="88">
      <c r="A88" s="1310" t="str">
        <f>IF(OR(ISBLANK('WEEK 35'!F81),ISBLANK('WEEK 35'!F82),ISBLANK('WEEK 35'!F83),ISBLANK('WEEK 35'!F84),ISBLANK('WEEK 35'!F85),ISBLANK('WEEK 35'!F86),ISBLANK('WEEK 35'!F87)), "",IF('WEEK 35'!F87&lt;10,"","8"))</f>
        <v>8</v>
      </c>
      <c r="B88" s="1205">
        <f>IF('WEEK 35'!F87&lt;10,"",IF('WEEK 35'!F87&gt;=10,B87,))</f>
        <v>150</v>
      </c>
      <c r="C88" s="1311" t="str">
        <f>IF(OR(ISBLANK('WEEK 35'!F81),ISBLANK('WEEK 35'!F82),ISBLANK('WEEK 35'!F83),ISBLANK('WEEK 35'!F84),ISBLANK('WEEK 35'!F85),ISBLANK('WEEK 35'!F86),ISBLANK('WEEK 35'!F87)), "",IF('WEEK 35'!F87&gt;=10,"30",""))</f>
        <v>30</v>
      </c>
      <c r="D88" s="1234" t="str">
        <f>IF(OR(ISBLANK('WEEK 35'!F81),ISBLANK('WEEK 35'!F82),ISBLANK('WEEK 35'!F83),ISBLANK('WEEK 35'!F84),ISBLANK('WEEK 35'!F85),ISBLANK('WEEK 35'!F86),ISBLANK('WEEK 35'!F87)), "",IF('WEEK 35'!F87&gt;=10,"1-5 MIN",""))</f>
        <v>1-5 MIN</v>
      </c>
      <c r="E88" s="1312"/>
      <c r="F88" s="1313"/>
    </row>
    <row r="89">
      <c r="A89" s="1310" t="str">
        <f>IF(OR(ISBLANK('WEEK 35'!F81),ISBLANK('WEEK 35'!F82),ISBLANK('WEEK 35'!F83),ISBLANK('WEEK 35'!F84),ISBLANK('WEEK 35'!F85),ISBLANK('WEEK 35'!F86),ISBLANK('WEEK 35'!F87),ISBLANK('WEEK 35'!F88)), "",IF('WEEK 35'!F88&lt;10,"","9"))</f>
        <v>9</v>
      </c>
      <c r="B89" s="1205">
        <f>IF('WEEK 35'!F88&lt;10,"",IF('WEEK 35'!F88&gt;=10,B88,))</f>
        <v>150</v>
      </c>
      <c r="C89" s="1311" t="str">
        <f>IF(OR(ISBLANK('WEEK 35'!F81),ISBLANK('WEEK 35'!F82),ISBLANK('WEEK 35'!F83),ISBLANK('WEEK 35'!F84),ISBLANK('WEEK 35'!F85),ISBLANK('WEEK 35'!F86),ISBLANK('WEEK 35'!F87),ISBLANK('WEEK 35'!F88)), "",IF('WEEK 35'!F88&gt;=10,"30",""))</f>
        <v>30</v>
      </c>
      <c r="D89" s="1234" t="str">
        <f>IF(OR(ISBLANK('WEEK 35'!F81),ISBLANK('WEEK 35'!F82),ISBLANK('WEEK 35'!F83),ISBLANK('WEEK 35'!F84),ISBLANK('WEEK 35'!F85),ISBLANK('WEEK 35'!F86),ISBLANK('WEEK 35'!F87),ISBLANK('WEEK 35'!F88)), "",IF('WEEK 35'!F88&gt;=10,"1-5 MIN",""))</f>
        <v>1-5 MIN</v>
      </c>
      <c r="E89" s="1010"/>
      <c r="F89" s="1017"/>
    </row>
    <row r="90">
      <c r="A90" s="1310" t="str">
        <f>IF(OR(ISBLANK('WEEK 35'!F81),ISBLANK('WEEK 35'!F82),ISBLANK('WEEK 35'!F83),ISBLANK('WEEK 35'!F84),ISBLANK('WEEK 35'!F85),ISBLANK('WEEK 35'!F86),ISBLANK('WEEK 35'!F87),ISBLANK('WEEK 35'!F88),ISBLANK('WEEK 35'!F89)), "",IF('WEEK 35'!F89&lt;10,"","10"))</f>
        <v>10</v>
      </c>
      <c r="B90" s="1205">
        <f>IF('WEEK 35'!F89&lt;10,"",IF('WEEK 35'!F89&gt;=10,B89,))</f>
        <v>150</v>
      </c>
      <c r="C90" s="1311" t="str">
        <f>IF(OR(ISBLANK('WEEK 35'!F81),ISBLANK('WEEK 35'!F82),ISBLANK('WEEK 35'!F83),ISBLANK('WEEK 35'!F84),ISBLANK('WEEK 35'!F85),ISBLANK('WEEK 35'!F86),ISBLANK('WEEK 35'!F87),ISBLANK('WEEK 35'!F88),ISBLANK('WEEK 35'!F89)), "",IF('WEEK 35'!F89&gt;=10,"30",""))</f>
        <v>30</v>
      </c>
      <c r="D90" s="1234" t="str">
        <f>IF(OR(ISBLANK('WEEK 35'!F81),ISBLANK('WEEK 35'!F82),ISBLANK('WEEK 35'!F83),ISBLANK('WEEK 35'!F84),ISBLANK('WEEK 35'!F85),ISBLANK('WEEK 35'!F86),ISBLANK('WEEK 35'!F87),ISBLANK('WEEK 35'!F88),ISBLANK('WEEK 35'!F89)), "",IF('WEEK 35'!F89&gt;=10,"1-5 MIN",""))</f>
        <v>1-5 MIN</v>
      </c>
      <c r="E90" s="1010" t="str">
        <f>IF(OR(ISBLANK('WEEK 35'!F83),ISBLANK('WEEK 35'!F82),ISBLANK('WEEK 35'!F81)), "",)</f>
        <v/>
      </c>
      <c r="F90" s="1017"/>
    </row>
    <row r="91">
      <c r="A91" s="1314"/>
      <c r="B91" s="11"/>
      <c r="C91" s="11"/>
      <c r="D91" s="11"/>
      <c r="E91" s="11"/>
      <c r="F91" s="1315"/>
    </row>
    <row r="94">
      <c r="A94" s="1285" t="str">
        <f>HYPERLINK("https://www.youtube.com/watch?v=NZ9KiFtbiMs","2. LEG EXTENSION")</f>
        <v>2. LEG EXTENSION</v>
      </c>
      <c r="B94" s="53"/>
      <c r="C94" s="53"/>
      <c r="D94" s="53"/>
      <c r="E94" s="53"/>
      <c r="F94" s="54"/>
      <c r="G94" s="141"/>
      <c r="H94" s="141"/>
      <c r="I94" s="141"/>
      <c r="J94" s="141"/>
      <c r="K94" s="141"/>
      <c r="L94" s="141"/>
      <c r="M94" s="141"/>
    </row>
    <row r="95">
      <c r="A95" s="1045" t="s">
        <v>119</v>
      </c>
      <c r="B95" s="1046">
        <f>IF('WEEK 34'!B92='WEEK 34'!B94,'WEEK 34'!B92+5,IF('WEEK 34'!F92&lt;=9,MROUND('WEEK 34'!B90*0.95,5),'WEEK 34'!B92))</f>
        <v>140</v>
      </c>
      <c r="C95" s="13"/>
      <c r="D95" s="13"/>
      <c r="E95" s="13"/>
      <c r="F95" s="57"/>
      <c r="G95" s="141"/>
      <c r="H95" s="141"/>
      <c r="I95" s="141"/>
      <c r="J95" s="141"/>
      <c r="K95" s="141"/>
      <c r="L95" s="141"/>
      <c r="M95" s="141"/>
    </row>
    <row r="96">
      <c r="A96" s="567" t="s">
        <v>50</v>
      </c>
      <c r="B96" s="568" t="s">
        <v>51</v>
      </c>
      <c r="C96" s="568" t="s">
        <v>52</v>
      </c>
      <c r="D96" s="568" t="s">
        <v>53</v>
      </c>
      <c r="E96" s="1047" t="s">
        <v>54</v>
      </c>
      <c r="F96" s="1048" t="s">
        <v>55</v>
      </c>
      <c r="G96" s="141"/>
      <c r="H96" s="141"/>
      <c r="I96" s="141"/>
      <c r="J96" s="141"/>
      <c r="K96" s="141"/>
      <c r="L96" s="141"/>
      <c r="M96" s="141"/>
    </row>
    <row r="97">
      <c r="A97" s="1049">
        <v>1.0</v>
      </c>
      <c r="B97" s="1050">
        <f>'WEEK 35'!B95</f>
        <v>140</v>
      </c>
      <c r="C97" s="1051">
        <v>20.0</v>
      </c>
      <c r="D97" s="1052" t="s">
        <v>57</v>
      </c>
      <c r="E97" s="1244" t="str">
        <f>IF('WEEK 35'!B97='WEEK 34'!B92,'WEEK 34'!F92,"")</f>
        <v/>
      </c>
      <c r="F97" s="1133"/>
      <c r="G97" s="141"/>
      <c r="H97" s="141"/>
      <c r="I97" s="141"/>
      <c r="J97" s="141"/>
      <c r="K97" s="141"/>
      <c r="L97" s="141"/>
      <c r="M97" s="141"/>
    </row>
    <row r="98">
      <c r="A98" s="1316">
        <v>2.0</v>
      </c>
      <c r="B98" s="1317">
        <f>if('WEEK 35'!F97&lt;12,mround('WEEK 35'!B97*0.8,5),IF('WEEK 35'!F97&lt;=15,MROUND('WEEK 35'!B97*0.95,5),'WEEK 35'!B97))</f>
        <v>140</v>
      </c>
      <c r="C98" s="937">
        <v>20.0</v>
      </c>
      <c r="D98" s="1318" t="s">
        <v>57</v>
      </c>
      <c r="E98" s="1244" t="str">
        <f>IF('WEEK 35'!B98='WEEK 34'!B93,'WEEK 34'!F93,"")</f>
        <v/>
      </c>
      <c r="F98" s="1133"/>
      <c r="G98" s="141"/>
      <c r="H98" s="141"/>
      <c r="I98" s="141"/>
      <c r="J98" s="141"/>
      <c r="K98" s="141"/>
      <c r="L98" s="141"/>
      <c r="M98" s="141"/>
    </row>
    <row r="99">
      <c r="A99" s="1316">
        <v>3.0</v>
      </c>
      <c r="B99" s="1317">
        <f>if('WEEK 35'!F98&lt;12,mround('WEEK 35'!B98*0.8,5),IF('WEEK 35'!F98&lt;=15,MROUND('WEEK 35'!B98*0.95,5),'WEEK 35'!B98))</f>
        <v>135</v>
      </c>
      <c r="C99" s="937">
        <v>20.0</v>
      </c>
      <c r="D99" s="1318" t="s">
        <v>57</v>
      </c>
      <c r="E99" s="1244" t="str">
        <f>IF('WEEK 35'!B99='WEEK 34'!B94,'WEEK 34'!F94,"")</f>
        <v/>
      </c>
      <c r="F99" s="1133"/>
      <c r="G99" s="141"/>
      <c r="H99" s="141"/>
      <c r="I99" s="141"/>
      <c r="J99" s="141"/>
      <c r="K99" s="141"/>
      <c r="L99" s="141"/>
      <c r="M99" s="141"/>
    </row>
    <row r="100">
      <c r="A100" s="1319">
        <v>4.0</v>
      </c>
      <c r="B100" s="1320">
        <f>if('WEEK 35'!F99&lt;12,mround('WEEK 35'!B99*0.8,5),IF('WEEK 35'!F99&lt;=15,MROUND('WEEK 35'!B99*0.95,5),'WEEK 35'!B99))</f>
        <v>130</v>
      </c>
      <c r="C100" s="942">
        <v>20.0</v>
      </c>
      <c r="D100" s="1321" t="s">
        <v>57</v>
      </c>
      <c r="E100" s="1255" t="str">
        <f>IF('WEEK 35'!B100='WEEK 34'!B95,'WEEK 34'!F95,"")</f>
        <v/>
      </c>
      <c r="F100" s="1133"/>
      <c r="G100" s="141"/>
      <c r="H100" s="141"/>
      <c r="I100" s="141"/>
      <c r="J100" s="141"/>
      <c r="K100" s="141"/>
      <c r="L100" s="141"/>
      <c r="M100" s="141"/>
    </row>
    <row r="101">
      <c r="A101" s="1138"/>
      <c r="G101" s="141"/>
      <c r="H101" s="141"/>
      <c r="I101" s="141"/>
      <c r="J101" s="141"/>
      <c r="K101" s="141"/>
      <c r="L101" s="141"/>
      <c r="M101" s="141"/>
    </row>
    <row r="102">
      <c r="G102" s="141"/>
      <c r="H102" s="141"/>
      <c r="I102" s="141"/>
      <c r="J102" s="141"/>
      <c r="K102" s="141"/>
      <c r="L102" s="141"/>
      <c r="M102" s="141"/>
    </row>
    <row r="103">
      <c r="A103" s="323" t="str">
        <f>HYPERLINK("https://www.youtube.com/watch?v=XepOfsnGFJg","3. MACHINE LEG CURL")</f>
        <v>3. MACHINE LEG CURL</v>
      </c>
      <c r="B103" s="53"/>
      <c r="C103" s="53"/>
      <c r="D103" s="53"/>
      <c r="E103" s="53"/>
      <c r="F103" s="54"/>
      <c r="G103" s="141"/>
      <c r="H103" s="323" t="str">
        <f>HYPERLINK("https://youtu.be/kmN9cJ79PDE","3. PRONE LEG CURL")</f>
        <v>3. PRONE LEG CURL</v>
      </c>
      <c r="I103" s="53"/>
      <c r="J103" s="53"/>
      <c r="K103" s="53"/>
      <c r="L103" s="53"/>
      <c r="M103" s="54"/>
    </row>
    <row r="104">
      <c r="A104" s="226" t="s">
        <v>119</v>
      </c>
      <c r="B104" s="90">
        <f>IF('WEEK 34'!B100='WEEK 34'!B102,'WEEK 34'!B100+5,IF('WEEK 34'!F100&lt;=9,MROUND('WEEK 34'!B100*0.95,5),'WEEK 34'!B100))</f>
        <v>15</v>
      </c>
      <c r="C104" s="13"/>
      <c r="D104" s="13"/>
      <c r="E104" s="13"/>
      <c r="F104" s="57"/>
      <c r="H104" s="226" t="s">
        <v>119</v>
      </c>
      <c r="I104" s="316">
        <f>'WEEK 34'!B98</f>
        <v>15</v>
      </c>
      <c r="J104" s="20"/>
      <c r="K104" s="20"/>
      <c r="L104" s="20"/>
      <c r="M104" s="95"/>
    </row>
    <row r="105">
      <c r="A105" s="567" t="s">
        <v>50</v>
      </c>
      <c r="B105" s="568" t="s">
        <v>51</v>
      </c>
      <c r="C105" s="568" t="s">
        <v>52</v>
      </c>
      <c r="D105" s="568" t="s">
        <v>53</v>
      </c>
      <c r="E105" s="1047" t="s">
        <v>54</v>
      </c>
      <c r="F105" s="1048" t="s">
        <v>55</v>
      </c>
      <c r="H105" s="567" t="s">
        <v>50</v>
      </c>
      <c r="I105" s="568" t="s">
        <v>51</v>
      </c>
      <c r="J105" s="568" t="s">
        <v>52</v>
      </c>
      <c r="K105" s="568" t="s">
        <v>53</v>
      </c>
      <c r="L105" s="1047" t="s">
        <v>54</v>
      </c>
      <c r="M105" s="1048" t="s">
        <v>55</v>
      </c>
    </row>
    <row r="106">
      <c r="A106" s="1049">
        <v>1.0</v>
      </c>
      <c r="B106" s="1050">
        <f>'WEEK 35'!B104</f>
        <v>130</v>
      </c>
      <c r="C106" s="1051">
        <v>20.0</v>
      </c>
      <c r="D106" s="1052" t="s">
        <v>57</v>
      </c>
      <c r="E106" s="1244" t="str">
        <f>IF('WEEK 35'!B106='WEEK 34'!B101,'WEEK 34'!F101,"")</f>
        <v/>
      </c>
      <c r="F106" s="1133"/>
      <c r="G106" s="434" t="s">
        <v>123</v>
      </c>
      <c r="H106" s="1049">
        <v>1.0</v>
      </c>
      <c r="I106" s="1050">
        <f>'WEEK 35'!I104</f>
        <v>15</v>
      </c>
      <c r="J106" s="1051">
        <v>20.0</v>
      </c>
      <c r="K106" s="1052" t="s">
        <v>57</v>
      </c>
      <c r="L106" s="1244" t="str">
        <f>IF('WEEK 35'!I106='WEEK 34'!I101,'WEEK 34'!M101,"")</f>
        <v/>
      </c>
      <c r="M106" s="1133"/>
    </row>
    <row r="107">
      <c r="A107" s="1316">
        <v>2.0</v>
      </c>
      <c r="B107" s="1317">
        <f>if('WEEK 35'!F106&lt;12,mround('WEEK 35'!B106*0.8,5),IF('WEEK 35'!F106&lt;=15,MROUND('WEEK 35'!B106*0.95,5),'WEEK 35'!B106))</f>
        <v>130</v>
      </c>
      <c r="C107" s="937">
        <v>20.0</v>
      </c>
      <c r="D107" s="1318" t="s">
        <v>57</v>
      </c>
      <c r="E107" s="1244" t="str">
        <f>IF('WEEK 35'!B107='WEEK 34'!B102,'WEEK 34'!F102,"")</f>
        <v/>
      </c>
      <c r="F107" s="1133"/>
      <c r="H107" s="1316">
        <v>2.0</v>
      </c>
      <c r="I107" s="1317">
        <f>if('WEEK 35'!M106&lt;12,mround('WEEK 35'!I106*0.8,5),IF('WEEK 35'!M106&lt;=15,MROUND('WEEK 35'!I106*0.95,5),'WEEK 35'!I106))</f>
        <v>10</v>
      </c>
      <c r="J107" s="937">
        <v>20.0</v>
      </c>
      <c r="K107" s="1318" t="s">
        <v>57</v>
      </c>
      <c r="L107" s="1244" t="str">
        <f>IF('WEEK 35'!I107='WEEK 34'!I102,'WEEK 34'!M102,"")</f>
        <v/>
      </c>
      <c r="M107" s="1133"/>
    </row>
    <row r="108">
      <c r="A108" s="1316">
        <v>3.0</v>
      </c>
      <c r="B108" s="1317">
        <f>if('WEEK 35'!F107&lt;12,mround('WEEK 35'!B107*0.8,5),IF('WEEK 35'!F107&lt;=15,MROUND('WEEK 35'!B107*0.95,5),'WEEK 35'!B107))</f>
        <v>130</v>
      </c>
      <c r="C108" s="937">
        <v>20.0</v>
      </c>
      <c r="D108" s="1318" t="s">
        <v>57</v>
      </c>
      <c r="E108" s="1244" t="str">
        <f>IF('WEEK 35'!B108='WEEK 34'!B103,'WEEK 34'!F103,"")</f>
        <v/>
      </c>
      <c r="F108" s="1133"/>
      <c r="G108" s="682"/>
      <c r="H108" s="1316">
        <v>3.0</v>
      </c>
      <c r="I108" s="1317">
        <f>if('WEEK 35'!M107&lt;12,mround('WEEK 35'!I107*0.8,5),IF('WEEK 35'!M107&lt;=15,MROUND('WEEK 35'!I107*0.95,5),'WEEK 35'!I107))</f>
        <v>10</v>
      </c>
      <c r="J108" s="937">
        <v>20.0</v>
      </c>
      <c r="K108" s="1318" t="s">
        <v>57</v>
      </c>
      <c r="L108" s="1244" t="str">
        <f>IF('WEEK 35'!I108='WEEK 34'!I103,'WEEK 34'!M103,"")</f>
        <v/>
      </c>
      <c r="M108" s="1133"/>
    </row>
    <row r="109">
      <c r="A109" s="1319">
        <v>4.0</v>
      </c>
      <c r="B109" s="1320">
        <f>if('WEEK 35'!F108&lt;12,mround('WEEK 35'!B108*0.8,5),IF('WEEK 35'!F108&lt;=15,MROUND('WEEK 35'!B108*0.95,5),'WEEK 35'!B108))</f>
        <v>105</v>
      </c>
      <c r="C109" s="942">
        <v>20.0</v>
      </c>
      <c r="D109" s="1321" t="s">
        <v>57</v>
      </c>
      <c r="E109" s="1255" t="str">
        <f>IF('WEEK 35'!B109='WEEK 34'!B104,'WEEK 34'!F104,"")</f>
        <v/>
      </c>
      <c r="F109" s="1133"/>
      <c r="H109" s="1319">
        <v>4.0</v>
      </c>
      <c r="I109" s="1320">
        <f>if('WEEK 35'!M108&lt;12,mround('WEEK 35'!I108*0.8,5),IF('WEEK 35'!M108&lt;=15,MROUND('WEEK 35'!I108*0.95,5),'WEEK 35'!I108))</f>
        <v>10</v>
      </c>
      <c r="J109" s="942">
        <v>20.0</v>
      </c>
      <c r="K109" s="1321" t="s">
        <v>57</v>
      </c>
      <c r="L109" s="1255" t="str">
        <f>IF('WEEK 35'!I109='WEEK 34'!I104,'WEEK 34'!M104,"")</f>
        <v/>
      </c>
      <c r="M109" s="1133"/>
      <c r="N109" s="635"/>
      <c r="O109" s="635"/>
      <c r="P109" s="635"/>
      <c r="Q109" s="635"/>
      <c r="R109" s="635"/>
      <c r="S109" s="635"/>
      <c r="T109" s="635"/>
    </row>
    <row r="111">
      <c r="A111" s="1120" t="s">
        <v>62</v>
      </c>
      <c r="B111" s="36"/>
      <c r="C111" s="36"/>
      <c r="D111" s="36"/>
      <c r="E111" s="36"/>
      <c r="F111" s="37"/>
    </row>
    <row r="114">
      <c r="A114" s="960" t="str">
        <f>HYPERLINK("https://youtu.be/ZhZ733bUA9Q","1. SHOULDER CLEANS")</f>
        <v>1. SHOULDER CLEANS</v>
      </c>
      <c r="B114" s="53"/>
      <c r="C114" s="53"/>
      <c r="D114" s="53"/>
      <c r="E114" s="53"/>
      <c r="F114" s="54"/>
    </row>
    <row r="115">
      <c r="A115" s="961" t="s">
        <v>119</v>
      </c>
      <c r="B115" s="76">
        <f>IF('WEEK 29'!B113='WEEK 29'!B115,'WEEK 29'!B113+5,IF('WEEK 29'!F113&lt;=15,MROUND('WEEK 29'!B111*0.85,5),'WEEK 29'!B13))</f>
        <v>30</v>
      </c>
      <c r="C115" s="13"/>
      <c r="D115" s="13"/>
      <c r="E115" s="13"/>
      <c r="F115" s="57"/>
    </row>
    <row r="116">
      <c r="A116" s="962" t="s">
        <v>50</v>
      </c>
      <c r="B116" s="963" t="s">
        <v>51</v>
      </c>
      <c r="C116" s="963" t="s">
        <v>52</v>
      </c>
      <c r="D116" s="981" t="s">
        <v>53</v>
      </c>
      <c r="E116" s="1312" t="s">
        <v>54</v>
      </c>
      <c r="F116" s="1404" t="s">
        <v>55</v>
      </c>
    </row>
    <row r="117">
      <c r="A117" s="967">
        <v>1.0</v>
      </c>
      <c r="B117" s="968">
        <f>'WEEK 35'!B115</f>
        <v>30</v>
      </c>
      <c r="C117" s="968">
        <v>20.0</v>
      </c>
      <c r="D117" s="969" t="s">
        <v>57</v>
      </c>
      <c r="E117" s="1394"/>
      <c r="F117" s="455"/>
    </row>
    <row r="118">
      <c r="A118" s="967">
        <v>2.0</v>
      </c>
      <c r="B118" s="968">
        <f>if('WEEK 35'!F117&lt;20,mround('WEEK 35'!B117*0.75,5),'WEEK 35'!B117)</f>
        <v>30</v>
      </c>
      <c r="C118" s="968">
        <v>20.0</v>
      </c>
      <c r="D118" s="969" t="s">
        <v>57</v>
      </c>
      <c r="E118" s="1394"/>
      <c r="F118" s="1495"/>
    </row>
    <row r="119">
      <c r="A119" s="971">
        <v>3.0</v>
      </c>
      <c r="B119" s="972">
        <f>if('WEEK 35'!F118&lt;20,mround('WEEK 35'!B118*0.6,5),'WEEK 35'!B118)</f>
        <v>20</v>
      </c>
      <c r="C119" s="972">
        <v>20.0</v>
      </c>
      <c r="D119" s="973" t="s">
        <v>57</v>
      </c>
      <c r="E119" s="1395"/>
      <c r="F119" s="1495"/>
    </row>
    <row r="121">
      <c r="A121" s="361" t="str">
        <f>HYPERLINK("https://www.youtube.com/watch?v=gxWVN6F_uxo","2.  CABLE HIGH PULLEY ROW")</f>
        <v>2.  CABLE HIGH PULLEY ROW</v>
      </c>
      <c r="B121" s="53"/>
      <c r="C121" s="53"/>
      <c r="D121" s="53"/>
      <c r="E121" s="53"/>
      <c r="F121" s="54"/>
    </row>
    <row r="122">
      <c r="A122" s="226" t="s">
        <v>119</v>
      </c>
      <c r="B122" s="76">
        <f>IF('WEEK 31'!B133='WEEK 31'!B135,'WEEK 31'!B133+5,IF('WEEK 31'!F133&lt;=15,MROUND('WEEK 31'!B131*0.35,5),'WEEK 31'!B37))</f>
        <v>25</v>
      </c>
      <c r="C122" s="13"/>
      <c r="D122" s="13"/>
      <c r="E122" s="13"/>
      <c r="F122" s="57"/>
    </row>
    <row r="123">
      <c r="A123" s="77" t="s">
        <v>50</v>
      </c>
      <c r="B123" s="78" t="s">
        <v>51</v>
      </c>
      <c r="C123" s="78" t="s">
        <v>52</v>
      </c>
      <c r="D123" s="78" t="s">
        <v>53</v>
      </c>
      <c r="E123" s="80" t="s">
        <v>54</v>
      </c>
      <c r="F123" s="235" t="s">
        <v>55</v>
      </c>
    </row>
    <row r="124">
      <c r="A124" s="81">
        <v>1.0</v>
      </c>
      <c r="B124" s="82">
        <f> mround('WEEK 35'!B122*0.5,5)</f>
        <v>75</v>
      </c>
      <c r="C124" s="65">
        <v>20.0</v>
      </c>
      <c r="D124" s="83" t="s">
        <v>58</v>
      </c>
      <c r="E124" s="84" t="str">
        <f>IF('WEEK 25'!B121=B124,'WEEK 25'!F121,"")</f>
        <v/>
      </c>
      <c r="F124" s="85"/>
    </row>
    <row r="125">
      <c r="A125" s="81">
        <v>2.0</v>
      </c>
      <c r="B125" s="82">
        <f>if('WEEK 35'!F124&lt;10,mround(B124*0.8,5),IF('WEEK 35'!F124&lt;=14,MROUND('WEEK 35'!B124*0.95,5),'WEEK 35'!B124))</f>
        <v>75</v>
      </c>
      <c r="C125" s="65">
        <v>20.0</v>
      </c>
      <c r="D125" s="83" t="s">
        <v>58</v>
      </c>
      <c r="E125" s="84" t="str">
        <f>IF('WEEK 25'!B122=B125,'WEEK 25'!F122,"")</f>
        <v/>
      </c>
      <c r="F125" s="85"/>
    </row>
    <row r="126">
      <c r="A126" s="86">
        <v>3.0</v>
      </c>
      <c r="B126" s="87">
        <f>if('WEEK 35'!F125&lt;8,mround('WEEK 35'!B125*0.8,5),IF('WEEK 35'!F125&lt;=14,MROUND('WEEK 35'!B125*0.95,5),'WEEK 35'!B125))</f>
        <v>75</v>
      </c>
      <c r="C126" s="71">
        <v>20.0</v>
      </c>
      <c r="D126" s="88" t="s">
        <v>58</v>
      </c>
      <c r="E126" s="89" t="str">
        <f>IF('WEEK 25'!B123=B126,'WEEK 25'!F123,"")</f>
        <v/>
      </c>
      <c r="F126" s="85"/>
    </row>
    <row r="128">
      <c r="A128" s="513" t="str">
        <f>HYPERLINK("https://youtu.be/QUNZvtb6mnY","3. DUMBBELL SIDE LATERAL RAISE")</f>
        <v>3. DUMBBELL SIDE LATERAL RAISE</v>
      </c>
      <c r="B128" s="53"/>
      <c r="C128" s="53"/>
      <c r="D128" s="53"/>
      <c r="E128" s="53"/>
      <c r="F128" s="54"/>
    </row>
    <row r="129">
      <c r="A129" s="226" t="s">
        <v>134</v>
      </c>
      <c r="B129" s="90">
        <f>MROUND('WEEK 34'!B122*0.2,10)</f>
        <v>0</v>
      </c>
      <c r="C129" s="13"/>
      <c r="D129" s="13"/>
      <c r="E129" s="13"/>
      <c r="F129" s="57"/>
    </row>
    <row r="130">
      <c r="A130" s="376" t="s">
        <v>50</v>
      </c>
      <c r="B130" s="79" t="s">
        <v>51</v>
      </c>
      <c r="C130" s="79" t="s">
        <v>52</v>
      </c>
      <c r="D130" s="79" t="s">
        <v>53</v>
      </c>
      <c r="E130" s="98" t="s">
        <v>54</v>
      </c>
      <c r="F130" s="377" t="s">
        <v>55</v>
      </c>
    </row>
    <row r="131">
      <c r="A131" s="81">
        <v>1.0</v>
      </c>
      <c r="B131" s="82">
        <f>'WEEK 35'!B129*0.5</f>
        <v>42.5</v>
      </c>
      <c r="C131" s="65">
        <v>20.0</v>
      </c>
      <c r="D131" s="83" t="s">
        <v>57</v>
      </c>
      <c r="E131" s="378"/>
      <c r="F131" s="796"/>
    </row>
    <row r="132">
      <c r="A132" s="81">
        <v>2.0</v>
      </c>
      <c r="B132" s="82">
        <f>if('WEEK 35'!F131&lt;12,mround('WEEK 35'!B131*0.8,2.5),'WEEK 35'!B131)</f>
        <v>15</v>
      </c>
      <c r="C132" s="65">
        <v>20.0</v>
      </c>
      <c r="D132" s="83" t="s">
        <v>57</v>
      </c>
      <c r="E132" s="378"/>
      <c r="F132" s="330"/>
    </row>
    <row r="133">
      <c r="A133" s="86">
        <v>3.0</v>
      </c>
      <c r="B133" s="87">
        <f>if('WEEK 35'!F132&lt;12,mround('WEEK 35'!B132*0.8,2.5),'WEEK 35'!B132)</f>
        <v>15</v>
      </c>
      <c r="C133" s="71">
        <v>20.0</v>
      </c>
      <c r="D133" s="88" t="s">
        <v>57</v>
      </c>
      <c r="E133" s="379"/>
      <c r="F133" s="85"/>
    </row>
    <row r="134">
      <c r="G134" s="697"/>
      <c r="H134" s="697"/>
      <c r="I134" s="697"/>
      <c r="J134" s="697"/>
      <c r="K134" s="697"/>
      <c r="L134" s="697"/>
      <c r="M134" s="697"/>
    </row>
    <row r="135">
      <c r="G135" s="697"/>
      <c r="H135" s="697"/>
      <c r="I135" s="697"/>
      <c r="J135" s="697"/>
      <c r="K135" s="697"/>
      <c r="L135" s="697"/>
      <c r="M135" s="697"/>
    </row>
    <row r="136">
      <c r="A136" s="73" t="str">
        <f>HYPERLINK("https://youtu.be/Yke__29qVfo","4. TRICEP PUSH DOWNS")</f>
        <v>4. TRICEP PUSH DOWNS</v>
      </c>
      <c r="B136" s="53"/>
      <c r="C136" s="53"/>
      <c r="D136" s="53"/>
      <c r="E136" s="53"/>
      <c r="F136" s="54"/>
      <c r="G136" s="1322"/>
      <c r="H136" s="621"/>
      <c r="I136" s="621"/>
      <c r="J136" s="621"/>
      <c r="K136" s="621"/>
      <c r="L136" s="621"/>
      <c r="M136" s="621"/>
    </row>
    <row r="137">
      <c r="A137" s="226" t="s">
        <v>119</v>
      </c>
      <c r="B137" s="90">
        <f>IF('WEEK 29'!B142='WEEK 29'!B144,'WEEK 29'!B142+5,IF('WEEK 29'!F142&lt;=9,MROUND('WEEK 29'!B140*0.95,5),'WEEK 29'!B142))</f>
        <v>50</v>
      </c>
      <c r="C137" s="13"/>
      <c r="D137" s="13"/>
      <c r="E137" s="13"/>
      <c r="F137" s="57"/>
      <c r="G137" s="529"/>
      <c r="H137" s="621"/>
      <c r="I137" s="621"/>
      <c r="J137" s="621"/>
      <c r="K137" s="621"/>
      <c r="L137" s="621"/>
      <c r="M137" s="621"/>
    </row>
    <row r="138">
      <c r="A138" s="77" t="s">
        <v>50</v>
      </c>
      <c r="B138" s="78" t="s">
        <v>51</v>
      </c>
      <c r="C138" s="78" t="s">
        <v>52</v>
      </c>
      <c r="D138" s="78" t="s">
        <v>53</v>
      </c>
      <c r="E138" s="80" t="s">
        <v>54</v>
      </c>
      <c r="F138" s="235" t="s">
        <v>55</v>
      </c>
      <c r="G138" s="529"/>
      <c r="H138" s="621"/>
      <c r="I138" s="621"/>
      <c r="J138" s="621"/>
      <c r="K138" s="621"/>
      <c r="L138" s="621"/>
      <c r="M138" s="621"/>
    </row>
    <row r="139">
      <c r="A139" s="81">
        <v>1.0</v>
      </c>
      <c r="B139" s="82">
        <f>mround('WEEK 35'!B137*0.5,5)</f>
        <v>45</v>
      </c>
      <c r="C139" s="65">
        <v>20.0</v>
      </c>
      <c r="D139" s="83" t="s">
        <v>58</v>
      </c>
      <c r="E139" s="84" t="str">
        <f>IF('WEEK 26'!B153='WEEK 29'!B139,'WEEK 26'!F153,"")</f>
        <v/>
      </c>
      <c r="F139" s="85"/>
      <c r="G139" s="529"/>
      <c r="H139" s="621"/>
      <c r="I139" s="621"/>
      <c r="J139" s="621"/>
      <c r="K139" s="621"/>
      <c r="L139" s="621"/>
      <c r="M139" s="621"/>
    </row>
    <row r="140">
      <c r="A140" s="81">
        <v>2.0</v>
      </c>
      <c r="B140" s="82">
        <f>if('WEEK 35'!F139&lt;10,mround('WEEK 35'!B139*0.8,5),IF('WEEK 35'!F139&lt;=14,MROUND('WEEK 35'!B137*0.95,5),'WEEK 35'!B139))</f>
        <v>45</v>
      </c>
      <c r="C140" s="65">
        <v>20.0</v>
      </c>
      <c r="D140" s="83" t="s">
        <v>58</v>
      </c>
      <c r="E140" s="84" t="str">
        <f>IF('WEEK 26'!B154='WEEK 29'!B140,'WEEK 26'!F154,"")</f>
        <v/>
      </c>
      <c r="F140" s="85"/>
      <c r="G140" s="529"/>
      <c r="H140" s="621"/>
      <c r="I140" s="621"/>
      <c r="J140" s="621"/>
      <c r="K140" s="621"/>
      <c r="L140" s="621"/>
      <c r="M140" s="621"/>
    </row>
    <row r="141">
      <c r="A141" s="629">
        <v>3.0</v>
      </c>
      <c r="B141" s="630">
        <f>if('WEEK 35'!F140&lt;10,mround('WEEK 35'!B140*0.8,5),IF('WEEK 35'!F140&lt;=14,MROUND('WEEK 35'!B140*0.95,5),'WEEK 35'!B140))</f>
        <v>45</v>
      </c>
      <c r="C141" s="631">
        <v>20.0</v>
      </c>
      <c r="D141" s="328" t="s">
        <v>58</v>
      </c>
      <c r="E141" s="84" t="str">
        <f>IF('WEEK 26'!B155='WEEK 29'!B141,'WEEK 26'!F155,"")</f>
        <v/>
      </c>
      <c r="F141" s="330"/>
      <c r="G141" s="529"/>
      <c r="H141" s="621"/>
      <c r="I141" s="621"/>
      <c r="J141" s="621"/>
      <c r="K141" s="621"/>
      <c r="L141" s="621"/>
      <c r="M141" s="621"/>
    </row>
    <row r="142">
      <c r="G142" s="529"/>
      <c r="H142" s="621"/>
      <c r="I142" s="621"/>
      <c r="J142" s="621"/>
      <c r="K142" s="621"/>
      <c r="L142" s="621"/>
      <c r="M142" s="621"/>
    </row>
    <row r="143">
      <c r="G143" s="141"/>
      <c r="H143" s="621"/>
      <c r="I143" s="621"/>
      <c r="J143" s="621"/>
      <c r="K143" s="621"/>
      <c r="L143" s="621"/>
      <c r="M143" s="621"/>
    </row>
    <row r="144">
      <c r="A144" s="75" t="str">
        <f>HYPERLINK("https://www.youtube.com/watch?v=9IqvmIhFxtY","5. BICEP CABLE CURL")</f>
        <v>5. BICEP CABLE CURL</v>
      </c>
      <c r="B144" s="53"/>
      <c r="C144" s="53"/>
      <c r="D144" s="53"/>
      <c r="E144" s="53"/>
      <c r="F144" s="54"/>
      <c r="G144" s="141"/>
      <c r="H144" s="75" t="str">
        <f>HYPERLINK("https://www.youtube.com/watch?v=Bi6Do6QIlpQ","5. BICEP EZ BAR CURL")</f>
        <v>5. BICEP EZ BAR CURL</v>
      </c>
      <c r="I144" s="53"/>
      <c r="J144" s="53"/>
      <c r="K144" s="53"/>
      <c r="L144" s="53"/>
      <c r="M144" s="54"/>
    </row>
    <row r="145">
      <c r="A145" s="226" t="s">
        <v>119</v>
      </c>
      <c r="B145" s="90">
        <f>IF('WEEK 29'!B142='WEEK 29'!B144,'WEEK 29'!B142+5,IF('WEEK 29'!F142&lt;=9,MROUND('WEEK 29'!B140*0.95,5),'WEEK 29'!B142))</f>
        <v>50</v>
      </c>
      <c r="C145" s="13"/>
      <c r="D145" s="13"/>
      <c r="E145" s="13"/>
      <c r="F145" s="57"/>
      <c r="G145" s="141"/>
      <c r="H145" s="226" t="s">
        <v>119</v>
      </c>
      <c r="I145" s="90">
        <f>IF('WEEK 34'!B152='WEEK 34'!B154,'WEEK 34'!B152+5,IF('WEEK 34'!F152&lt;=9,MROUND('WEEK 34'!B150*0.95,5),'WEEK 34'!B152))</f>
        <v>5</v>
      </c>
      <c r="J145" s="13"/>
      <c r="K145" s="13"/>
      <c r="L145" s="13"/>
      <c r="M145" s="57"/>
    </row>
    <row r="146">
      <c r="A146" s="77" t="s">
        <v>50</v>
      </c>
      <c r="B146" s="78" t="s">
        <v>51</v>
      </c>
      <c r="C146" s="78" t="s">
        <v>52</v>
      </c>
      <c r="D146" s="78" t="s">
        <v>53</v>
      </c>
      <c r="E146" s="80" t="s">
        <v>54</v>
      </c>
      <c r="F146" s="235" t="s">
        <v>55</v>
      </c>
      <c r="H146" s="77" t="s">
        <v>50</v>
      </c>
      <c r="I146" s="78" t="s">
        <v>51</v>
      </c>
      <c r="J146" s="78" t="s">
        <v>52</v>
      </c>
      <c r="K146" s="78" t="s">
        <v>53</v>
      </c>
      <c r="L146" s="80" t="s">
        <v>54</v>
      </c>
      <c r="M146" s="235" t="s">
        <v>55</v>
      </c>
    </row>
    <row r="147">
      <c r="A147" s="81">
        <v>1.0</v>
      </c>
      <c r="B147" s="82">
        <f>MROUND('WEEK 35'!B145*0.5,5)</f>
        <v>75</v>
      </c>
      <c r="C147" s="65">
        <v>20.0</v>
      </c>
      <c r="D147" s="83" t="s">
        <v>58</v>
      </c>
      <c r="E147" s="84" t="str">
        <f>IF('WEEK 27'!B154='WEEK 29'!B147,'WEEK 27'!F154,"")</f>
        <v/>
      </c>
      <c r="F147" s="85"/>
      <c r="H147" s="81">
        <v>1.0</v>
      </c>
      <c r="I147" s="82">
        <f>MROUND('WEEK 35'!I145*0.5,5)</f>
        <v>0</v>
      </c>
      <c r="J147" s="65">
        <v>20.0</v>
      </c>
      <c r="K147" s="83" t="s">
        <v>58</v>
      </c>
      <c r="L147" s="84" t="str">
        <f>IF('WEEK 27'!I154='WEEK 29'!I147,'WEEK 27'!M154,"")</f>
        <v/>
      </c>
      <c r="M147" s="85"/>
    </row>
    <row r="148">
      <c r="A148" s="81">
        <v>2.0</v>
      </c>
      <c r="B148" s="82">
        <f>if('WEEK 35'!F147&lt;15,mround('WEEK 35'!B147*0.8,5),IF('WEEK 35'!F147&lt;=18,MROUND('WEEK 35'!B145*0.95,5),'WEEK 35'!B147))</f>
        <v>75</v>
      </c>
      <c r="C148" s="65">
        <v>20.0</v>
      </c>
      <c r="D148" s="83" t="s">
        <v>58</v>
      </c>
      <c r="E148" s="84" t="str">
        <f>IF('WEEK 27'!B155='WEEK 35'!B148,'WEEK 27'!F155,"")</f>
        <v/>
      </c>
      <c r="F148" s="85"/>
      <c r="H148" s="81">
        <v>2.0</v>
      </c>
      <c r="I148" s="82">
        <f>if('WEEK 35'!M147&lt;15,mround('WEEK 35'!I147*0.8,5),IF('WEEK 35'!M147&lt;=18,MROUND('WEEK 35'!I145*0.95,5),'WEEK 35'!I147))</f>
        <v>0</v>
      </c>
      <c r="J148" s="65">
        <v>20.0</v>
      </c>
      <c r="K148" s="83" t="s">
        <v>58</v>
      </c>
      <c r="L148" s="84" t="str">
        <f>IF('WEEK 27'!I155='WEEK 35'!I148,'WEEK 27'!M155,"")</f>
        <v/>
      </c>
      <c r="M148" s="85"/>
    </row>
    <row r="149">
      <c r="A149" s="629">
        <v>3.0</v>
      </c>
      <c r="B149" s="630">
        <f>if('WEEK 35'!F148&lt;15,mround('WEEK 35'!B148*0.8,5),IF('WEEK 35'!F148&lt;=18,MROUND('WEEK 35'!B146*0.95,5),'WEEK 35'!B148))</f>
        <v>60</v>
      </c>
      <c r="C149" s="631">
        <v>20.0</v>
      </c>
      <c r="D149" s="328" t="s">
        <v>58</v>
      </c>
      <c r="E149" s="84" t="str">
        <f>IF('WEEK 27'!B156='WEEK 35'!B149,'WEEK 27'!F156,"")</f>
        <v/>
      </c>
      <c r="F149" s="330"/>
      <c r="H149" s="629">
        <v>3.0</v>
      </c>
      <c r="I149" s="630">
        <f>if('WEEK 35'!M148&lt;15,mround('WEEK 35'!I148*0.8,5),IF('WEEK 35'!M148&lt;=18,MROUND('WEEK 35'!I146*0.95,5),'WEEK 35'!I148))</f>
        <v>0</v>
      </c>
      <c r="J149" s="631">
        <v>20.0</v>
      </c>
      <c r="K149" s="328" t="s">
        <v>58</v>
      </c>
      <c r="L149" s="84" t="str">
        <f>IF('WEEK 27'!I156='WEEK 35'!I149,'WEEK 27'!M156,"")</f>
        <v/>
      </c>
      <c r="M149" s="330"/>
    </row>
    <row r="154">
      <c r="A154" s="310" t="str">
        <f>HYPERLINK("https://docs.google.com/a/fitnessresults.com/forms/d/e/1FAIpQLSd7MoczESe8Yjv6BKpmwAZGn9Aiymrs9-UdgfYIUpbr9t5NXg/viewform?usp=pp_url&amp;entry.93370101","CLICK TO COMPLETE WORKOUT")</f>
        <v>CLICK TO COMPLETE WORKOUT</v>
      </c>
      <c r="B154" s="36"/>
      <c r="C154" s="36"/>
      <c r="D154" s="36"/>
      <c r="E154" s="36"/>
      <c r="F154" s="37"/>
    </row>
    <row r="155">
      <c r="A155" s="598"/>
      <c r="B155" s="598"/>
      <c r="C155" s="598"/>
      <c r="D155" s="598"/>
      <c r="E155" s="598"/>
      <c r="F155" s="598"/>
    </row>
    <row r="156">
      <c r="A156" s="639" t="s">
        <v>135</v>
      </c>
      <c r="B156" s="36"/>
      <c r="C156" s="36"/>
      <c r="D156" s="36"/>
      <c r="E156" s="36"/>
      <c r="F156" s="37"/>
    </row>
    <row r="157">
      <c r="A157" s="883"/>
    </row>
    <row r="158">
      <c r="A158" s="884" t="str">
        <f>HYPERLINK("https://www.amazon.com/30-Minute-Body-Investment-Champion/dp/0692791892/ref=sr_1_1?ie=UTF8&amp;qid=1490447969&amp;sr=8-1&amp;keywords=30+minute+body","WANT TO LEARN MORE?")</f>
        <v>WANT TO LEARN MORE?</v>
      </c>
      <c r="B158" s="16"/>
      <c r="C158" s="16"/>
      <c r="D158" s="16"/>
      <c r="E158" s="16"/>
      <c r="F158" s="17"/>
    </row>
    <row r="159">
      <c r="A159" s="18"/>
      <c r="B159" s="13"/>
      <c r="C159" s="13"/>
      <c r="D159" s="13"/>
      <c r="E159" s="13"/>
      <c r="F159" s="14"/>
    </row>
    <row r="160">
      <c r="A160" s="885"/>
      <c r="B160" s="886"/>
      <c r="C160" s="644" t="s">
        <v>67</v>
      </c>
      <c r="D160" s="25"/>
      <c r="E160" s="25"/>
      <c r="F160" s="25"/>
    </row>
    <row r="161">
      <c r="A161" s="887"/>
      <c r="B161" s="888"/>
      <c r="C161" s="529"/>
    </row>
    <row r="162">
      <c r="A162" s="887"/>
      <c r="B162" s="888"/>
      <c r="C162" s="529"/>
    </row>
    <row r="163">
      <c r="A163" s="887"/>
      <c r="B163" s="888"/>
      <c r="C163" s="529"/>
    </row>
    <row r="164">
      <c r="A164" s="887"/>
      <c r="B164" s="888"/>
      <c r="C164" s="529"/>
    </row>
    <row r="165">
      <c r="A165" s="887"/>
      <c r="B165" s="888"/>
      <c r="C165" s="529"/>
    </row>
    <row r="166">
      <c r="A166" s="889"/>
      <c r="B166" s="888"/>
      <c r="C166" s="529"/>
    </row>
    <row r="167">
      <c r="A167" s="887"/>
      <c r="B167" s="888"/>
      <c r="C167" s="529"/>
    </row>
    <row r="168">
      <c r="A168" s="887"/>
      <c r="B168" s="888"/>
      <c r="C168" s="529"/>
    </row>
    <row r="169">
      <c r="A169" s="890"/>
      <c r="B169" s="888"/>
      <c r="C169" s="529"/>
    </row>
    <row r="170">
      <c r="A170" s="887"/>
      <c r="B170" s="888"/>
      <c r="C170" s="529"/>
    </row>
    <row r="171">
      <c r="A171" s="887"/>
      <c r="B171" s="888"/>
      <c r="C171" s="529"/>
    </row>
    <row r="172">
      <c r="A172" s="887"/>
      <c r="B172" s="888"/>
      <c r="C172" s="529"/>
    </row>
    <row r="173">
      <c r="A173" s="887"/>
      <c r="B173" s="888"/>
      <c r="C173" s="529"/>
    </row>
    <row r="174">
      <c r="A174" s="891"/>
      <c r="B174" s="892"/>
      <c r="C174" s="529"/>
    </row>
    <row r="175">
      <c r="A175" s="987"/>
      <c r="B175" s="987"/>
      <c r="C175" s="1150"/>
      <c r="D175" s="1150"/>
      <c r="E175" s="1150"/>
      <c r="F175" s="1150"/>
    </row>
    <row r="176">
      <c r="A176" s="987"/>
      <c r="B176" s="987"/>
      <c r="C176" s="1150"/>
      <c r="D176" s="1150"/>
      <c r="E176" s="1150"/>
      <c r="F176" s="1150"/>
    </row>
    <row r="177">
      <c r="A177" s="987"/>
      <c r="B177" s="987"/>
      <c r="C177" s="1150"/>
      <c r="D177" s="1150"/>
      <c r="E177" s="1150"/>
      <c r="F177" s="1150"/>
    </row>
    <row r="178">
      <c r="A178" s="987"/>
      <c r="B178" s="987"/>
      <c r="C178" s="1150"/>
      <c r="D178" s="1150"/>
      <c r="E178" s="1150"/>
      <c r="F178" s="1150"/>
    </row>
  </sheetData>
  <mergeCells count="82">
    <mergeCell ref="G24:G25"/>
    <mergeCell ref="A27:F27"/>
    <mergeCell ref="A30:F30"/>
    <mergeCell ref="B33:F33"/>
    <mergeCell ref="G37:G41"/>
    <mergeCell ref="B38:F38"/>
    <mergeCell ref="A44:F44"/>
    <mergeCell ref="B45:F45"/>
    <mergeCell ref="A51:F51"/>
    <mergeCell ref="A54:F54"/>
    <mergeCell ref="B57:F57"/>
    <mergeCell ref="A59:F59"/>
    <mergeCell ref="B60:F60"/>
    <mergeCell ref="A67:F67"/>
    <mergeCell ref="B68:F68"/>
    <mergeCell ref="A74:F74"/>
    <mergeCell ref="A76:F76"/>
    <mergeCell ref="A78:F78"/>
    <mergeCell ref="B79:F79"/>
    <mergeCell ref="A91:F91"/>
    <mergeCell ref="A94:F94"/>
    <mergeCell ref="B95:F95"/>
    <mergeCell ref="A101:F102"/>
    <mergeCell ref="A103:F103"/>
    <mergeCell ref="G103:G105"/>
    <mergeCell ref="H103:M103"/>
    <mergeCell ref="B104:F104"/>
    <mergeCell ref="I104:M104"/>
    <mergeCell ref="G106:G107"/>
    <mergeCell ref="G108:G109"/>
    <mergeCell ref="A111:F111"/>
    <mergeCell ref="A114:F114"/>
    <mergeCell ref="B115:F115"/>
    <mergeCell ref="A121:F121"/>
    <mergeCell ref="B122:F122"/>
    <mergeCell ref="A144:F144"/>
    <mergeCell ref="H144:M144"/>
    <mergeCell ref="B145:F145"/>
    <mergeCell ref="I145:M145"/>
    <mergeCell ref="A154:F154"/>
    <mergeCell ref="A156:F156"/>
    <mergeCell ref="A157:F157"/>
    <mergeCell ref="A158:F159"/>
    <mergeCell ref="C160:F174"/>
    <mergeCell ref="A128:F128"/>
    <mergeCell ref="B129:F129"/>
    <mergeCell ref="A134:F135"/>
    <mergeCell ref="A136:F136"/>
    <mergeCell ref="G136:G142"/>
    <mergeCell ref="B137:F137"/>
    <mergeCell ref="A142:F143"/>
    <mergeCell ref="A9:F9"/>
    <mergeCell ref="H9:M9"/>
    <mergeCell ref="A10:F11"/>
    <mergeCell ref="H10:M10"/>
    <mergeCell ref="A12:F12"/>
    <mergeCell ref="A13:F13"/>
    <mergeCell ref="H15:M15"/>
    <mergeCell ref="A20:F20"/>
    <mergeCell ref="B21:F21"/>
    <mergeCell ref="O20:T20"/>
    <mergeCell ref="P21:T21"/>
    <mergeCell ref="N19:N26"/>
    <mergeCell ref="N27:N28"/>
    <mergeCell ref="N29:N31"/>
    <mergeCell ref="N38:N41"/>
    <mergeCell ref="A15:F15"/>
    <mergeCell ref="A19:F19"/>
    <mergeCell ref="H19:M19"/>
    <mergeCell ref="O19:T19"/>
    <mergeCell ref="H20:M20"/>
    <mergeCell ref="I21:M21"/>
    <mergeCell ref="O27:T27"/>
    <mergeCell ref="H37:M37"/>
    <mergeCell ref="I38:M38"/>
    <mergeCell ref="H27:M27"/>
    <mergeCell ref="H29:M29"/>
    <mergeCell ref="O29:T29"/>
    <mergeCell ref="I34:M34"/>
    <mergeCell ref="P34:T34"/>
    <mergeCell ref="A35:N36"/>
    <mergeCell ref="A37:F37"/>
  </mergeCells>
  <dataValidations>
    <dataValidation type="decimal" operator="greaterThanOrEqual" allowBlank="1" showDropDown="1" showErrorMessage="1" sqref="M22:M26 F39:F41 F130:F133">
      <formula1>0.0</formula1>
    </dataValidation>
    <dataValidation type="decimal" operator="greaterThanOrEqual" allowBlank="1" showDropDown="1" sqref="F22:F26 F28 F31">
      <formula1>0.0</formula1>
    </dataValidation>
  </dataValidations>
  <drawing r:id="rId2"/>
  <legacyDrawing r:id="rId3"/>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'MSW35'!A1</f>
        <v/>
      </c>
    </row>
    <row r="8">
      <c r="A8" s="11"/>
      <c r="B8" s="11"/>
      <c r="C8" s="11"/>
      <c r="D8" s="11"/>
      <c r="E8" s="11"/>
      <c r="F8" s="11"/>
      <c r="G8" s="11"/>
      <c r="H8" s="11"/>
      <c r="I8" s="11"/>
      <c r="J8" s="11"/>
      <c r="K8" s="11"/>
      <c r="L8" s="11"/>
      <c r="M8" s="11"/>
      <c r="N8" s="11"/>
      <c r="O8" s="11"/>
      <c r="P8" s="11"/>
      <c r="Q8" s="11"/>
      <c r="R8" s="11"/>
      <c r="S8" s="11"/>
      <c r="T8" s="11"/>
    </row>
    <row r="9">
      <c r="A9" s="1127" t="str">
        <f>'MSW35'!A9</f>
        <v>Week 35</v>
      </c>
      <c r="B9" s="36"/>
      <c r="C9" s="36"/>
      <c r="D9" s="36"/>
      <c r="E9" s="36"/>
      <c r="F9" s="37"/>
      <c r="G9" s="987" t="str">
        <f>'MSW35'!G9</f>
        <v/>
      </c>
      <c r="H9" s="24" t="s">
        <v>35</v>
      </c>
      <c r="I9" s="25"/>
      <c r="J9" s="25"/>
      <c r="K9" s="25"/>
      <c r="L9" s="25"/>
      <c r="M9" s="26"/>
      <c r="N9" s="987"/>
    </row>
    <row r="10">
      <c r="A10" s="991" t="str">
        <f>'MSW35'!A10</f>
        <v>PRESS TO RECORD BODY WEIGHT</v>
      </c>
      <c r="F10" s="28"/>
      <c r="H10" s="27" t="s">
        <v>345</v>
      </c>
      <c r="M10" s="28"/>
    </row>
    <row r="11">
      <c r="A11" s="336"/>
      <c r="B11" s="11"/>
      <c r="C11" s="11"/>
      <c r="D11" s="11"/>
      <c r="E11" s="11"/>
      <c r="F11" s="46"/>
      <c r="H11" s="29" t="s">
        <v>346</v>
      </c>
      <c r="I11" s="30"/>
      <c r="J11" s="30"/>
      <c r="K11" s="30"/>
      <c r="L11" s="30"/>
      <c r="M11" s="31"/>
    </row>
    <row r="12">
      <c r="A12" s="992" t="str">
        <f>'MSW35'!A12</f>
        <v>This Weeks Goals</v>
      </c>
      <c r="B12" s="11"/>
      <c r="C12" s="11"/>
      <c r="D12" s="11"/>
      <c r="E12" s="11"/>
      <c r="F12" s="46"/>
      <c r="G12" s="987"/>
    </row>
    <row r="13">
      <c r="A13" s="1128" t="str">
        <f>'MSW35'!A13</f>
        <v>This week you will be attempting new max weights as well as experiencing high reps on leg day. Stay focused and remember rest and recovery are key to your results. Good luck!</v>
      </c>
      <c r="B13" s="11"/>
      <c r="C13" s="11"/>
      <c r="D13" s="11"/>
      <c r="E13" s="11"/>
      <c r="F13" s="46"/>
    </row>
    <row r="14">
      <c r="A14" s="994" t="str">
        <f>'MSW35'!A14</f>
        <v/>
      </c>
      <c r="B14" s="11"/>
      <c r="C14" s="11"/>
      <c r="D14" s="11"/>
      <c r="E14" s="11"/>
      <c r="F14" s="11"/>
    </row>
    <row r="15">
      <c r="A15" s="996" t="str">
        <f>'MSW35'!A15</f>
        <v>DAY 1 </v>
      </c>
      <c r="B15" s="11"/>
      <c r="C15" s="11"/>
      <c r="D15" s="11"/>
      <c r="E15" s="11"/>
      <c r="F15" s="46"/>
      <c r="G15" s="623" t="str">
        <f>'MSW35'!G15</f>
        <v/>
      </c>
      <c r="H15" s="1098" t="str">
        <f>'MSW35'!H15</f>
        <v>ALTERNATE WORKOUTS</v>
      </c>
      <c r="I15" s="36"/>
      <c r="J15" s="36"/>
      <c r="K15" s="36"/>
      <c r="L15" s="36"/>
      <c r="M15" s="37"/>
      <c r="N15" t="str">
        <f>'MSW35'!N15</f>
        <v/>
      </c>
    </row>
    <row r="16">
      <c r="A16" s="987" t="str">
        <f>'MSW35'!A16</f>
        <v/>
      </c>
    </row>
    <row r="19">
      <c r="A19" s="51" t="str">
        <f>'MSW35'!A19</f>
        <v>CHEST &amp; BACK </v>
      </c>
      <c r="B19" s="36"/>
      <c r="C19" s="36"/>
      <c r="D19" s="36"/>
      <c r="E19" s="36"/>
      <c r="F19" s="37"/>
      <c r="G19" t="str">
        <f>'MSW35'!G19</f>
        <v/>
      </c>
      <c r="H19" s="51" t="str">
        <f>'MSW35'!H19</f>
        <v>CHEST &amp; BACK </v>
      </c>
      <c r="I19" s="36"/>
      <c r="J19" s="36"/>
      <c r="K19" s="36"/>
      <c r="L19" s="36"/>
      <c r="M19" s="37"/>
      <c r="N19" s="141" t="str">
        <f>'MSW35'!N19</f>
        <v/>
      </c>
      <c r="O19" s="51" t="str">
        <f>'MSW35'!O19</f>
        <v>CHEST &amp; BACK </v>
      </c>
      <c r="P19" s="36"/>
      <c r="Q19" s="36"/>
      <c r="R19" s="36"/>
      <c r="S19" s="36"/>
      <c r="T19" s="37"/>
    </row>
    <row r="20">
      <c r="A20" s="225" t="str">
        <f>'MSW35'!A20</f>
        <v>1. BENCH PRESS</v>
      </c>
      <c r="B20" s="13"/>
      <c r="C20" s="13"/>
      <c r="D20" s="13"/>
      <c r="E20" s="13"/>
      <c r="F20" s="57"/>
      <c r="G20" t="str">
        <f>'MSW35'!G20</f>
        <v/>
      </c>
      <c r="H20" s="52" t="str">
        <f>'MSW35'!H20</f>
        <v>1. DUMBBELL INCLINE PRESS</v>
      </c>
      <c r="I20" s="53"/>
      <c r="J20" s="53"/>
      <c r="K20" s="53"/>
      <c r="L20" s="53"/>
      <c r="M20" s="54"/>
      <c r="O20" s="52" t="str">
        <f>'MSW35'!O20</f>
        <v>1. MACHINE PRESS</v>
      </c>
      <c r="P20" s="53"/>
      <c r="Q20" s="53"/>
      <c r="R20" s="53"/>
      <c r="S20" s="53"/>
      <c r="T20" s="54"/>
    </row>
    <row r="21">
      <c r="A21" s="226" t="str">
        <f>'MSW35'!A21</f>
        <v>CURRENT MAX</v>
      </c>
      <c r="B21" s="227">
        <v>250.0</v>
      </c>
      <c r="C21" s="20"/>
      <c r="D21" s="20"/>
      <c r="E21" s="20"/>
      <c r="F21" s="95"/>
      <c r="H21" s="228" t="str">
        <f>'MSW35'!H21</f>
        <v>CURRENT MAX</v>
      </c>
      <c r="I21" s="229">
        <f>'MSW35'!I21</f>
        <v>90</v>
      </c>
      <c r="J21" s="16"/>
      <c r="K21" s="16"/>
      <c r="L21" s="16"/>
      <c r="M21" s="230"/>
      <c r="O21" s="228" t="str">
        <f>'MSW35'!O21</f>
        <v>CURRENT MAX</v>
      </c>
      <c r="P21" s="229" t="str">
        <f>'MSW35'!P21</f>
        <v/>
      </c>
      <c r="Q21" s="16"/>
      <c r="R21" s="16"/>
      <c r="S21" s="16"/>
      <c r="T21" s="230"/>
    </row>
    <row r="22">
      <c r="A22" s="231" t="str">
        <f>'MSW35'!A22</f>
        <v>SET</v>
      </c>
      <c r="B22" s="232" t="str">
        <f>'MSW35'!B22</f>
        <v>WEIGHT</v>
      </c>
      <c r="C22" s="232" t="str">
        <f>'MSW35'!C22</f>
        <v>REPS</v>
      </c>
      <c r="D22" s="232" t="str">
        <f>'MSW35'!D22</f>
        <v>REST</v>
      </c>
      <c r="E22" s="233" t="str">
        <f>'MSW35'!E22</f>
        <v>PREVIOUS</v>
      </c>
      <c r="F22" s="61" t="str">
        <f>'MSW35'!F22</f>
        <v>REP LOG</v>
      </c>
      <c r="H22" s="96" t="str">
        <f>'MSW35'!H22</f>
        <v>SET</v>
      </c>
      <c r="I22" s="97" t="str">
        <f>'MSW35'!I22</f>
        <v>WEIGHT</v>
      </c>
      <c r="J22" s="97" t="str">
        <f>'MSW35'!J22</f>
        <v>REPS</v>
      </c>
      <c r="K22" s="97" t="str">
        <f>'MSW35'!K22</f>
        <v>REST</v>
      </c>
      <c r="L22" s="98" t="str">
        <f>'MSW35'!L22</f>
        <v>PREVIOUS</v>
      </c>
      <c r="M22" s="235" t="str">
        <f>'MSW35'!M22</f>
        <v>REP LOG</v>
      </c>
      <c r="O22" s="96" t="str">
        <f>'MSW35'!O22</f>
        <v>SET</v>
      </c>
      <c r="P22" s="97" t="str">
        <f>'MSW35'!P22</f>
        <v>WEIGHT</v>
      </c>
      <c r="Q22" s="97" t="str">
        <f>'MSW35'!Q22</f>
        <v>REPS</v>
      </c>
      <c r="R22" s="97" t="str">
        <f>'MSW35'!R22</f>
        <v>REST</v>
      </c>
      <c r="S22" s="98" t="str">
        <f>'MSW35'!S22</f>
        <v>PREVIOUS</v>
      </c>
      <c r="T22" s="235" t="str">
        <f>'MSW35'!T22</f>
        <v>REP LOG</v>
      </c>
    </row>
    <row r="23">
      <c r="A23" s="236">
        <f>'MSW35'!A23</f>
        <v>1</v>
      </c>
      <c r="B23" s="237">
        <f>'MSW35'!B23</f>
        <v>45</v>
      </c>
      <c r="C23" s="237">
        <f>'MSW35'!C23</f>
        <v>6</v>
      </c>
      <c r="D23" s="238" t="str">
        <f>'MSW35'!D23</f>
        <v>30s</v>
      </c>
      <c r="E23" s="66" t="str">
        <f>'MSW35'!E23</f>
        <v/>
      </c>
      <c r="F23" s="67">
        <v>6.0</v>
      </c>
      <c r="H23" s="244">
        <f>'MSW35'!H23</f>
        <v>1</v>
      </c>
      <c r="I23" s="241">
        <f>'MSW35'!I23</f>
        <v>30</v>
      </c>
      <c r="J23" s="63">
        <f>'MSW35'!J23</f>
        <v>6</v>
      </c>
      <c r="K23" s="83" t="str">
        <f>'MSW35'!K23</f>
        <v>1-3 MIN</v>
      </c>
      <c r="L23" s="84" t="str">
        <f>'MSW35'!L23</f>
        <v/>
      </c>
      <c r="M23" s="85"/>
      <c r="O23" s="244">
        <f>'MSW35'!O23</f>
        <v>1</v>
      </c>
      <c r="P23" s="241">
        <f>'MSW35'!P23</f>
        <v>0</v>
      </c>
      <c r="Q23" s="63">
        <f>'MSW35'!Q23</f>
        <v>6</v>
      </c>
      <c r="R23" s="83" t="str">
        <f>'MSW35'!R23</f>
        <v>1-3 MIN</v>
      </c>
      <c r="S23" s="84" t="str">
        <f>'MSW35'!S23</f>
        <v/>
      </c>
      <c r="T23" s="85"/>
    </row>
    <row r="24">
      <c r="A24" s="236">
        <f>'MSW35'!A24</f>
        <v>2</v>
      </c>
      <c r="B24" s="237">
        <f>'MSW35'!B24</f>
        <v>200</v>
      </c>
      <c r="C24" s="237">
        <f>'MSW35'!C24</f>
        <v>1</v>
      </c>
      <c r="D24" s="238" t="str">
        <f>'MSW35'!D24</f>
        <v>1-2 MIN</v>
      </c>
      <c r="E24" s="66" t="str">
        <f>'MSW35'!E24</f>
        <v/>
      </c>
      <c r="F24" s="67">
        <v>1.0</v>
      </c>
      <c r="G24" s="1129" t="str">
        <f>'MSW35'!G24</f>
        <v>Alternate</v>
      </c>
      <c r="H24" s="240">
        <f>'MSW35'!H24</f>
        <v>2</v>
      </c>
      <c r="I24" s="241">
        <f>'MSW35'!I24</f>
        <v>60</v>
      </c>
      <c r="J24" s="241">
        <f>'MSW35'!J24</f>
        <v>1</v>
      </c>
      <c r="K24" s="83" t="str">
        <f>'MSW35'!K24</f>
        <v>1-3 MIN</v>
      </c>
      <c r="L24" s="84">
        <f>'MSW35'!L24</f>
        <v>1</v>
      </c>
      <c r="M24" s="85"/>
      <c r="O24" s="240">
        <f>'MSW35'!O24</f>
        <v>2</v>
      </c>
      <c r="P24" s="241">
        <f>'MSW35'!P24</f>
        <v>0</v>
      </c>
      <c r="Q24" s="241">
        <f>'MSW35'!Q24</f>
        <v>1</v>
      </c>
      <c r="R24" s="83" t="str">
        <f>'MSW35'!R24</f>
        <v>1-3 MIN</v>
      </c>
      <c r="S24" s="84" t="str">
        <f>'MSW35'!S24</f>
        <v/>
      </c>
      <c r="T24" s="85"/>
    </row>
    <row r="25">
      <c r="A25" s="242">
        <f>'MSW35'!A25</f>
        <v>3</v>
      </c>
      <c r="B25" s="237">
        <f>'MSW35'!B25</f>
        <v>225</v>
      </c>
      <c r="C25" s="82">
        <f>'MSW35'!C25</f>
        <v>1</v>
      </c>
      <c r="D25" s="238" t="str">
        <f>'MSW35'!D25</f>
        <v>1-2 MIN</v>
      </c>
      <c r="E25" s="66" t="str">
        <f>'MSW35'!E25</f>
        <v/>
      </c>
      <c r="F25" s="67">
        <v>1.0</v>
      </c>
      <c r="H25" s="240">
        <f>'MSW35'!H25</f>
        <v>3</v>
      </c>
      <c r="I25" s="241">
        <f>'MSW35'!I25</f>
        <v>75</v>
      </c>
      <c r="J25" s="63">
        <f>'MSW35'!J25</f>
        <v>1</v>
      </c>
      <c r="K25" s="83" t="str">
        <f>'MSW35'!K25</f>
        <v>1-3 MIN</v>
      </c>
      <c r="L25" s="84" t="str">
        <f>'MSW35'!L25</f>
        <v/>
      </c>
      <c r="M25" s="85"/>
      <c r="O25" s="240">
        <f>'MSW35'!O25</f>
        <v>3</v>
      </c>
      <c r="P25" s="241">
        <f>'MSW35'!P25</f>
        <v>0</v>
      </c>
      <c r="Q25" s="241">
        <f>'MSW35'!Q25</f>
        <v>1</v>
      </c>
      <c r="R25" s="83" t="str">
        <f>'MSW35'!R25</f>
        <v>1-3 MIN</v>
      </c>
      <c r="S25" s="84" t="str">
        <f>'MSW35'!S25</f>
        <v/>
      </c>
      <c r="T25" s="85"/>
    </row>
    <row r="26">
      <c r="A26" s="243">
        <f>'MSW35'!A26</f>
        <v>4</v>
      </c>
      <c r="B26" s="237">
        <f>'MSW35'!B26</f>
        <v>250</v>
      </c>
      <c r="C26" s="175">
        <f>'MSW35'!C26</f>
        <v>1</v>
      </c>
      <c r="D26" s="238" t="str">
        <f>'MSW35'!D26</f>
        <v>1-5 MIN</v>
      </c>
      <c r="E26" s="66" t="str">
        <f>'MSW35'!E26</f>
        <v/>
      </c>
      <c r="F26" s="67">
        <v>1.0</v>
      </c>
      <c r="G26" t="str">
        <f>'MSW35'!G26</f>
        <v/>
      </c>
      <c r="H26" s="240">
        <f>'MSW35'!H26</f>
        <v>4</v>
      </c>
      <c r="I26" s="241">
        <f>'MSW35'!I26</f>
        <v>90</v>
      </c>
      <c r="J26" s="245" t="str">
        <f>'MSW35'!J26</f>
        <v>REP OUT</v>
      </c>
      <c r="K26" s="83" t="str">
        <f>'MSW35'!K26</f>
        <v>1-3 MIN</v>
      </c>
      <c r="L26" s="84" t="str">
        <f>'MSW35'!L26</f>
        <v/>
      </c>
      <c r="M26" s="85"/>
      <c r="O26" s="240">
        <f>'MSW35'!O26</f>
        <v>4</v>
      </c>
      <c r="P26" s="241">
        <f>'MSW35'!P26</f>
        <v>0</v>
      </c>
      <c r="Q26" s="245" t="str">
        <f>'MSW35'!Q26</f>
        <v>REP OUT</v>
      </c>
      <c r="R26" s="83" t="str">
        <f>'MSW35'!R26</f>
        <v>1-3 MIN</v>
      </c>
      <c r="S26" s="84" t="str">
        <f>'MSW35'!S26</f>
        <v/>
      </c>
      <c r="T26" s="85"/>
    </row>
    <row r="27">
      <c r="A27" s="246">
        <v>1.0</v>
      </c>
      <c r="B27" s="20"/>
      <c r="C27" s="20"/>
      <c r="D27" s="20"/>
      <c r="E27" s="20"/>
      <c r="F27" s="95"/>
      <c r="H27" s="248" t="str">
        <f>'MSW35'!H27</f>
        <v>PROCEED TO DOWNSETS</v>
      </c>
      <c r="M27" s="28"/>
      <c r="N27" s="247" t="str">
        <f>'MSW35'!N27</f>
        <v>ALTERNATE</v>
      </c>
      <c r="O27" s="248" t="str">
        <f>'MSW35'!O27</f>
        <v>PROCEED TO DOWNSETS</v>
      </c>
      <c r="T27" s="28"/>
    </row>
    <row r="28">
      <c r="A28" s="249">
        <f>'MSW35'!A28</f>
        <v>5</v>
      </c>
      <c r="B28" s="175">
        <f>'MSW35'!B28</f>
        <v>255</v>
      </c>
      <c r="C28" s="238">
        <f>'MSW35'!C28</f>
        <v>1</v>
      </c>
      <c r="D28" s="238" t="str">
        <f>'MSW35'!D28</f>
        <v>1-5 MIN</v>
      </c>
      <c r="E28" s="250" t="str">
        <f>'MSW35'!E28</f>
        <v/>
      </c>
      <c r="F28" s="67">
        <v>1.0</v>
      </c>
      <c r="H28" s="251" t="str">
        <f>'MSW35'!H28</f>
        <v/>
      </c>
      <c r="I28" s="252" t="str">
        <f>'MSW35'!I28</f>
        <v/>
      </c>
      <c r="J28" s="253" t="str">
        <f>'MSW35'!J28</f>
        <v/>
      </c>
      <c r="K28" s="254" t="str">
        <f>'MSW35'!K28</f>
        <v/>
      </c>
      <c r="L28" s="84" t="str">
        <f>'MSW35'!L28</f>
        <v/>
      </c>
      <c r="M28" s="67"/>
      <c r="O28" s="251" t="str">
        <f>'MSW35'!O28</f>
        <v/>
      </c>
      <c r="P28" s="252" t="str">
        <f>'MSW35'!P28</f>
        <v/>
      </c>
      <c r="Q28" s="253" t="str">
        <f>'MSW35'!Q28</f>
        <v/>
      </c>
      <c r="R28" s="254" t="str">
        <f>'MSW35'!R28</f>
        <v/>
      </c>
      <c r="S28" s="84" t="str">
        <f>'MSW35'!S28</f>
        <v/>
      </c>
      <c r="T28" s="665"/>
    </row>
    <row r="29">
      <c r="A29" s="256" t="str">
        <f>'MSW35'!A29</f>
        <v>6</v>
      </c>
      <c r="B29" s="237">
        <f>'MSW35'!B29</f>
        <v>260</v>
      </c>
      <c r="C29" s="257" t="str">
        <f>'MSW35'!C29</f>
        <v>1</v>
      </c>
      <c r="D29" s="257" t="str">
        <f>'MSW35'!D29</f>
        <v>1-5 MIN</v>
      </c>
      <c r="E29" s="258" t="str">
        <f>'MSW35'!E29</f>
        <v/>
      </c>
      <c r="F29" s="67">
        <v>1.0</v>
      </c>
      <c r="H29" s="260" t="str">
        <f>'MSW35'!H29</f>
        <v>FILL OUT REP LOG FIRST</v>
      </c>
      <c r="I29" s="16"/>
      <c r="J29" s="16"/>
      <c r="K29" s="16"/>
      <c r="L29" s="16"/>
      <c r="M29" s="230"/>
      <c r="N29" s="141" t="str">
        <f>'MSW35'!N29</f>
        <v/>
      </c>
      <c r="O29" s="260" t="str">
        <f>'MSW35'!O29</f>
        <v>FILL OUT REP LOG FIRST</v>
      </c>
      <c r="P29" s="16"/>
      <c r="Q29" s="16"/>
      <c r="R29" s="16"/>
      <c r="S29" s="16"/>
      <c r="T29" s="230"/>
    </row>
    <row r="30">
      <c r="A30" s="246" t="str">
        <f>'MSW35'!A30</f>
        <v>DOWN SETS</v>
      </c>
      <c r="B30" s="20"/>
      <c r="C30" s="20"/>
      <c r="D30" s="20"/>
      <c r="E30" s="20"/>
      <c r="F30" s="95"/>
      <c r="H30" s="91" t="str">
        <f>'MSW35'!H30</f>
        <v/>
      </c>
      <c r="I30" s="261" t="str">
        <f>'MSW35'!I30</f>
        <v/>
      </c>
      <c r="J30" s="262" t="str">
        <f>'MSW35'!J30</f>
        <v/>
      </c>
      <c r="K30" s="65" t="str">
        <f>'MSW35'!K30</f>
        <v/>
      </c>
      <c r="L30" s="84" t="str">
        <f>'MSW35'!L30</f>
        <v/>
      </c>
      <c r="M30" s="263"/>
      <c r="O30" s="91" t="str">
        <f>'MSW35'!O30</f>
        <v/>
      </c>
      <c r="P30" s="261" t="str">
        <f>'MSW35'!P30</f>
        <v/>
      </c>
      <c r="Q30" s="262" t="str">
        <f>'MSW35'!Q30</f>
        <v/>
      </c>
      <c r="R30" s="65" t="str">
        <f>'MSW35'!R30</f>
        <v/>
      </c>
      <c r="S30" s="84" t="str">
        <f>'MSW35'!S30</f>
        <v/>
      </c>
      <c r="T30" s="263" t="str">
        <f>'MSW35'!T30</f>
        <v/>
      </c>
    </row>
    <row r="31">
      <c r="A31" s="264">
        <f>'MSW35'!A31</f>
        <v>7</v>
      </c>
      <c r="B31" s="265">
        <f>'MSW35'!B31</f>
        <v>235</v>
      </c>
      <c r="C31" s="266" t="str">
        <f>'MSW35'!C31</f>
        <v>REP OUT</v>
      </c>
      <c r="D31" s="267" t="str">
        <f>'MSW35'!D31</f>
        <v>1-3 MIN</v>
      </c>
      <c r="E31" s="268" t="str">
        <f>'MSW35'!E31</f>
        <v/>
      </c>
      <c r="F31" s="67">
        <v>1.0</v>
      </c>
      <c r="H31" s="269" t="str">
        <f>'MSW35'!H31</f>
        <v/>
      </c>
      <c r="I31" s="254" t="str">
        <f>'MSW35'!I31</f>
        <v/>
      </c>
      <c r="J31" s="253" t="str">
        <f>'MSW35'!J31</f>
        <v/>
      </c>
      <c r="K31" s="65" t="str">
        <f>'MSW35'!K31</f>
        <v/>
      </c>
      <c r="L31" s="84" t="str">
        <f>'MSW35'!L31</f>
        <v/>
      </c>
      <c r="M31" s="263"/>
      <c r="O31" s="269" t="str">
        <f>'MSW35'!O31</f>
        <v/>
      </c>
      <c r="P31" s="254" t="str">
        <f>'MSW35'!P31</f>
        <v/>
      </c>
      <c r="Q31" s="253" t="str">
        <f>'MSW35'!Q31</f>
        <v/>
      </c>
      <c r="R31" s="65" t="str">
        <f>'MSW35'!R31</f>
        <v/>
      </c>
      <c r="S31" s="84" t="str">
        <f>'MSW35'!S31</f>
        <v/>
      </c>
      <c r="T31" s="270" t="str">
        <f>'MSW35'!T31</f>
        <v/>
      </c>
    </row>
    <row r="32">
      <c r="A32" s="243">
        <f>'MSW35'!A32</f>
        <v>8</v>
      </c>
      <c r="B32" s="237">
        <f>'MSW35'!B32</f>
        <v>205</v>
      </c>
      <c r="C32" s="245" t="str">
        <f>'MSW35'!C32</f>
        <v>REP OUT</v>
      </c>
      <c r="D32" s="65" t="str">
        <f>'MSW35'!D32</f>
        <v>1-3 MIN</v>
      </c>
      <c r="E32" s="258" t="str">
        <f>'MSW35'!E32</f>
        <v/>
      </c>
      <c r="F32" s="271">
        <v>6.0</v>
      </c>
      <c r="H32" s="269" t="str">
        <f>'MSW35'!H32</f>
        <v/>
      </c>
      <c r="I32" s="254" t="str">
        <f>'MSW35'!I32</f>
        <v/>
      </c>
      <c r="J32" s="253" t="str">
        <f>'MSW35'!J32</f>
        <v/>
      </c>
      <c r="K32" s="65" t="str">
        <f>'MSW35'!K32</f>
        <v/>
      </c>
      <c r="L32" s="84" t="str">
        <f>'MSW35'!L32</f>
        <v/>
      </c>
      <c r="M32" s="263"/>
      <c r="O32" s="269" t="str">
        <f>'MSW35'!O32</f>
        <v/>
      </c>
      <c r="P32" s="254" t="str">
        <f>'MSW35'!P32</f>
        <v/>
      </c>
      <c r="Q32" s="253" t="str">
        <f>'MSW35'!Q32</f>
        <v/>
      </c>
      <c r="R32" s="65" t="str">
        <f>'MSW35'!R32</f>
        <v/>
      </c>
      <c r="S32" s="84" t="str">
        <f>'MSW35'!S32</f>
        <v/>
      </c>
      <c r="T32" s="263" t="str">
        <f>'MSW35'!T32</f>
        <v/>
      </c>
    </row>
    <row r="33">
      <c r="A33" s="272" t="str">
        <f>'MSW35'!A33</f>
        <v>FINAL MAX</v>
      </c>
      <c r="B33" s="273">
        <f>'MSW35'!B33</f>
        <v>260</v>
      </c>
      <c r="C33" s="11"/>
      <c r="D33" s="11"/>
      <c r="E33" s="11"/>
      <c r="F33" s="46"/>
      <c r="H33" s="269" t="str">
        <f>'MSW35'!H33</f>
        <v/>
      </c>
      <c r="I33" s="254" t="str">
        <f>'MSW35'!I33</f>
        <v/>
      </c>
      <c r="J33" s="253" t="str">
        <f>'MSW35'!J33</f>
        <v/>
      </c>
      <c r="K33" s="65" t="str">
        <f>'MSW35'!K33</f>
        <v/>
      </c>
      <c r="L33" s="84" t="str">
        <f>'MSW35'!L33</f>
        <v/>
      </c>
      <c r="M33" s="263"/>
      <c r="O33" s="269" t="str">
        <f>'MSW35'!O33</f>
        <v/>
      </c>
      <c r="P33" s="254" t="str">
        <f>'MSW35'!P33</f>
        <v/>
      </c>
      <c r="Q33" s="253" t="str">
        <f>'MSW35'!Q33</f>
        <v/>
      </c>
      <c r="R33" s="65" t="str">
        <f>'MSW35'!R33</f>
        <v/>
      </c>
      <c r="S33" s="84" t="str">
        <f>'MSW35'!S33</f>
        <v/>
      </c>
      <c r="T33" s="263" t="str">
        <f>'MSW35'!T33</f>
        <v/>
      </c>
    </row>
    <row r="34">
      <c r="A34" t="str">
        <f>'MSW35'!A34</f>
        <v/>
      </c>
      <c r="H34" s="280" t="str">
        <f>'MSW35'!H34</f>
        <v>FINAL MAX</v>
      </c>
      <c r="I34" s="273" t="str">
        <f>'MSW35'!I34</f>
        <v/>
      </c>
      <c r="J34" s="11"/>
      <c r="K34" s="11"/>
      <c r="L34" s="11"/>
      <c r="M34" s="46"/>
      <c r="O34" s="280" t="str">
        <f>'MSW35'!O34</f>
        <v>FINAL MAX</v>
      </c>
      <c r="P34" s="273" t="str">
        <f>'MSW35'!P34</f>
        <v/>
      </c>
      <c r="Q34" s="11"/>
      <c r="R34" s="11"/>
      <c r="S34" s="11"/>
      <c r="T34" s="46"/>
    </row>
    <row r="35">
      <c r="A35" s="658" t="str">
        <f>'MSW35'!A35</f>
        <v/>
      </c>
      <c r="O35" t="str">
        <f>'MSW35'!O35</f>
        <v/>
      </c>
    </row>
    <row r="37">
      <c r="A37" s="440" t="str">
        <f>'MSW35'!A37</f>
        <v>2. DUMBBELL CHEST FLY</v>
      </c>
      <c r="B37" s="53"/>
      <c r="C37" s="53"/>
      <c r="D37" s="53"/>
      <c r="E37" s="53"/>
      <c r="F37" s="54"/>
      <c r="G37" s="659" t="str">
        <f>'MSW35'!G37</f>
        <v/>
      </c>
      <c r="H37" s="504" t="str">
        <f>'MSW35'!H37</f>
        <v>2. MACHINE CHEST FLY</v>
      </c>
      <c r="I37" s="53"/>
      <c r="J37" s="53"/>
      <c r="K37" s="53"/>
      <c r="L37" s="53"/>
      <c r="M37" s="54"/>
      <c r="N37" s="660" t="str">
        <f>'MSW35'!N37</f>
        <v/>
      </c>
    </row>
    <row r="38">
      <c r="A38" s="226" t="str">
        <f>'MSW35'!A38</f>
        <v>INCL DB PRSS MAX</v>
      </c>
      <c r="B38" s="548">
        <f>'MSW35'!B38</f>
        <v>90</v>
      </c>
      <c r="C38" s="13"/>
      <c r="D38" s="13"/>
      <c r="E38" s="13"/>
      <c r="F38" s="57"/>
      <c r="H38" s="226" t="str">
        <f>'MSW35'!H38</f>
        <v>INCL DB PRSS MAX</v>
      </c>
      <c r="I38" s="548">
        <f>'MSW35'!I38</f>
        <v>90</v>
      </c>
      <c r="J38" s="13"/>
      <c r="K38" s="13"/>
      <c r="L38" s="13"/>
      <c r="M38" s="57"/>
      <c r="N38" s="141" t="str">
        <f>'MSW35'!N38</f>
        <v/>
      </c>
    </row>
    <row r="39">
      <c r="A39" s="96" t="str">
        <f>'MSW35'!A39</f>
        <v>SET</v>
      </c>
      <c r="B39" s="97" t="str">
        <f>'MSW35'!B39</f>
        <v>WEIGHT</v>
      </c>
      <c r="C39" s="97" t="str">
        <f>'MSW35'!C39</f>
        <v>REPS</v>
      </c>
      <c r="D39" s="97" t="str">
        <f>'MSW35'!D39</f>
        <v>REST</v>
      </c>
      <c r="E39" s="98" t="str">
        <f>'MSW35'!E39</f>
        <v>PREVIOUS</v>
      </c>
      <c r="F39" s="235" t="str">
        <f>'MSW35'!F39</f>
        <v>REP LOG</v>
      </c>
      <c r="H39" s="96" t="str">
        <f>'MSW35'!H39</f>
        <v>SET</v>
      </c>
      <c r="I39" s="97" t="str">
        <f>'MSW35'!I39</f>
        <v>WEIGHT</v>
      </c>
      <c r="J39" s="97" t="str">
        <f>'MSW35'!J39</f>
        <v>REPS</v>
      </c>
      <c r="K39" s="97" t="str">
        <f>'MSW35'!K39</f>
        <v>REST</v>
      </c>
      <c r="L39" s="341" t="str">
        <f>'MSW35'!L39</f>
        <v>PREVIOUS</v>
      </c>
      <c r="M39" s="235" t="str">
        <f>'MSW35'!M39</f>
        <v>REP LOG</v>
      </c>
    </row>
    <row r="40">
      <c r="A40" s="240">
        <f>'MSW35'!A40</f>
        <v>1</v>
      </c>
      <c r="B40" s="254">
        <f>'MSW35'!B40</f>
        <v>25</v>
      </c>
      <c r="C40" s="241">
        <f>'MSW35'!C40</f>
        <v>15</v>
      </c>
      <c r="D40" s="83" t="str">
        <f>'MSW35'!D40</f>
        <v>1-3 MIN</v>
      </c>
      <c r="E40" s="84" t="str">
        <f>'MSW35'!E40</f>
        <v/>
      </c>
      <c r="F40" s="85"/>
      <c r="H40" s="240">
        <f>'MSW35'!H40</f>
        <v>1</v>
      </c>
      <c r="I40" s="254">
        <f>'MSW35'!I40</f>
        <v>140</v>
      </c>
      <c r="J40" s="241">
        <f>'MSW35'!J40</f>
        <v>15</v>
      </c>
      <c r="K40" s="83" t="str">
        <f>'MSW35'!K40</f>
        <v>1-3 MIN</v>
      </c>
      <c r="L40" s="84" t="str">
        <f>'MSW35'!L40</f>
        <v/>
      </c>
      <c r="M40" s="85"/>
    </row>
    <row r="41">
      <c r="A41" s="661">
        <f>'MSW35'!A41</f>
        <v>2</v>
      </c>
      <c r="B41" s="662">
        <f>'MSW35'!B41</f>
        <v>25</v>
      </c>
      <c r="C41" s="662">
        <f>'MSW35'!C41</f>
        <v>15</v>
      </c>
      <c r="D41" s="88" t="str">
        <f>'MSW35'!D41</f>
        <v>1-3 MIN</v>
      </c>
      <c r="E41" s="89" t="str">
        <f>'MSW35'!E41</f>
        <v/>
      </c>
      <c r="F41" s="85"/>
      <c r="H41" s="661">
        <f>'MSW35'!H41</f>
        <v>2</v>
      </c>
      <c r="I41" s="662">
        <f>'MSW35'!I41</f>
        <v>140</v>
      </c>
      <c r="J41" s="662">
        <f>'MSW35'!J41</f>
        <v>15</v>
      </c>
      <c r="K41" s="88" t="str">
        <f>'MSW35'!K41</f>
        <v>1-3 MIN</v>
      </c>
      <c r="L41" s="89" t="str">
        <f>'MSW35'!L41</f>
        <v/>
      </c>
      <c r="M41" s="85"/>
    </row>
    <row r="42">
      <c r="A42" t="str">
        <f>'MSW35'!A42</f>
        <v/>
      </c>
      <c r="G42" t="str">
        <f>'MSW35'!G42</f>
        <v/>
      </c>
    </row>
    <row r="44">
      <c r="A44" s="73" t="str">
        <f>'MSW35'!A44</f>
        <v>3. MACHINE HIGH ROW</v>
      </c>
      <c r="B44" s="53"/>
      <c r="C44" s="53"/>
      <c r="D44" s="53"/>
      <c r="E44" s="53"/>
      <c r="F44" s="54"/>
    </row>
    <row r="45">
      <c r="A45" s="226" t="str">
        <f>'MSW35'!A45</f>
        <v>CURRENT MAX</v>
      </c>
      <c r="B45" s="227">
        <f>'MSW35'!B45</f>
        <v>175</v>
      </c>
      <c r="C45" s="20"/>
      <c r="D45" s="20"/>
      <c r="E45" s="20"/>
      <c r="F45" s="95"/>
    </row>
    <row r="46">
      <c r="A46" s="231" t="str">
        <f>'MSW35'!A46</f>
        <v>SET</v>
      </c>
      <c r="B46" s="232" t="str">
        <f>'MSW35'!B46</f>
        <v>WEIGHT</v>
      </c>
      <c r="C46" s="232" t="str">
        <f>'MSW35'!C46</f>
        <v>REPS</v>
      </c>
      <c r="D46" s="232" t="str">
        <f>'MSW35'!D46</f>
        <v>REST</v>
      </c>
      <c r="E46" s="233" t="str">
        <f>'MSW35'!E46</f>
        <v>PREVIOUS</v>
      </c>
      <c r="F46" s="61" t="str">
        <f>'MSW35'!F46</f>
        <v>REP LOG</v>
      </c>
    </row>
    <row r="47">
      <c r="A47" s="236">
        <f>'MSW35'!A47</f>
        <v>1</v>
      </c>
      <c r="B47" s="237">
        <f>'MSW35'!B47</f>
        <v>60</v>
      </c>
      <c r="C47" s="237">
        <f>'MSW35'!C47</f>
        <v>6</v>
      </c>
      <c r="D47" s="238" t="str">
        <f>'MSW35'!D47</f>
        <v>30s</v>
      </c>
      <c r="E47" s="66" t="str">
        <f>'MSW35'!E47</f>
        <v/>
      </c>
      <c r="F47" s="67">
        <v>6.0</v>
      </c>
    </row>
    <row r="48">
      <c r="A48" s="236">
        <f>'MSW35'!A48</f>
        <v>2</v>
      </c>
      <c r="B48" s="237">
        <f>'MSW35'!B48</f>
        <v>115</v>
      </c>
      <c r="C48" s="238">
        <f>'MSW35'!C48</f>
        <v>3</v>
      </c>
      <c r="D48" s="238" t="str">
        <f>'MSW35'!D48</f>
        <v>1-2 MIN</v>
      </c>
      <c r="E48" s="66" t="str">
        <f>'MSW35'!E48</f>
        <v/>
      </c>
      <c r="F48" s="67">
        <v>3.0</v>
      </c>
    </row>
    <row r="49">
      <c r="A49" s="242">
        <f>'MSW35'!A49</f>
        <v>3</v>
      </c>
      <c r="B49" s="237">
        <f>'MSW35'!B49</f>
        <v>160</v>
      </c>
      <c r="C49" s="63">
        <f>'MSW35'!C49</f>
        <v>2</v>
      </c>
      <c r="D49" s="238" t="str">
        <f>'MSW35'!D49</f>
        <v>1-2 MIN</v>
      </c>
      <c r="E49" s="66" t="str">
        <f>'MSW35'!E49</f>
        <v/>
      </c>
      <c r="F49" s="67">
        <v>2.0</v>
      </c>
    </row>
    <row r="50">
      <c r="A50" s="243">
        <f>'MSW35'!A50</f>
        <v>4</v>
      </c>
      <c r="B50" s="237">
        <f>'MSW35'!B50</f>
        <v>175</v>
      </c>
      <c r="C50" s="257">
        <f>'MSW35'!C50</f>
        <v>3</v>
      </c>
      <c r="D50" s="238" t="str">
        <f>'MSW35'!D50</f>
        <v>1-5 MIN</v>
      </c>
      <c r="E50" s="66" t="str">
        <f>'MSW35'!E50</f>
        <v/>
      </c>
      <c r="F50" s="67">
        <v>3.0</v>
      </c>
    </row>
    <row r="51">
      <c r="A51" s="246" t="str">
        <f>'MSW35'!A51</f>
        <v>NEW 4 REP MAX ATTEMPT</v>
      </c>
      <c r="B51" s="20"/>
      <c r="C51" s="20"/>
      <c r="D51" s="20"/>
      <c r="E51" s="20"/>
      <c r="F51" s="95"/>
    </row>
    <row r="52">
      <c r="A52" s="249">
        <f>'MSW35'!A52</f>
        <v>5</v>
      </c>
      <c r="B52" s="257">
        <v>190.0</v>
      </c>
      <c r="C52" s="238">
        <f>'MSW35'!C52</f>
        <v>4</v>
      </c>
      <c r="D52" s="238" t="str">
        <f>'MSW35'!D52</f>
        <v>1-5 MIN</v>
      </c>
      <c r="E52" s="250" t="str">
        <f>'MSW35'!E52</f>
        <v/>
      </c>
      <c r="F52" s="67">
        <v>4.0</v>
      </c>
    </row>
    <row r="53">
      <c r="A53" s="259" t="str">
        <f>'MSW35'!A53</f>
        <v>6</v>
      </c>
      <c r="B53" s="238">
        <v>205.0</v>
      </c>
      <c r="C53" s="257" t="str">
        <f>'MSW35'!C53</f>
        <v>4</v>
      </c>
      <c r="D53" s="257" t="str">
        <f>'MSW35'!D53</f>
        <v>1-5 MIN</v>
      </c>
      <c r="E53" s="258" t="str">
        <f>'MSW35'!E53</f>
        <v/>
      </c>
      <c r="F53" s="67">
        <v>4.0</v>
      </c>
    </row>
    <row r="54">
      <c r="A54" s="246" t="str">
        <f>'MSW35'!A54</f>
        <v>DOWN SETS</v>
      </c>
      <c r="B54" s="20"/>
      <c r="C54" s="20"/>
      <c r="D54" s="20"/>
      <c r="E54" s="20"/>
      <c r="F54" s="95"/>
    </row>
    <row r="55">
      <c r="A55" s="264">
        <f>'MSW35'!A55</f>
        <v>7</v>
      </c>
      <c r="B55" s="265">
        <f>'MSW35'!B55</f>
        <v>165</v>
      </c>
      <c r="C55" s="266" t="str">
        <f>'MSW35'!C55</f>
        <v>REP OUT</v>
      </c>
      <c r="D55" s="267" t="str">
        <f>'MSW35'!D55</f>
        <v>1-3 MIN</v>
      </c>
      <c r="E55" s="268" t="str">
        <f>'MSW35'!E55</f>
        <v/>
      </c>
      <c r="F55" s="67">
        <v>20.0</v>
      </c>
    </row>
    <row r="56">
      <c r="A56" s="243">
        <f>'MSW35'!A56</f>
        <v>8</v>
      </c>
      <c r="B56" s="237">
        <f>'MSW35'!B56</f>
        <v>145</v>
      </c>
      <c r="C56" s="245" t="str">
        <f>'MSW35'!C56</f>
        <v>REP OUT</v>
      </c>
      <c r="D56" s="65" t="str">
        <f>'MSW35'!D56</f>
        <v>1-3 MIN</v>
      </c>
      <c r="E56" s="258" t="str">
        <f>'MSW35'!E56</f>
        <v/>
      </c>
      <c r="F56" s="271">
        <v>14.0</v>
      </c>
    </row>
    <row r="57">
      <c r="A57" s="228" t="str">
        <f>'MSW35'!A57</f>
        <v>FINAL MAX</v>
      </c>
      <c r="B57" s="549">
        <f>'MSW35'!B57</f>
        <v>205</v>
      </c>
      <c r="F57" s="28"/>
    </row>
    <row r="58">
      <c r="A58" s="750" t="str">
        <f>'MSW35'!A58</f>
        <v/>
      </c>
      <c r="B58" s="750" t="str">
        <f>'MSW35'!B58</f>
        <v/>
      </c>
      <c r="C58" s="750" t="str">
        <f>'MSW35'!C58</f>
        <v/>
      </c>
      <c r="D58" s="750" t="str">
        <f>'MSW35'!D58</f>
        <v/>
      </c>
      <c r="E58" s="750" t="str">
        <f>'MSW35'!E58</f>
        <v/>
      </c>
      <c r="F58" s="750" t="str">
        <f>'MSW35'!F58</f>
        <v/>
      </c>
    </row>
    <row r="59">
      <c r="A59" s="751" t="str">
        <f>'MSW35'!A59</f>
        <v>4. LAT PULL DOWN</v>
      </c>
      <c r="B59" s="13"/>
      <c r="C59" s="13"/>
      <c r="D59" s="13"/>
      <c r="E59" s="13"/>
      <c r="F59" s="57"/>
    </row>
    <row r="60">
      <c r="A60" s="226" t="str">
        <f>'MSW35'!A60</f>
        <v>CURRENT MAX</v>
      </c>
      <c r="B60" s="691">
        <f>'MSW35'!B60</f>
        <v>235</v>
      </c>
      <c r="C60" s="13"/>
      <c r="D60" s="13"/>
      <c r="E60" s="13"/>
      <c r="F60" s="57"/>
    </row>
    <row r="61">
      <c r="A61" s="96" t="str">
        <f>'MSW35'!A61</f>
        <v>SET</v>
      </c>
      <c r="B61" s="97" t="str">
        <f>'MSW35'!B61</f>
        <v>WEIGHT</v>
      </c>
      <c r="C61" s="97" t="str">
        <f>'MSW35'!C61</f>
        <v>REPS</v>
      </c>
      <c r="D61" s="97" t="str">
        <f>'MSW35'!D61</f>
        <v>REST</v>
      </c>
      <c r="E61" s="341" t="str">
        <f>'MSW35'!E61</f>
        <v>PREVIOUS</v>
      </c>
      <c r="F61" s="235" t="str">
        <f>'MSW35'!F61</f>
        <v>REP LOG</v>
      </c>
    </row>
    <row r="62">
      <c r="A62" s="725">
        <f>'MSW35'!A62</f>
        <v>1</v>
      </c>
      <c r="B62" s="344">
        <f>'MSW35'!B62</f>
        <v>210</v>
      </c>
      <c r="C62" s="437" t="str">
        <f>'MSW35'!C62</f>
        <v>REP OUT</v>
      </c>
      <c r="D62" s="343" t="str">
        <f>'MSW35'!D62</f>
        <v>1 MIN</v>
      </c>
      <c r="E62" s="752" t="str">
        <f>'MSW35'!E62</f>
        <v/>
      </c>
      <c r="F62" s="85">
        <v>4.0</v>
      </c>
    </row>
    <row r="63">
      <c r="A63" s="725">
        <f>'MSW35'!A63</f>
        <v>2</v>
      </c>
      <c r="B63" s="344">
        <f>'MSW35'!B63</f>
        <v>170</v>
      </c>
      <c r="C63" s="437" t="str">
        <f>'MSW35'!C63</f>
        <v>REP OUT</v>
      </c>
      <c r="D63" s="343" t="str">
        <f>'MSW35'!D63</f>
        <v>1 MIN</v>
      </c>
      <c r="E63" s="752" t="str">
        <f>'MSW35'!E63</f>
        <v/>
      </c>
      <c r="F63" s="85">
        <v>8.0</v>
      </c>
    </row>
    <row r="64">
      <c r="A64" s="753">
        <f>'MSW35'!A64</f>
        <v>3</v>
      </c>
      <c r="B64" s="754">
        <f>'MSW35'!B64</f>
        <v>145</v>
      </c>
      <c r="C64" s="733" t="str">
        <f>'MSW35'!C64</f>
        <v>REP OUT</v>
      </c>
      <c r="D64" s="486" t="str">
        <f>'MSW35'!D64</f>
        <v>1 MIN</v>
      </c>
      <c r="E64" s="755" t="str">
        <f>'MSW35'!E64</f>
        <v/>
      </c>
      <c r="F64" s="85">
        <v>7.0</v>
      </c>
    </row>
    <row r="65">
      <c r="A65" s="756" t="str">
        <f>'MSW35'!A65</f>
        <v/>
      </c>
    </row>
    <row r="67">
      <c r="A67" s="73" t="str">
        <f>'MSW35'!A67</f>
        <v>5. LOW ROW </v>
      </c>
      <c r="B67" s="53"/>
      <c r="C67" s="53"/>
      <c r="D67" s="53"/>
      <c r="E67" s="53"/>
      <c r="F67" s="54"/>
    </row>
    <row r="68">
      <c r="A68" s="226" t="str">
        <f>'MSW35'!A68</f>
        <v>CURRENT MAX</v>
      </c>
      <c r="B68" s="691">
        <f>'MSW35'!B68</f>
        <v>220</v>
      </c>
      <c r="C68" s="13"/>
      <c r="D68" s="13"/>
      <c r="E68" s="13"/>
      <c r="F68" s="57"/>
    </row>
    <row r="69">
      <c r="A69" s="96" t="str">
        <f>'MSW35'!A69</f>
        <v>SET</v>
      </c>
      <c r="B69" s="97" t="str">
        <f>'MSW35'!B69</f>
        <v>WEIGHT</v>
      </c>
      <c r="C69" s="97" t="str">
        <f>'MSW35'!C69</f>
        <v>REPS</v>
      </c>
      <c r="D69" s="97" t="str">
        <f>'MSW35'!D69</f>
        <v>REST</v>
      </c>
      <c r="E69" s="341" t="str">
        <f>'MSW35'!E69</f>
        <v>PREVIOUS</v>
      </c>
      <c r="F69" s="235" t="str">
        <f>'MSW35'!F69</f>
        <v>REP LOG</v>
      </c>
    </row>
    <row r="70">
      <c r="A70" s="725">
        <f>'MSW35'!A70</f>
        <v>1</v>
      </c>
      <c r="B70" s="344">
        <f>'MSW35'!B70</f>
        <v>185</v>
      </c>
      <c r="C70" s="437" t="str">
        <f>'MSW35'!C70</f>
        <v>REP OUT</v>
      </c>
      <c r="D70" s="343" t="str">
        <f>'MSW35'!D70</f>
        <v>1-3 MIN</v>
      </c>
      <c r="E70" s="727" t="str">
        <f>'MSW35'!E70</f>
        <v/>
      </c>
      <c r="F70" s="85">
        <v>5.0</v>
      </c>
    </row>
    <row r="71">
      <c r="A71" s="725">
        <f>'MSW35'!A71</f>
        <v>2</v>
      </c>
      <c r="B71" s="344">
        <f>'MSW35'!B71</f>
        <v>140</v>
      </c>
      <c r="C71" s="437" t="str">
        <f>'MSW35'!C71</f>
        <v>REP OUT</v>
      </c>
      <c r="D71" s="343" t="str">
        <f>'MSW35'!D71</f>
        <v>1-3 MIN</v>
      </c>
      <c r="E71" s="727" t="str">
        <f>'MSW35'!E71</f>
        <v/>
      </c>
      <c r="F71" s="85">
        <v>11.0</v>
      </c>
    </row>
    <row r="72">
      <c r="A72" s="753">
        <f>'MSW35'!A72</f>
        <v>3</v>
      </c>
      <c r="B72" s="754">
        <f>'MSW35'!B72</f>
        <v>165</v>
      </c>
      <c r="C72" s="733" t="str">
        <f>'MSW35'!C72</f>
        <v>REP OUT</v>
      </c>
      <c r="D72" s="486" t="str">
        <f>'MSW35'!D72</f>
        <v>1-3 MIN</v>
      </c>
      <c r="E72" s="734" t="str">
        <f>'MSW35'!E72</f>
        <v/>
      </c>
      <c r="F72" s="85">
        <v>10.0</v>
      </c>
    </row>
    <row r="73">
      <c r="A73" s="758" t="str">
        <f>'MSW35'!A73</f>
        <v/>
      </c>
      <c r="B73" s="736" t="str">
        <f>'MSW35'!B73</f>
        <v/>
      </c>
      <c r="C73" s="759" t="str">
        <f>'MSW35'!C73</f>
        <v/>
      </c>
      <c r="D73" s="760" t="str">
        <f>'MSW35'!D73</f>
        <v/>
      </c>
      <c r="E73" s="761" t="str">
        <f>'MSW35'!E73</f>
        <v/>
      </c>
      <c r="F73" s="762" t="str">
        <f>'MSW35'!F73</f>
        <v/>
      </c>
    </row>
    <row r="74">
      <c r="A74" s="310" t="str">
        <f>'MSW35'!A74</f>
        <v>CLICK TO COMPLETE WORKOUT</v>
      </c>
      <c r="B74" s="36"/>
      <c r="C74" s="36"/>
      <c r="D74" s="36"/>
      <c r="E74" s="36"/>
      <c r="F74" s="37"/>
    </row>
    <row r="75">
      <c r="A75" s="763" t="str">
        <f>'MSW35'!A75</f>
        <v/>
      </c>
      <c r="B75" s="764" t="str">
        <f>'MSW35'!B75</f>
        <v/>
      </c>
      <c r="C75" s="764" t="str">
        <f>'MSW35'!C75</f>
        <v/>
      </c>
      <c r="D75" s="764" t="str">
        <f>'MSW35'!D75</f>
        <v/>
      </c>
      <c r="E75" s="764" t="str">
        <f>'MSW35'!E75</f>
        <v/>
      </c>
      <c r="F75" s="764" t="str">
        <f>'MSW35'!F75</f>
        <v/>
      </c>
    </row>
    <row r="76">
      <c r="A76" s="50" t="str">
        <f>'MSW35'!A76</f>
        <v>DAY 2 </v>
      </c>
      <c r="B76" s="36"/>
      <c r="C76" s="36"/>
      <c r="D76" s="36"/>
      <c r="E76" s="36"/>
      <c r="F76" s="37"/>
    </row>
    <row r="77">
      <c r="A77" t="str">
        <f>'MSW35'!A77</f>
        <v/>
      </c>
      <c r="B77" t="str">
        <f>'MSW35'!B77</f>
        <v/>
      </c>
      <c r="C77" t="str">
        <f>'MSW35'!C77</f>
        <v/>
      </c>
      <c r="D77" t="str">
        <f>'MSW35'!D77</f>
        <v/>
      </c>
      <c r="E77" t="str">
        <f>'MSW35'!E77</f>
        <v/>
      </c>
      <c r="F77" t="str">
        <f>'MSW35'!F77</f>
        <v/>
      </c>
    </row>
    <row r="78">
      <c r="A78" s="960" t="str">
        <f>'MSW35'!A78</f>
        <v>1. LEG PRESS</v>
      </c>
      <c r="B78" s="53"/>
      <c r="C78" s="53"/>
      <c r="D78" s="53"/>
      <c r="E78" s="53"/>
      <c r="F78" s="54"/>
    </row>
    <row r="79">
      <c r="A79" s="961" t="str">
        <f>'MSW35'!A79</f>
        <v>CURRENT MAX</v>
      </c>
      <c r="B79" s="1035">
        <f>'MSW35'!B79</f>
        <v>300</v>
      </c>
      <c r="C79" s="13"/>
      <c r="D79" s="13"/>
      <c r="E79" s="13"/>
      <c r="F79" s="57"/>
    </row>
    <row r="80">
      <c r="A80" s="962" t="str">
        <f>'MSW35'!A80</f>
        <v>SET</v>
      </c>
      <c r="B80" s="963" t="str">
        <f>'MSW35'!B80</f>
        <v>WEIGHT</v>
      </c>
      <c r="C80" s="963" t="str">
        <f>'MSW35'!C80</f>
        <v>REPS</v>
      </c>
      <c r="D80" s="963" t="str">
        <f>'MSW35'!D80</f>
        <v>REST</v>
      </c>
      <c r="E80" s="1073" t="str">
        <f>'MSW35'!E80</f>
        <v>PREVIOUS</v>
      </c>
      <c r="F80" s="1006" t="str">
        <f>'MSW35'!F80</f>
        <v>REP LOG</v>
      </c>
    </row>
    <row r="81">
      <c r="A81" s="1307">
        <f>'MSW35'!A81</f>
        <v>1</v>
      </c>
      <c r="B81" s="1015">
        <f>'MSW35'!B81</f>
        <v>150</v>
      </c>
      <c r="C81" s="1234">
        <f>'MSW35'!C81</f>
        <v>30</v>
      </c>
      <c r="D81" s="1234" t="str">
        <f>'MSW35'!D81</f>
        <v>1-5 MIN</v>
      </c>
      <c r="E81" s="1077" t="str">
        <f>'MSW35'!E81</f>
        <v/>
      </c>
      <c r="F81" s="1158">
        <v>30.0</v>
      </c>
    </row>
    <row r="82">
      <c r="A82" s="967">
        <f>'MSW35'!A82</f>
        <v>2</v>
      </c>
      <c r="B82" s="1015">
        <f>'MSW35'!B82</f>
        <v>150</v>
      </c>
      <c r="C82" s="1067">
        <f>'MSW35'!C82</f>
        <v>30</v>
      </c>
      <c r="D82" s="1234" t="str">
        <f>'MSW35'!D82</f>
        <v>1-5 MIN</v>
      </c>
      <c r="E82" s="1077" t="str">
        <f>'MSW35'!E82</f>
        <v/>
      </c>
      <c r="F82" s="1158">
        <v>30.0</v>
      </c>
    </row>
    <row r="83">
      <c r="A83" s="1308">
        <f>'MSW35'!A83</f>
        <v>3</v>
      </c>
      <c r="B83" s="1205">
        <f>'MSW35'!B83</f>
        <v>150</v>
      </c>
      <c r="C83" s="1239">
        <f>'MSW35'!C83</f>
        <v>30</v>
      </c>
      <c r="D83" s="1234" t="str">
        <f>'MSW35'!D83</f>
        <v>1-5 MIN</v>
      </c>
      <c r="E83" s="1077" t="str">
        <f>'MSW35'!E83</f>
        <v/>
      </c>
      <c r="F83" s="1158">
        <v>30.0</v>
      </c>
    </row>
    <row r="84">
      <c r="A84" s="1308">
        <f>'MSW35'!A84</f>
        <v>4</v>
      </c>
      <c r="B84" s="1028">
        <f>'MSW35'!B84</f>
        <v>150</v>
      </c>
      <c r="C84" s="1205">
        <f>'MSW35'!C84</f>
        <v>30</v>
      </c>
      <c r="D84" s="1234" t="str">
        <f>'MSW35'!D84</f>
        <v>1-5 MIN</v>
      </c>
      <c r="E84" s="1211" t="str">
        <f>'MSW35'!E84</f>
        <v/>
      </c>
      <c r="F84" s="1158">
        <v>30.0</v>
      </c>
    </row>
    <row r="85">
      <c r="A85" s="1308" t="str">
        <f>'MSW35'!A85</f>
        <v>5</v>
      </c>
      <c r="B85" s="1205">
        <f>'MSW35'!B85</f>
        <v>150</v>
      </c>
      <c r="C85" s="1234" t="str">
        <f>'MSW35'!C85</f>
        <v>30</v>
      </c>
      <c r="D85" s="1234" t="str">
        <f>'MSW35'!D85</f>
        <v>1-5 MIN</v>
      </c>
      <c r="E85" s="1010" t="str">
        <f>'MSW35'!E85</f>
        <v/>
      </c>
      <c r="F85" s="1158">
        <v>30.0</v>
      </c>
    </row>
    <row r="86">
      <c r="A86" s="1310" t="str">
        <f>'MSW35'!A86</f>
        <v>6</v>
      </c>
      <c r="B86" s="1205">
        <f>'MSW35'!B86</f>
        <v>150</v>
      </c>
      <c r="C86" s="1311" t="str">
        <f>'MSW35'!C86</f>
        <v>30</v>
      </c>
      <c r="D86" s="1234" t="str">
        <f>'MSW35'!D86</f>
        <v>1-5 MIN</v>
      </c>
      <c r="E86" s="1010" t="str">
        <f>'MSW35'!E86</f>
        <v/>
      </c>
      <c r="F86" s="1158">
        <v>30.0</v>
      </c>
    </row>
    <row r="87">
      <c r="A87" s="1310">
        <f>'MSW35'!A87</f>
        <v>7</v>
      </c>
      <c r="B87" s="1205">
        <f>'MSW35'!B87</f>
        <v>150</v>
      </c>
      <c r="C87" s="1311" t="str">
        <f>'MSW35'!C87</f>
        <v>30</v>
      </c>
      <c r="D87" s="1234" t="str">
        <f>'MSW35'!D87</f>
        <v>1-5 MIN</v>
      </c>
      <c r="E87" s="1010" t="str">
        <f>'MSW35'!E87</f>
        <v/>
      </c>
      <c r="F87" s="1158">
        <v>30.0</v>
      </c>
    </row>
    <row r="88">
      <c r="A88" s="1310" t="str">
        <f>'MSW35'!A88</f>
        <v>8</v>
      </c>
      <c r="B88" s="1205">
        <f>'MSW35'!B88</f>
        <v>150</v>
      </c>
      <c r="C88" s="1311" t="str">
        <f>'MSW35'!C88</f>
        <v>30</v>
      </c>
      <c r="D88" s="1234" t="str">
        <f>'MSW35'!D88</f>
        <v>1-5 MIN</v>
      </c>
      <c r="E88" s="1312" t="str">
        <f>'MSW35'!E88</f>
        <v/>
      </c>
      <c r="F88" s="1158">
        <v>30.0</v>
      </c>
    </row>
    <row r="89">
      <c r="A89" s="1310" t="str">
        <f>'MSW35'!A89</f>
        <v>9</v>
      </c>
      <c r="B89" s="1205">
        <f>'MSW35'!B89</f>
        <v>150</v>
      </c>
      <c r="C89" s="1311" t="str">
        <f>'MSW35'!C89</f>
        <v>30</v>
      </c>
      <c r="D89" s="1234" t="str">
        <f>'MSW35'!D89</f>
        <v>1-5 MIN</v>
      </c>
      <c r="E89" s="1010" t="str">
        <f>'MSW35'!E89</f>
        <v/>
      </c>
      <c r="F89" s="1158">
        <v>30.0</v>
      </c>
    </row>
    <row r="90">
      <c r="A90" s="1326" t="str">
        <f>'MSW35'!A90</f>
        <v>10</v>
      </c>
      <c r="B90" s="1327">
        <f>'MSW35'!B90</f>
        <v>150</v>
      </c>
      <c r="C90" s="1328" t="str">
        <f>'MSW35'!C90</f>
        <v>30</v>
      </c>
      <c r="D90" s="1329" t="str">
        <f>'MSW35'!D90</f>
        <v>1-5 MIN</v>
      </c>
      <c r="E90" s="1065" t="str">
        <f>'MSW35'!E90</f>
        <v/>
      </c>
      <c r="F90" s="1324">
        <v>30.0</v>
      </c>
    </row>
    <row r="91">
      <c r="A91" s="1330" t="str">
        <f>'MSW35'!A91</f>
        <v/>
      </c>
      <c r="B91" s="25"/>
      <c r="C91" s="25"/>
      <c r="D91" s="25"/>
      <c r="E91" s="25"/>
      <c r="F91" s="25"/>
    </row>
    <row r="94">
      <c r="A94" s="1285" t="str">
        <f>'MSW35'!A94</f>
        <v>2. LEG EXTENSION</v>
      </c>
      <c r="B94" s="53"/>
      <c r="C94" s="53"/>
      <c r="D94" s="53"/>
      <c r="E94" s="53"/>
      <c r="F94" s="54"/>
    </row>
    <row r="95">
      <c r="A95" s="1045" t="str">
        <f>'MSW35'!A95</f>
        <v>CURRENT MAX</v>
      </c>
      <c r="B95" s="1046">
        <f>'MSW35'!B95</f>
        <v>140</v>
      </c>
      <c r="C95" s="13"/>
      <c r="D95" s="13"/>
      <c r="E95" s="13"/>
      <c r="F95" s="57"/>
    </row>
    <row r="96">
      <c r="A96" s="1331" t="str">
        <f>'MSW35'!A96</f>
        <v>SET</v>
      </c>
      <c r="B96" s="1332" t="str">
        <f>'MSW35'!B96</f>
        <v>WEIGHT</v>
      </c>
      <c r="C96" s="1332" t="str">
        <f>'MSW35'!C96</f>
        <v>REPS</v>
      </c>
      <c r="D96" s="1332" t="str">
        <f>'MSW35'!D96</f>
        <v>REST</v>
      </c>
      <c r="E96" s="1333" t="str">
        <f>'MSW35'!E96</f>
        <v>PREVIOUS</v>
      </c>
      <c r="F96" s="1334" t="str">
        <f>'MSW35'!F96</f>
        <v>REP LOG</v>
      </c>
    </row>
    <row r="97">
      <c r="A97" s="1316">
        <f>'MSW35'!A97</f>
        <v>1</v>
      </c>
      <c r="B97" s="1317">
        <f>'MSW35'!B97</f>
        <v>140</v>
      </c>
      <c r="C97" s="937">
        <f>'MSW35'!C97</f>
        <v>20</v>
      </c>
      <c r="D97" s="1318" t="str">
        <f>'MSW35'!D97</f>
        <v>1 MIN</v>
      </c>
      <c r="E97" s="1335" t="str">
        <f>'MSW35'!E97</f>
        <v/>
      </c>
      <c r="F97" s="1336">
        <v>20.0</v>
      </c>
    </row>
    <row r="98">
      <c r="A98" s="1316">
        <f>'MSW35'!A98</f>
        <v>2</v>
      </c>
      <c r="B98" s="1317">
        <f>'MSW35'!B98</f>
        <v>140</v>
      </c>
      <c r="C98" s="937">
        <f>'MSW35'!C98</f>
        <v>20</v>
      </c>
      <c r="D98" s="1318" t="str">
        <f>'MSW35'!D98</f>
        <v>1 MIN</v>
      </c>
      <c r="E98" s="1335" t="str">
        <f>'MSW35'!E98</f>
        <v/>
      </c>
      <c r="F98" s="1336">
        <v>14.0</v>
      </c>
    </row>
    <row r="99">
      <c r="A99" s="1316">
        <f>'MSW35'!A99</f>
        <v>3</v>
      </c>
      <c r="B99" s="1317">
        <f>'MSW35'!B99</f>
        <v>135</v>
      </c>
      <c r="C99" s="937">
        <f>'MSW35'!C99</f>
        <v>20</v>
      </c>
      <c r="D99" s="1318" t="str">
        <f>'MSW35'!D99</f>
        <v>1 MIN</v>
      </c>
      <c r="E99" s="1335" t="str">
        <f>'MSW35'!E99</f>
        <v/>
      </c>
      <c r="F99" s="1336">
        <v>15.0</v>
      </c>
    </row>
    <row r="100">
      <c r="A100" s="1337">
        <f>'MSW35'!A100</f>
        <v>4</v>
      </c>
      <c r="B100" s="1320">
        <f>'MSW35'!B100</f>
        <v>130</v>
      </c>
      <c r="C100" s="942">
        <f>'MSW35'!C100</f>
        <v>20</v>
      </c>
      <c r="D100" s="1338" t="str">
        <f>'MSW35'!D100</f>
        <v>1 MIN</v>
      </c>
      <c r="E100" s="1339" t="str">
        <f>'MSW35'!E100</f>
        <v/>
      </c>
      <c r="F100" s="1336">
        <v>13.0</v>
      </c>
    </row>
    <row r="101">
      <c r="A101" s="1138" t="str">
        <f>'MSW35'!A101</f>
        <v/>
      </c>
    </row>
    <row r="103">
      <c r="A103" s="323" t="str">
        <f>'MSW35'!A103</f>
        <v>3. MACHINE LEG CURL</v>
      </c>
      <c r="B103" s="53"/>
      <c r="C103" s="53"/>
      <c r="D103" s="53"/>
      <c r="E103" s="53"/>
      <c r="F103" s="54"/>
      <c r="G103" s="141" t="str">
        <f>'MSW35'!G103</f>
        <v/>
      </c>
      <c r="H103" s="323" t="str">
        <f>'MSW35'!H103</f>
        <v>3. PRONE LEG CURL</v>
      </c>
      <c r="I103" s="53"/>
      <c r="J103" s="53"/>
      <c r="K103" s="53"/>
      <c r="L103" s="53"/>
      <c r="M103" s="54"/>
      <c r="N103" t="str">
        <f>'MSW35'!N103</f>
        <v/>
      </c>
    </row>
    <row r="104">
      <c r="A104" s="226" t="str">
        <f>'MSW35'!A104</f>
        <v>CURRENT MAX</v>
      </c>
      <c r="B104" s="90">
        <v>130.0</v>
      </c>
      <c r="C104" s="13"/>
      <c r="D104" s="13"/>
      <c r="E104" s="13"/>
      <c r="F104" s="57"/>
      <c r="H104" s="226" t="str">
        <f>'MSW35'!H104</f>
        <v>CURRENT MAX</v>
      </c>
      <c r="I104" s="316">
        <f>'MSW35'!I104</f>
        <v>15</v>
      </c>
      <c r="J104" s="20"/>
      <c r="K104" s="20"/>
      <c r="L104" s="20"/>
      <c r="M104" s="95"/>
    </row>
    <row r="105">
      <c r="A105" s="567" t="str">
        <f>'MSW35'!A105</f>
        <v>SET</v>
      </c>
      <c r="B105" s="568" t="str">
        <f>'MSW35'!B105</f>
        <v>WEIGHT</v>
      </c>
      <c r="C105" s="568" t="str">
        <f>'MSW35'!C105</f>
        <v>REPS</v>
      </c>
      <c r="D105" s="568" t="str">
        <f>'MSW35'!D105</f>
        <v>REST</v>
      </c>
      <c r="E105" s="1047" t="str">
        <f>'MSW35'!E105</f>
        <v>PREVIOUS</v>
      </c>
      <c r="F105" s="1048" t="str">
        <f>'MSW35'!F105</f>
        <v>REP LOG</v>
      </c>
      <c r="H105" s="567" t="str">
        <f>'MSW35'!H105</f>
        <v>SET</v>
      </c>
      <c r="I105" s="568" t="str">
        <f>'MSW35'!I105</f>
        <v>WEIGHT</v>
      </c>
      <c r="J105" s="568" t="str">
        <f>'MSW35'!J105</f>
        <v>REPS</v>
      </c>
      <c r="K105" s="568" t="str">
        <f>'MSW35'!K105</f>
        <v>REST</v>
      </c>
      <c r="L105" s="1047" t="str">
        <f>'MSW35'!L105</f>
        <v>PREVIOUS</v>
      </c>
      <c r="M105" s="1048" t="str">
        <f>'MSW35'!M105</f>
        <v>REP LOG</v>
      </c>
    </row>
    <row r="106">
      <c r="A106" s="1049">
        <f>'MSW35'!A106</f>
        <v>1</v>
      </c>
      <c r="B106" s="1050">
        <f>'MSW35'!B106</f>
        <v>130</v>
      </c>
      <c r="C106" s="1051">
        <f>'MSW35'!C106</f>
        <v>20</v>
      </c>
      <c r="D106" s="1052" t="str">
        <f>'MSW35'!D106</f>
        <v>1 MIN</v>
      </c>
      <c r="E106" s="1244" t="str">
        <f>'MSW35'!E106</f>
        <v/>
      </c>
      <c r="F106" s="1340">
        <v>20.0</v>
      </c>
      <c r="G106" s="434" t="str">
        <f>'MSW35'!G106</f>
        <v>ALTERNATE</v>
      </c>
      <c r="H106" s="1049">
        <f>'MSW35'!H106</f>
        <v>1</v>
      </c>
      <c r="I106" s="1050">
        <f>'MSW35'!I106</f>
        <v>15</v>
      </c>
      <c r="J106" s="1051">
        <f>'MSW35'!J106</f>
        <v>20</v>
      </c>
      <c r="K106" s="1052" t="str">
        <f>'MSW35'!K106</f>
        <v>1 MIN</v>
      </c>
      <c r="L106" s="1244" t="str">
        <f>'MSW35'!L106</f>
        <v/>
      </c>
      <c r="M106" s="1340"/>
    </row>
    <row r="107">
      <c r="A107" s="1316">
        <f>'MSW35'!A107</f>
        <v>2</v>
      </c>
      <c r="B107" s="1317">
        <f>'MSW35'!B107</f>
        <v>130</v>
      </c>
      <c r="C107" s="937">
        <f>'MSW35'!C107</f>
        <v>20</v>
      </c>
      <c r="D107" s="1318" t="str">
        <f>'MSW35'!D107</f>
        <v>1 MIN</v>
      </c>
      <c r="E107" s="1244" t="str">
        <f>'MSW35'!E107</f>
        <v/>
      </c>
      <c r="F107" s="1340">
        <v>20.0</v>
      </c>
      <c r="H107" s="1316">
        <f>'MSW35'!H107</f>
        <v>2</v>
      </c>
      <c r="I107" s="1317">
        <f>'MSW35'!I107</f>
        <v>10</v>
      </c>
      <c r="J107" s="937">
        <f>'MSW35'!J107</f>
        <v>20</v>
      </c>
      <c r="K107" s="1318" t="str">
        <f>'MSW35'!K107</f>
        <v>1 MIN</v>
      </c>
      <c r="L107" s="1244" t="str">
        <f>'MSW35'!L107</f>
        <v/>
      </c>
      <c r="M107" s="1340"/>
    </row>
    <row r="108">
      <c r="A108" s="1316">
        <f>'MSW35'!A108</f>
        <v>3</v>
      </c>
      <c r="B108" s="1317">
        <f>'MSW35'!B108</f>
        <v>130</v>
      </c>
      <c r="C108" s="937">
        <f>'MSW35'!C108</f>
        <v>20</v>
      </c>
      <c r="D108" s="1318" t="str">
        <f>'MSW35'!D108</f>
        <v>1 MIN</v>
      </c>
      <c r="E108" s="1244" t="str">
        <f>'MSW35'!E108</f>
        <v/>
      </c>
      <c r="F108" s="1340">
        <v>10.0</v>
      </c>
      <c r="G108" s="682" t="str">
        <f>'MSW35'!G108</f>
        <v/>
      </c>
      <c r="H108" s="1316">
        <f>'MSW35'!H108</f>
        <v>3</v>
      </c>
      <c r="I108" s="1317">
        <f>'MSW35'!I108</f>
        <v>10</v>
      </c>
      <c r="J108" s="937">
        <f>'MSW35'!J108</f>
        <v>20</v>
      </c>
      <c r="K108" s="1318" t="str">
        <f>'MSW35'!K108</f>
        <v>1 MIN</v>
      </c>
      <c r="L108" s="1244" t="str">
        <f>'MSW35'!L108</f>
        <v/>
      </c>
      <c r="M108" s="1340"/>
    </row>
    <row r="109">
      <c r="A109" s="1319">
        <f>'MSW35'!A109</f>
        <v>4</v>
      </c>
      <c r="B109" s="1320">
        <f>'MSW35'!B109</f>
        <v>105</v>
      </c>
      <c r="C109" s="1320">
        <f>'MSW35'!C109</f>
        <v>20</v>
      </c>
      <c r="D109" s="1320" t="str">
        <f>'MSW35'!D109</f>
        <v>1 MIN</v>
      </c>
      <c r="E109" s="1255" t="str">
        <f>'MSW35'!E109</f>
        <v/>
      </c>
      <c r="F109" s="1340"/>
      <c r="H109" s="1319">
        <f>'MSW35'!H109</f>
        <v>4</v>
      </c>
      <c r="I109" s="1320">
        <f>'MSW35'!I109</f>
        <v>10</v>
      </c>
      <c r="J109" s="1320">
        <f>'MSW35'!J109</f>
        <v>20</v>
      </c>
      <c r="K109" s="1320" t="str">
        <f>'MSW35'!K109</f>
        <v>1 MIN</v>
      </c>
      <c r="L109" s="1255" t="str">
        <f>'MSW35'!L109</f>
        <v/>
      </c>
      <c r="M109" s="1340"/>
    </row>
    <row r="110">
      <c r="A110" t="str">
        <f>'MSW35'!A110</f>
        <v/>
      </c>
      <c r="B110" t="str">
        <f>'MSW35'!B110</f>
        <v/>
      </c>
      <c r="C110" t="str">
        <f>'MSW35'!C110</f>
        <v/>
      </c>
      <c r="D110" t="str">
        <f>'MSW35'!D110</f>
        <v/>
      </c>
      <c r="E110" t="str">
        <f>'MSW35'!E110</f>
        <v/>
      </c>
      <c r="F110" t="str">
        <f>'MSW35'!F110</f>
        <v/>
      </c>
      <c r="G110" t="str">
        <f>'MSW35'!G110</f>
        <v/>
      </c>
    </row>
    <row r="111">
      <c r="A111" s="1120" t="str">
        <f>'MSW35'!A111</f>
        <v>DAY 3</v>
      </c>
      <c r="B111" s="36"/>
      <c r="C111" s="36"/>
      <c r="D111" s="36"/>
      <c r="E111" s="36"/>
      <c r="F111" s="37"/>
    </row>
    <row r="112">
      <c r="A112" t="str">
        <f>'MSW35'!A112</f>
        <v/>
      </c>
    </row>
    <row r="114">
      <c r="A114" s="960" t="str">
        <f>'MSW35'!A114</f>
        <v>1. SHOULDER CLEANS</v>
      </c>
      <c r="B114" s="53"/>
      <c r="C114" s="53"/>
      <c r="D114" s="53"/>
      <c r="E114" s="53"/>
      <c r="F114" s="54"/>
    </row>
    <row r="115">
      <c r="A115" s="961" t="str">
        <f>'MSW35'!A115</f>
        <v>CURRENT MAX</v>
      </c>
      <c r="B115" s="76">
        <f>'MSW35'!B115</f>
        <v>30</v>
      </c>
      <c r="C115" s="13"/>
      <c r="D115" s="13"/>
      <c r="E115" s="13"/>
      <c r="F115" s="57"/>
    </row>
    <row r="116">
      <c r="A116" s="962" t="str">
        <f>'MSW35'!A116</f>
        <v>SET</v>
      </c>
      <c r="B116" s="963" t="str">
        <f>'MSW35'!B116</f>
        <v>WEIGHT</v>
      </c>
      <c r="C116" s="963" t="str">
        <f>'MSW35'!C116</f>
        <v>REPS</v>
      </c>
      <c r="D116" s="981" t="str">
        <f>'MSW35'!D116</f>
        <v>REST</v>
      </c>
      <c r="E116" s="965" t="str">
        <f>'MSW35'!E116</f>
        <v>PREVIOUS</v>
      </c>
      <c r="F116" s="966" t="str">
        <f>'MSW35'!F116</f>
        <v>REP LOG</v>
      </c>
    </row>
    <row r="117">
      <c r="A117" s="967">
        <f>'MSW35'!A117</f>
        <v>1</v>
      </c>
      <c r="B117" s="968">
        <f>'MSW35'!B117</f>
        <v>30</v>
      </c>
      <c r="C117" s="968">
        <f>'MSW35'!C117</f>
        <v>20</v>
      </c>
      <c r="D117" s="969" t="str">
        <f>'MSW35'!D117</f>
        <v>1 MIN</v>
      </c>
      <c r="E117" s="970" t="str">
        <f>'MSW35'!E117</f>
        <v/>
      </c>
      <c r="F117" s="982">
        <v>20.0</v>
      </c>
    </row>
    <row r="118">
      <c r="A118" s="967">
        <f>'MSW35'!A118</f>
        <v>2</v>
      </c>
      <c r="B118" s="968">
        <f>'MSW35'!B118</f>
        <v>30</v>
      </c>
      <c r="C118" s="968">
        <f>'MSW35'!C118</f>
        <v>20</v>
      </c>
      <c r="D118" s="969" t="str">
        <f>'MSW35'!D118</f>
        <v>1 MIN</v>
      </c>
      <c r="E118" s="970" t="str">
        <f>'MSW35'!E118</f>
        <v/>
      </c>
      <c r="F118" s="982">
        <v>15.0</v>
      </c>
    </row>
    <row r="119">
      <c r="A119" s="971">
        <f>'MSW35'!A119</f>
        <v>3</v>
      </c>
      <c r="B119" s="972">
        <f>'MSW35'!B119</f>
        <v>20</v>
      </c>
      <c r="C119" s="972">
        <f>'MSW35'!C119</f>
        <v>20</v>
      </c>
      <c r="D119" s="973" t="str">
        <f>'MSW35'!D119</f>
        <v>1 MIN</v>
      </c>
      <c r="E119" s="974" t="str">
        <f>'MSW35'!E119</f>
        <v/>
      </c>
      <c r="F119" s="1131">
        <v>20.0</v>
      </c>
    </row>
    <row r="120">
      <c r="A120" t="str">
        <f>'MSW35'!A120</f>
        <v/>
      </c>
      <c r="B120" t="str">
        <f>'MSW35'!B120</f>
        <v/>
      </c>
      <c r="C120" t="str">
        <f>'MSW35'!C120</f>
        <v/>
      </c>
      <c r="D120" t="str">
        <f>'MSW35'!D120</f>
        <v/>
      </c>
      <c r="E120" t="str">
        <f>'MSW35'!E120</f>
        <v/>
      </c>
      <c r="F120" t="str">
        <f>'MSW35'!F120</f>
        <v/>
      </c>
    </row>
    <row r="121">
      <c r="A121" s="361" t="str">
        <f>'MSW35'!A121</f>
        <v>2.  CABLE HIGH PULLEY ROW</v>
      </c>
      <c r="B121" s="53"/>
      <c r="C121" s="53"/>
      <c r="D121" s="53"/>
      <c r="E121" s="53"/>
      <c r="F121" s="54"/>
    </row>
    <row r="122">
      <c r="A122" s="226" t="str">
        <f>'MSW35'!A122</f>
        <v>CURRENT MAX</v>
      </c>
      <c r="B122" s="90">
        <v>150.0</v>
      </c>
      <c r="C122" s="13"/>
      <c r="D122" s="13"/>
      <c r="E122" s="13"/>
      <c r="F122" s="57"/>
    </row>
    <row r="123">
      <c r="A123" s="77" t="str">
        <f>'MSW35'!A123</f>
        <v>SET</v>
      </c>
      <c r="B123" s="78" t="str">
        <f>'MSW35'!B123</f>
        <v>WEIGHT</v>
      </c>
      <c r="C123" s="78" t="str">
        <f>'MSW35'!C123</f>
        <v>REPS</v>
      </c>
      <c r="D123" s="78" t="str">
        <f>'MSW35'!D123</f>
        <v>REST</v>
      </c>
      <c r="E123" s="80" t="str">
        <f>'MSW35'!E123</f>
        <v>PREVIOUS</v>
      </c>
      <c r="F123" s="235" t="str">
        <f>'MSW35'!F123</f>
        <v>REP LOG</v>
      </c>
    </row>
    <row r="124">
      <c r="A124" s="81">
        <f>'MSW35'!A124</f>
        <v>1</v>
      </c>
      <c r="B124" s="82">
        <f>'MSW35'!B124</f>
        <v>75</v>
      </c>
      <c r="C124" s="65">
        <f>'MSW35'!C124</f>
        <v>20</v>
      </c>
      <c r="D124" s="83" t="str">
        <f>'MSW35'!D124</f>
        <v>1MIN</v>
      </c>
      <c r="E124" s="84" t="str">
        <f>'MSW35'!E124</f>
        <v/>
      </c>
      <c r="F124" s="85">
        <v>20.0</v>
      </c>
    </row>
    <row r="125">
      <c r="A125" s="81">
        <f>'MSW35'!A125</f>
        <v>2</v>
      </c>
      <c r="B125" s="82">
        <f>'MSW35'!B125</f>
        <v>75</v>
      </c>
      <c r="C125" s="65">
        <f>'MSW35'!C125</f>
        <v>20</v>
      </c>
      <c r="D125" s="83" t="str">
        <f>'MSW35'!D125</f>
        <v>1MIN</v>
      </c>
      <c r="E125" s="84" t="str">
        <f>'MSW35'!E125</f>
        <v/>
      </c>
      <c r="F125" s="85">
        <v>20.0</v>
      </c>
    </row>
    <row r="126">
      <c r="A126" s="86">
        <f>'MSW35'!A126</f>
        <v>3</v>
      </c>
      <c r="B126" s="87">
        <f>'MSW35'!B126</f>
        <v>75</v>
      </c>
      <c r="C126" s="71">
        <f>'MSW35'!C126</f>
        <v>20</v>
      </c>
      <c r="D126" s="88" t="str">
        <f>'MSW35'!D126</f>
        <v>1MIN</v>
      </c>
      <c r="E126" s="89" t="str">
        <f>'MSW35'!E126</f>
        <v/>
      </c>
      <c r="F126" s="85">
        <v>20.0</v>
      </c>
    </row>
    <row r="127">
      <c r="A127" t="str">
        <f>'MSW35'!A127</f>
        <v/>
      </c>
      <c r="B127" t="str">
        <f>'MSW35'!B127</f>
        <v/>
      </c>
      <c r="C127" t="str">
        <f>'MSW35'!C127</f>
        <v/>
      </c>
      <c r="D127" t="str">
        <f>'MSW35'!D127</f>
        <v/>
      </c>
      <c r="E127" t="str">
        <f>'MSW35'!E127</f>
        <v/>
      </c>
      <c r="F127" t="str">
        <f>'MSW35'!F127</f>
        <v/>
      </c>
    </row>
    <row r="128">
      <c r="A128" s="513" t="str">
        <f>'MSW35'!A128</f>
        <v>3. DUMBBELL SIDE LATERAL RAISE</v>
      </c>
      <c r="B128" s="53"/>
      <c r="C128" s="53"/>
      <c r="D128" s="53"/>
      <c r="E128" s="53"/>
      <c r="F128" s="54"/>
    </row>
    <row r="129">
      <c r="A129" s="226" t="str">
        <f>'MSW35'!A129</f>
        <v>SHLDR PRSS MAX</v>
      </c>
      <c r="B129" s="90">
        <v>85.0</v>
      </c>
      <c r="C129" s="13"/>
      <c r="D129" s="13"/>
      <c r="E129" s="13"/>
      <c r="F129" s="57"/>
    </row>
    <row r="130">
      <c r="A130" s="376" t="str">
        <f>'MSW35'!A130</f>
        <v>SET</v>
      </c>
      <c r="B130" s="79" t="str">
        <f>'MSW35'!B130</f>
        <v>WEIGHT</v>
      </c>
      <c r="C130" s="79" t="str">
        <f>'MSW35'!C130</f>
        <v>REPS</v>
      </c>
      <c r="D130" s="79" t="str">
        <f>'MSW35'!D130</f>
        <v>REST</v>
      </c>
      <c r="E130" s="98" t="str">
        <f>'MSW35'!E130</f>
        <v>PREVIOUS</v>
      </c>
      <c r="F130" s="377" t="str">
        <f>'MSW35'!F130</f>
        <v>REP LOG</v>
      </c>
    </row>
    <row r="131">
      <c r="A131" s="81">
        <f>'MSW35'!A131</f>
        <v>1</v>
      </c>
      <c r="B131" s="63">
        <v>20.0</v>
      </c>
      <c r="C131" s="65">
        <f>'MSW35'!C131</f>
        <v>20</v>
      </c>
      <c r="D131" s="83" t="str">
        <f>'MSW35'!D131</f>
        <v>1 MIN</v>
      </c>
      <c r="E131" s="378" t="str">
        <f>'MSW35'!E131</f>
        <v/>
      </c>
      <c r="F131" s="796">
        <v>10.0</v>
      </c>
    </row>
    <row r="132">
      <c r="A132" s="81">
        <f>'MSW35'!A132</f>
        <v>2</v>
      </c>
      <c r="B132" s="82">
        <f>'MSW35'!B132</f>
        <v>15</v>
      </c>
      <c r="C132" s="65">
        <f>'MSW35'!C132</f>
        <v>20</v>
      </c>
      <c r="D132" s="83" t="str">
        <f>'MSW35'!D132</f>
        <v>1 MIN</v>
      </c>
      <c r="E132" s="378" t="str">
        <f>'MSW35'!E132</f>
        <v/>
      </c>
      <c r="F132" s="330">
        <v>20.0</v>
      </c>
    </row>
    <row r="133">
      <c r="A133" s="86">
        <f>'MSW35'!A133</f>
        <v>3</v>
      </c>
      <c r="B133" s="87">
        <f>'MSW35'!B133</f>
        <v>15</v>
      </c>
      <c r="C133" s="71">
        <f>'MSW35'!C133</f>
        <v>20</v>
      </c>
      <c r="D133" s="88" t="str">
        <f>'MSW35'!D133</f>
        <v>1 MIN</v>
      </c>
      <c r="E133" s="379" t="str">
        <f>'MSW35'!E133</f>
        <v/>
      </c>
      <c r="F133" s="85">
        <v>20.0</v>
      </c>
    </row>
    <row r="134">
      <c r="A134" t="str">
        <f>'MSW35'!A134</f>
        <v/>
      </c>
    </row>
    <row r="136">
      <c r="A136" s="73" t="str">
        <f>'MSW35'!A136</f>
        <v>4. TRICEP PUSH DOWNS</v>
      </c>
      <c r="B136" s="53"/>
      <c r="C136" s="53"/>
      <c r="D136" s="53"/>
      <c r="E136" s="53"/>
      <c r="F136" s="54"/>
    </row>
    <row r="137">
      <c r="A137" s="226" t="str">
        <f>'MSW35'!A137</f>
        <v>CURRENT MAX</v>
      </c>
      <c r="B137" s="90">
        <v>90.0</v>
      </c>
      <c r="C137" s="13"/>
      <c r="D137" s="13"/>
      <c r="E137" s="13"/>
      <c r="F137" s="57"/>
    </row>
    <row r="138">
      <c r="A138" s="77" t="str">
        <f>'MSW35'!A138</f>
        <v>SET</v>
      </c>
      <c r="B138" s="78" t="str">
        <f>'MSW35'!B138</f>
        <v>WEIGHT</v>
      </c>
      <c r="C138" s="78" t="str">
        <f>'MSW35'!C138</f>
        <v>REPS</v>
      </c>
      <c r="D138" s="78" t="str">
        <f>'MSW35'!D138</f>
        <v>REST</v>
      </c>
      <c r="E138" s="80" t="str">
        <f>'MSW35'!E138</f>
        <v>PREVIOUS</v>
      </c>
      <c r="F138" s="235" t="str">
        <f>'MSW35'!F138</f>
        <v>REP LOG</v>
      </c>
    </row>
    <row r="139">
      <c r="A139" s="81">
        <f>'MSW35'!A139</f>
        <v>1</v>
      </c>
      <c r="B139" s="82">
        <f>'MSW35'!B139</f>
        <v>45</v>
      </c>
      <c r="C139" s="65">
        <f>'MSW35'!C139</f>
        <v>20</v>
      </c>
      <c r="D139" s="83" t="str">
        <f>'MSW35'!D139</f>
        <v>1MIN</v>
      </c>
      <c r="E139" s="84" t="str">
        <f>'MSW35'!E139</f>
        <v/>
      </c>
      <c r="F139" s="85">
        <v>20.0</v>
      </c>
    </row>
    <row r="140">
      <c r="A140" s="81">
        <f>'MSW35'!A140</f>
        <v>2</v>
      </c>
      <c r="B140" s="82">
        <f>'MSW35'!B140</f>
        <v>45</v>
      </c>
      <c r="C140" s="65">
        <f>'MSW35'!C140</f>
        <v>20</v>
      </c>
      <c r="D140" s="83" t="str">
        <f>'MSW35'!D140</f>
        <v>1MIN</v>
      </c>
      <c r="E140" s="84"/>
      <c r="F140" s="85">
        <v>20.0</v>
      </c>
    </row>
    <row r="141">
      <c r="A141" s="86">
        <f>'MSW35'!A141</f>
        <v>3</v>
      </c>
      <c r="B141" s="87">
        <f>'MSW35'!B141</f>
        <v>45</v>
      </c>
      <c r="C141" s="71">
        <f>'MSW35'!C141</f>
        <v>20</v>
      </c>
      <c r="D141" s="88" t="str">
        <f>'MSW35'!D141</f>
        <v>1MIN</v>
      </c>
      <c r="E141" s="1341" t="str">
        <f>'MSW35'!E141</f>
        <v/>
      </c>
      <c r="F141" s="85">
        <v>20.0</v>
      </c>
    </row>
    <row r="142">
      <c r="A142" t="str">
        <f>'MSW35'!A142</f>
        <v/>
      </c>
    </row>
    <row r="144">
      <c r="A144" s="75" t="str">
        <f>'MSW35'!A144</f>
        <v>5. BICEP CABLE CURL</v>
      </c>
      <c r="B144" s="53"/>
      <c r="C144" s="53"/>
      <c r="D144" s="53"/>
      <c r="E144" s="53"/>
      <c r="F144" s="54"/>
    </row>
    <row r="145">
      <c r="A145" s="226" t="str">
        <f>'MSW35'!A145</f>
        <v>CURRENT MAX</v>
      </c>
      <c r="B145" s="90">
        <v>150.0</v>
      </c>
      <c r="C145" s="13"/>
      <c r="D145" s="13"/>
      <c r="E145" s="13"/>
      <c r="F145" s="57"/>
    </row>
    <row r="146">
      <c r="A146" s="77" t="str">
        <f>'MSW35'!A146</f>
        <v>SET</v>
      </c>
      <c r="B146" s="78" t="str">
        <f>'MSW35'!B146</f>
        <v>WEIGHT</v>
      </c>
      <c r="C146" s="78" t="str">
        <f>'MSW35'!C146</f>
        <v>REPS</v>
      </c>
      <c r="D146" s="78" t="str">
        <f>'MSW35'!D146</f>
        <v>REST</v>
      </c>
      <c r="E146" s="80" t="str">
        <f>'MSW35'!E146</f>
        <v>PREVIOUS</v>
      </c>
      <c r="F146" s="235" t="str">
        <f>'MSW35'!F146</f>
        <v>REP LOG</v>
      </c>
    </row>
    <row r="147">
      <c r="A147" s="81">
        <f>'MSW35'!A147</f>
        <v>1</v>
      </c>
      <c r="B147" s="82">
        <f>'MSW35'!B147</f>
        <v>75</v>
      </c>
      <c r="C147" s="65">
        <f>'MSW35'!C147</f>
        <v>20</v>
      </c>
      <c r="D147" s="83" t="str">
        <f>'MSW35'!D147</f>
        <v>1MIN</v>
      </c>
      <c r="E147" s="84" t="str">
        <f>'MSW35'!E147</f>
        <v/>
      </c>
      <c r="F147" s="85">
        <v>20.0</v>
      </c>
    </row>
    <row r="148">
      <c r="A148" s="81">
        <f>'MSW35'!A148</f>
        <v>2</v>
      </c>
      <c r="B148" s="82">
        <f>'MSW35'!B148</f>
        <v>75</v>
      </c>
      <c r="C148" s="65">
        <f>'MSW35'!C148</f>
        <v>20</v>
      </c>
      <c r="D148" s="83" t="str">
        <f>'MSW35'!D148</f>
        <v>1MIN</v>
      </c>
      <c r="E148" s="84" t="str">
        <f>'MSW35'!E148</f>
        <v/>
      </c>
      <c r="F148" s="85" t="str">
        <f>'MSW35'!F148</f>
        <v/>
      </c>
    </row>
    <row r="149">
      <c r="A149" s="86">
        <f>'MSW35'!A149</f>
        <v>3</v>
      </c>
      <c r="B149" s="87">
        <f>'MSW35'!B149</f>
        <v>60</v>
      </c>
      <c r="C149" s="71">
        <f>'MSW35'!C149</f>
        <v>20</v>
      </c>
      <c r="D149" s="88" t="str">
        <f>'MSW35'!D149</f>
        <v>1MIN</v>
      </c>
      <c r="E149" s="89" t="str">
        <f>'MSW35'!E149</f>
        <v/>
      </c>
      <c r="F149" s="85" t="str">
        <f>'MSW35'!F149</f>
        <v/>
      </c>
    </row>
    <row r="150">
      <c r="A150" t="str">
        <f>'MSW35'!A150</f>
        <v/>
      </c>
      <c r="G150" t="str">
        <f>'MSW35'!G150</f>
        <v/>
      </c>
    </row>
    <row r="154">
      <c r="A154" s="310" t="str">
        <f>'MSW35'!A154</f>
        <v>CLICK TO COMPLETE WORKOUT</v>
      </c>
      <c r="B154" s="36"/>
      <c r="C154" s="36"/>
      <c r="D154" s="36"/>
      <c r="E154" s="36"/>
      <c r="F154" s="37"/>
    </row>
    <row r="155">
      <c r="A155" s="598" t="str">
        <f>'MSW35'!A155</f>
        <v/>
      </c>
      <c r="B155" s="598" t="str">
        <f>'MSW35'!B155</f>
        <v/>
      </c>
      <c r="C155" s="598" t="str">
        <f>'MSW35'!C155</f>
        <v/>
      </c>
      <c r="D155" s="598" t="str">
        <f>'MSW35'!D155</f>
        <v/>
      </c>
      <c r="E155" s="598" t="str">
        <f>'MSW35'!E155</f>
        <v/>
      </c>
      <c r="F155" s="598" t="str">
        <f>'MSW35'!F155</f>
        <v/>
      </c>
    </row>
    <row r="156">
      <c r="A156" s="639" t="str">
        <f>'MSW35'!A156</f>
        <v>WORKOUT COMPLETE!</v>
      </c>
      <c r="B156" s="36"/>
      <c r="C156" s="36"/>
      <c r="D156" s="36"/>
      <c r="E156" s="36"/>
      <c r="F156" s="37"/>
    </row>
    <row r="157">
      <c r="A157" s="883" t="str">
        <f>'MSW35'!A157</f>
        <v/>
      </c>
    </row>
    <row r="158">
      <c r="A158" s="1342" t="str">
        <f>'MSW35'!A158</f>
        <v>WANT TO LEARN MORE?</v>
      </c>
      <c r="B158" s="25"/>
      <c r="C158" s="25"/>
      <c r="D158" s="25"/>
      <c r="E158" s="25"/>
      <c r="F158" s="26"/>
    </row>
    <row r="159">
      <c r="A159" s="1343"/>
      <c r="B159" s="13"/>
      <c r="C159" s="13"/>
      <c r="D159" s="13"/>
      <c r="E159" s="13"/>
      <c r="F159" s="57"/>
    </row>
    <row r="160">
      <c r="A160" s="885" t="str">
        <f>'MSW35'!A160</f>
        <v/>
      </c>
      <c r="B160" s="886" t="str">
        <f>'MSW35'!B160</f>
        <v/>
      </c>
      <c r="C160" s="644" t="str">
        <f>'MSW35'!C160</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60" s="25"/>
      <c r="E160" s="25"/>
      <c r="F160" s="26"/>
    </row>
    <row r="161">
      <c r="A161" s="887" t="str">
        <f>'MSW35'!A161</f>
        <v/>
      </c>
      <c r="B161" s="888" t="str">
        <f>'MSW35'!B161</f>
        <v/>
      </c>
      <c r="C161" s="529"/>
      <c r="F161" s="28"/>
    </row>
    <row r="162">
      <c r="A162" s="887" t="str">
        <f>'MSW35'!A162</f>
        <v/>
      </c>
      <c r="B162" s="888" t="str">
        <f>'MSW35'!B162</f>
        <v/>
      </c>
      <c r="C162" s="529"/>
      <c r="F162" s="28"/>
    </row>
    <row r="163">
      <c r="A163" s="887" t="str">
        <f>'MSW35'!A163</f>
        <v/>
      </c>
      <c r="B163" s="888" t="str">
        <f>'MSW35'!B163</f>
        <v/>
      </c>
      <c r="C163" s="529"/>
      <c r="F163" s="28"/>
    </row>
    <row r="164">
      <c r="A164" s="887" t="str">
        <f>'MSW35'!A164</f>
        <v/>
      </c>
      <c r="B164" s="888" t="str">
        <f>'MSW35'!B164</f>
        <v/>
      </c>
      <c r="C164" s="529"/>
      <c r="F164" s="28"/>
    </row>
    <row r="165">
      <c r="A165" s="887" t="str">
        <f>'MSW35'!A165</f>
        <v/>
      </c>
      <c r="B165" s="888" t="str">
        <f>'MSW35'!B165</f>
        <v/>
      </c>
      <c r="C165" s="529"/>
      <c r="F165" s="28"/>
    </row>
    <row r="166">
      <c r="A166" s="889" t="str">
        <f>'MSW35'!A166</f>
        <v/>
      </c>
      <c r="B166" s="888" t="str">
        <f>'MSW35'!B166</f>
        <v/>
      </c>
      <c r="C166" s="529"/>
      <c r="F166" s="28"/>
    </row>
    <row r="167">
      <c r="A167" s="887" t="str">
        <f>'MSW35'!A167</f>
        <v/>
      </c>
      <c r="B167" s="888" t="str">
        <f>'MSW35'!B167</f>
        <v/>
      </c>
      <c r="C167" s="529"/>
      <c r="F167" s="28"/>
    </row>
    <row r="168">
      <c r="A168" s="887" t="str">
        <f>'MSW35'!A168</f>
        <v/>
      </c>
      <c r="B168" s="888" t="str">
        <f>'MSW35'!B168</f>
        <v/>
      </c>
      <c r="C168" s="529"/>
      <c r="F168" s="28"/>
    </row>
    <row r="169">
      <c r="A169" s="890" t="str">
        <f>'MSW35'!A169</f>
        <v/>
      </c>
      <c r="B169" s="888" t="str">
        <f>'MSW35'!B169</f>
        <v/>
      </c>
      <c r="C169" s="529"/>
      <c r="F169" s="28"/>
    </row>
    <row r="170">
      <c r="A170" s="887" t="str">
        <f>'MSW35'!A170</f>
        <v/>
      </c>
      <c r="B170" s="888" t="str">
        <f>'MSW35'!B170</f>
        <v/>
      </c>
      <c r="C170" s="529"/>
      <c r="F170" s="28"/>
    </row>
    <row r="171">
      <c r="A171" s="887" t="str">
        <f>'MSW35'!A171</f>
        <v/>
      </c>
      <c r="B171" s="888" t="str">
        <f>'MSW35'!B171</f>
        <v/>
      </c>
      <c r="C171" s="529"/>
      <c r="F171" s="28"/>
    </row>
    <row r="172">
      <c r="A172" s="887" t="str">
        <f>'MSW35'!A172</f>
        <v/>
      </c>
      <c r="B172" s="888" t="str">
        <f>'MSW35'!B172</f>
        <v/>
      </c>
      <c r="C172" s="529"/>
      <c r="F172" s="28"/>
    </row>
    <row r="173">
      <c r="A173" s="887" t="str">
        <f>'MSW35'!A173</f>
        <v/>
      </c>
      <c r="B173" s="888" t="str">
        <f>'MSW35'!B173</f>
        <v/>
      </c>
      <c r="C173" s="529"/>
      <c r="F173" s="28"/>
    </row>
    <row r="174">
      <c r="A174" s="891" t="str">
        <f>'MSW35'!A174</f>
        <v/>
      </c>
      <c r="B174" s="892" t="str">
        <f>'MSW35'!B174</f>
        <v/>
      </c>
      <c r="C174" s="336"/>
      <c r="D174" s="11"/>
      <c r="E174" s="11"/>
      <c r="F174" s="46"/>
    </row>
  </sheetData>
  <mergeCells count="98">
    <mergeCell ref="A27:F27"/>
    <mergeCell ref="H27:M27"/>
    <mergeCell ref="N27:N28"/>
    <mergeCell ref="O27:T27"/>
    <mergeCell ref="H29:M29"/>
    <mergeCell ref="O29:T29"/>
    <mergeCell ref="A30:F30"/>
    <mergeCell ref="B33:F33"/>
    <mergeCell ref="A34:G34"/>
    <mergeCell ref="P34:T34"/>
    <mergeCell ref="A35:N36"/>
    <mergeCell ref="A37:F37"/>
    <mergeCell ref="H37:M37"/>
    <mergeCell ref="I38:M38"/>
    <mergeCell ref="A78:F78"/>
    <mergeCell ref="B79:F79"/>
    <mergeCell ref="A59:F59"/>
    <mergeCell ref="B60:F60"/>
    <mergeCell ref="A65:F66"/>
    <mergeCell ref="A67:F67"/>
    <mergeCell ref="B68:F68"/>
    <mergeCell ref="A74:F74"/>
    <mergeCell ref="A76:F76"/>
    <mergeCell ref="G20:G23"/>
    <mergeCell ref="G24:G25"/>
    <mergeCell ref="G26:G33"/>
    <mergeCell ref="G37:G41"/>
    <mergeCell ref="H20:M20"/>
    <mergeCell ref="I21:M21"/>
    <mergeCell ref="N29:N34"/>
    <mergeCell ref="I34:M34"/>
    <mergeCell ref="N38:N41"/>
    <mergeCell ref="G42:N102"/>
    <mergeCell ref="G103:G105"/>
    <mergeCell ref="I104:M104"/>
    <mergeCell ref="A91:F93"/>
    <mergeCell ref="A94:F94"/>
    <mergeCell ref="B95:F95"/>
    <mergeCell ref="A101:F102"/>
    <mergeCell ref="A103:F103"/>
    <mergeCell ref="B104:F104"/>
    <mergeCell ref="A111:F111"/>
    <mergeCell ref="A112:F113"/>
    <mergeCell ref="A114:F114"/>
    <mergeCell ref="B115:F115"/>
    <mergeCell ref="A121:F121"/>
    <mergeCell ref="B122:F122"/>
    <mergeCell ref="A128:F128"/>
    <mergeCell ref="B129:F129"/>
    <mergeCell ref="A1:T8"/>
    <mergeCell ref="A9:F9"/>
    <mergeCell ref="G9:G11"/>
    <mergeCell ref="H9:M9"/>
    <mergeCell ref="N9:T11"/>
    <mergeCell ref="A10:F11"/>
    <mergeCell ref="H10:M10"/>
    <mergeCell ref="A12:F12"/>
    <mergeCell ref="G12:T14"/>
    <mergeCell ref="A13:F13"/>
    <mergeCell ref="A14:F14"/>
    <mergeCell ref="A15:F15"/>
    <mergeCell ref="H15:M15"/>
    <mergeCell ref="N15:T15"/>
    <mergeCell ref="O19:T19"/>
    <mergeCell ref="O20:T20"/>
    <mergeCell ref="O35:T174"/>
    <mergeCell ref="A16:T18"/>
    <mergeCell ref="A19:F19"/>
    <mergeCell ref="H19:M19"/>
    <mergeCell ref="N19:N26"/>
    <mergeCell ref="A20:F20"/>
    <mergeCell ref="B21:F21"/>
    <mergeCell ref="P21:T21"/>
    <mergeCell ref="B38:F38"/>
    <mergeCell ref="A42:F43"/>
    <mergeCell ref="A44:F44"/>
    <mergeCell ref="B45:F45"/>
    <mergeCell ref="A51:F51"/>
    <mergeCell ref="A54:F54"/>
    <mergeCell ref="B57:F57"/>
    <mergeCell ref="H103:M103"/>
    <mergeCell ref="N103:N109"/>
    <mergeCell ref="G106:G107"/>
    <mergeCell ref="G108:G109"/>
    <mergeCell ref="G110:N149"/>
    <mergeCell ref="G150:N174"/>
    <mergeCell ref="A154:F154"/>
    <mergeCell ref="A156:F156"/>
    <mergeCell ref="A157:F157"/>
    <mergeCell ref="A158:F159"/>
    <mergeCell ref="C160:F174"/>
    <mergeCell ref="A134:F135"/>
    <mergeCell ref="A136:F136"/>
    <mergeCell ref="B137:F137"/>
    <mergeCell ref="A142:F143"/>
    <mergeCell ref="A144:F144"/>
    <mergeCell ref="B145:F145"/>
    <mergeCell ref="A150:F153"/>
  </mergeCells>
  <dataValidations>
    <dataValidation type="decimal" allowBlank="1" showDropDown="1" showInputMessage="1" showErrorMessage="1" prompt="Enter a number between 0 and 30" sqref="F22:F26 M22:M26 T22:T26 M28 T28 F28:F29 F31:F32 M30:M33 T30:T33 F39:F41 M39:M41 F46:F50 F52:F53 F55:F56 F58 F61:F64 F69:F73 F75 F77 F80:F90 F96:F100 M105:M109 F105:F110 F116:F120 F123:F127 F130:F133 F138:F141 F146:F149 F155">
      <formula1>0.0</formula1>
      <formula2>30.0</formula2>
    </dataValidation>
    <dataValidation type="decimal" operator="greaterThan" allowBlank="1" showDropDown="1" showErrorMessage="1" sqref="M11">
      <formula1>0.0</formula1>
    </dataValidation>
  </dataValidations>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347</v>
      </c>
      <c r="B9" s="20"/>
      <c r="C9" s="20"/>
      <c r="D9" s="20"/>
      <c r="E9" s="20"/>
      <c r="F9" s="21"/>
      <c r="G9" s="103"/>
      <c r="H9" s="24" t="s">
        <v>35</v>
      </c>
      <c r="I9" s="25"/>
      <c r="J9" s="25"/>
      <c r="K9" s="25"/>
      <c r="L9" s="25"/>
      <c r="M9" s="26"/>
      <c r="N9" s="103"/>
    </row>
    <row r="10">
      <c r="A10" s="15" t="str">
        <f>HYPERLINK("https://goo.gl/forms/3ibooB993Hi7SS2d2","PRESS TO RECORD BODY WEIGHT")</f>
        <v>PRESS TO RECORD BODY WEIGHT</v>
      </c>
      <c r="B10" s="16"/>
      <c r="C10" s="16"/>
      <c r="D10" s="16"/>
      <c r="E10" s="16"/>
      <c r="F10" s="17"/>
      <c r="G10" s="103"/>
      <c r="H10" s="147" t="s">
        <v>348</v>
      </c>
      <c r="M10" s="28"/>
      <c r="N10" s="103"/>
    </row>
    <row r="11">
      <c r="A11" s="18"/>
      <c r="B11" s="13"/>
      <c r="C11" s="13"/>
      <c r="D11" s="13"/>
      <c r="E11" s="13"/>
      <c r="F11" s="14"/>
      <c r="G11" s="103"/>
      <c r="H11" s="29" t="s">
        <v>349</v>
      </c>
      <c r="I11" s="30"/>
      <c r="J11" s="30"/>
      <c r="K11" s="30"/>
      <c r="L11" s="30"/>
      <c r="M11" s="31"/>
      <c r="N11" s="103"/>
    </row>
    <row r="12">
      <c r="A12" s="19" t="s">
        <v>69</v>
      </c>
      <c r="B12" s="20"/>
      <c r="C12" s="20"/>
      <c r="D12" s="20"/>
      <c r="E12" s="20"/>
      <c r="F12" s="21"/>
      <c r="G12" s="103"/>
      <c r="H12" s="219"/>
      <c r="I12" s="220"/>
      <c r="J12" s="221"/>
      <c r="K12" s="219"/>
      <c r="L12" s="222"/>
      <c r="M12" s="103"/>
      <c r="N12" s="103"/>
    </row>
    <row r="13">
      <c r="A13" s="22" t="s">
        <v>177</v>
      </c>
      <c r="B13" s="20"/>
      <c r="C13" s="20"/>
      <c r="D13" s="20"/>
      <c r="E13" s="20"/>
      <c r="F13" s="21"/>
      <c r="G13" s="103"/>
      <c r="H13" s="103"/>
      <c r="I13" s="103"/>
      <c r="J13" s="103"/>
      <c r="K13" s="103"/>
      <c r="L13" s="222"/>
      <c r="M13" s="103"/>
      <c r="N13" s="103"/>
    </row>
    <row r="14">
      <c r="A14" s="219"/>
      <c r="B14" s="219"/>
      <c r="C14" s="219"/>
      <c r="D14" s="219"/>
      <c r="E14" s="223"/>
      <c r="F14" s="103"/>
      <c r="G14" s="103"/>
      <c r="H14" s="219"/>
      <c r="I14" s="219"/>
      <c r="J14" s="219"/>
      <c r="K14" s="103"/>
      <c r="L14" s="222"/>
      <c r="M14" s="103"/>
      <c r="N14" s="103"/>
    </row>
    <row r="15">
      <c r="A15" s="209"/>
      <c r="G15" s="277"/>
      <c r="H15" s="850"/>
      <c r="N15" s="277"/>
    </row>
    <row r="16">
      <c r="A16" s="50" t="s">
        <v>79</v>
      </c>
      <c r="B16" s="36"/>
      <c r="C16" s="36"/>
      <c r="D16" s="36"/>
      <c r="E16" s="36"/>
      <c r="F16" s="37"/>
      <c r="G16" s="141"/>
      <c r="H16" s="50" t="s">
        <v>118</v>
      </c>
      <c r="I16" s="36"/>
      <c r="J16" s="36"/>
      <c r="K16" s="36"/>
      <c r="L16" s="36"/>
      <c r="M16" s="37"/>
      <c r="N16" s="141"/>
    </row>
    <row r="17">
      <c r="A17" s="657"/>
    </row>
    <row r="19">
      <c r="A19" s="1344" t="s">
        <v>48</v>
      </c>
      <c r="B19" s="36"/>
      <c r="C19" s="36"/>
      <c r="D19" s="36"/>
      <c r="E19" s="36"/>
      <c r="F19" s="37"/>
      <c r="G19" s="141"/>
      <c r="H19" s="51" t="s">
        <v>48</v>
      </c>
      <c r="I19" s="36"/>
      <c r="J19" s="36"/>
      <c r="K19" s="36"/>
      <c r="L19" s="36"/>
      <c r="M19" s="37"/>
      <c r="N19" s="141"/>
    </row>
    <row r="20">
      <c r="A20" s="52" t="str">
        <f>HYPERLINK("https://youtu.be/ujVN-A0Z-ic","1. DUMBBELL INCLINE PRESS")</f>
        <v>1. DUMBBELL INCLINE PRESS</v>
      </c>
      <c r="B20" s="53"/>
      <c r="C20" s="53"/>
      <c r="D20" s="53"/>
      <c r="E20" s="53"/>
      <c r="F20" s="54"/>
      <c r="H20" s="52" t="str">
        <f>HYPERLINK("https://youtu.be/75e_H9Vq_Lw","1. MACHINE PRESS")</f>
        <v>1. MACHINE PRESS</v>
      </c>
      <c r="I20" s="53"/>
      <c r="J20" s="53"/>
      <c r="K20" s="53"/>
      <c r="L20" s="53"/>
      <c r="M20" s="54"/>
    </row>
    <row r="21">
      <c r="A21" s="228" t="s">
        <v>119</v>
      </c>
      <c r="B21" s="229">
        <f>IF('WEEK 35'!I34="",'WEEK 32'!B34,'WEEK 35'!I34)</f>
        <v>90</v>
      </c>
      <c r="C21" s="16"/>
      <c r="D21" s="16"/>
      <c r="E21" s="16"/>
      <c r="F21" s="230"/>
      <c r="H21" s="228" t="s">
        <v>119</v>
      </c>
      <c r="I21" s="229" t="str">
        <f>if('WEEK 31'!Q34="",'WEEK 29'!I34,'WEEK 31'!Q34)</f>
        <v/>
      </c>
      <c r="J21" s="16"/>
      <c r="K21" s="16"/>
      <c r="L21" s="16"/>
      <c r="M21" s="230"/>
    </row>
    <row r="22">
      <c r="A22" s="96" t="s">
        <v>50</v>
      </c>
      <c r="B22" s="97" t="s">
        <v>51</v>
      </c>
      <c r="C22" s="97" t="s">
        <v>52</v>
      </c>
      <c r="D22" s="97" t="s">
        <v>53</v>
      </c>
      <c r="E22" s="98" t="s">
        <v>54</v>
      </c>
      <c r="F22" s="235" t="s">
        <v>55</v>
      </c>
      <c r="H22" s="96" t="s">
        <v>50</v>
      </c>
      <c r="I22" s="97" t="s">
        <v>51</v>
      </c>
      <c r="J22" s="97" t="s">
        <v>52</v>
      </c>
      <c r="K22" s="97" t="s">
        <v>53</v>
      </c>
      <c r="L22" s="98" t="s">
        <v>54</v>
      </c>
      <c r="M22" s="235" t="s">
        <v>55</v>
      </c>
    </row>
    <row r="23">
      <c r="A23" s="244">
        <v>1.0</v>
      </c>
      <c r="B23" s="241">
        <f>mround('WEEK 36'!B21*0.35,5)</f>
        <v>30</v>
      </c>
      <c r="C23" s="63">
        <v>6.0</v>
      </c>
      <c r="D23" s="83" t="s">
        <v>57</v>
      </c>
      <c r="E23" s="84" t="str">
        <f>IF('WEEK 29'!F23='WEEK 36'!B23,'WEEK 29'!F22,"")</f>
        <v/>
      </c>
      <c r="F23" s="85"/>
      <c r="H23" s="244">
        <v>1.0</v>
      </c>
      <c r="I23" s="241">
        <f>mround('WEEK 36'!I21*0.35,5)</f>
        <v>0</v>
      </c>
      <c r="J23" s="63">
        <v>6.0</v>
      </c>
      <c r="K23" s="83" t="s">
        <v>57</v>
      </c>
      <c r="L23" s="84" t="str">
        <f>IF('WEEK 29'!M23='WEEK 36'!I23,'WEEK 29'!M22,"")</f>
        <v>REP LOG</v>
      </c>
      <c r="M23" s="85"/>
    </row>
    <row r="24">
      <c r="A24" s="240">
        <v>2.0</v>
      </c>
      <c r="B24" s="241">
        <f>mround('WEEK 36'!B21*0.65,5)</f>
        <v>60</v>
      </c>
      <c r="C24" s="241">
        <v>1.0</v>
      </c>
      <c r="D24" s="83" t="s">
        <v>57</v>
      </c>
      <c r="E24" s="84" t="str">
        <f>IF('WEEK 29'!F24='WEEK 36'!B24,'WEEK 29'!F24,"")</f>
        <v/>
      </c>
      <c r="F24" s="85"/>
      <c r="H24" s="240">
        <v>2.0</v>
      </c>
      <c r="I24" s="241">
        <f>mround('WEEK 36'!I21*0.65,5)</f>
        <v>0</v>
      </c>
      <c r="J24" s="241">
        <v>1.0</v>
      </c>
      <c r="K24" s="83" t="s">
        <v>57</v>
      </c>
      <c r="L24" s="84" t="str">
        <f>IF('WEEK 29'!M24='WEEK 36'!I24,'WEEK 29'!M24,"")</f>
        <v/>
      </c>
      <c r="M24" s="85"/>
    </row>
    <row r="25">
      <c r="A25" s="240">
        <v>3.0</v>
      </c>
      <c r="B25" s="241">
        <f>mround('WEEK 36'!B21*0.85,5)</f>
        <v>75</v>
      </c>
      <c r="C25" s="63">
        <v>1.0</v>
      </c>
      <c r="D25" s="83" t="s">
        <v>57</v>
      </c>
      <c r="E25" s="84" t="str">
        <f>IF('WEEK 29'!F25='WEEK 36'!B25,'WEEK 29'!F25,"")</f>
        <v/>
      </c>
      <c r="F25" s="85"/>
      <c r="H25" s="240">
        <v>3.0</v>
      </c>
      <c r="I25" s="241">
        <f>mround('WEEK 36'!I21*0.85,5)</f>
        <v>0</v>
      </c>
      <c r="J25" s="241">
        <v>1.0</v>
      </c>
      <c r="K25" s="83" t="s">
        <v>57</v>
      </c>
      <c r="L25" s="84" t="str">
        <f>IF('WEEK 29'!M25='WEEK 36'!I25,'WEEK 29'!M25,"")</f>
        <v/>
      </c>
      <c r="M25" s="85"/>
    </row>
    <row r="26">
      <c r="A26" s="240">
        <v>4.0</v>
      </c>
      <c r="B26" s="241">
        <f>mround('WEEK 36'!B21*1,5)</f>
        <v>90</v>
      </c>
      <c r="C26" s="245" t="s">
        <v>65</v>
      </c>
      <c r="D26" s="83" t="s">
        <v>57</v>
      </c>
      <c r="E26" s="84" t="str">
        <f>IF('WEEK 29'!F26='WEEK 36'!B26,'WEEK 29'!F26,"")</f>
        <v/>
      </c>
      <c r="F26" s="85"/>
      <c r="H26" s="240">
        <v>4.0</v>
      </c>
      <c r="I26" s="241">
        <f>mround('WEEK 36'!I21*1,5)</f>
        <v>0</v>
      </c>
      <c r="J26" s="245" t="s">
        <v>65</v>
      </c>
      <c r="K26" s="83" t="s">
        <v>57</v>
      </c>
      <c r="L26" s="84" t="str">
        <f>IF('WEEK 29'!M26='WEEK 36'!I26,'WEEK 29'!M26,"")</f>
        <v/>
      </c>
      <c r="M26" s="85"/>
    </row>
    <row r="27">
      <c r="A27" s="248" t="str">
        <f>IF(OR(ISBLANK('WEEK 36'!F26),ISBLANK('WEEK 36'!F25),ISBLANK('WEEK 36'!F24)),"PROCEED TO DOWNSETS",if('WEEK 36'!F26&gt;=6,"NEW 4 REP MAX ATTEMPT","PROCEED TO DOWN SETS"))</f>
        <v>PROCEED TO DOWN SETS</v>
      </c>
      <c r="F27" s="28"/>
      <c r="G27" s="247" t="s">
        <v>123</v>
      </c>
      <c r="H27" s="248" t="str">
        <f>IF(OR(ISBLANK('WEEK 36'!M26),ISBLANK('WEEK 36'!M25),ISBLANK('WEEK 36'!M24)),"PROCEED TO DOWNSETS",if('WEEK 36'!M26&gt;=6,"NEW 4 REP MAX ATTEMPT","PROCEED TO DOWN SETS"))</f>
        <v>PROCEED TO DOWNSETS</v>
      </c>
      <c r="M27" s="28"/>
    </row>
    <row r="28">
      <c r="A28" s="251" t="str">
        <f>IF(OR(ISBLANK('WEEK 36'!F26),ISBLANK('WEEK 36'!F25),ISBLANK('WEEK 36'!F24)),"",IF('WEEK 36'!F26&gt;=6,5,""))</f>
        <v/>
      </c>
      <c r="B28" s="252" t="str">
        <f>IF(OR(ISBLANK('WEEK 36'!F26),ISBLANK('WEEK 36'!F25),ISBLANK('WEEK 36'!F24)),"",IF('WEEK 36'!F26&gt;=6,'WEEK 36'!B21+5,""))</f>
        <v/>
      </c>
      <c r="C28" s="253" t="str">
        <f>IF(OR(ISBLANK('WEEK 36'!F26),ISBLANK('WEEK 36'!F25),ISBLANK('WEEK 36'!F24)),"",IF('WEEK 36'!F26&gt;=6,"REP OUT",""))</f>
        <v/>
      </c>
      <c r="D28" s="254" t="str">
        <f>IF(OR(ISBLANK('WEEK 36'!F26),ISBLANK('WEEK 36'!F25),ISBLANK('WEEK 36'!F24)),"",IF('WEEK 36'!F26&gt;5,"1 MIN",""))</f>
        <v/>
      </c>
      <c r="E28" s="84" t="str">
        <f>IF('WEEK 29'!F28='WEEK 36'!B28,'WEEK 29'!F28,"")</f>
        <v/>
      </c>
      <c r="F28" s="67"/>
      <c r="H28" s="251" t="str">
        <f>IF(OR(ISBLANK('WEEK 36'!M26),ISBLANK('WEEK 36'!M25),ISBLANK('WEEK 36'!M24)),"",IF('WEEK 36'!M26&gt;=6,5,""))</f>
        <v/>
      </c>
      <c r="I28" s="252" t="str">
        <f>IF(OR(ISBLANK('WEEK 36'!M26),ISBLANK('WEEK 36'!M25),ISBLANK('WEEK 36'!M24)),"",IF('WEEK 36'!M26&gt;=6,'WEEK 36'!I21+5,""))</f>
        <v/>
      </c>
      <c r="J28" s="253" t="str">
        <f>IF(OR(ISBLANK('WEEK 36'!M26),ISBLANK('WEEK 36'!M25),ISBLANK('WEEK 36'!M24)),"",IF('WEEK 36'!M26&gt;=6,"REP OUT",""))</f>
        <v/>
      </c>
      <c r="K28" s="254" t="str">
        <f>IF(OR(ISBLANK('WEEK 36'!M26),ISBLANK('WEEK 36'!M25),ISBLANK('WEEK 36'!M24)),"",IF('WEEK 36'!M26&gt;5,"1 MIN",""))</f>
        <v/>
      </c>
      <c r="L28" s="84" t="str">
        <f>IF('WEEK 29'!M28='WEEK 36'!I28,'WEEK 29'!M28,"")</f>
        <v/>
      </c>
      <c r="M28" s="67"/>
    </row>
    <row r="29">
      <c r="A29" s="260" t="str">
        <f>IF(OR(ISBLANK('WEEK 36'!F26),ISBLANK('WEEK 36'!F25),ISBLANK('WEEK 36'!F24)),"FILL OUT REP LOG FIRST","DOWN SETS")</f>
        <v>DOWN SETS</v>
      </c>
      <c r="B29" s="16"/>
      <c r="C29" s="16"/>
      <c r="D29" s="16"/>
      <c r="E29" s="16"/>
      <c r="F29" s="230"/>
      <c r="G29" s="141"/>
      <c r="H29" s="260" t="str">
        <f>IF(OR(ISBLANK('WEEK 36'!M26),ISBLANK('WEEK 36'!M25),ISBLANK('WEEK 36'!M24)),"FILL OUT REP LOG FIRST","DOWN SETS")</f>
        <v>FILL OUT REP LOG FIRST</v>
      </c>
      <c r="I29" s="16"/>
      <c r="J29" s="16"/>
      <c r="K29" s="16"/>
      <c r="L29" s="16"/>
      <c r="M29" s="230"/>
    </row>
    <row r="30">
      <c r="A30" s="545">
        <f>IF('WEEK 36'!F28&gt;=4,"",IF(OR(ISBLANK('WEEK 36'!F26),ISBLANK('WEEK 36'!F25),ISBLANK('WEEK 36'!F24)),"",IF('WEEK 36'!F26&gt;5,6,5)))</f>
        <v>5</v>
      </c>
      <c r="B30" s="261">
        <f>IF('WEEK 36'!F28&gt;=4,"",IF(OR(ISBLANK('WEEK 36'!F26),ISBLANK('WEEK 36'!F25),ISBLANK('WEEK 36'!F24)),"",IF('WEEK 36'!F26&lt;6,mround('WEEK 36'!B21*0.8,5),IF('WEEK 36'!F26&lt;10,mround('WEEK 36'!B21*0.93,5),mround('WEEK 36'!B21*0.7,5)))))</f>
        <v>70</v>
      </c>
      <c r="C30" s="262" t="str">
        <f>IF('WEEK 36'!F28&gt;=4,"",IF(OR(ISBLANK('WEEK 36'!F26),ISBLANK('WEEK 36'!F25),ISBLANK('WEEK 36'!F24)),"","REP OUT"))</f>
        <v>REP OUT</v>
      </c>
      <c r="D30" s="65" t="str">
        <f>IF('WEEK 36'!F28&gt;=4,"",IF(OR(ISBLANK('WEEK 36'!F26),ISBLANK('WEEK 36'!F25),ISBLANK('WEEK 36'!F24)),"","1 MIN"))</f>
        <v>1 MIN</v>
      </c>
      <c r="E30" s="84" t="str">
        <f>IF('WEEK 29'!F30='WEEK 36'!B30,'WEEK 29'!F30,"")</f>
        <v/>
      </c>
      <c r="F30" s="263"/>
      <c r="H30" s="91" t="str">
        <f>IF('WEEK 36'!M28&gt;=4,"",IF(OR(ISBLANK('WEEK 36'!M26),ISBLANK('WEEK 36'!M25),ISBLANK('WEEK 36'!M24)),"",IF('WEEK 36'!M26&gt;5,6,5)))</f>
        <v/>
      </c>
      <c r="I30" s="261" t="str">
        <f>IF('WEEK 36'!M28&gt;=4,"",IF(OR(ISBLANK('WEEK 36'!M26),ISBLANK('WEEK 36'!M25),ISBLANK('WEEK 36'!M24)),"",IF('WEEK 36'!M26&lt;6,mround('WEEK 36'!I21*0.8,5),IF('WEEK 36'!M26&lt;10,mround('WEEK 36'!I21*0.93,5),mround('WEEK 36'!I21*0.7,5)))))</f>
        <v/>
      </c>
      <c r="J30" s="262" t="str">
        <f>IF('WEEK 36'!M28&gt;=4,"",IF(OR(ISBLANK('WEEK 36'!M26),ISBLANK('WEEK 36'!M25),ISBLANK('WEEK 36'!M24)),"","REP OUT"))</f>
        <v/>
      </c>
      <c r="K30" s="65" t="str">
        <f>IF('WEEK 36'!M28&gt;=4,"",IF(OR(ISBLANK('WEEK 36'!M26),ISBLANK('WEEK 36'!M25),ISBLANK('WEEK 36'!M24)),"","1 MIN"))</f>
        <v/>
      </c>
      <c r="L30" s="84" t="str">
        <f>IF('WEEK 29'!M30='WEEK 36'!I30,'WEEK 29'!M30,"")</f>
        <v/>
      </c>
      <c r="M30" s="263"/>
    </row>
    <row r="31">
      <c r="A31" s="546">
        <f>IF('WEEK 36'!F28&gt;=4,"",IF(OR(ISBLANK('WEEK 36'!F26),ISBLANK('WEEK 36'!F25),ISBLANK('WEEK 36'!F24)),"",IF('WEEK 36'!F26&gt;5,7,6)))</f>
        <v>6</v>
      </c>
      <c r="B31" s="254">
        <f>IF('WEEK 36'!F28&gt;=4,"",IF(OR(ISBLANK('WEEK 36'!F26),ISBLANK('WEEK 36'!F25),ISBLANK('WEEK 36'!F24)),"",IF('WEEK 36'!F26&lt;6,mround('WEEK 36'!B21*0.65,5),IF('WEEK 36'!F26&lt;10,mround('WEEK 36'!B21*0.7,5),mround('WEEK 36'!B21*0.65,5)))))</f>
        <v>60</v>
      </c>
      <c r="C31" s="253" t="str">
        <f>IF('WEEK 36'!F28&gt;=4,"",IF(OR(ISBLANK('WEEK 36'!F26),ISBLANK('WEEK 36'!F25),ISBLANK('WEEK 36'!F24)),"","REP OUT"))</f>
        <v>REP OUT</v>
      </c>
      <c r="D31" s="65" t="str">
        <f>IF('WEEK 36'!F28&gt;=4,"",IF(OR(ISBLANK('WEEK 36'!F26),ISBLANK('WEEK 36'!F25),ISBLANK('WEEK 36'!F24)),"","1 MIN"))</f>
        <v>1 MIN</v>
      </c>
      <c r="E31" s="84" t="str">
        <f>IF('WEEK 29'!F31='WEEK 36'!B31,'WEEK 29'!F31,"")</f>
        <v/>
      </c>
      <c r="F31" s="270"/>
      <c r="H31" s="269" t="str">
        <f>IF('WEEK 36'!M28&gt;=4,"",IF(OR(ISBLANK('WEEK 36'!M26),ISBLANK('WEEK 36'!M25),ISBLANK('WEEK 36'!M24)),"",IF('WEEK 36'!M26&gt;5,7,6)))</f>
        <v/>
      </c>
      <c r="I31" s="254" t="str">
        <f>IF('WEEK 36'!M28&gt;=4,"",IF(OR(ISBLANK('WEEK 36'!M26),ISBLANK('WEEK 36'!M25),ISBLANK('WEEK 36'!M24)),"",IF('WEEK 36'!M26&lt;6,mround('WEEK 36'!I21*0.65,5),IF('WEEK 36'!M26&lt;10,mround('WEEK 36'!I21*0.7,5),mround('WEEK 36'!I21*0.65,5)))))</f>
        <v/>
      </c>
      <c r="J31" s="253" t="str">
        <f>IF('WEEK 36'!M28&gt;=4,"",IF(OR(ISBLANK('WEEK 36'!M26),ISBLANK('WEEK 36'!M25),ISBLANK('WEEK 36'!M24)),"","REP OUT"))</f>
        <v/>
      </c>
      <c r="K31" s="65" t="str">
        <f>IF('WEEK 36'!M28&gt;=4,"",IF(OR(ISBLANK('WEEK 36'!M26),ISBLANK('WEEK 36'!M25),ISBLANK('WEEK 36'!M24)),"","1 MIN"))</f>
        <v/>
      </c>
      <c r="L31" s="84" t="str">
        <f>IF('WEEK 29'!M31='WEEK 36'!I31,'WEEK 29'!M31,"")</f>
        <v/>
      </c>
      <c r="M31" s="270"/>
    </row>
    <row r="32">
      <c r="A32" s="546" t="str">
        <f>IF('WEEK 36'!F28&lt;4,"",IF(OR(ISBLANK('WEEK 36'!F26),ISBLANK('WEEK 36'!F25),ISBLANK('WEEK 36'!F24)),"",IF('WEEK 36'!F28&gt;3,6,5)))</f>
        <v/>
      </c>
      <c r="B32" s="254" t="str">
        <f>IF('WEEK 36'!F28&lt;4,"",IF(OR(ISBLANK('WEEK 36'!F26),ISBLANK('WEEK 36'!F25),ISBLANK('WEEK 36'!F24)),"",IF('WEEK 36'!F28&lt;6,mround('WEEK 36'!B34*0.8,5),IF('WEEK 36'!F28&lt;10,mround('WEEK 36'!B34*0.93,5),mround(B34*0.7,5)))))</f>
        <v/>
      </c>
      <c r="C32" s="253" t="str">
        <f>IF('WEEK 36'!F28&lt;4,"",IF(OR(ISBLANK('WEEK 36'!F26),ISBLANK('WEEK 36'!F25),ISBLANK('WEEK 36'!F24)),"","REP OUT"))</f>
        <v/>
      </c>
      <c r="D32" s="65" t="str">
        <f>IF('WEEK 36'!F28&lt;4,"",IF(OR(ISBLANK('WEEK 36'!F26),ISBLANK('WEEK 36'!F25),ISBLANK('WEEK 36'!F24)),"","1 MIN"))</f>
        <v/>
      </c>
      <c r="E32" s="84" t="str">
        <f>IF('WEEK 29'!F32='WEEK 36'!B32,'WEEK 29'!F32,"")</f>
        <v/>
      </c>
      <c r="F32" s="270"/>
      <c r="G32" s="141"/>
      <c r="H32" s="269" t="str">
        <f>IF('WEEK 36'!M28&lt;4,"",IF(OR(ISBLANK('WEEK 36'!M26),ISBLANK('WEEK 36'!M25),ISBLANK('WEEK 36'!M24)),"",IF('WEEK 36'!M28&gt;3,6,5)))</f>
        <v/>
      </c>
      <c r="I32" s="254" t="str">
        <f>IF('WEEK 36'!M28&lt;4,"",IF(OR(ISBLANK('WEEK 36'!M26),ISBLANK('WEEK 36'!M25),ISBLANK('WEEK 36'!M24)),"",IF('WEEK 36'!M28&lt;6,mround('WEEK 36'!I34*0.7,5),IF('WEEK 36'!M28&lt;10,mround('WEEK 36'!I34*0.8,5),mround(I34*0.93,5)))))</f>
        <v/>
      </c>
      <c r="J32" s="253" t="str">
        <f>IF('WEEK 36'!M28&lt;4,"",IF(OR(ISBLANK('WEEK 36'!M26),ISBLANK('WEEK 36'!M25),ISBLANK('WEEK 36'!M24)),"","REP OUT"))</f>
        <v/>
      </c>
      <c r="K32" s="65" t="str">
        <f>IF('WEEK 36'!M28&lt;4,"",IF(OR(ISBLANK('WEEK 36'!M26),ISBLANK('WEEK 36'!M25),ISBLANK('WEEK 36'!M24)),"","1 MIN"))</f>
        <v/>
      </c>
      <c r="L32" s="84" t="str">
        <f>IF('WEEK 29'!M32='WEEK 36'!I32,'WEEK 29'!M32,"")</f>
        <v/>
      </c>
      <c r="M32" s="270"/>
      <c r="N32" s="141"/>
    </row>
    <row r="33">
      <c r="A33" s="546" t="str">
        <f>IF('WEEK 36'!F28&lt;4,"",IF(OR(ISBLANK('WEEK 36'!F26),ISBLANK('WEEK 36'!F25),ISBLANK('WEEK 36'!F24)),"",IF('WEEK 36'!F28&gt;3,7,"")))</f>
        <v/>
      </c>
      <c r="B33" s="254" t="str">
        <f>IF('WEEK 36'!F28&lt;4,"",IF(OR(ISBLANK('WEEK 36'!F26),ISBLANK('WEEK 36'!F25),ISBLANK('WEEK 36'!F24)),"",IF('WEEK 36'!F28&lt;6,mround('WEEK 36'!B34*0.65,5),IF('WEEK 36'!F28&lt;10,mround('WEEK 36'!B34*0.7,5),mround(B34*0.65,5)))))</f>
        <v/>
      </c>
      <c r="C33" s="253" t="str">
        <f>IF('WEEK 36'!F28&lt;4,"",IF(OR(ISBLANK('WEEK 36'!F26),ISBLANK('WEEK 36'!F25),ISBLANK('WEEK 36'!F24)),"","REP OUT"))</f>
        <v/>
      </c>
      <c r="D33" s="65" t="str">
        <f>IF('WEEK 36'!F28&lt;4,"",IF(OR(ISBLANK('WEEK 36'!F26),ISBLANK('WEEK 36'!F25),ISBLANK('WEEK 36'!F24)),"","1 MIN"))</f>
        <v/>
      </c>
      <c r="E33" s="84" t="str">
        <f>IF('WEEK 29'!F33='WEEK 36'!B33,'WEEK 29'!F33,"")</f>
        <v/>
      </c>
      <c r="F33" s="270"/>
      <c r="G33" s="141"/>
      <c r="H33" s="269" t="str">
        <f>IF('WEEK 36'!M28&lt;4,"",IF(OR(ISBLANK('WEEK 36'!M26),ISBLANK('WEEK 36'!M25),ISBLANK('WEEK 36'!M24)),"",IF('WEEK 36'!M28&gt;3,7,"")))</f>
        <v/>
      </c>
      <c r="I33" s="254" t="str">
        <f>IF('WEEK 36'!M28&lt;4,"",IF(OR(ISBLANK('WEEK 36'!M26),ISBLANK('WEEK 36'!M25),ISBLANK('WEEK 36'!M24)),"",IF('WEEK 36'!M28&lt;6,mround('WEEK 36'!I34*0.65,5),IF('WEEK 36'!M28&lt;10,mround('WEEK 36'!I34*0.7,5),mround(I34*0.75,5)))))</f>
        <v/>
      </c>
      <c r="J33" s="253" t="str">
        <f>IF('WEEK 36'!M28&lt;4,"",IF(OR(ISBLANK('WEEK 36'!M26),ISBLANK('WEEK 36'!M25),ISBLANK('WEEK 36'!M24)),"","REP OUT"))</f>
        <v/>
      </c>
      <c r="K33" s="65" t="str">
        <f>IF('WEEK 36'!M28&lt;4,"",IF(OR(ISBLANK('WEEK 36'!M26),ISBLANK('WEEK 36'!M25),ISBLANK('WEEK 36'!M24)),"","1 MIN"))</f>
        <v/>
      </c>
      <c r="L33" s="84" t="str">
        <f>IF('WEEK 29'!M33='WEEK 36'!I33,'WEEK 29'!M33,"")</f>
        <v/>
      </c>
      <c r="M33" s="270"/>
      <c r="N33" s="141"/>
    </row>
    <row r="34">
      <c r="A34" s="280" t="s">
        <v>124</v>
      </c>
      <c r="B34" s="273">
        <f>IF(OR(ISBLANK('WEEK 36'!F24),ISBLANK('WEEK 36'!F25),ISBLANK('WEEK 36'!F26)),"",IF('WEEK 36'!F28&gt;=4,'WEEK 36'!B28,IF('WEEK 36'!F26&lt;=3,'WEEK 36'!B26-5,'WEEK 36'!B26)))</f>
        <v>90</v>
      </c>
      <c r="C34" s="11"/>
      <c r="D34" s="11"/>
      <c r="E34" s="11"/>
      <c r="F34" s="46"/>
      <c r="G34" s="141"/>
      <c r="H34" s="280" t="s">
        <v>124</v>
      </c>
      <c r="I34" s="273" t="str">
        <f>IF(OR(ISBLANK('WEEK 36'!M24),ISBLANK('WEEK 36'!M25),ISBLANK('WEEK 36'!M26)),"",IF('WEEK 36'!M28&gt;=4,'WEEK 36'!I28,IF('WEEK 36'!M26&lt;=3,'WEEK 36'!I26-5,'WEEK 36'!I26)))</f>
        <v/>
      </c>
      <c r="J34" s="11"/>
      <c r="K34" s="11"/>
      <c r="L34" s="11"/>
      <c r="M34" s="46"/>
      <c r="N34" s="141"/>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228</v>
      </c>
      <c r="B38" s="548">
        <f>if('WEEK 36'!B34="",'WEEK 35'!I21,'WEEK 36'!B34)</f>
        <v>90</v>
      </c>
      <c r="C38" s="13"/>
      <c r="D38" s="13"/>
      <c r="E38" s="13"/>
      <c r="F38" s="57"/>
      <c r="G38" s="247" t="s">
        <v>123</v>
      </c>
      <c r="H38" s="226" t="s">
        <v>228</v>
      </c>
      <c r="I38" s="548">
        <f>'WEEK 36'!B38</f>
        <v>90</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36'!B38*0.29,2.5)</f>
        <v>25</v>
      </c>
      <c r="C40" s="241">
        <v>15.0</v>
      </c>
      <c r="D40" s="83" t="s">
        <v>57</v>
      </c>
      <c r="E40" s="84" t="str">
        <f>IF('WEEK 29'!F40='WEEK 36'!B40,'WEEK 29'!F40,"")</f>
        <v/>
      </c>
      <c r="F40" s="85"/>
      <c r="G40" s="659"/>
      <c r="H40" s="240">
        <v>1.0</v>
      </c>
      <c r="I40" s="254">
        <f>mround('WEEK 36'!I38*2*0.75,10)</f>
        <v>140</v>
      </c>
      <c r="J40" s="241">
        <v>15.0</v>
      </c>
      <c r="K40" s="83" t="s">
        <v>57</v>
      </c>
      <c r="L40" s="84" t="str">
        <f>IF('WEEK 29'!M40='WEEK 36'!I40,'WEEK 29'!M40,"")</f>
        <v/>
      </c>
      <c r="M40" s="85"/>
    </row>
    <row r="41">
      <c r="A41" s="661">
        <v>2.0</v>
      </c>
      <c r="B41" s="662">
        <f>mround('WEEK 36'!B38*0.29,2.5)</f>
        <v>25</v>
      </c>
      <c r="C41" s="69">
        <v>15.0</v>
      </c>
      <c r="D41" s="88" t="s">
        <v>57</v>
      </c>
      <c r="E41" s="89" t="str">
        <f>IF('WEEK 29'!F41='WEEK 36'!B41,'WEEK 29'!F41,"")</f>
        <v/>
      </c>
      <c r="F41" s="85"/>
      <c r="H41" s="661">
        <v>2.0</v>
      </c>
      <c r="I41" s="662">
        <f>mround('WEEK 36'!I38*2*0.75,10)</f>
        <v>140</v>
      </c>
      <c r="J41" s="662">
        <v>15.0</v>
      </c>
      <c r="K41" s="88" t="s">
        <v>57</v>
      </c>
      <c r="L41" s="89" t="str">
        <f>IF('WEEK 29'!M41='WEEK 36'!I41,'WEEK 29'!M41,"")</f>
        <v/>
      </c>
      <c r="M41" s="85"/>
    </row>
    <row r="44">
      <c r="A44" s="1176" t="str">
        <f>HYPERLINK("https://www.youtube.com/watch?v=JDPkRuVBZ90","2. SUPER SET")</f>
        <v>2. SUPER SET</v>
      </c>
      <c r="B44" s="36"/>
      <c r="C44" s="36"/>
      <c r="D44" s="36"/>
      <c r="E44" s="36"/>
      <c r="F44" s="37"/>
    </row>
    <row r="45">
      <c r="A45" s="1177" t="s">
        <v>119</v>
      </c>
      <c r="B45" s="1178">
        <f>'WEEK 35'!B57</f>
        <v>205</v>
      </c>
      <c r="C45" s="46"/>
      <c r="D45" s="1178">
        <f>'WEEK 35'!B60</f>
        <v>235</v>
      </c>
      <c r="E45" s="11"/>
      <c r="F45" s="46"/>
    </row>
    <row r="46">
      <c r="A46" s="1179" t="s">
        <v>50</v>
      </c>
      <c r="B46" s="1180" t="s">
        <v>200</v>
      </c>
      <c r="C46" s="1181" t="s">
        <v>51</v>
      </c>
      <c r="D46" s="1181" t="s">
        <v>52</v>
      </c>
      <c r="E46" s="1182" t="s">
        <v>54</v>
      </c>
      <c r="F46" s="1006" t="s">
        <v>55</v>
      </c>
    </row>
    <row r="47">
      <c r="A47" s="1183">
        <v>1.0</v>
      </c>
      <c r="B47" s="1345" t="str">
        <f>HYPERLINK("https://www.youtube.com/watch?v=hMUUvL3FlkE&amp;feature=youtu.be","MACH HIGH ROW")</f>
        <v>MACH HIGH ROW</v>
      </c>
      <c r="C47" s="1346">
        <f>MROUND('WEEK 36'!B45*0.45,5)</f>
        <v>90</v>
      </c>
      <c r="D47" s="1347">
        <v>20.0</v>
      </c>
      <c r="E47" s="1187"/>
      <c r="F47" s="1188"/>
    </row>
    <row r="48">
      <c r="A48" s="1189"/>
      <c r="B48" s="1190" t="str">
        <f>HYPERLINK("https://www.youtube.com/watch?v=9YH1YvZbiY0","LOW ROW")</f>
        <v>LOW ROW</v>
      </c>
      <c r="C48" s="1191">
        <f>MROUND('WEEK 36'!D45*0.45,5)</f>
        <v>105</v>
      </c>
      <c r="D48" s="1192">
        <v>20.0</v>
      </c>
      <c r="E48" s="1193"/>
      <c r="F48" s="1188"/>
    </row>
    <row r="49">
      <c r="A49" s="1194" t="s">
        <v>201</v>
      </c>
      <c r="B49" s="11"/>
      <c r="C49" s="11"/>
      <c r="D49" s="11"/>
      <c r="E49" s="11"/>
      <c r="F49" s="46"/>
    </row>
    <row r="50">
      <c r="A50" s="1195">
        <v>2.0</v>
      </c>
      <c r="B50" s="1345" t="str">
        <f>HYPERLINK("https://www.youtube.com/watch?v=hMUUvL3FlkE&amp;feature=youtu.be","MACH HIGH ROW")</f>
        <v>MACH HIGH ROW</v>
      </c>
      <c r="C50" s="1346">
        <f>IF('WEEK 36'!F47&gt;=15,'WEEK 36'!C47,MROUND('WEEK 36'!C47*0.9,5))</f>
        <v>90</v>
      </c>
      <c r="D50" s="1347">
        <v>20.0</v>
      </c>
      <c r="E50" s="1187"/>
      <c r="F50" s="1188"/>
    </row>
    <row r="51">
      <c r="A51" s="1196"/>
      <c r="B51" s="1190" t="str">
        <f>HYPERLINK("https://www.youtube.com/watch?v=9YH1YvZbiY0","LOW ROW")</f>
        <v>LOW ROW</v>
      </c>
      <c r="C51" s="1191">
        <f>IF('WEEK 36'!F48&gt;=15,'WEEK 36'!C48,MROUND('WEEK 36'!C48*0.9,5))</f>
        <v>105</v>
      </c>
      <c r="D51" s="1192">
        <v>20.0</v>
      </c>
      <c r="E51" s="1193"/>
      <c r="F51" s="1188"/>
    </row>
    <row r="52">
      <c r="A52" s="1194" t="s">
        <v>201</v>
      </c>
      <c r="B52" s="11"/>
      <c r="C52" s="11"/>
      <c r="D52" s="11"/>
      <c r="E52" s="11"/>
      <c r="F52" s="46"/>
    </row>
    <row r="53">
      <c r="A53" s="1195">
        <v>3.0</v>
      </c>
      <c r="B53" s="1345" t="str">
        <f>HYPERLINK("https://www.youtube.com/watch?v=hMUUvL3FlkE&amp;feature=youtu.be","MACH HIGH ROW")</f>
        <v>MACH HIGH ROW</v>
      </c>
      <c r="C53" s="1346">
        <f>IF('WEEK 36'!F50&gt;=15,'WEEK 36'!C50,MROUND('WEEK 36'!C50*0.9,5))</f>
        <v>90</v>
      </c>
      <c r="D53" s="1347">
        <v>20.0</v>
      </c>
      <c r="E53" s="1187"/>
      <c r="F53" s="1133"/>
    </row>
    <row r="54">
      <c r="A54" s="1196"/>
      <c r="B54" s="1190" t="str">
        <f>HYPERLINK("https://www.youtube.com/watch?v=9YH1YvZbiY0","LOW ROW")</f>
        <v>LOW ROW</v>
      </c>
      <c r="C54" s="1191">
        <f>IF('WEEK 36'!F51&gt;=15,'WEEK 36'!C51,MROUND('WEEK 36'!C51*0.9,5))</f>
        <v>95</v>
      </c>
      <c r="D54" s="1192">
        <v>20.0</v>
      </c>
      <c r="E54" s="1193"/>
      <c r="F54" s="1133"/>
    </row>
    <row r="55">
      <c r="A55" s="1194" t="s">
        <v>201</v>
      </c>
      <c r="B55" s="11"/>
      <c r="C55" s="11"/>
      <c r="D55" s="11"/>
      <c r="E55" s="11"/>
      <c r="F55" s="46"/>
    </row>
    <row r="56">
      <c r="A56" s="1197">
        <v>4.0</v>
      </c>
      <c r="B56" s="1345" t="str">
        <f>HYPERLINK("https://www.youtube.com/watch?v=hMUUvL3FlkE&amp;feature=youtu.be","MACH HIGH ROW")</f>
        <v>MACH HIGH ROW</v>
      </c>
      <c r="C56" s="1346">
        <f>IF('WEEK 36'!F53&gt;=15,'WEEK 36'!C53,MROUND('WEEK 36'!C53*0.9,5))</f>
        <v>90</v>
      </c>
      <c r="D56" s="1347">
        <v>20.0</v>
      </c>
      <c r="E56" s="1187"/>
      <c r="F56" s="1133"/>
    </row>
    <row r="57">
      <c r="A57" s="1196"/>
      <c r="B57" s="1190" t="str">
        <f>HYPERLINK("https://www.youtube.com/watch?v=9YH1YvZbiY0","LOW ROW")</f>
        <v>LOW ROW</v>
      </c>
      <c r="C57" s="1191">
        <f>IF('WEEK 36'!F54&gt;=15,'WEEK 36'!C54,MROUND('WEEK 36'!C54*0.9,5))</f>
        <v>85</v>
      </c>
      <c r="D57" s="1192">
        <v>20.0</v>
      </c>
      <c r="E57" s="1193"/>
      <c r="F57" s="1133"/>
    </row>
    <row r="59">
      <c r="A59" s="103"/>
      <c r="B59" s="103"/>
      <c r="C59" s="103"/>
      <c r="D59" s="103"/>
      <c r="E59" s="222"/>
      <c r="F59" s="103"/>
    </row>
    <row r="60">
      <c r="A60" s="310" t="str">
        <f>HYPERLINK("https://docs.google.com/a/fitnessresults.com/forms/d/e/1FAIpQLSd7MoczESe8Yjv6BKpmwAZGn9Aiymrs9-UdgfYIUpbr9t5NXg/viewform?usp=pp_url&amp;entry.93370101","CLICK TO COMPLETE WORKOUT")</f>
        <v>CLICK TO COMPLETE WORKOUT</v>
      </c>
      <c r="B60" s="36"/>
      <c r="C60" s="36"/>
      <c r="D60" s="36"/>
      <c r="E60" s="36"/>
      <c r="F60" s="37"/>
    </row>
    <row r="62">
      <c r="A62" s="224" t="s">
        <v>128</v>
      </c>
      <c r="B62" s="36"/>
      <c r="C62" s="36"/>
      <c r="D62" s="36"/>
      <c r="E62" s="36"/>
      <c r="F62" s="37"/>
    </row>
    <row r="65">
      <c r="A65" s="1261" t="str">
        <f>'MSW10'!A75</f>
        <v>1. MACHINE SQUAT</v>
      </c>
      <c r="B65" s="53"/>
      <c r="C65" s="53"/>
      <c r="D65" s="53"/>
      <c r="E65" s="53"/>
      <c r="F65" s="54"/>
    </row>
    <row r="66">
      <c r="A66" s="961" t="s">
        <v>119</v>
      </c>
      <c r="B66" s="1035">
        <f>'WEEK 32'!B74</f>
        <v>35</v>
      </c>
      <c r="C66" s="13"/>
      <c r="D66" s="13"/>
      <c r="E66" s="13"/>
      <c r="F66" s="57"/>
    </row>
    <row r="67">
      <c r="A67" s="231" t="s">
        <v>50</v>
      </c>
      <c r="B67" s="232" t="s">
        <v>51</v>
      </c>
      <c r="C67" s="232" t="s">
        <v>52</v>
      </c>
      <c r="D67" s="232" t="s">
        <v>53</v>
      </c>
      <c r="E67" s="1073" t="s">
        <v>54</v>
      </c>
      <c r="F67" s="1006" t="s">
        <v>55</v>
      </c>
    </row>
    <row r="68">
      <c r="A68" s="236">
        <v>1.0</v>
      </c>
      <c r="B68" s="237">
        <f>mround('WEEK 36'!B66*0.35,5)</f>
        <v>10</v>
      </c>
      <c r="C68" s="238">
        <v>10.0</v>
      </c>
      <c r="D68" s="238" t="s">
        <v>120</v>
      </c>
      <c r="E68" s="1130">
        <f>IF('WEEK 36'!B68='WEEK 32'!B68,'WEEK 32'!F68,"")</f>
        <v>10</v>
      </c>
      <c r="F68" s="1131"/>
    </row>
    <row r="69">
      <c r="A69" s="236">
        <v>2.0</v>
      </c>
      <c r="B69" s="237">
        <f>mround('WEEK 36'!B66*0.65,5)</f>
        <v>25</v>
      </c>
      <c r="C69" s="238">
        <v>10.0</v>
      </c>
      <c r="D69" s="238" t="s">
        <v>121</v>
      </c>
      <c r="E69" s="1130" t="str">
        <f>IF('WEEK 36'!B69='WEEK 32'!B69,'WEEK 32'!F69,"")</f>
        <v/>
      </c>
      <c r="F69" s="1017"/>
    </row>
    <row r="70">
      <c r="A70" s="242">
        <v>3.0</v>
      </c>
      <c r="B70" s="237">
        <f>mround('WEEK 36'!B66*0.9,5)</f>
        <v>30</v>
      </c>
      <c r="C70" s="238">
        <v>10.0</v>
      </c>
      <c r="D70" s="238" t="s">
        <v>121</v>
      </c>
      <c r="E70" s="1130" t="str">
        <f>IF('WEEK 36'!B70='WEEK 32'!B70,'WEEK 32'!F70,"")</f>
        <v/>
      </c>
      <c r="F70" s="1017"/>
    </row>
    <row r="71">
      <c r="A71" s="249">
        <v>4.0</v>
      </c>
      <c r="B71" s="175">
        <f>if('WEEK 36'!F70&lt;10,MROUND('WEEK 36'!B70-('WEEK 36'!B70*20%),5),'WEEK 36'!B66)</f>
        <v>25</v>
      </c>
      <c r="C71" s="238">
        <v>10.0</v>
      </c>
      <c r="D71" s="238" t="s">
        <v>122</v>
      </c>
      <c r="E71" s="1130" t="str">
        <f>IF('WEEK 36'!B71='WEEK 32'!B71,'WEEK 32'!F71,"")</f>
        <v/>
      </c>
      <c r="F71" s="1132"/>
    </row>
    <row r="72">
      <c r="A72" s="249">
        <v>5.0</v>
      </c>
      <c r="B72" s="175">
        <f>IF((AND('WEEK 36'!B71&lt;='WEEK 36'!B70,'WEEK 36'!F71&gt;=10)),'WEEK 36'!B71,IF('WEEK 36'!F71&lt;10,MROUND('WEEK 36'!B71-('WEEK 36'!B71*20%),5),if( 'WEEK 36'!F71&lt;10,MROUND('WEEK 36'!B71-('WEEK 36'!B71*10%),5),MROUND('WEEK 36'!B71+('WEEK 36'!B71*10%),5))))</f>
        <v>20</v>
      </c>
      <c r="C72" s="238">
        <v>10.0</v>
      </c>
      <c r="D72" s="238" t="s">
        <v>122</v>
      </c>
      <c r="E72" s="1130" t="str">
        <f>IF('WEEK 36'!B72='WEEK 32'!B72,'WEEK 32'!F72,"")</f>
        <v/>
      </c>
      <c r="F72" s="1017"/>
    </row>
    <row r="73">
      <c r="A73" s="249">
        <f>if(F71&lt;10,6,6)</f>
        <v>6</v>
      </c>
      <c r="B73" s="175">
        <f>IF((AND('WEEK 36'!B72&lt;='WEEK 36'!B71,'WEEK 36'!F72&gt;=10)),'WEEK 36'!B72,IF('WEEK 36'!F72&lt;10,MROUND('WEEK 36'!B72-('WEEK 36'!B72*20%),5),if( 'WEEK 36'!F72&lt;10,MROUND('WEEK 36'!B72-('WEEK 36'!B72*10%),5),MROUND('WEEK 36'!B72+('WEEK 36'!B72*10%),5))))</f>
        <v>15</v>
      </c>
      <c r="C73" s="238">
        <v>10.0</v>
      </c>
      <c r="D73" s="238" t="s">
        <v>122</v>
      </c>
      <c r="E73" s="1130" t="str">
        <f>IF('WEEK 36'!B73='WEEK 32'!B73,'WEEK 32'!F73,"")</f>
        <v/>
      </c>
      <c r="F73" s="1017"/>
    </row>
    <row r="74">
      <c r="A74" s="1038">
        <f>IF(F73&lt;10,7,"7")</f>
        <v>7</v>
      </c>
      <c r="B74" s="175">
        <f>IF((AND('WEEK 36'!B73&lt;='WEEK 36'!B72,'WEEK 36'!F73&gt;=10)),'WEEK 36'!B73,IF('WEEK 36'!F73&lt;10,MROUND('WEEK 36'!B73-('WEEK 36'!B73*20%),5),if( 'WEEK 36'!F73&lt;10,MROUND('WEEK 36'!B73-('WEEK 36'!B73*10%),5),MROUND('WEEK 36'!B73+('WEEK 36'!B73*10%),5))))</f>
        <v>10</v>
      </c>
      <c r="C74" s="238">
        <v>10.0</v>
      </c>
      <c r="D74" s="238" t="s">
        <v>122</v>
      </c>
      <c r="E74" s="1130" t="str">
        <f>IF('WEEK 36'!B74='WEEK 32'!B80,'WEEK 32'!F80,"")</f>
        <v/>
      </c>
      <c r="F74" s="1133"/>
    </row>
    <row r="75">
      <c r="A75" s="249">
        <f>IF(F74&lt;10,8,"8")</f>
        <v>8</v>
      </c>
      <c r="B75" s="175">
        <f>IF((AND('WEEK 36'!B74&lt;='WEEK 36'!B73,'WEEK 36'!F74&gt;=10)),'WEEK 36'!B74,IF('WEEK 36'!F74&lt;10,MROUND('WEEK 36'!B74-('WEEK 36'!B74*20%),5),if( 'WEEK 36'!F74&lt;10,MROUND('WEEK 36'!B74-('WEEK 36'!B74*10%),5),MROUND('WEEK 36'!B74+('WEEK 36'!B74*10%),5))))</f>
        <v>10</v>
      </c>
      <c r="C75" s="238">
        <v>10.0</v>
      </c>
      <c r="D75" s="238" t="s">
        <v>122</v>
      </c>
      <c r="E75" s="1130" t="str">
        <f>IF('WEEK 36'!B75='WEEK 32'!B81,'WEEK 32'!F81,"")</f>
        <v/>
      </c>
      <c r="F75" s="1133"/>
    </row>
    <row r="76">
      <c r="A76" s="272" t="s">
        <v>192</v>
      </c>
      <c r="B76" s="1039">
        <f>IF((AND('WEEK 36'!F75&gt;=10,'WEEK 36'!B75&gt;'WEEK 36'!B74)),'WEEK 36'!B75,IF((AND('WEEK 36'!F74&gt;=10,'WEEK 36'!B74&gt;'WEEK 36'!B73)),'WEEK 36'!B74,IF((AND('WEEK 36'!F73&gt;=10,'WEEK 36'!B73&gt;'WEEK 36'!B72)),'WEEK 36'!B73,IF((AND('WEEK 36'!F72&gt;=10,'WEEK 36'!B72&gt;'WEEK 36'!B71)),'WEEK 36'!B72,IF((AND('WEEK 36'!F71&gt;=10,'WEEK 36'!B71&gt;'WEEK 36'!B70)),'WEEK 36'!B71,IF((AND('WEEK 36'!F70&gt;=10,'WEEK 36'!B70&gt;'WEEK 36'!B69)),'WEEK 36'!B70,IF((AND('WEEK 36'!F69&gt;=10,'WEEK 36'!B69&gt;'WEEK 36'!B68)),'WEEK 36'!B69,IF((AND('WEEK 36'!F68&gt;=10,'WEEK 36'!B68&gt;'WEEK 36'!B67)),'WEEK 36'!B68,IF((AND('WEEK 36'!F67&gt;=10,'WEEK 36'!B67&gt;'WEEK 36'!B66)),'WEEK 36'!B66)))))))))</f>
        <v>35</v>
      </c>
      <c r="C76" s="11"/>
      <c r="D76" s="11"/>
      <c r="E76" s="11"/>
      <c r="F76" s="46"/>
    </row>
    <row r="79">
      <c r="A79" s="1044" t="str">
        <f>HYPERLINK("https://www.youtube.com/watch?v=NZ9KiFtbiMs","2. LEG EXTENSION")</f>
        <v>2. LEG EXTENSION</v>
      </c>
      <c r="B79" s="13"/>
      <c r="C79" s="13"/>
      <c r="D79" s="13"/>
      <c r="E79" s="13"/>
      <c r="F79" s="57"/>
    </row>
    <row r="80">
      <c r="A80" s="1045" t="s">
        <v>119</v>
      </c>
      <c r="B80" s="1046">
        <f>IF('WEEK 35'!B97='WEEK 35'!B99,'WEEK 35'!B97+5,IF('WEEK 35'!F97&lt;=9,MROUND('WEEK 35'!B95*0.95,5),'WEEK 35'!B97))</f>
        <v>140</v>
      </c>
      <c r="C80" s="13"/>
      <c r="D80" s="13"/>
      <c r="E80" s="13"/>
      <c r="F80" s="57"/>
    </row>
    <row r="81">
      <c r="A81" s="567" t="s">
        <v>50</v>
      </c>
      <c r="B81" s="568" t="s">
        <v>51</v>
      </c>
      <c r="C81" s="568" t="s">
        <v>52</v>
      </c>
      <c r="D81" s="568" t="s">
        <v>53</v>
      </c>
      <c r="E81" s="1047" t="s">
        <v>54</v>
      </c>
      <c r="F81" s="1048" t="s">
        <v>55</v>
      </c>
    </row>
    <row r="82">
      <c r="A82" s="1049">
        <v>1.0</v>
      </c>
      <c r="B82" s="1050">
        <f>'WEEK 36'!B80</f>
        <v>140</v>
      </c>
      <c r="C82" s="1051" t="s">
        <v>144</v>
      </c>
      <c r="D82" s="1052" t="s">
        <v>57</v>
      </c>
      <c r="E82" s="1130">
        <f>IF('WEEK 35'!B97='WEEK 36'!B82,'WEEK 35'!F97,"")</f>
        <v>20</v>
      </c>
      <c r="F82" s="1017"/>
    </row>
    <row r="83">
      <c r="A83" s="1049">
        <v>2.0</v>
      </c>
      <c r="B83" s="1050">
        <f>if('WEEK 36'!F82&lt;12,mround('WEEK 36'!B82*0.8,5),IF('WEEK 36'!F82&lt;=19,MROUND('WEEK 36'!B82*0.95,5),'WEEK 36'!B82))</f>
        <v>110</v>
      </c>
      <c r="C83" s="1051" t="s">
        <v>144</v>
      </c>
      <c r="D83" s="1052" t="s">
        <v>57</v>
      </c>
      <c r="E83" s="1130" t="str">
        <f>IF('WEEK 35'!B98='WEEK 36'!B83,'WEEK 35'!F98,"")</f>
        <v/>
      </c>
      <c r="F83" s="1017"/>
    </row>
    <row r="84">
      <c r="A84" s="1053">
        <v>3.0</v>
      </c>
      <c r="B84" s="1054">
        <f>if('WEEK 36'!F83&lt;12,mround('WEEK 36'!B83*0.8,5),IF('WEEK 36'!F83&lt;=19,MROUND('WEEK 36'!B83*0.95,5),'WEEK 36'!B83))</f>
        <v>90</v>
      </c>
      <c r="C84" s="1055" t="s">
        <v>144</v>
      </c>
      <c r="D84" s="1056" t="s">
        <v>57</v>
      </c>
      <c r="E84" s="1348" t="str">
        <f>IF('WEEK 35'!B99='WEEK 36'!B84,'WEEK 35'!F99,"")</f>
        <v/>
      </c>
      <c r="F84" s="1017"/>
    </row>
    <row r="87">
      <c r="A87" s="323" t="str">
        <f>HYPERLINK("https://www.youtube.com/watch?v=XepOfsnGFJg","3. MACHINE LEG CURL")</f>
        <v>3. MACHINE LEG CURL</v>
      </c>
      <c r="B87" s="53"/>
      <c r="C87" s="53"/>
      <c r="D87" s="53"/>
      <c r="E87" s="53"/>
      <c r="F87" s="54"/>
      <c r="G87" s="141"/>
      <c r="H87" s="323" t="str">
        <f>HYPERLINK("https://youtu.be/kmN9cJ79PDE","3. PRONE LEG CURL")</f>
        <v>3. PRONE LEG CURL</v>
      </c>
      <c r="I87" s="53"/>
      <c r="J87" s="53"/>
      <c r="K87" s="53"/>
      <c r="L87" s="53"/>
      <c r="M87" s="54"/>
    </row>
    <row r="88">
      <c r="A88" s="1045" t="s">
        <v>119</v>
      </c>
      <c r="B88" s="1046">
        <f>IF('WEEK 35'!B106='WEEK 35'!B108,'WEEK 35'!B106+5,IF('WEEK 35'!F106&lt;=9,MROUND('WEEK 35'!B104*0.95,5),'WEEK 35'!B106))</f>
        <v>135</v>
      </c>
      <c r="C88" s="13"/>
      <c r="D88" s="13"/>
      <c r="E88" s="13"/>
      <c r="F88" s="57"/>
      <c r="H88" s="1045" t="s">
        <v>119</v>
      </c>
      <c r="I88" s="1046">
        <f>IF('WEEK 35'!I106='WEEK 35'!I108,'WEEK 35'!I106+5,IF('WEEK 35'!M106&lt;=9,MROUND('WEEK 35'!I104*0.95,5),'WEEK 35'!I106))</f>
        <v>15</v>
      </c>
      <c r="J88" s="13"/>
      <c r="K88" s="13"/>
      <c r="L88" s="13"/>
      <c r="M88" s="57"/>
    </row>
    <row r="89">
      <c r="A89" s="567" t="s">
        <v>50</v>
      </c>
      <c r="B89" s="568" t="s">
        <v>51</v>
      </c>
      <c r="C89" s="568" t="s">
        <v>52</v>
      </c>
      <c r="D89" s="568" t="s">
        <v>53</v>
      </c>
      <c r="E89" s="1047" t="s">
        <v>54</v>
      </c>
      <c r="F89" s="1048" t="s">
        <v>55</v>
      </c>
      <c r="H89" s="567" t="s">
        <v>50</v>
      </c>
      <c r="I89" s="568" t="s">
        <v>51</v>
      </c>
      <c r="J89" s="568" t="s">
        <v>52</v>
      </c>
      <c r="K89" s="568" t="s">
        <v>53</v>
      </c>
      <c r="L89" s="1047" t="s">
        <v>54</v>
      </c>
      <c r="M89" s="1048" t="s">
        <v>55</v>
      </c>
    </row>
    <row r="90">
      <c r="A90" s="1049">
        <v>1.0</v>
      </c>
      <c r="B90" s="1050">
        <f>'WEEK 36'!B88</f>
        <v>135</v>
      </c>
      <c r="C90" s="1051" t="s">
        <v>144</v>
      </c>
      <c r="D90" s="1052" t="s">
        <v>57</v>
      </c>
      <c r="E90" s="1349" t="str">
        <f>IF('WEEK 35'!B106='WEEK 36'!B90,'WEEK 35'!F106,"")</f>
        <v/>
      </c>
      <c r="F90" s="1017"/>
      <c r="G90" s="434" t="s">
        <v>123</v>
      </c>
      <c r="H90" s="1049">
        <v>1.0</v>
      </c>
      <c r="I90" s="1050">
        <f>'WEEK 36'!I88</f>
        <v>15</v>
      </c>
      <c r="J90" s="1051" t="s">
        <v>144</v>
      </c>
      <c r="K90" s="1052" t="s">
        <v>57</v>
      </c>
      <c r="L90" s="1349" t="str">
        <f>IF('WEEK 35'!I106='WEEK 36'!I90,'WEEK 35'!M106,"")</f>
        <v/>
      </c>
      <c r="M90" s="1017"/>
    </row>
    <row r="91">
      <c r="A91" s="1049">
        <v>2.0</v>
      </c>
      <c r="B91" s="1050">
        <f>if('WEEK 36'!F90&lt;12,mround('WEEK 36'!B90*0.8,5),IF('WEEK 36'!F90&lt;=19,MROUND('WEEK 36'!B90*0.95,5),'WEEK 36'!B90))</f>
        <v>110</v>
      </c>
      <c r="C91" s="1051" t="s">
        <v>144</v>
      </c>
      <c r="D91" s="1052" t="s">
        <v>57</v>
      </c>
      <c r="E91" s="1349" t="str">
        <f>IF('WEEK 35'!B107='WEEK 36'!B91,'WEEK 35'!F107,"")</f>
        <v/>
      </c>
      <c r="F91" s="1017"/>
      <c r="H91" s="1049">
        <v>2.0</v>
      </c>
      <c r="I91" s="1050">
        <f>if('WEEK 36'!M90&lt;12,mround('WEEK 36'!I90*0.8,5),IF('WEEK 36'!M90&lt;=19,MROUND('WEEK 36'!I90*0.95,5),'WEEK 36'!I90))</f>
        <v>10</v>
      </c>
      <c r="J91" s="1051" t="s">
        <v>144</v>
      </c>
      <c r="K91" s="1052" t="s">
        <v>57</v>
      </c>
      <c r="L91" s="1349" t="str">
        <f>IF('WEEK 35'!I107='WEEK 36'!I91,'WEEK 35'!M107,"")</f>
        <v/>
      </c>
      <c r="M91" s="1017"/>
    </row>
    <row r="92">
      <c r="A92" s="1053">
        <v>3.0</v>
      </c>
      <c r="B92" s="1054">
        <f>if('WEEK 36'!F91&lt;12,mround('WEEK 36'!B91*0.8,5),IF('WEEK 36'!F91&lt;=19,MROUND('WEEK 36'!B91*0.95,5),'WEEK 36'!B91))</f>
        <v>90</v>
      </c>
      <c r="C92" s="1055" t="s">
        <v>144</v>
      </c>
      <c r="D92" s="1056" t="s">
        <v>57</v>
      </c>
      <c r="E92" s="1350" t="str">
        <f>IF('WEEK 35'!B108='WEEK 36'!B92,'WEEK 35'!F108,"")</f>
        <v/>
      </c>
      <c r="F92" s="1017"/>
      <c r="G92" s="682"/>
      <c r="H92" s="1053">
        <v>3.0</v>
      </c>
      <c r="I92" s="1054">
        <f>if('WEEK 36'!M91&lt;12,mround('WEEK 36'!I91*0.8,5),IF('WEEK 36'!M91&lt;=19,MROUND('WEEK 36'!I91*0.95,5),'WEEK 36'!I91))</f>
        <v>10</v>
      </c>
      <c r="J92" s="1055" t="s">
        <v>144</v>
      </c>
      <c r="K92" s="1056" t="s">
        <v>57</v>
      </c>
      <c r="L92" s="1350" t="str">
        <f>IF('WEEK 35'!I108='WEEK 36'!I92,'WEEK 35'!M108,"")</f>
        <v/>
      </c>
      <c r="M92" s="1017"/>
    </row>
    <row r="93">
      <c r="A93" s="849"/>
      <c r="B93" s="849"/>
      <c r="C93" s="849"/>
      <c r="D93" s="849"/>
      <c r="E93" s="849"/>
      <c r="F93" s="849"/>
      <c r="H93" s="849"/>
      <c r="I93" s="850"/>
      <c r="J93" s="850"/>
      <c r="K93" s="850"/>
      <c r="L93" s="850"/>
      <c r="M93" s="850"/>
    </row>
    <row r="95">
      <c r="A95" s="1120" t="s">
        <v>62</v>
      </c>
      <c r="B95" s="36"/>
      <c r="C95" s="36"/>
      <c r="D95" s="36"/>
      <c r="E95" s="36"/>
      <c r="F95" s="37"/>
    </row>
    <row r="98">
      <c r="A98" s="51" t="s">
        <v>131</v>
      </c>
      <c r="B98" s="36"/>
      <c r="C98" s="36"/>
      <c r="D98" s="36"/>
      <c r="E98" s="36"/>
      <c r="F98" s="37"/>
      <c r="G98" s="419"/>
      <c r="H98" s="51" t="s">
        <v>131</v>
      </c>
      <c r="I98" s="36"/>
      <c r="J98" s="36"/>
      <c r="K98" s="36"/>
      <c r="L98" s="36"/>
      <c r="M98" s="37"/>
    </row>
    <row r="99">
      <c r="A99" s="504" t="str">
        <f>HYPERLINK("https://youtu.be/rmxOkkd2hUk","1. SHOULDER PRESS")</f>
        <v>1. SHOULDER PRESS</v>
      </c>
      <c r="B99" s="53"/>
      <c r="C99" s="53"/>
      <c r="D99" s="53"/>
      <c r="E99" s="53"/>
      <c r="F99" s="54"/>
      <c r="G99" s="419"/>
      <c r="H99" s="778" t="str">
        <f>HYPERLINK("https://www.youtube.com/watch?v=-cSBPE-y38M","1. MACHINE SHOULDER PRESS")</f>
        <v>1. MACHINE SHOULDER PRESS</v>
      </c>
      <c r="I99" s="53"/>
      <c r="J99" s="53"/>
      <c r="K99" s="53"/>
      <c r="L99" s="53"/>
      <c r="M99" s="54"/>
    </row>
    <row r="100">
      <c r="A100" s="589" t="s">
        <v>119</v>
      </c>
      <c r="B100" s="227" t="str">
        <f>'WEEK 34'!B122</f>
        <v/>
      </c>
      <c r="C100" s="20"/>
      <c r="D100" s="20"/>
      <c r="E100" s="20"/>
      <c r="F100" s="95"/>
      <c r="G100" s="419"/>
      <c r="H100" s="589" t="s">
        <v>119</v>
      </c>
      <c r="I100" s="227">
        <f>IF('WEEK 34'!I122="",'WEEK 4 '!B116,'WEEK 34'!I122)</f>
        <v>228</v>
      </c>
      <c r="J100" s="20"/>
      <c r="K100" s="20"/>
      <c r="L100" s="20"/>
      <c r="M100" s="95"/>
    </row>
    <row r="101">
      <c r="A101" s="364" t="s">
        <v>50</v>
      </c>
      <c r="B101" s="365" t="s">
        <v>51</v>
      </c>
      <c r="C101" s="365" t="s">
        <v>52</v>
      </c>
      <c r="D101" s="365" t="s">
        <v>53</v>
      </c>
      <c r="E101" s="609" t="s">
        <v>54</v>
      </c>
      <c r="F101" s="61" t="s">
        <v>55</v>
      </c>
      <c r="G101" s="724"/>
      <c r="H101" s="364" t="s">
        <v>50</v>
      </c>
      <c r="I101" s="365" t="s">
        <v>51</v>
      </c>
      <c r="J101" s="365" t="s">
        <v>52</v>
      </c>
      <c r="K101" s="365" t="s">
        <v>53</v>
      </c>
      <c r="L101" s="609" t="s">
        <v>54</v>
      </c>
      <c r="M101" s="61" t="s">
        <v>55</v>
      </c>
    </row>
    <row r="102">
      <c r="A102" s="236">
        <v>1.0</v>
      </c>
      <c r="B102" s="237">
        <f>mround('WEEK 36'!B100*0.35,5)</f>
        <v>30</v>
      </c>
      <c r="C102" s="237">
        <v>6.0</v>
      </c>
      <c r="D102" s="238" t="s">
        <v>120</v>
      </c>
      <c r="E102" s="66" t="str">
        <f>IF('WEEK 36'!B102='WEEK 33'!B103,'WEEK 33'!F103,"")</f>
        <v/>
      </c>
      <c r="F102" s="67"/>
      <c r="G102" s="728"/>
      <c r="H102" s="236">
        <v>1.0</v>
      </c>
      <c r="I102" s="237">
        <f>mround('WEEK 36'!I100*0.35,5)</f>
        <v>80</v>
      </c>
      <c r="J102" s="237">
        <v>6.0</v>
      </c>
      <c r="K102" s="238" t="s">
        <v>120</v>
      </c>
      <c r="L102" s="66" t="str">
        <f>IF('WEEK 36'!I102='WEEK 33'!I103,'WEEK 33'!M103,"")</f>
        <v/>
      </c>
      <c r="M102" s="67"/>
    </row>
    <row r="103">
      <c r="A103" s="236">
        <v>2.0</v>
      </c>
      <c r="B103" s="237">
        <f>mround('WEEK 36'!B100*0.65,5)</f>
        <v>50</v>
      </c>
      <c r="C103" s="237">
        <v>1.0</v>
      </c>
      <c r="D103" s="238" t="s">
        <v>57</v>
      </c>
      <c r="E103" s="1108" t="str">
        <f>IF('WEEK 36'!B103='WEEK 33'!B104,'WEEK 33'!F104,"")</f>
        <v/>
      </c>
      <c r="F103" s="67"/>
      <c r="G103" s="728"/>
      <c r="H103" s="236">
        <v>2.0</v>
      </c>
      <c r="I103" s="237">
        <f>mround('WEEK 36'!I100*0.65,5)</f>
        <v>150</v>
      </c>
      <c r="J103" s="237">
        <v>1.0</v>
      </c>
      <c r="K103" s="238" t="s">
        <v>57</v>
      </c>
      <c r="L103" s="1108" t="str">
        <f>IF('WEEK 36'!I103='WEEK 33'!I104,'WEEK 33'!M104,"")</f>
        <v/>
      </c>
      <c r="M103" s="67"/>
    </row>
    <row r="104">
      <c r="A104" s="779">
        <v>4.0</v>
      </c>
      <c r="B104" s="780">
        <f> mround('WEEK 36'!B100*0.9,5)</f>
        <v>70</v>
      </c>
      <c r="C104" s="781" t="s">
        <v>65</v>
      </c>
      <c r="D104" s="782" t="s">
        <v>57</v>
      </c>
      <c r="E104" s="1108" t="str">
        <f>IF('WEEK 36'!B104='WEEK 33'!B105,'WEEK 33'!F105,"")</f>
        <v/>
      </c>
      <c r="F104" s="784"/>
      <c r="G104" s="728"/>
      <c r="H104" s="779">
        <v>4.0</v>
      </c>
      <c r="I104" s="780">
        <f> mround('WEEK 36'!I100*0.9,5)</f>
        <v>205</v>
      </c>
      <c r="J104" s="781" t="s">
        <v>65</v>
      </c>
      <c r="K104" s="782" t="s">
        <v>57</v>
      </c>
      <c r="L104" s="1108" t="str">
        <f>IF('WEEK 36'!I104='WEEK 33'!I105,'WEEK 33'!M105,"")</f>
        <v/>
      </c>
      <c r="M104" s="784"/>
    </row>
    <row r="105">
      <c r="A105" s="785">
        <v>5.0</v>
      </c>
      <c r="B105" s="388">
        <f>if('WEEK 36'!F104&lt;20,mround('WEEK 36'!B104*0.85,5),'WEEK 36'!B104)</f>
        <v>60</v>
      </c>
      <c r="C105" s="781" t="s">
        <v>65</v>
      </c>
      <c r="D105" s="390" t="s">
        <v>57</v>
      </c>
      <c r="E105" s="1108" t="str">
        <f>IF('WEEK 36'!B105='WEEK 33'!B106,'WEEK 33'!F106,"")</f>
        <v/>
      </c>
      <c r="F105" s="392"/>
      <c r="G105" s="728"/>
      <c r="H105" s="785">
        <v>5.0</v>
      </c>
      <c r="I105" s="388">
        <f>if('WEEK 36'!M104&lt;20,mround('WEEK 36'!I104*0.85,5),'WEEK 36'!I104)</f>
        <v>175</v>
      </c>
      <c r="J105" s="781" t="s">
        <v>65</v>
      </c>
      <c r="K105" s="390" t="s">
        <v>57</v>
      </c>
      <c r="L105" s="1108" t="str">
        <f>IF('WEEK 36'!I105='WEEK 33'!I106,'WEEK 33'!M106,"")</f>
        <v/>
      </c>
      <c r="M105" s="392"/>
    </row>
    <row r="106">
      <c r="A106" s="787">
        <v>6.0</v>
      </c>
      <c r="B106" s="788">
        <f>if('WEEK 36'!F105&lt;20,mround('WEEK 36'!B105*0.85,2.5),'WEEK 36'!B105)</f>
        <v>50</v>
      </c>
      <c r="C106" s="789" t="s">
        <v>65</v>
      </c>
      <c r="D106" s="397" t="s">
        <v>57</v>
      </c>
      <c r="E106" s="1351" t="str">
        <f>IF('WEEK 36'!B106='WEEK 33'!B107,'WEEK 33'!F107,"")</f>
        <v/>
      </c>
      <c r="F106" s="392"/>
      <c r="G106" s="724"/>
      <c r="H106" s="787">
        <v>6.0</v>
      </c>
      <c r="I106" s="788">
        <f>if('WEEK 36'!M105&lt;20,mround('WEEK 36'!I105*0.85,10),'WEEK 36'!I105)</f>
        <v>150</v>
      </c>
      <c r="J106" s="789" t="s">
        <v>65</v>
      </c>
      <c r="K106" s="397" t="s">
        <v>57</v>
      </c>
      <c r="L106" s="1351" t="str">
        <f>IF('WEEK 36'!I106='WEEK 33'!I107,'WEEK 33'!M107,"")</f>
        <v/>
      </c>
      <c r="M106" s="392"/>
    </row>
    <row r="107">
      <c r="A107" s="623"/>
      <c r="B107" s="623"/>
      <c r="C107" s="623"/>
      <c r="D107" s="623"/>
      <c r="E107" s="1265"/>
      <c r="F107" s="623"/>
    </row>
    <row r="108">
      <c r="A108" s="995"/>
      <c r="B108" s="995"/>
      <c r="C108" s="995"/>
      <c r="D108" s="995"/>
      <c r="E108" s="1266"/>
      <c r="F108" s="995"/>
    </row>
    <row r="109">
      <c r="A109" s="361" t="str">
        <f>HYPERLINK("https://www.youtube.com/watch?v=gxWVN6F_uxo","2.  CABLE HIGH PULLEY ROW")</f>
        <v>2.  CABLE HIGH PULLEY ROW</v>
      </c>
      <c r="B109" s="53"/>
      <c r="C109" s="53"/>
      <c r="D109" s="53"/>
      <c r="E109" s="53"/>
      <c r="F109" s="54"/>
      <c r="G109" s="635"/>
      <c r="H109" s="1267" t="str">
        <f>HYPERLINK("https://www.youtube.com/watch?v=0BaHgGyCFJY&amp;feature=youtu.be","2. MACHINE REAR DELT FLY")</f>
        <v>2. MACHINE REAR DELT FLY</v>
      </c>
      <c r="I109" s="53"/>
      <c r="J109" s="53"/>
      <c r="K109" s="53"/>
      <c r="L109" s="53"/>
      <c r="M109" s="54"/>
    </row>
    <row r="110">
      <c r="A110" s="226" t="s">
        <v>119</v>
      </c>
      <c r="B110" s="76">
        <f>'WEEK 35'!B122</f>
        <v>150</v>
      </c>
      <c r="C110" s="13"/>
      <c r="D110" s="13"/>
      <c r="E110" s="13"/>
      <c r="F110" s="57"/>
      <c r="H110" s="961" t="s">
        <v>119</v>
      </c>
      <c r="I110" s="76" t="str">
        <f>'WEEK 33'!I111</f>
        <v/>
      </c>
      <c r="J110" s="13"/>
      <c r="K110" s="13"/>
      <c r="L110" s="13"/>
      <c r="M110" s="57"/>
    </row>
    <row r="111">
      <c r="A111" s="77" t="s">
        <v>50</v>
      </c>
      <c r="B111" s="78" t="s">
        <v>51</v>
      </c>
      <c r="C111" s="78" t="s">
        <v>52</v>
      </c>
      <c r="D111" s="78" t="s">
        <v>53</v>
      </c>
      <c r="E111" s="80" t="s">
        <v>54</v>
      </c>
      <c r="F111" s="235" t="s">
        <v>55</v>
      </c>
      <c r="H111" s="962" t="s">
        <v>50</v>
      </c>
      <c r="I111" s="963" t="s">
        <v>51</v>
      </c>
      <c r="J111" s="963" t="s">
        <v>52</v>
      </c>
      <c r="K111" s="963" t="s">
        <v>53</v>
      </c>
      <c r="L111" s="1073" t="s">
        <v>54</v>
      </c>
      <c r="M111" s="1006" t="s">
        <v>55</v>
      </c>
    </row>
    <row r="112">
      <c r="A112" s="81">
        <v>1.0</v>
      </c>
      <c r="B112" s="82">
        <f> mround('WEEK 36'!B110*0.9,5)</f>
        <v>135</v>
      </c>
      <c r="C112" s="65">
        <v>20.0</v>
      </c>
      <c r="D112" s="83" t="s">
        <v>58</v>
      </c>
      <c r="E112" s="84" t="str">
        <f>IF('WEEK 35'!B124='WEEK 36'!B112,'WEEK 35'!F124,"")</f>
        <v/>
      </c>
      <c r="F112" s="85"/>
      <c r="H112" s="967">
        <v>1.0</v>
      </c>
      <c r="I112" s="1028">
        <f>MROUND('WEEK 36'!I110*0.9,5)</f>
        <v>0</v>
      </c>
      <c r="J112" s="1067" t="s">
        <v>61</v>
      </c>
      <c r="K112" s="968" t="s">
        <v>121</v>
      </c>
      <c r="L112" s="1244" t="str">
        <f>IF('WEEK 36'!I112='WEEK 34'!I128,'WEEK 34'!M128,"")</f>
        <v/>
      </c>
      <c r="M112" s="1017"/>
    </row>
    <row r="113">
      <c r="A113" s="81">
        <v>2.0</v>
      </c>
      <c r="B113" s="82">
        <f>if('WEEK 36'!F112&lt;10,mround('WEEK 36'!B112*0.8,5),IF('WEEK 36'!F112&lt;=14,MROUND('WEEK 36'!B112*0.95,5),'WEEK 36'!B112))</f>
        <v>135</v>
      </c>
      <c r="C113" s="65">
        <v>20.0</v>
      </c>
      <c r="D113" s="83" t="s">
        <v>58</v>
      </c>
      <c r="E113" s="84" t="str">
        <f>IF('WEEK 35'!B125='WEEK 36'!B113,'WEEK 35'!F125,"")</f>
        <v/>
      </c>
      <c r="F113" s="85"/>
      <c r="H113" s="967">
        <v>2.0</v>
      </c>
      <c r="I113" s="1028">
        <f>if('WEEK 36'!M112&lt;10,mround('WEEK 36'!I112*0.8,5),IF('WEEK 36'!M112&lt;15,MROUND('WEEK 36'!I112*0.95,5),'WEEK 36'!I112))</f>
        <v>0</v>
      </c>
      <c r="J113" s="1067" t="s">
        <v>61</v>
      </c>
      <c r="K113" s="968" t="s">
        <v>121</v>
      </c>
      <c r="L113" s="1244" t="str">
        <f>IF('WEEK 36'!I113='WEEK 34'!I129,'WEEK 34'!M129,"")</f>
        <v/>
      </c>
      <c r="M113" s="1017"/>
    </row>
    <row r="114">
      <c r="A114" s="86">
        <v>3.0</v>
      </c>
      <c r="B114" s="87">
        <f>if('WEEK 36'!F113&lt;8,mround('WEEK 36'!B113*0.8,5),IF('WEEK 36'!F113&lt;=14,MROUND('WEEK 36'!B113*0.95,5),'WEEK 36'!B113))</f>
        <v>135</v>
      </c>
      <c r="C114" s="71">
        <v>20.0</v>
      </c>
      <c r="D114" s="88" t="s">
        <v>58</v>
      </c>
      <c r="E114" s="84" t="str">
        <f>IF('WEEK 35'!B126='WEEK 36'!B114,'WEEK 35'!F126,"")</f>
        <v/>
      </c>
      <c r="F114" s="85"/>
      <c r="H114" s="971">
        <v>3.0</v>
      </c>
      <c r="I114" s="1123">
        <f>if('WEEK 36'!M113&lt;10,mround('WEEK 36'!I113*0.8,5),IF('WEEK 36'!M113&lt;15,MROUND('WEEK 36'!I113*0.95,5),'WEEK 36'!I113))</f>
        <v>0</v>
      </c>
      <c r="J114" s="1220" t="s">
        <v>61</v>
      </c>
      <c r="K114" s="972" t="s">
        <v>121</v>
      </c>
      <c r="L114" s="1255" t="str">
        <f>IF('WEEK 36'!I114='WEEK 34'!I130,'WEEK 34'!M130,"")</f>
        <v/>
      </c>
      <c r="M114" s="1017"/>
    </row>
    <row r="115">
      <c r="A115" s="1068"/>
      <c r="B115" s="1068"/>
      <c r="C115" s="1068"/>
      <c r="D115" s="623"/>
      <c r="E115" s="1265"/>
      <c r="F115" s="623"/>
    </row>
    <row r="116">
      <c r="A116" s="1069"/>
      <c r="B116" s="1069"/>
      <c r="C116" s="1069"/>
      <c r="D116" s="995"/>
      <c r="E116" s="1266"/>
      <c r="F116" s="995"/>
    </row>
    <row r="117">
      <c r="A117" s="1217" t="str">
        <f>HYPERLINK("https://youtu.be/QUNZvtb6mnY","3. DUMBBELL SIDE LATERAL RAISE")</f>
        <v>3. DUMBBELL SIDE LATERAL RAISE</v>
      </c>
      <c r="B117" s="53"/>
      <c r="C117" s="53"/>
      <c r="D117" s="53"/>
      <c r="E117" s="53"/>
      <c r="F117" s="54"/>
    </row>
    <row r="118">
      <c r="A118" s="1268" t="s">
        <v>134</v>
      </c>
      <c r="B118" s="76">
        <f>'WEEK 36'!B100</f>
        <v>80</v>
      </c>
      <c r="C118" s="13"/>
      <c r="D118" s="13"/>
      <c r="E118" s="13"/>
      <c r="F118" s="57"/>
    </row>
    <row r="119">
      <c r="A119" s="1071" t="s">
        <v>50</v>
      </c>
      <c r="B119" s="1072" t="s">
        <v>51</v>
      </c>
      <c r="C119" s="1072" t="s">
        <v>52</v>
      </c>
      <c r="D119" s="1072" t="s">
        <v>53</v>
      </c>
      <c r="E119" s="1073" t="s">
        <v>54</v>
      </c>
      <c r="F119" s="1006" t="s">
        <v>55</v>
      </c>
    </row>
    <row r="120">
      <c r="A120" s="1074">
        <v>1.0</v>
      </c>
      <c r="B120" s="968">
        <f> mround('WEEK 36'!B118*0.2*0.9,5)</f>
        <v>15</v>
      </c>
      <c r="C120" s="1075" t="s">
        <v>61</v>
      </c>
      <c r="D120" s="1076" t="s">
        <v>57</v>
      </c>
      <c r="E120" s="1352" t="str">
        <f>IF('WEEK 36'!B120='WEEK 34'!B136,'WEEK 34'!F136,"")</f>
        <v/>
      </c>
      <c r="F120" s="1017"/>
    </row>
    <row r="121">
      <c r="A121" s="1074">
        <v>2.0</v>
      </c>
      <c r="B121" s="968">
        <f>if('WEEK 36'!F120&lt;12,mround('WEEK 36'!B118*0.15,2.5),'WEEK 36'!B120)</f>
        <v>15</v>
      </c>
      <c r="C121" s="1075" t="s">
        <v>61</v>
      </c>
      <c r="D121" s="1076" t="s">
        <v>57</v>
      </c>
      <c r="E121" s="1353" t="str">
        <f>IF('WEEK 36'!B121='WEEK 34'!B137,'WEEK 34'!F137,"")</f>
        <v/>
      </c>
      <c r="F121" s="1017"/>
    </row>
    <row r="122">
      <c r="A122" s="1078">
        <v>3.0</v>
      </c>
      <c r="B122" s="972">
        <f>if('WEEK 36'!F121&lt;12,mround('WEEK 36'!B118*0.1,2.5),'WEEK 36'!B121)</f>
        <v>15</v>
      </c>
      <c r="C122" s="1079" t="s">
        <v>61</v>
      </c>
      <c r="D122" s="1080" t="s">
        <v>57</v>
      </c>
      <c r="E122" s="1354" t="str">
        <f>IF('WEEK 36'!B122='WEEK 34'!B138,'WEEK 34'!F138,"")</f>
        <v/>
      </c>
      <c r="F122" s="1017"/>
    </row>
    <row r="123">
      <c r="E123" s="1248"/>
    </row>
    <row r="124">
      <c r="E124" s="1248"/>
    </row>
    <row r="125">
      <c r="A125" s="361" t="str">
        <f>HYPERLINK("https://www.youtube.com/watch?v=Zt0LwrUdpNs","2.  TRICEP OVERHEAD ROPE EXTENSION")</f>
        <v>2.  TRICEP OVERHEAD ROPE EXTENSION</v>
      </c>
      <c r="B125" s="53"/>
      <c r="C125" s="53"/>
      <c r="D125" s="53"/>
      <c r="E125" s="53"/>
      <c r="F125" s="54"/>
    </row>
    <row r="126">
      <c r="A126" s="226" t="s">
        <v>119</v>
      </c>
      <c r="B126" s="839">
        <f>IF('WEEK 33'!B129='WEEK 33'!B131,'WEEK 33'!B127,IF('WEEK 33'!F129&lt;=15,MROUND('WEEK 33'!B127*0.9,5),'WEEK 33'!B127))</f>
        <v>5</v>
      </c>
    </row>
    <row r="127">
      <c r="A127" s="77" t="s">
        <v>50</v>
      </c>
      <c r="B127" s="78" t="s">
        <v>51</v>
      </c>
      <c r="C127" s="78" t="s">
        <v>52</v>
      </c>
      <c r="D127" s="78" t="s">
        <v>53</v>
      </c>
      <c r="E127" s="80" t="s">
        <v>54</v>
      </c>
      <c r="F127" s="1003" t="s">
        <v>55</v>
      </c>
    </row>
    <row r="128">
      <c r="A128" s="81">
        <v>1.0</v>
      </c>
      <c r="B128" s="82">
        <f>mround('WEEK 36'!B126*0.9,5)</f>
        <v>100</v>
      </c>
      <c r="C128" s="65" t="s">
        <v>61</v>
      </c>
      <c r="D128" s="83" t="s">
        <v>58</v>
      </c>
      <c r="E128" s="1077" t="str">
        <f>IF('WEEK 36'!B128='WEEK 32'!B125,'WEEK 32'!F125,"")</f>
        <v/>
      </c>
      <c r="F128" s="85"/>
    </row>
    <row r="129">
      <c r="A129" s="81">
        <v>2.0</v>
      </c>
      <c r="B129" s="82">
        <f>if('WEEK 36'!F128&lt;10,mround('WEEK 36'!B128*0.8,5),IF('WEEK 36'!F128&lt;=14,MROUND('WEEK 36'!B128*0.95,5),'WEEK 36'!B128))</f>
        <v>100</v>
      </c>
      <c r="C129" s="65" t="s">
        <v>61</v>
      </c>
      <c r="D129" s="83" t="s">
        <v>58</v>
      </c>
      <c r="E129" s="1077" t="str">
        <f>IF('WEEK 36'!B129='WEEK 32'!B126,'WEEK 32'!F126,"")</f>
        <v/>
      </c>
      <c r="F129" s="85"/>
    </row>
    <row r="130">
      <c r="A130" s="86">
        <v>3.0</v>
      </c>
      <c r="B130" s="87">
        <f>if('WEEK 36'!F129&lt;10,mround('WEEK 36'!B129*0.8,5),IF('WEEK 36'!F129&lt;=14,MROUND('WEEK 36'!B129*0.95,5),'WEEK 36'!B129))</f>
        <v>95</v>
      </c>
      <c r="C130" s="71" t="s">
        <v>61</v>
      </c>
      <c r="D130" s="88" t="s">
        <v>58</v>
      </c>
      <c r="E130" s="31" t="str">
        <f>IF('WEEK 36'!B130='WEEK 32'!B127,'WEEK 32'!F127,"")</f>
        <v/>
      </c>
      <c r="F130" s="85"/>
    </row>
    <row r="131">
      <c r="E131" s="1248"/>
    </row>
    <row r="132">
      <c r="E132" s="1248"/>
    </row>
    <row r="133">
      <c r="A133" s="1217" t="str">
        <f>HYPERLINK("https://youtu.be/TorWpKwLCSg","4. ALTERNATING DUMBBELL BICEP CURLS")</f>
        <v>4. ALTERNATING DUMBBELL BICEP CURLS</v>
      </c>
      <c r="B133" s="53"/>
      <c r="C133" s="53"/>
      <c r="D133" s="53"/>
      <c r="E133" s="53"/>
      <c r="F133" s="54"/>
    </row>
    <row r="134">
      <c r="A134" s="961" t="s">
        <v>119</v>
      </c>
      <c r="B134" s="76">
        <f>'WEEK 33'!B135</f>
        <v>25</v>
      </c>
      <c r="C134" s="13"/>
      <c r="D134" s="13"/>
      <c r="E134" s="13"/>
      <c r="F134" s="57"/>
    </row>
    <row r="135">
      <c r="A135" s="962" t="s">
        <v>50</v>
      </c>
      <c r="B135" s="963" t="s">
        <v>51</v>
      </c>
      <c r="C135" s="963" t="s">
        <v>52</v>
      </c>
      <c r="D135" s="963" t="s">
        <v>53</v>
      </c>
      <c r="E135" s="1073" t="s">
        <v>54</v>
      </c>
      <c r="F135" s="1006" t="s">
        <v>55</v>
      </c>
    </row>
    <row r="136">
      <c r="A136" s="967">
        <v>1.0</v>
      </c>
      <c r="B136" s="968">
        <f> mround('WEEK 36'!B134*0.9,5)</f>
        <v>50</v>
      </c>
      <c r="C136" s="1067" t="s">
        <v>61</v>
      </c>
      <c r="D136" s="1076" t="s">
        <v>57</v>
      </c>
      <c r="E136" s="1235" t="str">
        <f>if('WEEK 36'!B136='WEEK 6'!B137,'WEEK 6'!F137,"")</f>
        <v/>
      </c>
      <c r="F136" s="984">
        <v>10.0</v>
      </c>
    </row>
    <row r="137">
      <c r="A137" s="967">
        <v>2.0</v>
      </c>
      <c r="B137" s="968">
        <f>if('WEEK 36'!F136&lt;10,mround('WEEK 36'!B134*0.35,5),'WEEK 36'!B136)</f>
        <v>20</v>
      </c>
      <c r="C137" s="1067" t="s">
        <v>61</v>
      </c>
      <c r="D137" s="1076" t="s">
        <v>57</v>
      </c>
      <c r="E137" s="1235" t="str">
        <f>if('WEEK 36'!B137='WEEK 6'!B138,'WEEK 6'!F138,"")</f>
        <v/>
      </c>
      <c r="F137" s="984">
        <v>10.0</v>
      </c>
    </row>
    <row r="138">
      <c r="A138" s="971">
        <v>3.0</v>
      </c>
      <c r="B138" s="972">
        <f>if('WEEK 36'!F137&lt;10,mround('WEEK 36'!B137*0.75,5),'WEEK 36'!B137)</f>
        <v>20</v>
      </c>
      <c r="C138" s="1220" t="s">
        <v>61</v>
      </c>
      <c r="D138" s="1080" t="s">
        <v>57</v>
      </c>
      <c r="E138" s="1271" t="str">
        <f>if('WEEK 36'!B138='WEEK 6'!B139,'WEEK 6'!F139,"")</f>
        <v/>
      </c>
      <c r="F138" s="984">
        <v>5.0</v>
      </c>
    </row>
    <row r="139">
      <c r="E139" s="1248"/>
    </row>
    <row r="140">
      <c r="E140" s="1248"/>
    </row>
    <row r="141">
      <c r="A141" s="1149" t="s">
        <v>135</v>
      </c>
      <c r="B141" s="36"/>
      <c r="C141" s="36"/>
      <c r="D141" s="36"/>
      <c r="E141" s="36"/>
      <c r="F141" s="37"/>
    </row>
    <row r="142">
      <c r="A142" s="623"/>
      <c r="B142" s="623"/>
      <c r="C142" s="623"/>
      <c r="D142" s="623"/>
      <c r="E142" s="1274"/>
      <c r="F142" s="623"/>
    </row>
    <row r="143">
      <c r="A143" s="1275" t="str">
        <f>HYPERLINK("https://www.amazon.com/30-Minute-Body-Investment-Champion/dp/0692791892/ref=sr_1_1?ie=UTF8&amp;qid=1490447969&amp;sr=8-1&amp;keywords=30+minute+body","WANT TO LEARN MORE?")</f>
        <v>WANT TO LEARN MORE?</v>
      </c>
      <c r="B143" s="25"/>
      <c r="C143" s="25"/>
      <c r="D143" s="25"/>
      <c r="E143" s="25"/>
      <c r="F143" s="26"/>
    </row>
    <row r="144">
      <c r="A144" s="529"/>
      <c r="F144" s="28"/>
    </row>
    <row r="145">
      <c r="A145" s="1276"/>
      <c r="B145" s="999"/>
      <c r="C145" s="1150" t="s">
        <v>67</v>
      </c>
      <c r="F145" s="28"/>
    </row>
    <row r="146">
      <c r="A146" s="1276"/>
      <c r="B146" s="999"/>
      <c r="F146" s="28"/>
    </row>
    <row r="147">
      <c r="A147" s="1276"/>
      <c r="B147" s="999"/>
      <c r="F147" s="28"/>
    </row>
    <row r="148">
      <c r="A148" s="1276"/>
      <c r="B148" s="999"/>
      <c r="F148" s="28"/>
    </row>
    <row r="149">
      <c r="A149" s="1276"/>
      <c r="B149" s="999"/>
      <c r="F149" s="28"/>
    </row>
    <row r="150">
      <c r="A150" s="1276"/>
      <c r="B150" s="999"/>
      <c r="F150" s="28"/>
    </row>
    <row r="151">
      <c r="A151" s="1277"/>
      <c r="B151" s="999"/>
      <c r="F151" s="28"/>
    </row>
    <row r="152">
      <c r="A152" s="1276"/>
      <c r="B152" s="999"/>
      <c r="F152" s="28"/>
    </row>
    <row r="153">
      <c r="A153" s="1276"/>
      <c r="B153" s="999"/>
      <c r="F153" s="28"/>
    </row>
    <row r="154">
      <c r="A154" s="1278"/>
      <c r="B154" s="999"/>
      <c r="F154" s="28"/>
    </row>
    <row r="155">
      <c r="A155" s="1276"/>
      <c r="B155" s="999"/>
      <c r="F155" s="28"/>
    </row>
    <row r="156">
      <c r="A156" s="1276"/>
      <c r="B156" s="999"/>
      <c r="F156" s="28"/>
    </row>
    <row r="157">
      <c r="A157" s="1276"/>
      <c r="B157" s="999"/>
      <c r="F157" s="28"/>
    </row>
    <row r="158">
      <c r="A158" s="1276"/>
      <c r="B158" s="999"/>
      <c r="F158" s="28"/>
    </row>
    <row r="159">
      <c r="A159" s="1279"/>
      <c r="B159" s="1280"/>
      <c r="C159" s="11"/>
      <c r="D159" s="11"/>
      <c r="E159" s="11"/>
      <c r="F159" s="46"/>
    </row>
  </sheetData>
  <mergeCells count="79">
    <mergeCell ref="I34:M34"/>
    <mergeCell ref="A35:N36"/>
    <mergeCell ref="A37:F37"/>
    <mergeCell ref="H37:M37"/>
    <mergeCell ref="B38:F38"/>
    <mergeCell ref="I38:M38"/>
    <mergeCell ref="N38:N41"/>
    <mergeCell ref="A50:A51"/>
    <mergeCell ref="A53:A54"/>
    <mergeCell ref="A56:A57"/>
    <mergeCell ref="G40:G41"/>
    <mergeCell ref="A44:F44"/>
    <mergeCell ref="B45:C45"/>
    <mergeCell ref="D45:F45"/>
    <mergeCell ref="A47:A48"/>
    <mergeCell ref="A49:F49"/>
    <mergeCell ref="A52:F52"/>
    <mergeCell ref="A55:F55"/>
    <mergeCell ref="A60:F60"/>
    <mergeCell ref="A62:F62"/>
    <mergeCell ref="A65:F65"/>
    <mergeCell ref="B66:F66"/>
    <mergeCell ref="B76:F76"/>
    <mergeCell ref="A79:F79"/>
    <mergeCell ref="B80:F80"/>
    <mergeCell ref="A87:F87"/>
    <mergeCell ref="G87:G89"/>
    <mergeCell ref="H87:M87"/>
    <mergeCell ref="B88:F88"/>
    <mergeCell ref="I88:M88"/>
    <mergeCell ref="G90:G91"/>
    <mergeCell ref="G92:G93"/>
    <mergeCell ref="A95:F95"/>
    <mergeCell ref="A98:F98"/>
    <mergeCell ref="H98:M98"/>
    <mergeCell ref="A99:F99"/>
    <mergeCell ref="H99:M99"/>
    <mergeCell ref="I100:M100"/>
    <mergeCell ref="A125:F125"/>
    <mergeCell ref="B126:F126"/>
    <mergeCell ref="A133:F133"/>
    <mergeCell ref="B134:F134"/>
    <mergeCell ref="A141:F141"/>
    <mergeCell ref="A143:F144"/>
    <mergeCell ref="C145:F159"/>
    <mergeCell ref="B100:F100"/>
    <mergeCell ref="A109:F109"/>
    <mergeCell ref="H109:M109"/>
    <mergeCell ref="B110:F110"/>
    <mergeCell ref="I110:M110"/>
    <mergeCell ref="A117:F117"/>
    <mergeCell ref="B118:F118"/>
    <mergeCell ref="H16:M16"/>
    <mergeCell ref="A17:N18"/>
    <mergeCell ref="A19:F19"/>
    <mergeCell ref="H19:M19"/>
    <mergeCell ref="A9:F9"/>
    <mergeCell ref="H9:M9"/>
    <mergeCell ref="A10:F11"/>
    <mergeCell ref="H10:M10"/>
    <mergeCell ref="A12:F12"/>
    <mergeCell ref="A13:F13"/>
    <mergeCell ref="H15:M15"/>
    <mergeCell ref="B21:F21"/>
    <mergeCell ref="A27:F27"/>
    <mergeCell ref="G27:G28"/>
    <mergeCell ref="H27:M27"/>
    <mergeCell ref="G19:G26"/>
    <mergeCell ref="G29:G31"/>
    <mergeCell ref="G38:G39"/>
    <mergeCell ref="A29:F29"/>
    <mergeCell ref="B34:F34"/>
    <mergeCell ref="A15:F15"/>
    <mergeCell ref="A16:F16"/>
    <mergeCell ref="N19:N31"/>
    <mergeCell ref="A20:F20"/>
    <mergeCell ref="H20:M20"/>
    <mergeCell ref="I21:M21"/>
    <mergeCell ref="H29:M29"/>
  </mergeCells>
  <dataValidations>
    <dataValidation type="decimal" operator="greaterThanOrEqual" allowBlank="1" showDropDown="1" showErrorMessage="1" sqref="M12:M14 F22:F26 F39:F41">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14 F59">
      <formula1>0.0</formula1>
    </dataValidation>
  </dataValidations>
  <drawing r:id="rId2"/>
  <legacyDrawing r:id="rId3"/>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'MSW36'!A1</f>
        <v/>
      </c>
    </row>
    <row r="8">
      <c r="A8" s="11"/>
      <c r="B8" s="11"/>
      <c r="C8" s="11"/>
      <c r="D8" s="11"/>
      <c r="E8" s="11"/>
      <c r="F8" s="11"/>
      <c r="G8" s="11"/>
      <c r="H8" s="11"/>
      <c r="I8" s="11"/>
      <c r="J8" s="11"/>
      <c r="K8" s="11"/>
      <c r="L8" s="11"/>
      <c r="M8" s="11"/>
    </row>
    <row r="9">
      <c r="A9" s="12" t="str">
        <f>'MSW36'!A9</f>
        <v>Week 36</v>
      </c>
      <c r="B9" s="13"/>
      <c r="C9" s="13"/>
      <c r="D9" s="13"/>
      <c r="E9" s="13"/>
      <c r="F9" s="14"/>
      <c r="G9" s="103" t="str">
        <f>'MSW36'!G9</f>
        <v/>
      </c>
      <c r="H9" s="24" t="s">
        <v>35</v>
      </c>
      <c r="I9" s="25"/>
      <c r="J9" s="25"/>
      <c r="K9" s="25"/>
      <c r="L9" s="25"/>
      <c r="M9" s="26"/>
    </row>
    <row r="10">
      <c r="A10" s="15" t="str">
        <f>'MSW36'!A10</f>
        <v>PRESS TO RECORD BODY WEIGHT</v>
      </c>
      <c r="B10" s="16"/>
      <c r="C10" s="16"/>
      <c r="D10" s="16"/>
      <c r="E10" s="16"/>
      <c r="F10" s="17"/>
      <c r="H10" s="27" t="s">
        <v>350</v>
      </c>
      <c r="M10" s="28"/>
    </row>
    <row r="11">
      <c r="A11" s="18"/>
      <c r="B11" s="13"/>
      <c r="C11" s="13"/>
      <c r="D11" s="13"/>
      <c r="E11" s="13"/>
      <c r="F11" s="14"/>
      <c r="H11" s="29" t="s">
        <v>351</v>
      </c>
      <c r="I11" s="30"/>
      <c r="J11" s="30"/>
      <c r="K11" s="30"/>
      <c r="L11" s="30"/>
      <c r="M11" s="31"/>
    </row>
    <row r="12">
      <c r="A12" s="19" t="str">
        <f>'MSW36'!A12</f>
        <v>This Weeks Goals</v>
      </c>
      <c r="B12" s="20"/>
      <c r="C12" s="20"/>
      <c r="D12" s="20"/>
      <c r="E12" s="20"/>
      <c r="F12" s="21"/>
      <c r="G12" s="103" t="str">
        <f>'MSW36'!G12</f>
        <v/>
      </c>
    </row>
    <row r="13">
      <c r="A13" s="22" t="str">
        <f>'MSW36'!A13</f>
        <v>Working hard this week establishing new maxes in a few areas. Give it everything you've got. Pay close attention to rest times and rep counts. </v>
      </c>
      <c r="B13" s="20"/>
      <c r="C13" s="20"/>
      <c r="D13" s="20"/>
      <c r="E13" s="20"/>
      <c r="F13" s="21"/>
    </row>
    <row r="14">
      <c r="A14" s="219" t="str">
        <f>'MSW36'!A14</f>
        <v/>
      </c>
    </row>
    <row r="16">
      <c r="A16" s="50" t="str">
        <f>'MSW36'!A16</f>
        <v>DAY 1</v>
      </c>
      <c r="B16" s="36"/>
      <c r="C16" s="36"/>
      <c r="D16" s="36"/>
      <c r="E16" s="36"/>
      <c r="F16" s="37"/>
      <c r="G16" s="141" t="str">
        <f>'MSW36'!G16</f>
        <v/>
      </c>
      <c r="H16" s="50" t="str">
        <f>'MSW36'!H16</f>
        <v>ALTERNATE WORKOUTS</v>
      </c>
      <c r="I16" s="36"/>
      <c r="J16" s="36"/>
      <c r="K16" s="36"/>
      <c r="L16" s="36"/>
      <c r="M16" s="37"/>
    </row>
    <row r="17">
      <c r="A17" s="657" t="str">
        <f>'MSW36'!A17</f>
        <v/>
      </c>
    </row>
    <row r="19">
      <c r="A19" s="51" t="str">
        <f>'MSW36'!A19</f>
        <v>CHEST &amp; BACK </v>
      </c>
      <c r="B19" s="36"/>
      <c r="C19" s="36"/>
      <c r="D19" s="36"/>
      <c r="E19" s="36"/>
      <c r="F19" s="37"/>
      <c r="G19" s="141" t="str">
        <f>'MSW36'!G19</f>
        <v/>
      </c>
      <c r="H19" s="51" t="str">
        <f>'MSW36'!H19</f>
        <v>CHEST &amp; BACK </v>
      </c>
      <c r="I19" s="36"/>
      <c r="J19" s="36"/>
      <c r="K19" s="36"/>
      <c r="L19" s="36"/>
      <c r="M19" s="37"/>
    </row>
    <row r="20">
      <c r="A20" s="52" t="str">
        <f>'MSW36'!A20</f>
        <v>1. DUMBBELL INCLINE PRESS</v>
      </c>
      <c r="B20" s="53"/>
      <c r="C20" s="53"/>
      <c r="D20" s="53"/>
      <c r="E20" s="53"/>
      <c r="F20" s="54"/>
      <c r="H20" s="52" t="str">
        <f>'MSW36'!H20</f>
        <v>1. MACHINE PRESS</v>
      </c>
      <c r="I20" s="53"/>
      <c r="J20" s="53"/>
      <c r="K20" s="53"/>
      <c r="L20" s="53"/>
      <c r="M20" s="54"/>
    </row>
    <row r="21">
      <c r="A21" s="228" t="str">
        <f>'MSW36'!A21</f>
        <v>CURRENT MAX</v>
      </c>
      <c r="B21" s="229">
        <f>'MSW36'!B21</f>
        <v>90</v>
      </c>
      <c r="C21" s="16"/>
      <c r="D21" s="16"/>
      <c r="E21" s="16"/>
      <c r="F21" s="230"/>
      <c r="H21" s="228" t="str">
        <f>'MSW36'!H21</f>
        <v>CURRENT MAX</v>
      </c>
      <c r="I21" s="229" t="str">
        <f>'MSW36'!I21</f>
        <v/>
      </c>
      <c r="J21" s="16"/>
      <c r="K21" s="16"/>
      <c r="L21" s="16"/>
      <c r="M21" s="230"/>
    </row>
    <row r="22">
      <c r="A22" s="96" t="str">
        <f>'MSW36'!A22</f>
        <v>SET</v>
      </c>
      <c r="B22" s="97" t="str">
        <f>'MSW36'!B22</f>
        <v>WEIGHT</v>
      </c>
      <c r="C22" s="97" t="str">
        <f>'MSW36'!C22</f>
        <v>REPS</v>
      </c>
      <c r="D22" s="97" t="str">
        <f>'MSW36'!D22</f>
        <v>REST</v>
      </c>
      <c r="E22" s="98" t="str">
        <f>'MSW36'!E22</f>
        <v>PREVIOUS</v>
      </c>
      <c r="F22" s="235" t="str">
        <f>'MSW36'!F22</f>
        <v>REP LOG</v>
      </c>
      <c r="H22" s="96" t="str">
        <f>'MSW36'!H22</f>
        <v>SET</v>
      </c>
      <c r="I22" s="97" t="str">
        <f>'MSW36'!I22</f>
        <v>WEIGHT</v>
      </c>
      <c r="J22" s="97" t="str">
        <f>'MSW36'!J22</f>
        <v>REPS</v>
      </c>
      <c r="K22" s="97" t="str">
        <f>'MSW36'!K22</f>
        <v>REST</v>
      </c>
      <c r="L22" s="98" t="str">
        <f>'MSW36'!L22</f>
        <v>PREVIOUS</v>
      </c>
      <c r="M22" s="235" t="str">
        <f>'MSW36'!M22</f>
        <v>REP LOG</v>
      </c>
    </row>
    <row r="23">
      <c r="A23" s="244">
        <f>'MSW36'!A23</f>
        <v>1</v>
      </c>
      <c r="B23" s="241">
        <f>'MSW36'!B23</f>
        <v>30</v>
      </c>
      <c r="C23" s="63">
        <f>'MSW36'!C23</f>
        <v>6</v>
      </c>
      <c r="D23" s="83" t="str">
        <f>'MSW36'!D23</f>
        <v>1 MIN</v>
      </c>
      <c r="E23" s="84" t="str">
        <f>'MSW36'!E23</f>
        <v/>
      </c>
      <c r="F23" s="85">
        <v>6.0</v>
      </c>
      <c r="H23" s="244">
        <f>'MSW36'!H23</f>
        <v>1</v>
      </c>
      <c r="I23" s="241">
        <f>'MSW36'!I23</f>
        <v>0</v>
      </c>
      <c r="J23" s="63">
        <f>'MSW36'!J23</f>
        <v>6</v>
      </c>
      <c r="K23" s="83" t="str">
        <f>'MSW36'!K23</f>
        <v>1 MIN</v>
      </c>
      <c r="L23" s="84" t="str">
        <f>'MSW36'!L23</f>
        <v>REP LOG</v>
      </c>
      <c r="M23" s="85" t="str">
        <f>'MSW36'!M23</f>
        <v/>
      </c>
    </row>
    <row r="24">
      <c r="A24" s="240">
        <f>'MSW36'!A24</f>
        <v>2</v>
      </c>
      <c r="B24" s="241">
        <f>'MSW36'!B24</f>
        <v>60</v>
      </c>
      <c r="C24" s="241">
        <f>'MSW36'!C24</f>
        <v>1</v>
      </c>
      <c r="D24" s="83" t="str">
        <f>'MSW36'!D24</f>
        <v>1 MIN</v>
      </c>
      <c r="E24" s="84" t="str">
        <f>'MSW36'!E24</f>
        <v/>
      </c>
      <c r="F24" s="85">
        <v>1.0</v>
      </c>
      <c r="H24" s="240">
        <f>'MSW36'!H24</f>
        <v>2</v>
      </c>
      <c r="I24" s="241">
        <f>'MSW36'!I24</f>
        <v>0</v>
      </c>
      <c r="J24" s="241">
        <f>'MSW36'!J24</f>
        <v>1</v>
      </c>
      <c r="K24" s="83" t="str">
        <f>'MSW36'!K24</f>
        <v>1 MIN</v>
      </c>
      <c r="L24" s="84" t="str">
        <f>'MSW36'!L24</f>
        <v/>
      </c>
      <c r="M24" s="85" t="str">
        <f>'MSW36'!M24</f>
        <v/>
      </c>
    </row>
    <row r="25">
      <c r="A25" s="240">
        <f>'MSW36'!A25</f>
        <v>3</v>
      </c>
      <c r="B25" s="241">
        <f>'MSW36'!B25</f>
        <v>75</v>
      </c>
      <c r="C25" s="63">
        <f>'MSW36'!C25</f>
        <v>1</v>
      </c>
      <c r="D25" s="83" t="str">
        <f>'MSW36'!D25</f>
        <v>1 MIN</v>
      </c>
      <c r="E25" s="84" t="str">
        <f>'MSW36'!E25</f>
        <v/>
      </c>
      <c r="F25" s="85">
        <v>1.0</v>
      </c>
      <c r="H25" s="240">
        <f>'MSW36'!H25</f>
        <v>3</v>
      </c>
      <c r="I25" s="241">
        <f>'MSW36'!I25</f>
        <v>0</v>
      </c>
      <c r="J25" s="241">
        <f>'MSW36'!J25</f>
        <v>1</v>
      </c>
      <c r="K25" s="83" t="str">
        <f>'MSW36'!K25</f>
        <v>1 MIN</v>
      </c>
      <c r="L25" s="84" t="str">
        <f>'MSW36'!L25</f>
        <v/>
      </c>
      <c r="M25" s="85" t="str">
        <f>'MSW36'!M25</f>
        <v/>
      </c>
    </row>
    <row r="26">
      <c r="A26" s="240">
        <f>'MSW36'!A26</f>
        <v>4</v>
      </c>
      <c r="B26" s="241">
        <f>'MSW36'!B26</f>
        <v>90</v>
      </c>
      <c r="C26" s="245" t="str">
        <f>'MSW36'!C26</f>
        <v>REP OUT</v>
      </c>
      <c r="D26" s="83" t="str">
        <f>'MSW36'!D26</f>
        <v>1 MIN</v>
      </c>
      <c r="E26" s="84" t="str">
        <f>'MSW36'!E26</f>
        <v/>
      </c>
      <c r="F26" s="85">
        <v>4.0</v>
      </c>
      <c r="H26" s="240">
        <f>'MSW36'!H26</f>
        <v>4</v>
      </c>
      <c r="I26" s="241">
        <f>'MSW36'!I26</f>
        <v>0</v>
      </c>
      <c r="J26" s="245" t="str">
        <f>'MSW36'!J26</f>
        <v>REP OUT</v>
      </c>
      <c r="K26" s="83" t="str">
        <f>'MSW36'!K26</f>
        <v>1 MIN</v>
      </c>
      <c r="L26" s="84" t="str">
        <f>'MSW36'!L26</f>
        <v/>
      </c>
      <c r="M26" s="85" t="str">
        <f>'MSW36'!M26</f>
        <v/>
      </c>
    </row>
    <row r="27">
      <c r="A27" s="248" t="str">
        <f>'MSW36'!A27</f>
        <v>PROCEED TO DOWN SETS</v>
      </c>
      <c r="F27" s="28"/>
      <c r="G27" s="247" t="str">
        <f>'MSW36'!G27</f>
        <v>ALTERNATE</v>
      </c>
      <c r="H27" s="248" t="str">
        <f>'MSW36'!H27</f>
        <v>PROCEED TO DOWNSETS</v>
      </c>
      <c r="M27" s="28"/>
    </row>
    <row r="28">
      <c r="A28" s="251" t="str">
        <f>'MSW36'!A28</f>
        <v/>
      </c>
      <c r="B28" s="252" t="str">
        <f>'MSW36'!B28</f>
        <v/>
      </c>
      <c r="C28" s="253" t="str">
        <f>'MSW36'!C28</f>
        <v/>
      </c>
      <c r="D28" s="254" t="str">
        <f>'MSW36'!D28</f>
        <v/>
      </c>
      <c r="E28" s="84" t="str">
        <f>'MSW36'!E28</f>
        <v/>
      </c>
      <c r="F28" s="67"/>
      <c r="H28" s="251" t="str">
        <f>'MSW36'!H28</f>
        <v/>
      </c>
      <c r="I28" s="252" t="str">
        <f>'MSW36'!I28</f>
        <v/>
      </c>
      <c r="J28" s="253" t="str">
        <f>'MSW36'!J28</f>
        <v/>
      </c>
      <c r="K28" s="254" t="str">
        <f>'MSW36'!K28</f>
        <v/>
      </c>
      <c r="L28" s="84" t="str">
        <f>'MSW36'!L28</f>
        <v/>
      </c>
      <c r="M28" s="67" t="str">
        <f>'MSW36'!M28</f>
        <v/>
      </c>
    </row>
    <row r="29">
      <c r="A29" s="260" t="str">
        <f>'MSW36'!A29</f>
        <v>DOWN SETS</v>
      </c>
      <c r="B29" s="16"/>
      <c r="C29" s="16"/>
      <c r="D29" s="16"/>
      <c r="E29" s="16"/>
      <c r="F29" s="230"/>
      <c r="G29" s="141" t="str">
        <f>'MSW36'!G29</f>
        <v/>
      </c>
      <c r="H29" s="260" t="str">
        <f>'MSW36'!H29</f>
        <v>FILL OUT REP LOG FIRST</v>
      </c>
      <c r="I29" s="16"/>
      <c r="J29" s="16"/>
      <c r="K29" s="16"/>
      <c r="L29" s="16"/>
      <c r="M29" s="230"/>
    </row>
    <row r="30">
      <c r="A30" s="545">
        <f>'MSW36'!A30</f>
        <v>5</v>
      </c>
      <c r="B30" s="261">
        <f>'MSW36'!B30</f>
        <v>70</v>
      </c>
      <c r="C30" s="262" t="str">
        <f>'MSW36'!C30</f>
        <v>REP OUT</v>
      </c>
      <c r="D30" s="65" t="str">
        <f>'MSW36'!D30</f>
        <v>1 MIN</v>
      </c>
      <c r="E30" s="84" t="str">
        <f>'MSW36'!E30</f>
        <v/>
      </c>
      <c r="F30" s="263">
        <v>8.0</v>
      </c>
      <c r="H30" s="91" t="str">
        <f>'MSW36'!H30</f>
        <v/>
      </c>
      <c r="I30" s="261" t="str">
        <f>'MSW36'!I30</f>
        <v/>
      </c>
      <c r="J30" s="262" t="str">
        <f>'MSW36'!J30</f>
        <v/>
      </c>
      <c r="K30" s="65" t="str">
        <f>'MSW36'!K30</f>
        <v/>
      </c>
      <c r="L30" s="84" t="str">
        <f>'MSW36'!L30</f>
        <v/>
      </c>
      <c r="M30" s="263" t="str">
        <f>'MSW36'!M30</f>
        <v/>
      </c>
    </row>
    <row r="31">
      <c r="A31" s="546">
        <f>'MSW36'!A31</f>
        <v>6</v>
      </c>
      <c r="B31" s="254">
        <f>'MSW36'!B31</f>
        <v>60</v>
      </c>
      <c r="C31" s="253" t="str">
        <f>'MSW36'!C31</f>
        <v>REP OUT</v>
      </c>
      <c r="D31" s="65" t="str">
        <f>'MSW36'!D31</f>
        <v>1 MIN</v>
      </c>
      <c r="E31" s="84" t="str">
        <f>'MSW36'!E31</f>
        <v/>
      </c>
      <c r="F31" s="263">
        <v>12.0</v>
      </c>
      <c r="H31" s="269" t="str">
        <f>'MSW36'!H31</f>
        <v/>
      </c>
      <c r="I31" s="254" t="str">
        <f>'MSW36'!I31</f>
        <v/>
      </c>
      <c r="J31" s="253" t="str">
        <f>'MSW36'!J31</f>
        <v/>
      </c>
      <c r="K31" s="65" t="str">
        <f>'MSW36'!K31</f>
        <v/>
      </c>
      <c r="L31" s="84" t="str">
        <f>'MSW36'!L31</f>
        <v/>
      </c>
      <c r="M31" s="270" t="str">
        <f>'MSW36'!M31</f>
        <v/>
      </c>
    </row>
    <row r="32">
      <c r="A32" s="546" t="str">
        <f>'MSW36'!A32</f>
        <v/>
      </c>
      <c r="B32" s="254" t="str">
        <f>'MSW36'!B32</f>
        <v/>
      </c>
      <c r="C32" s="253" t="str">
        <f>'MSW36'!C32</f>
        <v/>
      </c>
      <c r="D32" s="65" t="str">
        <f>'MSW36'!D32</f>
        <v/>
      </c>
      <c r="E32" s="84" t="str">
        <f>'MSW36'!E32</f>
        <v/>
      </c>
      <c r="F32" s="270" t="str">
        <f>'MSW36'!F32</f>
        <v/>
      </c>
      <c r="H32" s="269" t="str">
        <f>'MSW36'!H32</f>
        <v/>
      </c>
      <c r="I32" s="254" t="str">
        <f>'MSW36'!I32</f>
        <v/>
      </c>
      <c r="J32" s="253" t="str">
        <f>'MSW36'!J32</f>
        <v/>
      </c>
      <c r="K32" s="65" t="str">
        <f>'MSW36'!K32</f>
        <v/>
      </c>
      <c r="L32" s="84" t="str">
        <f>'MSW36'!L32</f>
        <v/>
      </c>
      <c r="M32" s="270" t="str">
        <f>'MSW36'!M32</f>
        <v/>
      </c>
    </row>
    <row r="33">
      <c r="A33" s="546" t="str">
        <f>'MSW36'!A33</f>
        <v/>
      </c>
      <c r="B33" s="254" t="str">
        <f>'MSW36'!B33</f>
        <v/>
      </c>
      <c r="C33" s="253" t="str">
        <f>'MSW36'!C33</f>
        <v/>
      </c>
      <c r="D33" s="65" t="str">
        <f>'MSW36'!D33</f>
        <v/>
      </c>
      <c r="E33" s="84" t="str">
        <f>'MSW36'!E33</f>
        <v/>
      </c>
      <c r="F33" s="270" t="str">
        <f>'MSW36'!F33</f>
        <v/>
      </c>
      <c r="H33" s="269" t="str">
        <f>'MSW36'!H33</f>
        <v/>
      </c>
      <c r="I33" s="254" t="str">
        <f>'MSW36'!I33</f>
        <v/>
      </c>
      <c r="J33" s="253" t="str">
        <f>'MSW36'!J33</f>
        <v/>
      </c>
      <c r="K33" s="65" t="str">
        <f>'MSW36'!K33</f>
        <v/>
      </c>
      <c r="L33" s="84" t="str">
        <f>'MSW36'!L33</f>
        <v/>
      </c>
      <c r="M33" s="270" t="str">
        <f>'MSW36'!M33</f>
        <v/>
      </c>
    </row>
    <row r="34">
      <c r="A34" s="280" t="str">
        <f>'MSW36'!A34</f>
        <v>FINAL MAX</v>
      </c>
      <c r="B34" s="273">
        <f>'MSW36'!B34</f>
        <v>90</v>
      </c>
      <c r="C34" s="11"/>
      <c r="D34" s="11"/>
      <c r="E34" s="11"/>
      <c r="F34" s="46"/>
      <c r="H34" s="280" t="str">
        <f>'MSW36'!H34</f>
        <v>FINAL MAX</v>
      </c>
      <c r="I34" s="273" t="str">
        <f>'MSW36'!I34</f>
        <v/>
      </c>
      <c r="J34" s="11"/>
      <c r="K34" s="11"/>
      <c r="L34" s="11"/>
      <c r="M34" s="46"/>
    </row>
    <row r="35">
      <c r="A35" s="658" t="str">
        <f>'MSW36'!A35</f>
        <v/>
      </c>
    </row>
    <row r="37">
      <c r="A37" s="440" t="str">
        <f>'MSW36'!A37</f>
        <v>2. DUMBBELL CHEST FLY</v>
      </c>
      <c r="B37" s="53"/>
      <c r="C37" s="53"/>
      <c r="D37" s="53"/>
      <c r="E37" s="53"/>
      <c r="F37" s="54"/>
      <c r="G37" s="659" t="str">
        <f>'MSW36'!G37</f>
        <v/>
      </c>
      <c r="H37" s="504" t="str">
        <f>'MSW36'!H37</f>
        <v>2. MACHINE CHEST FLY</v>
      </c>
      <c r="I37" s="53"/>
      <c r="J37" s="53"/>
      <c r="K37" s="53"/>
      <c r="L37" s="53"/>
      <c r="M37" s="54"/>
    </row>
    <row r="38">
      <c r="A38" s="226" t="str">
        <f>'MSW36'!A38</f>
        <v>DB INCL PRSS MAX</v>
      </c>
      <c r="B38" s="548">
        <f>B34</f>
        <v>90</v>
      </c>
      <c r="C38" s="13"/>
      <c r="D38" s="13"/>
      <c r="E38" s="13"/>
      <c r="F38" s="57"/>
      <c r="G38" s="247" t="str">
        <f>'MSW36'!G38</f>
        <v>ALTERNATE</v>
      </c>
      <c r="H38" s="226" t="str">
        <f>'MSW36'!H38</f>
        <v>DB INCL PRSS MAX</v>
      </c>
      <c r="I38" s="548">
        <f>'MSW36'!I38</f>
        <v>90</v>
      </c>
      <c r="J38" s="13"/>
      <c r="K38" s="13"/>
      <c r="L38" s="13"/>
      <c r="M38" s="57"/>
    </row>
    <row r="39">
      <c r="A39" s="96" t="str">
        <f>'MSW36'!A39</f>
        <v>SET</v>
      </c>
      <c r="B39" s="97" t="str">
        <f>'MSW36'!B39</f>
        <v>WEIGHT</v>
      </c>
      <c r="C39" s="97" t="str">
        <f>'MSW36'!C39</f>
        <v>REPS</v>
      </c>
      <c r="D39" s="97" t="str">
        <f>'MSW36'!D39</f>
        <v>REST</v>
      </c>
      <c r="E39" s="98" t="str">
        <f>'MSW36'!E39</f>
        <v>PREVIOUS</v>
      </c>
      <c r="F39" s="235" t="str">
        <f>'MSW36'!F39</f>
        <v>REP LOG</v>
      </c>
      <c r="H39" s="96" t="str">
        <f>'MSW36'!H39</f>
        <v>SET</v>
      </c>
      <c r="I39" s="97" t="str">
        <f>'MSW36'!I39</f>
        <v>WEIGHT</v>
      </c>
      <c r="J39" s="97" t="str">
        <f>'MSW36'!J39</f>
        <v>REPS</v>
      </c>
      <c r="K39" s="97" t="str">
        <f>'MSW36'!K39</f>
        <v>REST</v>
      </c>
      <c r="L39" s="341" t="str">
        <f>'MSW36'!L39</f>
        <v>PREVIOUS</v>
      </c>
      <c r="M39" s="235" t="str">
        <f>'MSW36'!M39</f>
        <v>REP LOG</v>
      </c>
    </row>
    <row r="40">
      <c r="A40" s="240">
        <f>'MSW36'!A40</f>
        <v>1</v>
      </c>
      <c r="B40" s="254">
        <f>'MSW36'!B40</f>
        <v>25</v>
      </c>
      <c r="C40" s="241">
        <f>'MSW36'!C40</f>
        <v>15</v>
      </c>
      <c r="D40" s="83" t="str">
        <f>'MSW36'!D40</f>
        <v>1 MIN</v>
      </c>
      <c r="E40" s="84" t="str">
        <f>'MSW36'!E40</f>
        <v/>
      </c>
      <c r="F40" s="85" t="str">
        <f>'MSW36'!F40</f>
        <v/>
      </c>
      <c r="G40" s="659" t="str">
        <f>'MSW36'!G40</f>
        <v/>
      </c>
      <c r="H40" s="240">
        <f>'MSW36'!H40</f>
        <v>1</v>
      </c>
      <c r="I40" s="254">
        <f>'MSW36'!I40</f>
        <v>140</v>
      </c>
      <c r="J40" s="241">
        <f>'MSW36'!J40</f>
        <v>15</v>
      </c>
      <c r="K40" s="83" t="str">
        <f>'MSW36'!K40</f>
        <v>1 MIN</v>
      </c>
      <c r="L40" s="84" t="str">
        <f>'MSW36'!L40</f>
        <v/>
      </c>
      <c r="M40" s="85" t="str">
        <f>'MSW36'!M40</f>
        <v/>
      </c>
    </row>
    <row r="41">
      <c r="A41" s="661">
        <f>'MSW36'!A41</f>
        <v>2</v>
      </c>
      <c r="B41" s="662">
        <f>'MSW36'!B41</f>
        <v>25</v>
      </c>
      <c r="C41" s="662">
        <f>'MSW36'!C41</f>
        <v>15</v>
      </c>
      <c r="D41" s="88" t="str">
        <f>'MSW36'!D41</f>
        <v>1 MIN</v>
      </c>
      <c r="E41" s="89" t="str">
        <f>'MSW36'!E41</f>
        <v/>
      </c>
      <c r="F41" s="85" t="str">
        <f>'MSW36'!F41</f>
        <v/>
      </c>
      <c r="H41" s="661">
        <f>'MSW36'!H41</f>
        <v>2</v>
      </c>
      <c r="I41" s="662">
        <f>'MSW36'!I41</f>
        <v>140</v>
      </c>
      <c r="J41" s="662">
        <f>'MSW36'!J41</f>
        <v>15</v>
      </c>
      <c r="K41" s="88" t="str">
        <f>'MSW36'!K41</f>
        <v>1 MIN</v>
      </c>
      <c r="L41" s="89" t="str">
        <f>'MSW36'!L41</f>
        <v/>
      </c>
      <c r="M41" s="85" t="str">
        <f>'MSW36'!M41</f>
        <v/>
      </c>
    </row>
    <row r="42">
      <c r="A42" t="str">
        <f>'MSW36'!A42</f>
        <v/>
      </c>
      <c r="G42" t="str">
        <f>'MSW36'!G42</f>
        <v/>
      </c>
    </row>
    <row r="44">
      <c r="A44" s="1176" t="str">
        <f>'MSW36'!A44</f>
        <v>2. SUPER SET</v>
      </c>
      <c r="B44" s="36"/>
      <c r="C44" s="36"/>
      <c r="D44" s="36"/>
      <c r="E44" s="36"/>
      <c r="F44" s="37"/>
    </row>
    <row r="45">
      <c r="A45" s="1177" t="str">
        <f>'MSW36'!A45</f>
        <v>CURRENT MAX</v>
      </c>
      <c r="B45" s="1178">
        <f>'MSW36'!B45</f>
        <v>205</v>
      </c>
      <c r="C45" s="46"/>
      <c r="D45" s="1178">
        <f>'MSW36'!D45</f>
        <v>235</v>
      </c>
      <c r="E45" s="11"/>
      <c r="F45" s="46"/>
    </row>
    <row r="46">
      <c r="A46" s="1179" t="str">
        <f>'MSW36'!A46</f>
        <v>SET</v>
      </c>
      <c r="B46" s="1180" t="str">
        <f>'MSW36'!B46</f>
        <v>EXERCISE</v>
      </c>
      <c r="C46" s="1181" t="str">
        <f>'MSW36'!C46</f>
        <v>WEIGHT</v>
      </c>
      <c r="D46" s="1181" t="str">
        <f>'MSW36'!D46</f>
        <v>REPS</v>
      </c>
      <c r="E46" s="1182" t="str">
        <f>'MSW36'!E46</f>
        <v>PREVIOUS</v>
      </c>
      <c r="F46" s="1006" t="str">
        <f>'MSW36'!F46</f>
        <v>REP LOG</v>
      </c>
    </row>
    <row r="47">
      <c r="A47" s="1183">
        <f>'MSW36'!A47</f>
        <v>1</v>
      </c>
      <c r="B47" s="1356" t="str">
        <f>'MSW36'!B47</f>
        <v>MACH HIGH ROW</v>
      </c>
      <c r="C47" s="1346">
        <f>'MSW36'!C47</f>
        <v>90</v>
      </c>
      <c r="D47" s="1347">
        <f>'MSW36'!D47</f>
        <v>20</v>
      </c>
      <c r="E47" s="1187" t="str">
        <f>'MSW36'!E47</f>
        <v/>
      </c>
      <c r="F47" s="1490">
        <v>20.0</v>
      </c>
    </row>
    <row r="48">
      <c r="A48" s="1189"/>
      <c r="B48" s="1190" t="str">
        <f>'MSW36'!B48</f>
        <v>LOW ROW</v>
      </c>
      <c r="C48" s="1191">
        <f>'MSW36'!C48</f>
        <v>105</v>
      </c>
      <c r="D48" s="1192">
        <f>'MSW36'!D48</f>
        <v>20</v>
      </c>
      <c r="E48" s="1193" t="str">
        <f>'MSW36'!E48</f>
        <v/>
      </c>
      <c r="F48" s="1490">
        <v>20.0</v>
      </c>
    </row>
    <row r="49">
      <c r="A49" s="1194" t="str">
        <f>'MSW36'!A49</f>
        <v>REST 1 MIN</v>
      </c>
      <c r="B49" s="11"/>
      <c r="C49" s="11"/>
      <c r="D49" s="11"/>
      <c r="E49" s="11"/>
      <c r="F49" s="46"/>
    </row>
    <row r="50">
      <c r="A50" s="1195">
        <f>'MSW36'!A50</f>
        <v>2</v>
      </c>
      <c r="B50" s="1356" t="str">
        <f>'MSW36'!B50</f>
        <v>MACH HIGH ROW</v>
      </c>
      <c r="C50" s="1346">
        <f>'MSW36'!C50</f>
        <v>90</v>
      </c>
      <c r="D50" s="1347">
        <f>'MSW36'!D50</f>
        <v>20</v>
      </c>
      <c r="E50" s="1187" t="str">
        <f>'MSW36'!E50</f>
        <v/>
      </c>
      <c r="F50" s="1490">
        <v>20.0</v>
      </c>
    </row>
    <row r="51">
      <c r="A51" s="1196"/>
      <c r="B51" s="1190" t="str">
        <f>'MSW36'!B51</f>
        <v>LOW ROW</v>
      </c>
      <c r="C51" s="1191">
        <f>'MSW36'!C51</f>
        <v>105</v>
      </c>
      <c r="D51" s="1192">
        <f>'MSW36'!D51</f>
        <v>20</v>
      </c>
      <c r="E51" s="1193" t="str">
        <f>'MSW36'!E51</f>
        <v/>
      </c>
      <c r="F51" s="1490">
        <v>10.0</v>
      </c>
    </row>
    <row r="52">
      <c r="A52" s="1194" t="str">
        <f>'MSW36'!A52</f>
        <v>REST 1 MIN</v>
      </c>
      <c r="B52" s="11"/>
      <c r="C52" s="11"/>
      <c r="D52" s="11"/>
      <c r="E52" s="11"/>
      <c r="F52" s="46"/>
    </row>
    <row r="53">
      <c r="A53" s="1195">
        <f>'MSW36'!A53</f>
        <v>3</v>
      </c>
      <c r="B53" s="1356" t="str">
        <f>'MSW36'!B53</f>
        <v>MACH HIGH ROW</v>
      </c>
      <c r="C53" s="1346">
        <f>'MSW36'!C53</f>
        <v>90</v>
      </c>
      <c r="D53" s="1347">
        <f>'MSW36'!D53</f>
        <v>20</v>
      </c>
      <c r="E53" s="1187" t="str">
        <f>'MSW36'!E53</f>
        <v/>
      </c>
      <c r="F53" s="1340">
        <v>20.0</v>
      </c>
    </row>
    <row r="54">
      <c r="A54" s="1196"/>
      <c r="B54" s="1190" t="str">
        <f>'MSW36'!B54</f>
        <v>LOW ROW</v>
      </c>
      <c r="C54" s="1191">
        <f>'MSW36'!C54</f>
        <v>95</v>
      </c>
      <c r="D54" s="1192">
        <f>'MSW36'!D54</f>
        <v>20</v>
      </c>
      <c r="E54" s="1193" t="str">
        <f>'MSW36'!E54</f>
        <v/>
      </c>
      <c r="F54" s="1340">
        <v>12.0</v>
      </c>
    </row>
    <row r="55">
      <c r="A55" s="1194" t="str">
        <f>'MSW36'!A55</f>
        <v>REST 1 MIN</v>
      </c>
      <c r="B55" s="11"/>
      <c r="C55" s="11"/>
      <c r="D55" s="11"/>
      <c r="E55" s="11"/>
      <c r="F55" s="46"/>
    </row>
    <row r="56">
      <c r="A56" s="1197">
        <f>'MSW36'!A56</f>
        <v>4</v>
      </c>
      <c r="B56" s="1356" t="str">
        <f>'MSW36'!B56</f>
        <v>MACH HIGH ROW</v>
      </c>
      <c r="C56" s="1346">
        <f>'MSW36'!C56</f>
        <v>90</v>
      </c>
      <c r="D56" s="1347">
        <f>'MSW36'!D56</f>
        <v>20</v>
      </c>
      <c r="E56" s="1187" t="str">
        <f>'MSW36'!E56</f>
        <v/>
      </c>
      <c r="F56" s="1133" t="str">
        <f>'MSW36'!F56</f>
        <v/>
      </c>
    </row>
    <row r="57">
      <c r="A57" s="1196"/>
      <c r="B57" s="1190" t="str">
        <f>'MSW36'!B57</f>
        <v>LOW ROW</v>
      </c>
      <c r="C57" s="1191">
        <f>'MSW36'!C57</f>
        <v>85</v>
      </c>
      <c r="D57" s="1192">
        <f>'MSW36'!D57</f>
        <v>20</v>
      </c>
      <c r="E57" s="1193" t="str">
        <f>'MSW36'!E57</f>
        <v/>
      </c>
      <c r="F57" s="1133" t="str">
        <f>'MSW36'!F57</f>
        <v/>
      </c>
    </row>
    <row r="58">
      <c r="A58" t="str">
        <f>'MSW36'!A58</f>
        <v/>
      </c>
    </row>
    <row r="60">
      <c r="A60" s="310" t="str">
        <f>'MSW36'!A60</f>
        <v>CLICK TO COMPLETE WORKOUT</v>
      </c>
      <c r="B60" s="36"/>
      <c r="C60" s="36"/>
      <c r="D60" s="36"/>
      <c r="E60" s="36"/>
      <c r="F60" s="37"/>
    </row>
    <row r="61">
      <c r="A61" t="str">
        <f>'MSW36'!A61</f>
        <v/>
      </c>
    </row>
    <row r="62">
      <c r="A62" s="224" t="str">
        <f>'MSW36'!A62</f>
        <v>DAY 2 </v>
      </c>
      <c r="B62" s="36"/>
      <c r="C62" s="36"/>
      <c r="D62" s="36"/>
      <c r="E62" s="36"/>
      <c r="F62" s="37"/>
    </row>
    <row r="63">
      <c r="A63" t="str">
        <f>'MSW36'!A63</f>
        <v/>
      </c>
    </row>
    <row r="65">
      <c r="A65" s="1261" t="str">
        <f>'MSW36'!A65</f>
        <v>1. MACHINE SQUAT</v>
      </c>
      <c r="B65" s="53"/>
      <c r="C65" s="53"/>
      <c r="D65" s="53"/>
      <c r="E65" s="53"/>
      <c r="F65" s="54"/>
    </row>
    <row r="66">
      <c r="A66" s="961" t="str">
        <f>'MSW36'!A66</f>
        <v>CURRENT MAX</v>
      </c>
      <c r="B66" s="1035">
        <f>'MSW36'!B66</f>
        <v>35</v>
      </c>
      <c r="C66" s="13"/>
      <c r="D66" s="13"/>
      <c r="E66" s="13"/>
      <c r="F66" s="57"/>
    </row>
    <row r="67">
      <c r="A67" s="231" t="str">
        <f>'MSW36'!A67</f>
        <v>SET</v>
      </c>
      <c r="B67" s="232" t="str">
        <f>'MSW36'!B67</f>
        <v>WEIGHT</v>
      </c>
      <c r="C67" s="232" t="str">
        <f>'MSW36'!C67</f>
        <v>REPS</v>
      </c>
      <c r="D67" s="232" t="str">
        <f>'MSW36'!D67</f>
        <v>REST</v>
      </c>
      <c r="E67" s="1073" t="str">
        <f>'MSW36'!E67</f>
        <v>PREVIOUS</v>
      </c>
      <c r="F67" s="1006" t="str">
        <f>'MSW36'!F67</f>
        <v>REP LOG</v>
      </c>
    </row>
    <row r="68">
      <c r="A68" s="236">
        <f>'MSW36'!A68</f>
        <v>1</v>
      </c>
      <c r="B68" s="237">
        <f>'MSW36'!B68</f>
        <v>10</v>
      </c>
      <c r="C68" s="238">
        <f>'MSW36'!C68</f>
        <v>10</v>
      </c>
      <c r="D68" s="238" t="str">
        <f>'MSW36'!D68</f>
        <v>30s</v>
      </c>
      <c r="E68" s="1130">
        <f>'MSW36'!E68</f>
        <v>10</v>
      </c>
      <c r="F68" s="1131" t="str">
        <f>'MSW36'!F68</f>
        <v/>
      </c>
    </row>
    <row r="69">
      <c r="A69" s="236">
        <f>'MSW36'!A69</f>
        <v>2</v>
      </c>
      <c r="B69" s="237">
        <f>'MSW36'!B69</f>
        <v>25</v>
      </c>
      <c r="C69" s="238">
        <f>'MSW36'!C69</f>
        <v>10</v>
      </c>
      <c r="D69" s="238" t="str">
        <f>'MSW36'!D69</f>
        <v>1-2 MIN</v>
      </c>
      <c r="E69" s="1130" t="str">
        <f>'MSW36'!E69</f>
        <v/>
      </c>
      <c r="F69" s="1113"/>
    </row>
    <row r="70">
      <c r="A70" s="242">
        <f>'MSW36'!A70</f>
        <v>3</v>
      </c>
      <c r="B70" s="237">
        <f>'MSW36'!B70</f>
        <v>30</v>
      </c>
      <c r="C70" s="238">
        <f>'MSW36'!C70</f>
        <v>10</v>
      </c>
      <c r="D70" s="238" t="str">
        <f>'MSW36'!D70</f>
        <v>1-2 MIN</v>
      </c>
      <c r="E70" s="1130" t="str">
        <f>'MSW36'!E70</f>
        <v/>
      </c>
      <c r="F70" s="1111"/>
    </row>
    <row r="71">
      <c r="A71" s="249">
        <f>'MSW36'!A71</f>
        <v>4</v>
      </c>
      <c r="B71" s="175">
        <f>'MSW36'!B71</f>
        <v>25</v>
      </c>
      <c r="C71" s="238">
        <f>'MSW36'!C71</f>
        <v>10</v>
      </c>
      <c r="D71" s="238" t="str">
        <f>'MSW36'!D71</f>
        <v>1-5 MIN</v>
      </c>
      <c r="E71" s="1130" t="str">
        <f>'MSW36'!E71</f>
        <v/>
      </c>
      <c r="F71" s="1113"/>
    </row>
    <row r="72">
      <c r="A72" s="249">
        <f>'MSW36'!A72</f>
        <v>5</v>
      </c>
      <c r="B72" s="175">
        <f>'MSW36'!B72</f>
        <v>20</v>
      </c>
      <c r="C72" s="238">
        <f>'MSW36'!C72</f>
        <v>10</v>
      </c>
      <c r="D72" s="238" t="str">
        <f>'MSW36'!D72</f>
        <v>1-5 MIN</v>
      </c>
      <c r="E72" s="1130" t="str">
        <f>'MSW36'!E72</f>
        <v/>
      </c>
      <c r="F72" s="1113"/>
    </row>
    <row r="73">
      <c r="A73" s="249">
        <f>'MSW36'!A73</f>
        <v>6</v>
      </c>
      <c r="B73" s="175">
        <f>'MSW36'!B73</f>
        <v>15</v>
      </c>
      <c r="C73" s="238">
        <f>'MSW36'!C73</f>
        <v>10</v>
      </c>
      <c r="D73" s="238" t="str">
        <f>'MSW36'!D73</f>
        <v>1-5 MIN</v>
      </c>
      <c r="E73" s="1130" t="str">
        <f>'MSW36'!E73</f>
        <v/>
      </c>
      <c r="F73" s="1113"/>
    </row>
    <row r="74">
      <c r="A74" s="1038">
        <f>'MSW36'!A74</f>
        <v>7</v>
      </c>
      <c r="B74" s="175">
        <f>'MSW36'!B74</f>
        <v>10</v>
      </c>
      <c r="C74" s="238">
        <f>'MSW36'!C74</f>
        <v>10</v>
      </c>
      <c r="D74" s="238" t="str">
        <f>'MSW36'!D74</f>
        <v>1-5 MIN</v>
      </c>
      <c r="E74" s="1130" t="str">
        <f>'MSW36'!E74</f>
        <v/>
      </c>
      <c r="F74" s="1357"/>
    </row>
    <row r="75">
      <c r="A75" s="249">
        <f>'MSW36'!A75</f>
        <v>8</v>
      </c>
      <c r="B75" s="175">
        <f>'MSW36'!B75</f>
        <v>10</v>
      </c>
      <c r="C75" s="238">
        <f>'MSW36'!C75</f>
        <v>10</v>
      </c>
      <c r="D75" s="238" t="str">
        <f>'MSW36'!D75</f>
        <v>1-5 MIN</v>
      </c>
      <c r="E75" s="1130" t="str">
        <f>'MSW36'!E75</f>
        <v/>
      </c>
      <c r="F75" s="1357"/>
    </row>
    <row r="76">
      <c r="A76" s="272" t="str">
        <f>'MSW36'!A76</f>
        <v>10 REP MAX</v>
      </c>
      <c r="B76" s="1109">
        <f>'MSW36'!B76</f>
        <v>35</v>
      </c>
      <c r="C76" s="11"/>
      <c r="D76" s="11"/>
      <c r="E76" s="11"/>
      <c r="F76" s="46"/>
    </row>
    <row r="77">
      <c r="A77" t="str">
        <f>'MSW36'!A77</f>
        <v/>
      </c>
      <c r="B77" t="str">
        <f>'MSW36'!B77</f>
        <v/>
      </c>
      <c r="C77" t="str">
        <f>'MSW36'!C77</f>
        <v/>
      </c>
      <c r="D77" t="str">
        <f>'MSW36'!D77</f>
        <v/>
      </c>
      <c r="E77" t="str">
        <f>'MSW36'!E77</f>
        <v/>
      </c>
      <c r="F77" t="str">
        <f>'MSW36'!F77</f>
        <v/>
      </c>
    </row>
    <row r="78">
      <c r="A78" t="str">
        <f>'MSW36'!A78</f>
        <v/>
      </c>
      <c r="B78" t="str">
        <f>'MSW36'!B78</f>
        <v/>
      </c>
      <c r="C78" t="str">
        <f>'MSW36'!C78</f>
        <v/>
      </c>
      <c r="D78" t="str">
        <f>'MSW36'!D78</f>
        <v/>
      </c>
      <c r="E78" t="str">
        <f>'MSW36'!E78</f>
        <v/>
      </c>
      <c r="F78" t="str">
        <f>'MSW36'!F78</f>
        <v/>
      </c>
    </row>
    <row r="79">
      <c r="A79" s="1044" t="str">
        <f>'MSW36'!A79</f>
        <v>2. LEG EXTENSION</v>
      </c>
      <c r="B79" s="13"/>
      <c r="C79" s="13"/>
      <c r="D79" s="13"/>
      <c r="E79" s="13"/>
      <c r="F79" s="57"/>
    </row>
    <row r="80">
      <c r="A80" s="1045" t="str">
        <f>'MSW36'!A80</f>
        <v>CURRENT MAX</v>
      </c>
      <c r="B80" s="1046">
        <f>'MSW36'!B80</f>
        <v>140</v>
      </c>
      <c r="C80" s="13"/>
      <c r="D80" s="13"/>
      <c r="E80" s="13"/>
      <c r="F80" s="57"/>
    </row>
    <row r="81">
      <c r="A81" s="567" t="str">
        <f>'MSW36'!A81</f>
        <v>SET</v>
      </c>
      <c r="B81" s="568" t="str">
        <f>'MSW36'!B81</f>
        <v>WEIGHT</v>
      </c>
      <c r="C81" s="568" t="str">
        <f>'MSW36'!C81</f>
        <v>REPS</v>
      </c>
      <c r="D81" s="568" t="str">
        <f>'MSW36'!D81</f>
        <v>REST</v>
      </c>
      <c r="E81" s="1047" t="str">
        <f>'MSW36'!E81</f>
        <v>PREVIOUS</v>
      </c>
      <c r="F81" s="1048" t="str">
        <f>'MSW36'!F81</f>
        <v>REP LOG</v>
      </c>
    </row>
    <row r="82">
      <c r="A82" s="1049">
        <f>'MSW36'!A82</f>
        <v>1</v>
      </c>
      <c r="B82" s="1050">
        <f>'MSW36'!B82</f>
        <v>140</v>
      </c>
      <c r="C82" s="1051" t="str">
        <f>'MSW36'!C82</f>
        <v>10 - 20</v>
      </c>
      <c r="D82" s="1052" t="str">
        <f>'MSW36'!D82</f>
        <v>1 MIN</v>
      </c>
      <c r="E82" s="1130">
        <f>'MSW36'!E82</f>
        <v>20</v>
      </c>
      <c r="F82" s="1017" t="str">
        <f>'MSW36'!F82</f>
        <v/>
      </c>
    </row>
    <row r="83">
      <c r="A83" s="1049">
        <f>'MSW36'!A83</f>
        <v>2</v>
      </c>
      <c r="B83" s="1050">
        <f>'MSW36'!B83</f>
        <v>110</v>
      </c>
      <c r="C83" s="1051" t="str">
        <f>'MSW36'!C83</f>
        <v>10 - 20</v>
      </c>
      <c r="D83" s="1052" t="str">
        <f>'MSW36'!D83</f>
        <v>1 MIN</v>
      </c>
      <c r="E83" s="1130" t="str">
        <f>'MSW36'!E83</f>
        <v/>
      </c>
      <c r="F83" s="1017" t="str">
        <f>'MSW36'!F83</f>
        <v/>
      </c>
    </row>
    <row r="84">
      <c r="A84" s="1053">
        <f>'MSW36'!A84</f>
        <v>3</v>
      </c>
      <c r="B84" s="1054">
        <f>'MSW36'!B84</f>
        <v>90</v>
      </c>
      <c r="C84" s="1055" t="str">
        <f>'MSW36'!C84</f>
        <v>10 - 20</v>
      </c>
      <c r="D84" s="1056" t="str">
        <f>'MSW36'!D84</f>
        <v>1 MIN</v>
      </c>
      <c r="E84" s="1348" t="str">
        <f>'MSW36'!E84</f>
        <v/>
      </c>
      <c r="F84" s="1017" t="str">
        <f>'MSW36'!F84</f>
        <v/>
      </c>
    </row>
    <row r="85">
      <c r="A85" t="str">
        <f>'MSW36'!A85</f>
        <v/>
      </c>
    </row>
    <row r="87">
      <c r="A87" s="323" t="str">
        <f>'MSW36'!A87</f>
        <v>3. MACHINE LEG CURL</v>
      </c>
      <c r="B87" s="53"/>
      <c r="C87" s="53"/>
      <c r="D87" s="53"/>
      <c r="E87" s="53"/>
      <c r="F87" s="54"/>
      <c r="G87" s="141" t="str">
        <f>'MSW36'!G87</f>
        <v/>
      </c>
      <c r="H87" s="323" t="str">
        <f>'MSW36'!H87</f>
        <v>3. PRONE LEG CURL</v>
      </c>
      <c r="I87" s="53"/>
      <c r="J87" s="53"/>
      <c r="K87" s="53"/>
      <c r="L87" s="53"/>
      <c r="M87" s="54"/>
    </row>
    <row r="88">
      <c r="A88" s="1045" t="str">
        <f>'MSW36'!A88</f>
        <v>CURRENT MAX</v>
      </c>
      <c r="B88" s="1046">
        <f>'MSW36'!B88</f>
        <v>135</v>
      </c>
      <c r="C88" s="13"/>
      <c r="D88" s="13"/>
      <c r="E88" s="13"/>
      <c r="F88" s="57"/>
      <c r="H88" s="1045" t="str">
        <f>'MSW36'!H88</f>
        <v>CURRENT MAX</v>
      </c>
      <c r="I88" s="1046">
        <f>'MSW36'!I88</f>
        <v>15</v>
      </c>
      <c r="J88" s="13"/>
      <c r="K88" s="13"/>
      <c r="L88" s="13"/>
      <c r="M88" s="57"/>
    </row>
    <row r="89">
      <c r="A89" s="567" t="str">
        <f>'MSW36'!A89</f>
        <v>SET</v>
      </c>
      <c r="B89" s="568" t="str">
        <f>'MSW36'!B89</f>
        <v>WEIGHT</v>
      </c>
      <c r="C89" s="568" t="str">
        <f>'MSW36'!C89</f>
        <v>REPS</v>
      </c>
      <c r="D89" s="568" t="str">
        <f>'MSW36'!D89</f>
        <v>REST</v>
      </c>
      <c r="E89" s="1047" t="str">
        <f>'MSW36'!E89</f>
        <v>PREVIOUS</v>
      </c>
      <c r="F89" s="1048" t="str">
        <f>'MSW36'!F89</f>
        <v>REP LOG</v>
      </c>
      <c r="H89" s="567" t="str">
        <f>'MSW36'!H89</f>
        <v>SET</v>
      </c>
      <c r="I89" s="568" t="str">
        <f>'MSW36'!I89</f>
        <v>WEIGHT</v>
      </c>
      <c r="J89" s="568" t="str">
        <f>'MSW36'!J89</f>
        <v>REPS</v>
      </c>
      <c r="K89" s="568" t="str">
        <f>'MSW36'!K89</f>
        <v>REST</v>
      </c>
      <c r="L89" s="1047" t="str">
        <f>'MSW36'!L89</f>
        <v>PREVIOUS</v>
      </c>
      <c r="M89" s="1048" t="str">
        <f>'MSW36'!M89</f>
        <v>REP LOG</v>
      </c>
    </row>
    <row r="90">
      <c r="A90" s="1049">
        <f>'MSW36'!A90</f>
        <v>1</v>
      </c>
      <c r="B90" s="1050">
        <f>'MSW36'!B90</f>
        <v>135</v>
      </c>
      <c r="C90" s="1051" t="str">
        <f>'MSW36'!C90</f>
        <v>10 - 20</v>
      </c>
      <c r="D90" s="1052" t="str">
        <f>'MSW36'!D90</f>
        <v>1 MIN</v>
      </c>
      <c r="E90" s="1349" t="str">
        <f>'MSW36'!E90</f>
        <v/>
      </c>
      <c r="F90" s="1017" t="str">
        <f>'MSW36'!F90</f>
        <v/>
      </c>
      <c r="G90" s="434" t="str">
        <f>'MSW36'!G90</f>
        <v>ALTERNATE</v>
      </c>
      <c r="H90" s="1049">
        <f>'MSW36'!H90</f>
        <v>1</v>
      </c>
      <c r="I90" s="1050">
        <f>'MSW36'!I90</f>
        <v>15</v>
      </c>
      <c r="J90" s="1051" t="str">
        <f>'MSW36'!J90</f>
        <v>10 - 20</v>
      </c>
      <c r="K90" s="1052" t="str">
        <f>'MSW36'!K90</f>
        <v>1 MIN</v>
      </c>
      <c r="L90" s="1349" t="str">
        <f>'MSW36'!L90</f>
        <v/>
      </c>
      <c r="M90" s="1017" t="str">
        <f>'MSW36'!M90</f>
        <v/>
      </c>
    </row>
    <row r="91">
      <c r="A91" s="1049">
        <f>'MSW36'!A91</f>
        <v>2</v>
      </c>
      <c r="B91" s="1050">
        <f>'MSW36'!B91</f>
        <v>110</v>
      </c>
      <c r="C91" s="1051" t="str">
        <f>'MSW36'!C91</f>
        <v>10 - 20</v>
      </c>
      <c r="D91" s="1052" t="str">
        <f>'MSW36'!D91</f>
        <v>1 MIN</v>
      </c>
      <c r="E91" s="1349" t="str">
        <f>'MSW36'!E91</f>
        <v/>
      </c>
      <c r="F91" s="1017" t="str">
        <f>'MSW36'!F91</f>
        <v/>
      </c>
      <c r="H91" s="1049">
        <f>'MSW36'!H91</f>
        <v>2</v>
      </c>
      <c r="I91" s="1050">
        <f>'MSW36'!I91</f>
        <v>10</v>
      </c>
      <c r="J91" s="1051" t="str">
        <f>'MSW36'!J91</f>
        <v>10 - 20</v>
      </c>
      <c r="K91" s="1052" t="str">
        <f>'MSW36'!K91</f>
        <v>1 MIN</v>
      </c>
      <c r="L91" s="1349" t="str">
        <f>'MSW36'!L91</f>
        <v/>
      </c>
      <c r="M91" s="1017" t="str">
        <f>'MSW36'!M91</f>
        <v/>
      </c>
    </row>
    <row r="92">
      <c r="A92" s="1053">
        <f>'MSW36'!A92</f>
        <v>3</v>
      </c>
      <c r="B92" s="1054">
        <f>'MSW36'!B92</f>
        <v>90</v>
      </c>
      <c r="C92" s="1055" t="str">
        <f>'MSW36'!C92</f>
        <v>10 - 20</v>
      </c>
      <c r="D92" s="1056" t="str">
        <f>'MSW36'!D92</f>
        <v>1 MIN</v>
      </c>
      <c r="E92" s="1350" t="str">
        <f>'MSW36'!E92</f>
        <v/>
      </c>
      <c r="F92" s="1017" t="str">
        <f>'MSW36'!F92</f>
        <v/>
      </c>
      <c r="G92" s="682" t="str">
        <f>'MSW36'!G92</f>
        <v/>
      </c>
      <c r="H92" s="1053">
        <f>'MSW36'!H92</f>
        <v>3</v>
      </c>
      <c r="I92" s="1054">
        <f>'MSW36'!I92</f>
        <v>10</v>
      </c>
      <c r="J92" s="1055" t="str">
        <f>'MSW36'!J92</f>
        <v>10 - 20</v>
      </c>
      <c r="K92" s="1056" t="str">
        <f>'MSW36'!K92</f>
        <v>1 MIN</v>
      </c>
      <c r="L92" s="1350" t="str">
        <f>'MSW36'!L92</f>
        <v/>
      </c>
      <c r="M92" s="1017" t="str">
        <f>'MSW36'!M92</f>
        <v/>
      </c>
    </row>
    <row r="93">
      <c r="A93" s="849" t="str">
        <f>'MSW36'!A93</f>
        <v/>
      </c>
      <c r="H93" s="849" t="s">
        <v>237</v>
      </c>
    </row>
    <row r="95">
      <c r="A95" s="1120" t="str">
        <f>'MSW36'!A95</f>
        <v>DAY 3</v>
      </c>
      <c r="B95" s="36"/>
      <c r="C95" s="36"/>
      <c r="D95" s="36"/>
      <c r="E95" s="36"/>
      <c r="F95" s="37"/>
      <c r="G95" t="str">
        <f>'MSW36'!G95</f>
        <v/>
      </c>
    </row>
    <row r="96">
      <c r="A96" t="str">
        <f>'MSW36'!A96</f>
        <v/>
      </c>
    </row>
    <row r="98">
      <c r="A98" s="51" t="str">
        <f>'MSW36'!A98</f>
        <v>SHOULDERS &amp; ARMS</v>
      </c>
      <c r="B98" s="36"/>
      <c r="C98" s="36"/>
      <c r="D98" s="36"/>
      <c r="E98" s="36"/>
      <c r="F98" s="37"/>
      <c r="G98" t="str">
        <f>'MSW36'!G98</f>
        <v/>
      </c>
      <c r="H98" s="51" t="str">
        <f>'MSW36'!H98</f>
        <v>SHOULDERS &amp; ARMS</v>
      </c>
      <c r="I98" s="36"/>
      <c r="J98" s="36"/>
      <c r="K98" s="36"/>
      <c r="L98" s="36"/>
      <c r="M98" s="37"/>
    </row>
    <row r="99">
      <c r="A99" s="778" t="str">
        <f>'MSW36'!A99</f>
        <v>1. SHOULDER PRESS</v>
      </c>
      <c r="B99" s="53"/>
      <c r="C99" s="53"/>
      <c r="D99" s="53"/>
      <c r="E99" s="53"/>
      <c r="F99" s="54"/>
      <c r="G99" t="str">
        <f>'MSW36'!G99</f>
        <v/>
      </c>
      <c r="H99" s="778" t="str">
        <f>'MSW36'!H99</f>
        <v>1. MACHINE SHOULDER PRESS</v>
      </c>
      <c r="I99" s="53"/>
      <c r="J99" s="53"/>
      <c r="K99" s="53"/>
      <c r="L99" s="53"/>
      <c r="M99" s="54"/>
    </row>
    <row r="100">
      <c r="A100" s="589" t="str">
        <f>'MSW36'!A100</f>
        <v>CURRENT MAX</v>
      </c>
      <c r="B100" s="227">
        <v>80.0</v>
      </c>
      <c r="C100" s="20"/>
      <c r="D100" s="20"/>
      <c r="E100" s="20"/>
      <c r="F100" s="95"/>
      <c r="H100" s="589" t="str">
        <f>'MSW36'!H100</f>
        <v>CURRENT MAX</v>
      </c>
      <c r="I100" s="227">
        <f>'MSW36'!I100</f>
        <v>228</v>
      </c>
      <c r="J100" s="20"/>
      <c r="K100" s="20"/>
      <c r="L100" s="20"/>
      <c r="M100" s="95"/>
    </row>
    <row r="101">
      <c r="A101" s="364" t="str">
        <f>'MSW36'!A101</f>
        <v>SET</v>
      </c>
      <c r="B101" s="365" t="str">
        <f>'MSW36'!B101</f>
        <v>WEIGHT</v>
      </c>
      <c r="C101" s="365" t="str">
        <f>'MSW36'!C101</f>
        <v>REPS</v>
      </c>
      <c r="D101" s="365" t="str">
        <f>'MSW36'!D101</f>
        <v>REST</v>
      </c>
      <c r="E101" s="609" t="str">
        <f>'MSW36'!E101</f>
        <v>PREVIOUS</v>
      </c>
      <c r="F101" s="61" t="str">
        <f>'MSW36'!F101</f>
        <v>REP LOG</v>
      </c>
      <c r="H101" s="364" t="str">
        <f>'MSW36'!H101</f>
        <v>SET</v>
      </c>
      <c r="I101" s="365" t="str">
        <f>'MSW36'!I101</f>
        <v>WEIGHT</v>
      </c>
      <c r="J101" s="365" t="str">
        <f>'MSW36'!J101</f>
        <v>REPS</v>
      </c>
      <c r="K101" s="365" t="str">
        <f>'MSW36'!K101</f>
        <v>REST</v>
      </c>
      <c r="L101" s="609" t="str">
        <f>'MSW36'!L101</f>
        <v>PREVIOUS</v>
      </c>
      <c r="M101" s="61" t="str">
        <f>'MSW36'!M101</f>
        <v>REP LOG</v>
      </c>
    </row>
    <row r="102">
      <c r="A102" s="236">
        <f>'MSW36'!A102</f>
        <v>1</v>
      </c>
      <c r="B102" s="237">
        <f>'MSW36'!B102</f>
        <v>30</v>
      </c>
      <c r="C102" s="237">
        <f>'MSW36'!C102</f>
        <v>6</v>
      </c>
      <c r="D102" s="238" t="str">
        <f>'MSW36'!D102</f>
        <v>30s</v>
      </c>
      <c r="E102" s="312" t="str">
        <f>'MSW36'!E102</f>
        <v/>
      </c>
      <c r="F102" s="67">
        <v>6.0</v>
      </c>
      <c r="H102" s="236">
        <f>'MSW36'!H102</f>
        <v>1</v>
      </c>
      <c r="I102" s="237">
        <f>'MSW36'!I102</f>
        <v>80</v>
      </c>
      <c r="J102" s="237">
        <f>'MSW36'!J102</f>
        <v>6</v>
      </c>
      <c r="K102" s="238" t="str">
        <f>'MSW36'!K102</f>
        <v>30s</v>
      </c>
      <c r="L102" s="312" t="str">
        <f>'MSW36'!L102</f>
        <v/>
      </c>
      <c r="M102" s="67"/>
    </row>
    <row r="103">
      <c r="A103" s="236">
        <f>'MSW36'!A103</f>
        <v>2</v>
      </c>
      <c r="B103" s="237">
        <f>'MSW36'!B103</f>
        <v>50</v>
      </c>
      <c r="C103" s="237">
        <f>'MSW36'!C103</f>
        <v>1</v>
      </c>
      <c r="D103" s="238" t="str">
        <f>'MSW36'!D103</f>
        <v>1 MIN</v>
      </c>
      <c r="E103" s="312" t="str">
        <f>'MSW36'!E103</f>
        <v/>
      </c>
      <c r="F103" s="67">
        <v>1.0</v>
      </c>
      <c r="H103" s="236">
        <f>'MSW36'!H103</f>
        <v>2</v>
      </c>
      <c r="I103" s="237">
        <f>'MSW36'!I103</f>
        <v>150</v>
      </c>
      <c r="J103" s="237">
        <f>'MSW36'!J103</f>
        <v>1</v>
      </c>
      <c r="K103" s="238" t="str">
        <f>'MSW36'!K103</f>
        <v>1 MIN</v>
      </c>
      <c r="L103" s="312" t="str">
        <f>'MSW36'!L103</f>
        <v/>
      </c>
      <c r="M103" s="67"/>
    </row>
    <row r="104">
      <c r="A104" s="779">
        <v>3.0</v>
      </c>
      <c r="B104" s="780">
        <f>'MSW36'!B104</f>
        <v>70</v>
      </c>
      <c r="C104" s="781" t="str">
        <f>'MSW36'!C104</f>
        <v>REP OUT</v>
      </c>
      <c r="D104" s="782" t="str">
        <f>'MSW36'!D104</f>
        <v>1 MIN</v>
      </c>
      <c r="E104" s="1571" t="str">
        <f>'MSW36'!E104</f>
        <v/>
      </c>
      <c r="F104" s="1121">
        <v>6.0</v>
      </c>
      <c r="H104" s="779">
        <v>3.0</v>
      </c>
      <c r="I104" s="780">
        <f>'MSW36'!I104</f>
        <v>205</v>
      </c>
      <c r="J104" s="781" t="str">
        <f>'MSW36'!J104</f>
        <v>REP OUT</v>
      </c>
      <c r="K104" s="782" t="str">
        <f>'MSW36'!K104</f>
        <v>1 MIN</v>
      </c>
      <c r="L104" s="1572" t="str">
        <f>'MSW36'!L104</f>
        <v/>
      </c>
      <c r="M104" s="1121"/>
    </row>
    <row r="105">
      <c r="A105" s="785">
        <v>4.0</v>
      </c>
      <c r="B105" s="388">
        <f>'MSW36'!B105</f>
        <v>60</v>
      </c>
      <c r="C105" s="781" t="str">
        <f>'MSW36'!C105</f>
        <v>REP OUT</v>
      </c>
      <c r="D105" s="390" t="str">
        <f>'MSW36'!D105</f>
        <v>1 MIN</v>
      </c>
      <c r="E105" s="1573"/>
      <c r="F105" s="1122">
        <v>8.0</v>
      </c>
      <c r="H105" s="785">
        <v>4.0</v>
      </c>
      <c r="I105" s="388">
        <f>'MSW36'!I105</f>
        <v>175</v>
      </c>
      <c r="J105" s="781" t="str">
        <f>'MSW36'!J105</f>
        <v>REP OUT</v>
      </c>
      <c r="K105" s="390" t="str">
        <f>'MSW36'!K105</f>
        <v>1 MIN</v>
      </c>
      <c r="L105" s="1574" t="str">
        <f>'MSW36'!L105</f>
        <v/>
      </c>
      <c r="M105" s="1122"/>
    </row>
    <row r="106">
      <c r="A106" s="787">
        <v>5.0</v>
      </c>
      <c r="B106" s="788">
        <f>'MSW36'!B106</f>
        <v>50</v>
      </c>
      <c r="C106" s="789" t="str">
        <f>'MSW36'!C106</f>
        <v>REP OUT</v>
      </c>
      <c r="D106" s="397" t="str">
        <f>'MSW36'!D106</f>
        <v>1 MIN</v>
      </c>
      <c r="E106" s="1575"/>
      <c r="F106" s="1122">
        <v>10.0</v>
      </c>
      <c r="H106" s="787">
        <v>5.0</v>
      </c>
      <c r="I106" s="788">
        <f>'MSW36'!I106</f>
        <v>150</v>
      </c>
      <c r="J106" s="789" t="str">
        <f>'MSW36'!J106</f>
        <v>REP OUT</v>
      </c>
      <c r="K106" s="397" t="str">
        <f>'MSW36'!K106</f>
        <v>1 MIN</v>
      </c>
      <c r="L106" s="1576" t="str">
        <f>'MSW36'!L106</f>
        <v/>
      </c>
      <c r="M106" s="392" t="str">
        <f>'MSW36'!M106</f>
        <v/>
      </c>
    </row>
    <row r="107">
      <c r="A107" s="623" t="str">
        <f>'MSW36'!A107</f>
        <v/>
      </c>
    </row>
    <row r="109">
      <c r="A109" s="1217" t="str">
        <f>'MSW36'!A109</f>
        <v>2.  CABLE HIGH PULLEY ROW</v>
      </c>
      <c r="B109" s="53"/>
      <c r="C109" s="53"/>
      <c r="D109" s="53"/>
      <c r="E109" s="53"/>
      <c r="F109" s="54"/>
      <c r="G109" t="str">
        <f>'MSW36'!G109</f>
        <v/>
      </c>
      <c r="H109" s="1267" t="str">
        <f>'MSW36'!H109</f>
        <v>2. MACHINE REAR DELT FLY</v>
      </c>
      <c r="I109" s="53"/>
      <c r="J109" s="53"/>
      <c r="K109" s="53"/>
      <c r="L109" s="53"/>
      <c r="M109" s="54"/>
    </row>
    <row r="110">
      <c r="A110" s="961" t="str">
        <f>'MSW36'!A110</f>
        <v>CURRENT MAX</v>
      </c>
      <c r="B110" s="76">
        <f>'MSW36'!B110</f>
        <v>150</v>
      </c>
      <c r="C110" s="13"/>
      <c r="D110" s="13"/>
      <c r="E110" s="13"/>
      <c r="F110" s="57"/>
      <c r="H110" s="961" t="str">
        <f>'MSW36'!H110</f>
        <v>CURRENT MAX</v>
      </c>
      <c r="I110" s="76" t="str">
        <f>'MSW36'!I110</f>
        <v/>
      </c>
      <c r="J110" s="13"/>
      <c r="K110" s="13"/>
      <c r="L110" s="13"/>
      <c r="M110" s="57"/>
    </row>
    <row r="111">
      <c r="A111" s="962" t="str">
        <f>'MSW36'!A111</f>
        <v>SET</v>
      </c>
      <c r="B111" s="963" t="str">
        <f>'MSW36'!B111</f>
        <v>WEIGHT</v>
      </c>
      <c r="C111" s="963" t="str">
        <f>'MSW36'!C111</f>
        <v>REPS</v>
      </c>
      <c r="D111" s="963" t="str">
        <f>'MSW36'!D111</f>
        <v>REST</v>
      </c>
      <c r="E111" s="1005" t="str">
        <f>'MSW36'!E111</f>
        <v>PREVIOUS</v>
      </c>
      <c r="F111" s="1006" t="str">
        <f>'MSW36'!F111</f>
        <v>REP LOG</v>
      </c>
      <c r="H111" s="962" t="str">
        <f>'MSW36'!H111</f>
        <v>SET</v>
      </c>
      <c r="I111" s="963" t="str">
        <f>'MSW36'!I111</f>
        <v>WEIGHT</v>
      </c>
      <c r="J111" s="963" t="str">
        <f>'MSW36'!J111</f>
        <v>REPS</v>
      </c>
      <c r="K111" s="963" t="str">
        <f>'MSW36'!K111</f>
        <v>REST</v>
      </c>
      <c r="L111" s="1073" t="str">
        <f>'MSW36'!L111</f>
        <v>PREVIOUS</v>
      </c>
      <c r="M111" s="1006" t="str">
        <f>'MSW36'!M111</f>
        <v>REP LOG</v>
      </c>
    </row>
    <row r="112">
      <c r="A112" s="967">
        <f>'MSW36'!A112</f>
        <v>1</v>
      </c>
      <c r="B112" s="1028">
        <f>'MSW36'!B112</f>
        <v>135</v>
      </c>
      <c r="C112" s="1067">
        <f>'MSW36'!C112</f>
        <v>20</v>
      </c>
      <c r="D112" s="1067" t="str">
        <f>'MSW36'!D112</f>
        <v>1MIN</v>
      </c>
      <c r="E112" s="1010" t="str">
        <f>'MSW36'!E112</f>
        <v/>
      </c>
      <c r="F112" s="1111">
        <v>20.0</v>
      </c>
      <c r="H112" s="967">
        <f>'MSW36'!H112</f>
        <v>1</v>
      </c>
      <c r="I112" s="1028">
        <f>'MSW36'!I112</f>
        <v>0</v>
      </c>
      <c r="J112" s="1067" t="str">
        <f>'MSW36'!J112</f>
        <v>10 - 15</v>
      </c>
      <c r="K112" s="968" t="str">
        <f>'MSW36'!K112</f>
        <v>1-2 MIN</v>
      </c>
      <c r="L112" s="1235" t="str">
        <f>'MSW36'!L112</f>
        <v/>
      </c>
      <c r="M112" s="1113" t="str">
        <f>'MSW36'!M112</f>
        <v/>
      </c>
    </row>
    <row r="113">
      <c r="A113" s="967">
        <f>'MSW36'!A113</f>
        <v>2</v>
      </c>
      <c r="B113" s="1028">
        <f>'MSW36'!B113</f>
        <v>135</v>
      </c>
      <c r="C113" s="1067">
        <f>'MSW36'!C113</f>
        <v>20</v>
      </c>
      <c r="D113" s="1067" t="str">
        <f>'MSW36'!D113</f>
        <v>1MIN</v>
      </c>
      <c r="E113" s="1010" t="str">
        <f>'MSW36'!E113</f>
        <v/>
      </c>
      <c r="F113" s="1111">
        <v>16.0</v>
      </c>
      <c r="H113" s="967">
        <f>'MSW36'!H113</f>
        <v>2</v>
      </c>
      <c r="I113" s="1028">
        <f>'MSW36'!I113</f>
        <v>0</v>
      </c>
      <c r="J113" s="1067" t="str">
        <f>'MSW36'!J113</f>
        <v>10 - 15</v>
      </c>
      <c r="K113" s="968" t="str">
        <f>'MSW36'!K113</f>
        <v>1-2 MIN</v>
      </c>
      <c r="L113" s="1235" t="str">
        <f>'MSW36'!L113</f>
        <v/>
      </c>
      <c r="M113" s="1113" t="str">
        <f>'MSW36'!M113</f>
        <v/>
      </c>
    </row>
    <row r="114">
      <c r="A114" s="971">
        <f>'MSW36'!A114</f>
        <v>3</v>
      </c>
      <c r="B114" s="1123">
        <f>'MSW36'!B114</f>
        <v>135</v>
      </c>
      <c r="C114" s="1220">
        <f>'MSW36'!C114</f>
        <v>20</v>
      </c>
      <c r="D114" s="1220" t="str">
        <f>'MSW36'!D114</f>
        <v>1MIN</v>
      </c>
      <c r="E114" s="1021" t="str">
        <f>'MSW36'!E114</f>
        <v/>
      </c>
      <c r="F114" s="1111">
        <v>13.0</v>
      </c>
      <c r="H114" s="971">
        <f>'MSW36'!H114</f>
        <v>3</v>
      </c>
      <c r="I114" s="1123">
        <f>'MSW36'!I114</f>
        <v>0</v>
      </c>
      <c r="J114" s="1220" t="str">
        <f>'MSW36'!J114</f>
        <v>10 - 15</v>
      </c>
      <c r="K114" s="972" t="str">
        <f>'MSW36'!K114</f>
        <v>1-2 MIN</v>
      </c>
      <c r="L114" s="1271" t="str">
        <f>'MSW36'!L114</f>
        <v/>
      </c>
      <c r="M114" s="1113" t="str">
        <f>'MSW36'!M114</f>
        <v/>
      </c>
    </row>
    <row r="115">
      <c r="A115" s="1068" t="str">
        <f>'MSW36'!A115</f>
        <v/>
      </c>
      <c r="G115" t="str">
        <f>'MSW36'!G115</f>
        <v/>
      </c>
    </row>
    <row r="117">
      <c r="A117" s="1217" t="str">
        <f>'MSW36'!A117</f>
        <v>3. DUMBBELL SIDE LATERAL RAISE</v>
      </c>
      <c r="B117" s="53"/>
      <c r="C117" s="53"/>
      <c r="D117" s="53"/>
      <c r="E117" s="53"/>
      <c r="F117" s="54"/>
    </row>
    <row r="118">
      <c r="A118" s="961" t="str">
        <f>'MSW36'!A118</f>
        <v>SHLDR PRSS MAX</v>
      </c>
      <c r="B118" s="76">
        <f>'MSW36'!B118</f>
        <v>80</v>
      </c>
      <c r="C118" s="13"/>
      <c r="D118" s="13"/>
      <c r="E118" s="13"/>
      <c r="F118" s="57"/>
    </row>
    <row r="119">
      <c r="A119" s="1071" t="str">
        <f>'MSW36'!A119</f>
        <v>SET</v>
      </c>
      <c r="B119" s="1072" t="str">
        <f>'MSW36'!B119</f>
        <v>WEIGHT</v>
      </c>
      <c r="C119" s="1072" t="str">
        <f>'MSW36'!C119</f>
        <v>REPS</v>
      </c>
      <c r="D119" s="1072" t="str">
        <f>'MSW36'!D119</f>
        <v>REST</v>
      </c>
      <c r="E119" s="1073" t="str">
        <f>'MSW36'!E119</f>
        <v>PREVIOUS</v>
      </c>
      <c r="F119" s="1006" t="str">
        <f>'MSW36'!F119</f>
        <v>REP LOG</v>
      </c>
    </row>
    <row r="120">
      <c r="A120" s="1074">
        <f>'MSW36'!A120</f>
        <v>1</v>
      </c>
      <c r="B120" s="968">
        <f>'MSW36'!B120</f>
        <v>15</v>
      </c>
      <c r="C120" s="1075" t="str">
        <f>'MSW36'!C120</f>
        <v>10 - 15</v>
      </c>
      <c r="D120" s="1076" t="str">
        <f>'MSW36'!D120</f>
        <v>1 MIN</v>
      </c>
      <c r="E120" s="1235" t="str">
        <f>'MSW36'!E120</f>
        <v/>
      </c>
      <c r="F120" s="1011">
        <v>15.0</v>
      </c>
    </row>
    <row r="121">
      <c r="A121" s="1074">
        <f>'MSW36'!A121</f>
        <v>2</v>
      </c>
      <c r="B121" s="968">
        <f>'MSW36'!B121</f>
        <v>15</v>
      </c>
      <c r="C121" s="1075" t="str">
        <f>'MSW36'!C121</f>
        <v>10 - 15</v>
      </c>
      <c r="D121" s="1076" t="str">
        <f>'MSW36'!D121</f>
        <v>1 MIN</v>
      </c>
      <c r="E121" s="1235" t="str">
        <f>'MSW36'!E121</f>
        <v/>
      </c>
      <c r="F121" s="1011">
        <v>15.0</v>
      </c>
    </row>
    <row r="122">
      <c r="A122" s="1078">
        <f>'MSW36'!A122</f>
        <v>3</v>
      </c>
      <c r="B122" s="972">
        <f>'MSW36'!B122</f>
        <v>15</v>
      </c>
      <c r="C122" s="1079" t="str">
        <f>'MSW36'!C122</f>
        <v>10 - 15</v>
      </c>
      <c r="D122" s="1080" t="str">
        <f>'MSW36'!D122</f>
        <v>1 MIN</v>
      </c>
      <c r="E122" s="1271" t="str">
        <f>'MSW36'!E122</f>
        <v/>
      </c>
      <c r="F122" s="1011">
        <v>15.0</v>
      </c>
    </row>
    <row r="123">
      <c r="A123" t="str">
        <f>'MSW36'!A123</f>
        <v/>
      </c>
    </row>
    <row r="125">
      <c r="A125" s="1217" t="str">
        <f>'MSW36'!A125</f>
        <v>2.  TRICEP OVERHEAD ROPE EXTENSION</v>
      </c>
      <c r="B125" s="53"/>
      <c r="C125" s="53"/>
      <c r="D125" s="53"/>
      <c r="E125" s="53"/>
      <c r="F125" s="54"/>
    </row>
    <row r="126">
      <c r="A126" s="961" t="str">
        <f>'MSW36'!A126</f>
        <v>CURRENT MAX</v>
      </c>
      <c r="B126" s="618">
        <v>110.0</v>
      </c>
      <c r="C126" s="13"/>
      <c r="D126" s="13"/>
      <c r="E126" s="13"/>
      <c r="F126" s="57"/>
    </row>
    <row r="127">
      <c r="A127" s="1071" t="str">
        <f>'MSW36'!A127</f>
        <v>SET</v>
      </c>
      <c r="B127" s="1072" t="str">
        <f>'MSW36'!B127</f>
        <v>WEIGHT</v>
      </c>
      <c r="C127" s="1072" t="str">
        <f>'MSW36'!C127</f>
        <v>REPS</v>
      </c>
      <c r="D127" s="1072" t="str">
        <f>'MSW36'!D127</f>
        <v>REST</v>
      </c>
      <c r="E127" s="1073" t="str">
        <f>'MSW36'!E127</f>
        <v>PREVIOUS</v>
      </c>
      <c r="F127" s="1006" t="str">
        <f>'MSW36'!F127</f>
        <v>REP LOG</v>
      </c>
    </row>
    <row r="128">
      <c r="A128" s="1074">
        <f>'MSW36'!A128</f>
        <v>1</v>
      </c>
      <c r="B128" s="968">
        <f>'MSW36'!B128</f>
        <v>100</v>
      </c>
      <c r="C128" s="1075" t="str">
        <f>'MSW36'!C128</f>
        <v>10 - 15</v>
      </c>
      <c r="D128" s="1076" t="str">
        <f>'MSW36'!D128</f>
        <v>1MIN</v>
      </c>
      <c r="E128" s="1235" t="str">
        <f>'MSW36'!E128</f>
        <v/>
      </c>
      <c r="F128" s="1111">
        <v>15.0</v>
      </c>
    </row>
    <row r="129">
      <c r="A129" s="1074">
        <f>'MSW36'!A129</f>
        <v>2</v>
      </c>
      <c r="B129" s="968">
        <f>'MSW36'!B129</f>
        <v>100</v>
      </c>
      <c r="C129" s="1075" t="str">
        <f>'MSW36'!C129</f>
        <v>10 - 15</v>
      </c>
      <c r="D129" s="1076" t="str">
        <f>'MSW36'!D129</f>
        <v>1MIN</v>
      </c>
      <c r="E129" s="1235" t="str">
        <f>'MSW36'!E129</f>
        <v/>
      </c>
      <c r="F129" s="1111">
        <v>13.0</v>
      </c>
    </row>
    <row r="130">
      <c r="A130" s="1078">
        <f>'MSW36'!A130</f>
        <v>3</v>
      </c>
      <c r="B130" s="972">
        <f>'MSW36'!B130</f>
        <v>95</v>
      </c>
      <c r="C130" s="1079" t="str">
        <f>'MSW36'!C130</f>
        <v>10 - 15</v>
      </c>
      <c r="D130" s="1080" t="str">
        <f>'MSW36'!D130</f>
        <v>1MIN</v>
      </c>
      <c r="E130" s="1271" t="str">
        <f>'MSW36'!E130</f>
        <v/>
      </c>
      <c r="F130" s="1111">
        <v>10.0</v>
      </c>
    </row>
    <row r="133">
      <c r="A133" s="1217" t="str">
        <f>'MSW36'!A133</f>
        <v>4. ALTERNATING DUMBBELL BICEP CURLS</v>
      </c>
      <c r="B133" s="53"/>
      <c r="C133" s="53"/>
      <c r="D133" s="53"/>
      <c r="E133" s="53"/>
      <c r="F133" s="54"/>
    </row>
    <row r="134">
      <c r="A134" s="961" t="str">
        <f>'MSW36'!A134</f>
        <v>CURRENT MAX</v>
      </c>
      <c r="B134" s="618">
        <v>55.0</v>
      </c>
      <c r="C134" s="13"/>
      <c r="D134" s="13"/>
      <c r="E134" s="13"/>
      <c r="F134" s="57"/>
    </row>
    <row r="135">
      <c r="A135" s="962" t="str">
        <f>'MSW36'!A135</f>
        <v>SET</v>
      </c>
      <c r="B135" s="963" t="str">
        <f>'MSW36'!B135</f>
        <v>WEIGHT</v>
      </c>
      <c r="C135" s="963" t="str">
        <f>'MSW36'!C135</f>
        <v>REPS</v>
      </c>
      <c r="D135" s="963" t="str">
        <f>'MSW36'!D135</f>
        <v>REST</v>
      </c>
      <c r="E135" s="1073" t="str">
        <f>'MSW36'!E135</f>
        <v>PREVIOUS</v>
      </c>
      <c r="F135" s="1006" t="str">
        <f>'MSW36'!F135</f>
        <v>REP LOG</v>
      </c>
    </row>
    <row r="136">
      <c r="A136" s="967">
        <f>'MSW36'!A136</f>
        <v>1</v>
      </c>
      <c r="B136" s="968">
        <f>'MSW36'!B136</f>
        <v>50</v>
      </c>
      <c r="C136" s="1067" t="str">
        <f>'MSW36'!C136</f>
        <v>10 - 15</v>
      </c>
      <c r="D136" s="1076" t="str">
        <f>'MSW36'!D136</f>
        <v>1 MIN</v>
      </c>
      <c r="E136" s="1235" t="str">
        <f>'MSW36'!E136</f>
        <v/>
      </c>
      <c r="F136" s="1131">
        <v>5.0</v>
      </c>
    </row>
    <row r="137">
      <c r="A137" s="967">
        <f>'MSW36'!A137</f>
        <v>2</v>
      </c>
      <c r="B137" s="968">
        <f>'MSW36'!B137</f>
        <v>20</v>
      </c>
      <c r="C137" s="1067" t="str">
        <f>'MSW36'!C137</f>
        <v>10 - 15</v>
      </c>
      <c r="D137" s="1076" t="str">
        <f>'MSW36'!D137</f>
        <v>1 MIN</v>
      </c>
      <c r="E137" s="1235" t="str">
        <f>'MSW36'!E137</f>
        <v/>
      </c>
      <c r="F137" s="1131">
        <v>15.0</v>
      </c>
    </row>
    <row r="138">
      <c r="A138" s="971">
        <f>'MSW36'!A138</f>
        <v>3</v>
      </c>
      <c r="B138" s="972">
        <f>'MSW36'!B138</f>
        <v>20</v>
      </c>
      <c r="C138" s="1220" t="str">
        <f>'MSW36'!C138</f>
        <v>10 - 15</v>
      </c>
      <c r="D138" s="1080" t="str">
        <f>'MSW36'!D138</f>
        <v>1 MIN</v>
      </c>
      <c r="E138" s="1271" t="str">
        <f>'MSW36'!E138</f>
        <v/>
      </c>
      <c r="F138" s="1131">
        <v>15.0</v>
      </c>
    </row>
    <row r="139">
      <c r="A139" t="str">
        <f>'MSW36'!A139</f>
        <v/>
      </c>
    </row>
    <row r="141">
      <c r="A141" s="1149" t="str">
        <f>'MSW36'!A141</f>
        <v>WORKOUT COMPLETE!</v>
      </c>
      <c r="B141" s="36"/>
      <c r="C141" s="36"/>
      <c r="D141" s="36"/>
      <c r="E141" s="36"/>
      <c r="F141" s="37"/>
    </row>
    <row r="142">
      <c r="A142" s="623" t="str">
        <f>'MSW36'!A142</f>
        <v/>
      </c>
    </row>
    <row r="143">
      <c r="A143" s="1275" t="str">
        <f>'MSW36'!A143</f>
        <v>WANT TO LEARN MORE?</v>
      </c>
      <c r="B143" s="25"/>
      <c r="C143" s="25"/>
      <c r="D143" s="25"/>
      <c r="E143" s="25"/>
      <c r="F143" s="26"/>
    </row>
    <row r="144">
      <c r="A144" s="529"/>
      <c r="F144" s="28"/>
    </row>
    <row r="145">
      <c r="A145" s="1276" t="str">
        <f>'MSW36'!A145</f>
        <v/>
      </c>
      <c r="B145" s="999" t="str">
        <f>'MSW36'!B145</f>
        <v/>
      </c>
      <c r="C145" s="1150" t="str">
        <f>'MSW36'!C145</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45" s="28"/>
    </row>
    <row r="146">
      <c r="A146" s="1276" t="str">
        <f>'MSW36'!A146</f>
        <v/>
      </c>
      <c r="B146" s="999" t="str">
        <f>'MSW36'!B146</f>
        <v/>
      </c>
      <c r="F146" s="28"/>
    </row>
    <row r="147">
      <c r="A147" s="1276" t="str">
        <f>'MSW36'!A147</f>
        <v/>
      </c>
      <c r="B147" s="999" t="str">
        <f>'MSW36'!B147</f>
        <v/>
      </c>
      <c r="F147" s="28"/>
    </row>
    <row r="148">
      <c r="A148" s="1276" t="str">
        <f>'MSW36'!A148</f>
        <v/>
      </c>
      <c r="B148" s="999" t="str">
        <f>'MSW36'!B148</f>
        <v/>
      </c>
      <c r="F148" s="28"/>
    </row>
    <row r="149">
      <c r="A149" s="1358"/>
      <c r="B149" s="999" t="str">
        <f>'MSW36'!B149</f>
        <v/>
      </c>
      <c r="F149" s="28"/>
    </row>
    <row r="150">
      <c r="A150" s="1276" t="str">
        <f>'MSW36'!A150</f>
        <v/>
      </c>
      <c r="B150" s="999" t="str">
        <f>'MSW36'!B150</f>
        <v/>
      </c>
      <c r="F150" s="28"/>
    </row>
    <row r="151">
      <c r="A151" s="1277" t="str">
        <f>'MSW36'!A151</f>
        <v/>
      </c>
      <c r="B151" s="999" t="str">
        <f>'MSW36'!B151</f>
        <v/>
      </c>
      <c r="F151" s="28"/>
    </row>
    <row r="152">
      <c r="A152" s="1276" t="str">
        <f>'MSW36'!A152</f>
        <v/>
      </c>
      <c r="B152" s="999" t="str">
        <f>'MSW36'!B152</f>
        <v/>
      </c>
      <c r="F152" s="28"/>
    </row>
    <row r="153">
      <c r="A153" s="1276" t="str">
        <f>'MSW36'!A153</f>
        <v/>
      </c>
      <c r="B153" s="999" t="str">
        <f>'MSW36'!B153</f>
        <v/>
      </c>
      <c r="F153" s="28"/>
    </row>
    <row r="154">
      <c r="A154" s="1278" t="str">
        <f>'MSW36'!A154</f>
        <v/>
      </c>
      <c r="B154" s="999" t="str">
        <f>'MSW36'!B154</f>
        <v/>
      </c>
      <c r="F154" s="28"/>
    </row>
    <row r="155">
      <c r="A155" s="1276" t="str">
        <f>'MSW36'!A155</f>
        <v/>
      </c>
      <c r="B155" s="999" t="str">
        <f>'MSW36'!B155</f>
        <v/>
      </c>
      <c r="F155" s="28"/>
    </row>
    <row r="156">
      <c r="A156" s="1276" t="str">
        <f>'MSW36'!A156</f>
        <v/>
      </c>
      <c r="B156" s="999" t="str">
        <f>'MSW36'!B156</f>
        <v/>
      </c>
      <c r="F156" s="28"/>
    </row>
    <row r="157">
      <c r="A157" s="1276" t="str">
        <f>'MSW36'!A157</f>
        <v/>
      </c>
      <c r="B157" s="999" t="str">
        <f>'MSW36'!B157</f>
        <v/>
      </c>
      <c r="F157" s="28"/>
    </row>
    <row r="158">
      <c r="A158" s="1276" t="str">
        <f>'MSW36'!A158</f>
        <v/>
      </c>
      <c r="B158" s="999" t="str">
        <f>'MSW36'!B158</f>
        <v/>
      </c>
      <c r="F158" s="28"/>
    </row>
    <row r="159">
      <c r="A159" s="1279" t="str">
        <f>'MSW36'!A159</f>
        <v/>
      </c>
      <c r="B159" s="1280" t="str">
        <f>'MSW36'!B159</f>
        <v/>
      </c>
      <c r="C159" s="11"/>
      <c r="D159" s="11"/>
      <c r="E159" s="11"/>
      <c r="F159" s="46"/>
    </row>
  </sheetData>
  <mergeCells count="98">
    <mergeCell ref="A55:F55"/>
    <mergeCell ref="A58:F59"/>
    <mergeCell ref="A42:F43"/>
    <mergeCell ref="A44:F44"/>
    <mergeCell ref="B45:C45"/>
    <mergeCell ref="D45:F45"/>
    <mergeCell ref="A47:A48"/>
    <mergeCell ref="A49:F49"/>
    <mergeCell ref="A52:F52"/>
    <mergeCell ref="A12:F12"/>
    <mergeCell ref="A13:F13"/>
    <mergeCell ref="H16:M16"/>
    <mergeCell ref="A17:M18"/>
    <mergeCell ref="A19:F19"/>
    <mergeCell ref="H19:M19"/>
    <mergeCell ref="H20:M20"/>
    <mergeCell ref="I21:M21"/>
    <mergeCell ref="H27:M27"/>
    <mergeCell ref="H29:M29"/>
    <mergeCell ref="A1:M8"/>
    <mergeCell ref="A9:F9"/>
    <mergeCell ref="G9:G11"/>
    <mergeCell ref="H9:M9"/>
    <mergeCell ref="A10:F11"/>
    <mergeCell ref="H10:M10"/>
    <mergeCell ref="G12:M15"/>
    <mergeCell ref="A14:F15"/>
    <mergeCell ref="A16:F16"/>
    <mergeCell ref="G19:G26"/>
    <mergeCell ref="A20:F20"/>
    <mergeCell ref="B21:F21"/>
    <mergeCell ref="A27:F27"/>
    <mergeCell ref="A29:F29"/>
    <mergeCell ref="B34:F34"/>
    <mergeCell ref="H37:M37"/>
    <mergeCell ref="I38:M38"/>
    <mergeCell ref="G40:G41"/>
    <mergeCell ref="G42:M84"/>
    <mergeCell ref="G27:G28"/>
    <mergeCell ref="G29:G34"/>
    <mergeCell ref="I34:M34"/>
    <mergeCell ref="A35:M36"/>
    <mergeCell ref="A37:F37"/>
    <mergeCell ref="B38:F38"/>
    <mergeCell ref="G38:G39"/>
    <mergeCell ref="A50:A51"/>
    <mergeCell ref="A53:A54"/>
    <mergeCell ref="A56:A57"/>
    <mergeCell ref="A60:F60"/>
    <mergeCell ref="A61:F61"/>
    <mergeCell ref="A62:F62"/>
    <mergeCell ref="A63:F64"/>
    <mergeCell ref="B118:F118"/>
    <mergeCell ref="A123:F124"/>
    <mergeCell ref="A131:F132"/>
    <mergeCell ref="A133:F133"/>
    <mergeCell ref="B134:F134"/>
    <mergeCell ref="A139:F140"/>
    <mergeCell ref="A141:F141"/>
    <mergeCell ref="A142:F142"/>
    <mergeCell ref="A143:F144"/>
    <mergeCell ref="C145:F159"/>
    <mergeCell ref="A107:M108"/>
    <mergeCell ref="A109:F109"/>
    <mergeCell ref="G109:G114"/>
    <mergeCell ref="H109:M109"/>
    <mergeCell ref="B110:F110"/>
    <mergeCell ref="I110:M110"/>
    <mergeCell ref="G115:M159"/>
    <mergeCell ref="A87:F87"/>
    <mergeCell ref="H87:M87"/>
    <mergeCell ref="B88:F88"/>
    <mergeCell ref="I88:M88"/>
    <mergeCell ref="A65:F65"/>
    <mergeCell ref="B66:F66"/>
    <mergeCell ref="B76:F76"/>
    <mergeCell ref="A79:F79"/>
    <mergeCell ref="B80:F80"/>
    <mergeCell ref="A85:M86"/>
    <mergeCell ref="G87:G89"/>
    <mergeCell ref="G90:G91"/>
    <mergeCell ref="G92:G94"/>
    <mergeCell ref="A93:F94"/>
    <mergeCell ref="H93:M94"/>
    <mergeCell ref="A95:F95"/>
    <mergeCell ref="G95:M95"/>
    <mergeCell ref="A96:M97"/>
    <mergeCell ref="A98:F98"/>
    <mergeCell ref="H98:M98"/>
    <mergeCell ref="A99:F99"/>
    <mergeCell ref="G99:G106"/>
    <mergeCell ref="H99:M99"/>
    <mergeCell ref="B100:F100"/>
    <mergeCell ref="I100:M100"/>
    <mergeCell ref="A115:F116"/>
    <mergeCell ref="A117:F117"/>
    <mergeCell ref="A125:F125"/>
    <mergeCell ref="B126:F126"/>
  </mergeCells>
  <dataValidations>
    <dataValidation type="decimal" allowBlank="1" showDropDown="1" showInputMessage="1" showErrorMessage="1" prompt="Enter a number between 0 and 30" sqref="F22:F26 M22:M26 F28 M28 F30:F33 M30:M33 F39:F41 M39:M41 F46:F48 F50:F51 F53:F54 F56:F57 F67:F75 F77:F78 F81:F84 F89:F92 M89:M92 F101:F106 M101:M106 F111:F114 M111:M114 F119:F122 F127:F130 F135:F138">
      <formula1>0.0</formula1>
      <formula2>30.0</formula2>
    </dataValidation>
    <dataValidation type="decimal" operator="greaterThan" allowBlank="1" showDropDown="1" showErrorMessage="1" sqref="M11">
      <formula1>0.0</formula1>
    </dataValidation>
  </dataValidations>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293" t="s">
        <v>352</v>
      </c>
      <c r="B9" s="36"/>
      <c r="C9" s="36"/>
      <c r="D9" s="36"/>
      <c r="E9" s="36"/>
      <c r="F9" s="37"/>
      <c r="G9" s="419"/>
      <c r="H9" s="24" t="s">
        <v>35</v>
      </c>
      <c r="I9" s="25"/>
      <c r="J9" s="25"/>
      <c r="K9" s="25"/>
      <c r="L9" s="25"/>
      <c r="M9" s="26"/>
    </row>
    <row r="10">
      <c r="A10" s="719" t="str">
        <f>HYPERLINK("https://goo.gl/forms/3ibooB993Hi7SS2d2","PRESS TO RECORD BODY WEIGHT")</f>
        <v>PRESS TO RECORD BODY WEIGHT</v>
      </c>
      <c r="B10" s="25"/>
      <c r="C10" s="25"/>
      <c r="D10" s="25"/>
      <c r="E10" s="25"/>
      <c r="F10" s="26"/>
      <c r="G10" s="419"/>
      <c r="H10" s="147" t="s">
        <v>353</v>
      </c>
      <c r="M10" s="28"/>
    </row>
    <row r="11">
      <c r="A11" s="336"/>
      <c r="B11" s="11"/>
      <c r="C11" s="11"/>
      <c r="D11" s="11"/>
      <c r="E11" s="11"/>
      <c r="F11" s="46"/>
      <c r="G11" s="419"/>
      <c r="H11" s="29" t="s">
        <v>354</v>
      </c>
      <c r="I11" s="30"/>
      <c r="J11" s="30"/>
      <c r="K11" s="30"/>
      <c r="L11" s="30"/>
      <c r="M11" s="31"/>
    </row>
    <row r="12">
      <c r="A12" s="720" t="s">
        <v>69</v>
      </c>
      <c r="B12" s="36"/>
      <c r="C12" s="36"/>
      <c r="D12" s="36"/>
      <c r="E12" s="36"/>
      <c r="F12" s="37"/>
      <c r="G12" s="419"/>
      <c r="H12" s="419"/>
      <c r="I12" s="419"/>
      <c r="J12" s="419"/>
      <c r="K12" s="419"/>
      <c r="L12" s="717"/>
      <c r="M12" s="419"/>
    </row>
    <row r="13">
      <c r="A13" s="721" t="s">
        <v>149</v>
      </c>
      <c r="B13" s="36"/>
      <c r="C13" s="36"/>
      <c r="D13" s="36"/>
      <c r="E13" s="36"/>
      <c r="F13" s="37"/>
      <c r="G13" s="419"/>
      <c r="H13" s="419"/>
      <c r="I13" s="419"/>
      <c r="J13" s="419"/>
      <c r="K13" s="419"/>
      <c r="L13" s="717"/>
      <c r="M13" s="419"/>
    </row>
    <row r="14">
      <c r="A14" s="653"/>
      <c r="B14" s="653"/>
      <c r="C14" s="653"/>
      <c r="D14" s="653"/>
      <c r="E14" s="654"/>
      <c r="F14" s="141"/>
      <c r="G14" s="419"/>
      <c r="H14" s="419"/>
      <c r="I14" s="419"/>
      <c r="J14" s="419"/>
      <c r="K14" s="419"/>
      <c r="L14" s="717"/>
      <c r="M14" s="419"/>
    </row>
    <row r="15">
      <c r="A15" s="50" t="s">
        <v>47</v>
      </c>
      <c r="B15" s="36"/>
      <c r="C15" s="36"/>
      <c r="D15" s="36"/>
      <c r="E15" s="36"/>
      <c r="F15" s="37"/>
      <c r="G15" s="722"/>
      <c r="H15" s="429" t="s">
        <v>118</v>
      </c>
      <c r="I15" s="36"/>
      <c r="J15" s="36"/>
      <c r="K15" s="36"/>
      <c r="L15" s="36"/>
      <c r="M15" s="37"/>
    </row>
    <row r="16">
      <c r="A16" s="657"/>
      <c r="B16" s="657"/>
      <c r="C16" s="657"/>
      <c r="D16" s="657"/>
      <c r="E16" s="657"/>
      <c r="F16" s="657"/>
      <c r="G16" s="722"/>
      <c r="H16" s="657"/>
      <c r="I16" s="657"/>
      <c r="J16" s="657"/>
      <c r="K16" s="657"/>
      <c r="L16" s="657"/>
      <c r="M16" s="657"/>
    </row>
    <row r="17">
      <c r="A17" s="657"/>
      <c r="B17" s="657"/>
      <c r="C17" s="657"/>
      <c r="D17" s="657"/>
      <c r="E17" s="657"/>
      <c r="F17" s="657"/>
      <c r="G17" s="722"/>
      <c r="H17" s="657"/>
      <c r="I17" s="657"/>
      <c r="J17" s="657"/>
      <c r="K17" s="657"/>
      <c r="L17" s="657"/>
      <c r="M17" s="657"/>
    </row>
    <row r="18">
      <c r="A18" s="51" t="s">
        <v>48</v>
      </c>
      <c r="B18" s="36"/>
      <c r="C18" s="36"/>
      <c r="D18" s="36"/>
      <c r="E18" s="36"/>
      <c r="F18" s="37"/>
      <c r="G18" s="722"/>
      <c r="H18" s="51" t="s">
        <v>48</v>
      </c>
      <c r="I18" s="36"/>
      <c r="J18" s="36"/>
      <c r="K18" s="36"/>
      <c r="L18" s="36"/>
      <c r="M18" s="37"/>
    </row>
    <row r="19">
      <c r="A19" s="93" t="str">
        <f>HYPERLINK("https://youtu.be/iLgUDezDMbU","1. BENCH PRESS")</f>
        <v>1. BENCH PRESS</v>
      </c>
      <c r="B19" s="53"/>
      <c r="C19" s="53"/>
      <c r="D19" s="53"/>
      <c r="E19" s="53"/>
      <c r="F19" s="54"/>
      <c r="G19" s="722"/>
      <c r="H19" s="93" t="str">
        <f>HYPERLINK("https://youtu.be/75e_H9Vq_Lw","1. MACHINE PRESS")</f>
        <v>1. MACHINE PRESS</v>
      </c>
      <c r="I19" s="53"/>
      <c r="J19" s="53"/>
      <c r="K19" s="53"/>
      <c r="L19" s="53"/>
      <c r="M19" s="54"/>
    </row>
    <row r="20">
      <c r="A20" s="226" t="s">
        <v>119</v>
      </c>
      <c r="B20" s="691">
        <f>'WEEK 35'!B33</f>
        <v>260</v>
      </c>
      <c r="C20" s="13"/>
      <c r="D20" s="13"/>
      <c r="E20" s="13"/>
      <c r="F20" s="57"/>
      <c r="G20" s="722"/>
      <c r="H20" s="226" t="s">
        <v>119</v>
      </c>
      <c r="I20" s="691" t="str">
        <f>if('WEEK 36'!I34="",'WEEK 10'!I20)</f>
        <v/>
      </c>
      <c r="J20" s="13"/>
      <c r="K20" s="13"/>
      <c r="L20" s="13"/>
      <c r="M20" s="57"/>
    </row>
    <row r="21">
      <c r="A21" s="96" t="s">
        <v>50</v>
      </c>
      <c r="B21" s="97" t="s">
        <v>51</v>
      </c>
      <c r="C21" s="97" t="s">
        <v>52</v>
      </c>
      <c r="D21" s="97" t="s">
        <v>53</v>
      </c>
      <c r="E21" s="341" t="s">
        <v>54</v>
      </c>
      <c r="F21" s="235" t="s">
        <v>55</v>
      </c>
      <c r="G21" s="723"/>
      <c r="H21" s="96" t="s">
        <v>50</v>
      </c>
      <c r="I21" s="97" t="s">
        <v>51</v>
      </c>
      <c r="J21" s="97" t="s">
        <v>52</v>
      </c>
      <c r="K21" s="97" t="s">
        <v>53</v>
      </c>
      <c r="L21" s="341" t="s">
        <v>54</v>
      </c>
      <c r="M21" s="235" t="s">
        <v>55</v>
      </c>
    </row>
    <row r="22">
      <c r="A22" s="725">
        <v>1.0</v>
      </c>
      <c r="B22" s="1473">
        <f>IF( 'WEEK 37'!B20&lt;125,45, mround('WEEK 37'!B20*0.9*0.35,5))</f>
        <v>80</v>
      </c>
      <c r="C22" s="344">
        <v>6.0</v>
      </c>
      <c r="D22" s="343" t="s">
        <v>150</v>
      </c>
      <c r="E22" s="66" t="str">
        <f>IF('WEEK 37'!B22='WEEK 30'!B22,'WEEK 30'!F22,"")</f>
        <v/>
      </c>
      <c r="F22" s="85"/>
      <c r="G22" s="423"/>
      <c r="H22" s="725">
        <v>1.0</v>
      </c>
      <c r="I22" s="344">
        <f>mround('WEEK 37'!I20*0.9*0.35,5)</f>
        <v>0</v>
      </c>
      <c r="J22" s="344">
        <v>6.0</v>
      </c>
      <c r="K22" s="343" t="s">
        <v>150</v>
      </c>
      <c r="L22" s="66" t="str">
        <f>IF('WEEK 37'!I22='WEEK 30'!T22,'WEEK 30'!T22,"")</f>
        <v/>
      </c>
      <c r="M22" s="85"/>
    </row>
    <row r="23">
      <c r="A23" s="725">
        <v>2.0</v>
      </c>
      <c r="B23" s="1474">
        <f>IF( 'WEEK 37'!B20&lt;70,MROUND('WEEK 37'!B20*0.78,5),MROUND('WEEK 37'!B20*0.9*0.72,5))</f>
        <v>170</v>
      </c>
      <c r="C23" s="344">
        <v>1.0</v>
      </c>
      <c r="D23" s="343" t="s">
        <v>151</v>
      </c>
      <c r="E23" s="66">
        <f>IF('WEEK 37'!B23='WEEK 30'!B23,'WEEK 30'!F23,"")</f>
        <v>1</v>
      </c>
      <c r="F23" s="85"/>
      <c r="G23" s="423"/>
      <c r="H23" s="725">
        <v>2.0</v>
      </c>
      <c r="I23" s="344">
        <f>mround('WEEK 37'!I20*0.9*0.72,5)</f>
        <v>0</v>
      </c>
      <c r="J23" s="344">
        <v>1.0</v>
      </c>
      <c r="K23" s="343" t="s">
        <v>151</v>
      </c>
      <c r="L23" s="66" t="str">
        <f>IF('WEEK 37'!I23='WEEK 30'!T23,'WEEK 30'!T23,"")</f>
        <v/>
      </c>
      <c r="M23" s="85"/>
    </row>
    <row r="24">
      <c r="A24" s="725">
        <v>3.0</v>
      </c>
      <c r="B24" s="344">
        <f>mround('WEEK 37'!B20*0.9*0.9,5)</f>
        <v>210</v>
      </c>
      <c r="C24" s="344">
        <v>1.0</v>
      </c>
      <c r="D24" s="343" t="s">
        <v>57</v>
      </c>
      <c r="E24" s="66" t="str">
        <f>IF('WEEK 37'!B24='WEEK 30'!B24,'WEEK 30'!F24,"")</f>
        <v/>
      </c>
      <c r="F24" s="85"/>
      <c r="G24" s="423"/>
      <c r="H24" s="725">
        <v>3.0</v>
      </c>
      <c r="I24" s="344">
        <f>mround('WEEK 37'!I20*0.9*0.9,5)</f>
        <v>0</v>
      </c>
      <c r="J24" s="344">
        <v>1.0</v>
      </c>
      <c r="K24" s="343" t="s">
        <v>57</v>
      </c>
      <c r="L24" s="66" t="str">
        <f>IF('WEEK 37'!I24='WEEK 30'!T24,'WEEK 30'!T24,"")</f>
        <v/>
      </c>
      <c r="M24" s="85"/>
    </row>
    <row r="25">
      <c r="A25" s="730" t="s">
        <v>152</v>
      </c>
      <c r="B25" s="13"/>
      <c r="C25" s="13"/>
      <c r="D25" s="13"/>
      <c r="E25" s="13"/>
      <c r="F25" s="57"/>
      <c r="G25" s="731" t="s">
        <v>123</v>
      </c>
      <c r="H25" s="730" t="s">
        <v>152</v>
      </c>
      <c r="I25" s="13"/>
      <c r="J25" s="13"/>
      <c r="K25" s="13"/>
      <c r="L25" s="13"/>
      <c r="M25" s="57"/>
    </row>
    <row r="26">
      <c r="A26" s="96" t="s">
        <v>50</v>
      </c>
      <c r="B26" s="97" t="s">
        <v>51</v>
      </c>
      <c r="C26" s="97" t="s">
        <v>52</v>
      </c>
      <c r="D26" s="97" t="s">
        <v>53</v>
      </c>
      <c r="E26" s="341" t="s">
        <v>54</v>
      </c>
      <c r="F26" s="235" t="s">
        <v>55</v>
      </c>
      <c r="H26" s="96" t="s">
        <v>50</v>
      </c>
      <c r="I26" s="97" t="s">
        <v>51</v>
      </c>
      <c r="J26" s="97" t="s">
        <v>52</v>
      </c>
      <c r="K26" s="97" t="s">
        <v>53</v>
      </c>
      <c r="L26" s="341" t="s">
        <v>54</v>
      </c>
      <c r="M26" s="235" t="s">
        <v>55</v>
      </c>
    </row>
    <row r="27">
      <c r="A27" s="342">
        <v>1.0</v>
      </c>
      <c r="B27" s="348">
        <f>mround('WEEK 37'!B20*1*0.9,5)</f>
        <v>235</v>
      </c>
      <c r="C27" s="437" t="s">
        <v>65</v>
      </c>
      <c r="D27" s="343" t="s">
        <v>122</v>
      </c>
      <c r="E27" s="66" t="str">
        <f>IF('WEEK 37'!B27='WEEK 30'!B27,'WEEK 30'!F27,"")</f>
        <v/>
      </c>
      <c r="F27" s="85"/>
      <c r="G27" s="423"/>
      <c r="H27" s="725">
        <v>1.0</v>
      </c>
      <c r="I27" s="348">
        <f>mround('WEEK 37'!I20*1*0.9,5)</f>
        <v>0</v>
      </c>
      <c r="J27" s="437" t="s">
        <v>65</v>
      </c>
      <c r="K27" s="343" t="s">
        <v>122</v>
      </c>
      <c r="L27" s="66" t="str">
        <f>IF('WEEK 37'!I27='WEEK 30'!T27,'WEEK 30'!T27,"")</f>
        <v/>
      </c>
      <c r="M27" s="85"/>
    </row>
    <row r="28">
      <c r="A28" s="725">
        <v>2.0</v>
      </c>
      <c r="B28" s="348">
        <f>IF('WEEK 37'!F27&lt;3,MROUND('WEEK 37'!B27*0.75,5),IF('WEEK 37'!F27&lt;6,MROUND('WEEK 37'!B27*0.85,5),mround('WEEK 37'!B27*0.9,5)))</f>
        <v>200</v>
      </c>
      <c r="C28" s="437" t="s">
        <v>65</v>
      </c>
      <c r="D28" s="343" t="s">
        <v>122</v>
      </c>
      <c r="E28" s="66" t="str">
        <f>IF('WEEK 37'!B28='WEEK 30'!B28,'WEEK 30'!F28,"")</f>
        <v/>
      </c>
      <c r="F28" s="85"/>
      <c r="G28" s="722"/>
      <c r="H28" s="725">
        <v>2.0</v>
      </c>
      <c r="I28" s="348">
        <f>IF('WEEK 37'!M27&lt;3,MROUND('WEEK 37'!I27*0.75,5),IF('WEEK 37'!M27&lt;6,MROUND('WEEK 37'!I27*0.85,5),mround('WEEK 37'!I27*0.9,5)))</f>
        <v>0</v>
      </c>
      <c r="J28" s="437" t="s">
        <v>65</v>
      </c>
      <c r="K28" s="343" t="s">
        <v>122</v>
      </c>
      <c r="L28" s="66" t="str">
        <f>IF('WEEK 37'!I28='WEEK 30'!T28,'WEEK 30'!T28,"")</f>
        <v/>
      </c>
      <c r="M28" s="85"/>
    </row>
    <row r="29">
      <c r="A29" s="485">
        <v>3.0</v>
      </c>
      <c r="B29" s="732">
        <f>IF('WEEK 37'!F28&lt;3,MROUND('WEEK 37'!B28*0.75,5),IF('WEEK 37'!F28&lt;6,MROUND('WEEK 37'!B28*0.85,5),mround('WEEK 37'!B28*0.9,5)))</f>
        <v>180</v>
      </c>
      <c r="C29" s="733" t="s">
        <v>65</v>
      </c>
      <c r="D29" s="486" t="s">
        <v>122</v>
      </c>
      <c r="E29" s="72" t="str">
        <f>IF('WEEK 37'!B29='WEEK 30'!B29,'WEEK 30'!F29,"")</f>
        <v/>
      </c>
      <c r="F29" s="85"/>
      <c r="G29" s="722"/>
      <c r="H29" s="735">
        <v>3.0</v>
      </c>
      <c r="I29" s="736">
        <f>IF('WEEK 37'!M28&lt;3,MROUND('WEEK 37'!I28*0.75,5),IF('WEEK 37'!M28&lt;6,MROUND('WEEK 37'!I28*0.85,5),mround('WEEK 37'!I28*0.9,5)))</f>
        <v>0</v>
      </c>
      <c r="J29" s="737" t="s">
        <v>65</v>
      </c>
      <c r="K29" s="738" t="s">
        <v>122</v>
      </c>
      <c r="L29" s="66" t="str">
        <f>IF('WEEK 37'!I29='WEEK 30'!T29,'WEEK 30'!T29,"")</f>
        <v/>
      </c>
      <c r="M29" s="330"/>
    </row>
    <row r="30">
      <c r="A30" s="740"/>
      <c r="B30" s="740"/>
      <c r="C30" s="740"/>
      <c r="D30" s="740"/>
      <c r="E30" s="741"/>
      <c r="F30" s="419"/>
      <c r="G30" s="722"/>
      <c r="H30" s="742"/>
      <c r="I30" s="742"/>
      <c r="J30" s="742"/>
      <c r="K30" s="742"/>
      <c r="L30" s="742"/>
      <c r="M30" s="742"/>
    </row>
    <row r="31">
      <c r="A31" s="740"/>
      <c r="B31" s="740"/>
      <c r="C31" s="740"/>
      <c r="D31" s="740"/>
      <c r="E31" s="741"/>
      <c r="F31" s="419"/>
      <c r="G31" s="419"/>
      <c r="H31" s="657"/>
      <c r="I31" s="657"/>
      <c r="J31" s="657"/>
      <c r="K31" s="657"/>
      <c r="L31" s="657"/>
      <c r="M31" s="657"/>
    </row>
    <row r="32">
      <c r="A32" s="440" t="str">
        <f>HYPERLINK("https://www.youtube.com/watch?v=mGv8D2DGyNQ","2. DB CHEST FLY")</f>
        <v>2. DB CHEST FLY</v>
      </c>
      <c r="B32" s="53"/>
      <c r="C32" s="53"/>
      <c r="D32" s="53"/>
      <c r="E32" s="53"/>
      <c r="F32" s="54"/>
      <c r="G32" s="419"/>
      <c r="H32" s="504" t="str">
        <f>HYPERLINK("https://www.youtube.com/watch?v=THb0dhfIu1k","2. MACHINE CHEST FLY")</f>
        <v>2. MACHINE CHEST FLY</v>
      </c>
      <c r="I32" s="53"/>
      <c r="J32" s="53"/>
      <c r="K32" s="53"/>
      <c r="L32" s="53"/>
      <c r="M32" s="54"/>
    </row>
    <row r="33">
      <c r="A33" s="226" t="s">
        <v>228</v>
      </c>
      <c r="B33" s="691">
        <f>'WEEK 36'!B38</f>
        <v>90</v>
      </c>
      <c r="C33" s="13"/>
      <c r="D33" s="13"/>
      <c r="E33" s="13"/>
      <c r="F33" s="57"/>
      <c r="G33" s="419"/>
      <c r="H33" s="226" t="s">
        <v>228</v>
      </c>
      <c r="I33" s="548" t="str">
        <f>'WEEK 37'!B33</f>
        <v/>
      </c>
      <c r="J33" s="13"/>
      <c r="K33" s="13"/>
      <c r="L33" s="13"/>
      <c r="M33" s="57"/>
    </row>
    <row r="34">
      <c r="A34" s="743" t="s">
        <v>50</v>
      </c>
      <c r="B34" s="744" t="s">
        <v>51</v>
      </c>
      <c r="C34" s="744" t="s">
        <v>52</v>
      </c>
      <c r="D34" s="744" t="s">
        <v>53</v>
      </c>
      <c r="E34" s="745" t="s">
        <v>54</v>
      </c>
      <c r="F34" s="746" t="s">
        <v>55</v>
      </c>
      <c r="G34" s="724"/>
      <c r="H34" s="96" t="s">
        <v>50</v>
      </c>
      <c r="I34" s="97" t="s">
        <v>51</v>
      </c>
      <c r="J34" s="97" t="s">
        <v>52</v>
      </c>
      <c r="K34" s="97" t="s">
        <v>53</v>
      </c>
      <c r="L34" s="341" t="s">
        <v>54</v>
      </c>
      <c r="M34" s="235" t="s">
        <v>55</v>
      </c>
    </row>
    <row r="35">
      <c r="A35" s="725">
        <v>1.0</v>
      </c>
      <c r="B35" s="254">
        <f>mround('WEEK 37'!B33*0.29,2.5)</f>
        <v>0</v>
      </c>
      <c r="C35" s="344">
        <v>15.0</v>
      </c>
      <c r="D35" s="343" t="s">
        <v>57</v>
      </c>
      <c r="E35" s="66" t="str">
        <f>IF('WEEK 37'!B35='WEEK 30'!B35,'WEEK 30'!F35,"")</f>
        <v/>
      </c>
      <c r="F35" s="85"/>
      <c r="G35" s="728"/>
      <c r="H35" s="240">
        <v>1.0</v>
      </c>
      <c r="I35" s="254">
        <f>mround('WEEK 37'!I33*2*0.75,10)</f>
        <v>0</v>
      </c>
      <c r="J35" s="241">
        <v>15.0</v>
      </c>
      <c r="K35" s="83" t="s">
        <v>57</v>
      </c>
      <c r="L35" s="66" t="str">
        <f>IF('WEEK 37'!I35='WEEK 30'!I35,'WEEK 30'!M35,"")</f>
        <v/>
      </c>
      <c r="M35" s="85"/>
    </row>
    <row r="36">
      <c r="A36" s="747">
        <v>2.0</v>
      </c>
      <c r="B36" s="662">
        <f>mround('WEEK 37'!B33*0.29,2.5)</f>
        <v>0</v>
      </c>
      <c r="C36" s="813">
        <v>15.0</v>
      </c>
      <c r="D36" s="486" t="s">
        <v>57</v>
      </c>
      <c r="E36" s="72" t="str">
        <f>IF('WEEK 37'!B36='WEEK 30'!B36,'WEEK 30'!F36,"")</f>
        <v/>
      </c>
      <c r="F36" s="85"/>
      <c r="G36" s="728"/>
      <c r="H36" s="661">
        <v>2.0</v>
      </c>
      <c r="I36" s="662">
        <f>mround('WEEK 37'!I33*2*0.75,10)</f>
        <v>0</v>
      </c>
      <c r="J36" s="662">
        <v>15.0</v>
      </c>
      <c r="K36" s="88" t="s">
        <v>57</v>
      </c>
      <c r="L36" s="72" t="str">
        <f>IF('WEEK 37'!I36='WEEK 30'!I36,'WEEK 30'!M36,"")</f>
        <v/>
      </c>
      <c r="M36" s="85"/>
    </row>
    <row r="39">
      <c r="A39" s="73" t="str">
        <f>HYPERLINK("https://www.youtube.com/watch?v=PnaDzYh2axA","3. LAT PULL DOWN")</f>
        <v>3. LAT PULL DOWN</v>
      </c>
      <c r="B39" s="53"/>
      <c r="C39" s="53"/>
      <c r="D39" s="53"/>
      <c r="E39" s="53"/>
      <c r="F39" s="53"/>
    </row>
    <row r="40">
      <c r="A40" s="226" t="s">
        <v>119</v>
      </c>
      <c r="B40" s="227">
        <f>'WEEK 36'!D45</f>
        <v>235</v>
      </c>
      <c r="C40" s="20"/>
      <c r="D40" s="20"/>
      <c r="E40" s="20"/>
      <c r="F40" s="20"/>
    </row>
    <row r="41">
      <c r="A41" s="231" t="s">
        <v>50</v>
      </c>
      <c r="B41" s="232" t="s">
        <v>51</v>
      </c>
      <c r="C41" s="232" t="s">
        <v>52</v>
      </c>
      <c r="D41" s="232" t="s">
        <v>53</v>
      </c>
      <c r="E41" s="233" t="s">
        <v>54</v>
      </c>
      <c r="F41" s="286" t="s">
        <v>55</v>
      </c>
    </row>
    <row r="42">
      <c r="A42" s="236">
        <v>1.0</v>
      </c>
      <c r="B42" s="237">
        <f>mround('WEEK 37'!B40*0.35,5)</f>
        <v>80</v>
      </c>
      <c r="C42" s="238">
        <v>6.0</v>
      </c>
      <c r="D42" s="238" t="s">
        <v>120</v>
      </c>
      <c r="E42" s="66"/>
      <c r="F42" s="67"/>
    </row>
    <row r="43">
      <c r="A43" s="236">
        <v>2.0</v>
      </c>
      <c r="B43" s="237">
        <f>mround('WEEK 37'!B40*0.65,5)</f>
        <v>155</v>
      </c>
      <c r="C43" s="238">
        <v>3.0</v>
      </c>
      <c r="D43" s="238" t="s">
        <v>121</v>
      </c>
      <c r="E43" s="66"/>
      <c r="F43" s="67"/>
    </row>
    <row r="44">
      <c r="A44" s="242">
        <v>3.0</v>
      </c>
      <c r="B44" s="237">
        <f>mround('WEEK 37'!B40*0.9,5)</f>
        <v>210</v>
      </c>
      <c r="C44" s="63">
        <v>2.0</v>
      </c>
      <c r="D44" s="238" t="s">
        <v>121</v>
      </c>
      <c r="E44" s="66"/>
      <c r="F44" s="67"/>
    </row>
    <row r="45">
      <c r="A45" s="243">
        <v>4.0</v>
      </c>
      <c r="B45" s="237">
        <f>'WEEK 37'!B40</f>
        <v>235</v>
      </c>
      <c r="C45" s="257">
        <v>3.0</v>
      </c>
      <c r="D45" s="238" t="s">
        <v>122</v>
      </c>
      <c r="E45" s="66"/>
      <c r="F45" s="665"/>
    </row>
    <row r="46">
      <c r="A46" s="246" t="str">
        <f>IF('WEEK 37'!F45&lt;3,"PROCEED TO DOWN SETS","NEW 4 REP MAX ATTEMPT")</f>
        <v>PROCEED TO DOWN SETS</v>
      </c>
      <c r="B46" s="20"/>
      <c r="C46" s="20"/>
      <c r="D46" s="20"/>
      <c r="E46" s="20"/>
      <c r="F46" s="20"/>
    </row>
    <row r="47">
      <c r="A47" s="249" t="str">
        <f>if('WEEK 37'!F45&lt;=2,"",5)</f>
        <v/>
      </c>
      <c r="B47" s="175" t="str">
        <f>IF('WEEK 37'!F45&lt;=2,"",B45+5)</f>
        <v/>
      </c>
      <c r="C47" s="238" t="str">
        <f>if('WEEK 37'!F45&lt;=2,"",4)</f>
        <v/>
      </c>
      <c r="D47" s="238" t="str">
        <f>if('WEEK 37'!F45&lt;=2,"","1-5 MIN")</f>
        <v/>
      </c>
      <c r="E47" s="250"/>
      <c r="F47" s="271"/>
    </row>
    <row r="48">
      <c r="A48" s="256" t="str">
        <f>IF('WEEK 37'!F47&lt;4,"","6")</f>
        <v/>
      </c>
      <c r="B48" s="237" t="str">
        <f>IF('WEEK 37'!F47&lt;4,"",B47+5)</f>
        <v/>
      </c>
      <c r="C48" s="257" t="str">
        <f>IF('WEEK 37'!F47&lt;4,"","4")</f>
        <v/>
      </c>
      <c r="D48" s="257" t="str">
        <f>IF('WEEK 37'!F47&lt;4,"","1-5 MIN")</f>
        <v/>
      </c>
      <c r="E48" s="258"/>
      <c r="F48" s="665"/>
    </row>
    <row r="49">
      <c r="A49" s="246" t="str">
        <f>IF(OR(ISBLANK('WEEK 37'!F45),ISBLANK('WEEK 37'!F44),ISBLANK('WEEK 37'!F43)),"FILL OUT REP LOG FOR DOWN SETS","DOWN SETS")</f>
        <v>FILL OUT REP LOG FOR DOWN SETS</v>
      </c>
      <c r="B49" s="20"/>
      <c r="C49" s="20"/>
      <c r="D49" s="20"/>
      <c r="E49" s="20"/>
      <c r="F49" s="20"/>
    </row>
    <row r="50">
      <c r="A50" s="264" t="str">
        <f>IF(OR(ISBLANK('WEEK 37'!F45),ISBLANK('WEEK 37'!F44),ISBLANK('WEEK 37'!F43)),"",IF((AND(A47="",A48="")),5,IF((AND(A47&gt;1,A48="")),6,7)))</f>
        <v/>
      </c>
      <c r="B50" s="265">
        <f>MROUND('WEEK 37'!B52*0.8,5)</f>
        <v>0</v>
      </c>
      <c r="C50" s="266" t="s">
        <v>65</v>
      </c>
      <c r="D50" s="267" t="s">
        <v>127</v>
      </c>
      <c r="E50" s="268"/>
      <c r="F50" s="271"/>
    </row>
    <row r="51">
      <c r="A51" s="243" t="str">
        <f>IF(OR(ISBLANK('WEEK 37'!F45),ISBLANK('WEEK 37'!F44),ISBLANK('WEEK 37'!F43)),"",IF((AND(A47="",A48="")),6,IF((AND(A47&gt;1,A48="")),7,8)))</f>
        <v/>
      </c>
      <c r="B51" s="237">
        <f>mround('WEEK 37'!B52*0.7,5)</f>
        <v>0</v>
      </c>
      <c r="C51" s="245" t="s">
        <v>65</v>
      </c>
      <c r="D51" s="65" t="s">
        <v>127</v>
      </c>
      <c r="E51" s="258"/>
      <c r="F51" s="271"/>
    </row>
    <row r="52">
      <c r="A52" s="272" t="s">
        <v>124</v>
      </c>
      <c r="B52" s="273" t="str">
        <f>IF(OR(ISBLANK('WEEK 37'!F45),ISBLANK('WEEK 37'!F44),ISBLANK('WEEK 37'!F43)),"",IF('WEEK 37'!F48&gt;=4,'WEEK 37'!B48,IF('WEEK 37'!F47&gt;=1,'WEEK 37'!B47,IF('WEEK 37'!F45&lt;3,'WEEK 37'!B45-5,'WEEK 37'!B45))))</f>
        <v/>
      </c>
      <c r="C52" s="11"/>
      <c r="D52" s="11"/>
      <c r="E52" s="11"/>
      <c r="F52" s="46"/>
    </row>
    <row r="53">
      <c r="A53" s="302"/>
      <c r="B53" s="302"/>
      <c r="C53" s="302"/>
      <c r="D53" s="302"/>
      <c r="E53" s="303"/>
      <c r="F53" s="103"/>
    </row>
    <row r="54">
      <c r="A54" s="302"/>
      <c r="B54" s="302"/>
      <c r="C54" s="302"/>
      <c r="D54" s="302"/>
      <c r="E54" s="303"/>
      <c r="F54" s="103"/>
    </row>
    <row r="55">
      <c r="A55" s="73" t="str">
        <f>HYPERLINK("https://www.youtube.com/watch?v=9YH1YvZbiY0","4. MACHINE LOW ROW")</f>
        <v>4. MACHINE LOW ROW</v>
      </c>
      <c r="B55" s="53"/>
      <c r="C55" s="53"/>
      <c r="D55" s="53"/>
      <c r="E55" s="53"/>
      <c r="F55" s="53"/>
    </row>
    <row r="56">
      <c r="A56" s="282" t="s">
        <v>119</v>
      </c>
      <c r="B56" s="56">
        <f>'WEEK 35'!B68</f>
        <v>220</v>
      </c>
      <c r="C56" s="13"/>
      <c r="D56" s="13"/>
      <c r="E56" s="13"/>
      <c r="F56" s="13"/>
    </row>
    <row r="57">
      <c r="A57" s="58" t="s">
        <v>50</v>
      </c>
      <c r="B57" s="59" t="s">
        <v>51</v>
      </c>
      <c r="C57" s="59" t="s">
        <v>52</v>
      </c>
      <c r="D57" s="59" t="s">
        <v>53</v>
      </c>
      <c r="E57" s="584" t="s">
        <v>54</v>
      </c>
      <c r="F57" s="286" t="s">
        <v>55</v>
      </c>
    </row>
    <row r="58">
      <c r="A58" s="62">
        <v>1.0</v>
      </c>
      <c r="B58" s="63">
        <f> mround('WEEK 37'!B56*0.9,5)</f>
        <v>200</v>
      </c>
      <c r="C58" s="104" t="s">
        <v>65</v>
      </c>
      <c r="D58" s="65" t="s">
        <v>57</v>
      </c>
      <c r="E58" s="66"/>
      <c r="F58" s="67"/>
    </row>
    <row r="59">
      <c r="A59" s="62">
        <v>2.0</v>
      </c>
      <c r="B59" s="63">
        <f>IF('WEEK 37'!F58&lt;6,MROUND('WEEK 37'!B58*0.87,5),IF('WEEK 37'!F58&lt;=11,MROUND('WEEK 37'!B58*0.95,5),'WEEK 37'!B58))</f>
        <v>175</v>
      </c>
      <c r="C59" s="104" t="s">
        <v>65</v>
      </c>
      <c r="D59" s="65" t="s">
        <v>57</v>
      </c>
      <c r="E59" s="66"/>
      <c r="F59" s="67"/>
    </row>
    <row r="60">
      <c r="A60" s="68">
        <v>3.0</v>
      </c>
      <c r="B60" s="69">
        <f>IF('WEEK 37'!F59&lt;6,MROUND('WEEK 37'!B59*0.87,5),IF('WEEK 37'!F59&lt;=11,MROUND('WEEK 37'!B59*0.95,5),'WEEK 37'!B59))</f>
        <v>150</v>
      </c>
      <c r="C60" s="105" t="s">
        <v>65</v>
      </c>
      <c r="D60" s="71" t="s">
        <v>57</v>
      </c>
      <c r="E60" s="72"/>
      <c r="F60" s="67"/>
    </row>
    <row r="61">
      <c r="A61" s="103"/>
      <c r="B61" s="103"/>
      <c r="C61" s="103"/>
      <c r="D61" s="103"/>
      <c r="E61" s="222"/>
      <c r="F61" s="103"/>
    </row>
    <row r="62">
      <c r="A62" s="103"/>
      <c r="B62" s="103"/>
      <c r="C62" s="103"/>
      <c r="D62" s="103"/>
      <c r="E62" s="222"/>
      <c r="F62" s="103"/>
    </row>
    <row r="63">
      <c r="A63" s="73" t="str">
        <f>HYPERLINK("https://youtu.be/5-SUS-OVULY","5. MACHINE HIGH ROW")</f>
        <v>5. MACHINE HIGH ROW</v>
      </c>
      <c r="B63" s="53"/>
      <c r="C63" s="53"/>
      <c r="D63" s="53"/>
      <c r="E63" s="53"/>
      <c r="F63" s="53"/>
    </row>
    <row r="64">
      <c r="A64" s="282" t="s">
        <v>119</v>
      </c>
      <c r="B64" s="56">
        <f>'WEEK 35'!B57</f>
        <v>205</v>
      </c>
      <c r="C64" s="13"/>
      <c r="D64" s="13"/>
      <c r="E64" s="13"/>
      <c r="F64" s="13"/>
    </row>
    <row r="65">
      <c r="A65" s="58" t="s">
        <v>50</v>
      </c>
      <c r="B65" s="59" t="s">
        <v>51</v>
      </c>
      <c r="C65" s="59" t="s">
        <v>52</v>
      </c>
      <c r="D65" s="59" t="s">
        <v>53</v>
      </c>
      <c r="E65" s="584" t="s">
        <v>54</v>
      </c>
      <c r="F65" s="286" t="s">
        <v>55</v>
      </c>
    </row>
    <row r="66">
      <c r="A66" s="62">
        <v>1.0</v>
      </c>
      <c r="B66" s="63">
        <f> mround('WEEK 37'!B64*0.85,5)</f>
        <v>175</v>
      </c>
      <c r="C66" s="104" t="s">
        <v>65</v>
      </c>
      <c r="D66" s="65" t="s">
        <v>57</v>
      </c>
      <c r="E66" s="66"/>
      <c r="F66" s="67"/>
    </row>
    <row r="67">
      <c r="A67" s="62">
        <v>2.0</v>
      </c>
      <c r="B67" s="63">
        <f>IF('WEEK 37'!F66&lt;6,MROUND('WEEK 37'!B64*0.7,5),IF('WEEK 37'!F66&lt;=11,MROUND('WEEK 37'!B64*0.75,5),'WEEK 37'!B66))</f>
        <v>145</v>
      </c>
      <c r="C67" s="104" t="s">
        <v>65</v>
      </c>
      <c r="D67" s="65" t="s">
        <v>57</v>
      </c>
      <c r="E67" s="66"/>
      <c r="F67" s="67"/>
    </row>
    <row r="68">
      <c r="A68" s="68">
        <v>3.0</v>
      </c>
      <c r="B68" s="87">
        <f>IF('WEEK 37'!F67&lt;6,MROUND('WEEK 37'!B67*0.8,5),IF('WEEK 37'!F67&lt;=11,MROUND('WEEK 37'!B67*0.85,5),'WEEK 37'!B67))</f>
        <v>115</v>
      </c>
      <c r="C68" s="105" t="s">
        <v>65</v>
      </c>
      <c r="D68" s="309" t="s">
        <v>57</v>
      </c>
      <c r="E68" s="72"/>
      <c r="F68" s="67"/>
    </row>
    <row r="71">
      <c r="A71" s="310" t="str">
        <f>HYPERLINK("https://docs.google.com/a/fitnessresults.com/forms/d/e/1FAIpQLSd7MoczESe8Yjv6BKpmwAZGn9Aiymrs9-UdgfYIUpbr9t5NXg/viewform?usp=pp_url&amp;entry.93370101","CLICK TO COMPLETE WORKOUT")</f>
        <v>CLICK TO COMPLETE WORKOUT</v>
      </c>
      <c r="B71" s="36"/>
      <c r="C71" s="36"/>
      <c r="D71" s="36"/>
      <c r="E71" s="36"/>
      <c r="F71" s="37"/>
    </row>
    <row r="73">
      <c r="A73" s="224" t="s">
        <v>128</v>
      </c>
      <c r="B73" s="36"/>
      <c r="C73" s="36"/>
      <c r="D73" s="36"/>
      <c r="E73" s="36"/>
      <c r="F73" s="37"/>
    </row>
    <row r="76">
      <c r="A76" s="1355" t="str">
        <f>HYPERLINK("https://www.youtube.com/watch?v=5UOeRbRoFOI","1. MACHINE SQUAT")</f>
        <v>1. MACHINE SQUAT</v>
      </c>
      <c r="B76" s="53"/>
      <c r="C76" s="53"/>
      <c r="D76" s="53"/>
      <c r="E76" s="53"/>
      <c r="F76" s="54"/>
    </row>
    <row r="77">
      <c r="A77" s="1262" t="s">
        <v>209</v>
      </c>
      <c r="B77" s="1035">
        <f>'WEEK 33'!B76</f>
        <v>25</v>
      </c>
      <c r="C77" s="13"/>
      <c r="D77" s="13"/>
      <c r="E77" s="13"/>
      <c r="F77" s="57"/>
    </row>
    <row r="78">
      <c r="A78" s="231" t="s">
        <v>50</v>
      </c>
      <c r="B78" s="232" t="s">
        <v>51</v>
      </c>
      <c r="C78" s="232" t="s">
        <v>52</v>
      </c>
      <c r="D78" s="232" t="s">
        <v>53</v>
      </c>
      <c r="E78" s="1073" t="s">
        <v>54</v>
      </c>
      <c r="F78" s="1006" t="s">
        <v>55</v>
      </c>
    </row>
    <row r="79">
      <c r="A79" s="236">
        <v>1.0</v>
      </c>
      <c r="B79" s="237">
        <f>mround('WEEK 37'!B77*0.35,5)</f>
        <v>10</v>
      </c>
      <c r="C79" s="238">
        <v>10.0</v>
      </c>
      <c r="D79" s="238" t="s">
        <v>120</v>
      </c>
      <c r="E79" s="1130" t="str">
        <f>IF('WEEK 37'!B79='WEEK 36'!B68,'WEEK 36'!F68,"")</f>
        <v/>
      </c>
      <c r="F79" s="1577"/>
      <c r="G79" s="1486"/>
    </row>
    <row r="80">
      <c r="A80" s="236">
        <v>2.0</v>
      </c>
      <c r="B80" s="237">
        <f>mround('WEEK 37'!B77*0.65,5)</f>
        <v>15</v>
      </c>
      <c r="C80" s="238">
        <v>10.0</v>
      </c>
      <c r="D80" s="238" t="s">
        <v>121</v>
      </c>
      <c r="E80" s="1130" t="str">
        <f>IF('WEEK 37'!B80='WEEK 36'!B69,'WEEK 36'!F69,"")</f>
        <v/>
      </c>
      <c r="F80" s="1017"/>
    </row>
    <row r="81">
      <c r="A81" s="242">
        <v>3.0</v>
      </c>
      <c r="B81" s="237">
        <f>mround('WEEK 37'!B77*0.9,5)</f>
        <v>25</v>
      </c>
      <c r="C81" s="238">
        <v>10.0</v>
      </c>
      <c r="D81" s="238" t="s">
        <v>121</v>
      </c>
      <c r="E81" s="1130" t="str">
        <f>IF('WEEK 37'!B81='WEEK 36'!B70,'WEEK 36'!F70,"")</f>
        <v/>
      </c>
      <c r="F81" s="1017"/>
    </row>
    <row r="82">
      <c r="A82" s="249">
        <v>4.0</v>
      </c>
      <c r="B82" s="175">
        <f>if('WEEK 37'!F81&lt;6,MROUND('WEEK 37'!B81-('WEEK 37'!B81*20%),5),'WEEK 37'!B77)</f>
        <v>20</v>
      </c>
      <c r="C82" s="238">
        <v>10.0</v>
      </c>
      <c r="D82" s="238" t="s">
        <v>122</v>
      </c>
      <c r="E82" s="1130" t="str">
        <f>IF('WEEK 37'!B82='WEEK 36'!B71,'WEEK 36'!F71,"")</f>
        <v/>
      </c>
      <c r="F82" s="1132"/>
    </row>
    <row r="83">
      <c r="A83" s="249">
        <v>5.0</v>
      </c>
      <c r="B83" s="175">
        <f>IF((AND('WEEK 37'!B82&lt;='WEEK 37'!B81,'WEEK 37'!F82&gt;=6)),'WEEK 37'!B82,IF('WEEK 37'!F82&lt;6,MROUND('WEEK 37'!B82-('WEEK 37'!B82*20%),5),if( 'WEEK 37'!F82&lt;6,MROUND('WEEK 37'!B82-('WEEK 37'!B82*10%),5),MROUND('WEEK 37'!B82+('WEEK 37'!B82*10%),5))))</f>
        <v>15</v>
      </c>
      <c r="C83" s="238">
        <v>10.0</v>
      </c>
      <c r="D83" s="238" t="s">
        <v>122</v>
      </c>
      <c r="E83" s="1130" t="str">
        <f>IF('WEEK 37'!B83='WEEK 36'!B72,'WEEK 36'!F72,"")</f>
        <v/>
      </c>
      <c r="F83" s="1017"/>
    </row>
    <row r="84">
      <c r="A84" s="249">
        <f>if('WEEK 37'!F82&lt;6,6,6)</f>
        <v>6</v>
      </c>
      <c r="B84" s="175">
        <f>IF((AND('WEEK 37'!B83&lt;='WEEK 37'!B82,'WEEK 37'!F83&gt;=6)),'WEEK 37'!B83,IF('WEEK 37'!F83&lt;6,MROUND('WEEK 37'!B83-('WEEK 37'!B83*20%),5),if( 'WEEK 37'!F83&lt;6,MROUND('WEEK 37'!B83-('WEEK 37'!B83*10%),5),MROUND('WEEK 37'!B83+('WEEK 37'!B83*10%),5))))</f>
        <v>10</v>
      </c>
      <c r="C84" s="238">
        <v>10.0</v>
      </c>
      <c r="D84" s="238" t="s">
        <v>122</v>
      </c>
      <c r="E84" s="1130" t="str">
        <f>IF('WEEK 37'!B84='WEEK 36'!B73,'WEEK 36'!F73,"")</f>
        <v/>
      </c>
      <c r="F84" s="1017"/>
    </row>
    <row r="85">
      <c r="A85" s="1038">
        <f>IF('WEEK 37'!F84&lt;6,7,"7")</f>
        <v>7</v>
      </c>
      <c r="B85" s="175">
        <f>IF((AND('WEEK 37'!B84&lt;='WEEK 37'!B83,'WEEK 37'!F84&gt;=6)),'WEEK 37'!B84,IF('WEEK 37'!F84&lt;6,MROUND('WEEK 37'!B84-('WEEK 37'!B84*20%),5),if( 'WEEK 37'!F84&lt;6,MROUND('WEEK 37'!B84-('WEEK 37'!B84*10%),5),MROUND('WEEK 37'!B84+('WEEK 37'!B84*10%),5))))</f>
        <v>10</v>
      </c>
      <c r="C85" s="238">
        <v>10.0</v>
      </c>
      <c r="D85" s="238" t="s">
        <v>122</v>
      </c>
      <c r="E85" s="1130" t="str">
        <f>IF('WEEK 37'!B85='WEEK 36'!B74,'WEEK 36'!F74,"")</f>
        <v/>
      </c>
      <c r="F85" s="1133"/>
    </row>
    <row r="86">
      <c r="A86" s="249">
        <f>IF('WEEK 37'!F85&lt;6,8,"8")</f>
        <v>8</v>
      </c>
      <c r="B86" s="175">
        <f>IF((AND('WEEK 37'!B85&lt;='WEEK 37'!B84,'WEEK 37'!F85&gt;=6)),'WEEK 37'!B85,IF('WEEK 37'!F85&lt;6,MROUND('WEEK 37'!B85-('WEEK 37'!B85*20%),5),if( 'WEEK 37'!F85&lt;6,MROUND('WEEK 37'!B85-('WEEK 37'!B85*10%),5),MROUND('WEEK 37'!B85+('WEEK 37'!B85*10%),5))))</f>
        <v>10</v>
      </c>
      <c r="C86" s="238">
        <v>10.0</v>
      </c>
      <c r="D86" s="238" t="s">
        <v>122</v>
      </c>
      <c r="E86" s="1130" t="str">
        <f>IF('WEEK 37'!B86='WEEK 36'!B75,'WEEK 36'!F75,"")</f>
        <v/>
      </c>
      <c r="F86" s="1134"/>
    </row>
    <row r="87">
      <c r="A87" s="1038">
        <f>IF('WEEK 37'!F86&lt;6,9,"9")</f>
        <v>9</v>
      </c>
      <c r="B87" s="175">
        <f>IF((AND('WEEK 37'!B86&lt;='WEEK 37'!B85,'WEEK 37'!F86&gt;=6)),'WEEK 37'!B86,IF('WEEK 37'!F86&lt;6,MROUND('WEEK 37'!B86-('WEEK 37'!B86*20%),5),if( 'WEEK 37'!F86&lt;6,MROUND('WEEK 37'!B86-('WEEK 37'!B86*10%),5),MROUND('WEEK 37'!B86+('WEEK 37'!B86*10%),5))))</f>
        <v>10</v>
      </c>
      <c r="C87" s="238">
        <v>10.0</v>
      </c>
      <c r="D87" s="238" t="s">
        <v>122</v>
      </c>
      <c r="E87" s="1130"/>
      <c r="F87" s="1134"/>
    </row>
    <row r="88">
      <c r="A88" s="272" t="s">
        <v>232</v>
      </c>
      <c r="B88" s="1109">
        <f>IF((AND('WEEK 37'!F87&gt;=6,'WEEK 37'!B87&gt;'WEEK 37'!B86)),'WEEK 37'!B87,IF((AND('WEEK 37'!F86&gt;=6,'WEEK 37'!B86&gt;'WEEK 37'!B85)),'WEEK 37'!B86,IF((AND('WEEK 37'!F85&gt;=6,'WEEK 37'!B85&gt;'WEEK 37'!B84)),'WEEK 37'!B85,IF((AND('WEEK 37'!F84&gt;=6,'WEEK 37'!B84&gt;'WEEK 37'!B83)),'WEEK 37'!B84,IF((AND('WEEK 37'!F83&gt;=6,'WEEK 37'!B83&gt;'WEEK 37'!B82)),'WEEK 37'!B83,IF((AND('WEEK 37'!F82&gt;=6,'WEEK 37'!B82&gt;'WEEK 37'!B81)),'WEEK 37'!B82,IF((AND('WEEK 37'!F81&gt;=6,'WEEK 37'!B81&gt;'WEEK 37'!B80)),'WEEK 37'!B81,IF((AND('WEEK 37'!F80&gt;=6,'WEEK 37'!B80&gt;'WEEK 37'!B79)),'WEEK 37'!B80,'WEEK 37'!B77))))))))</f>
        <v>25</v>
      </c>
      <c r="C88" s="11"/>
      <c r="D88" s="11"/>
      <c r="E88" s="11"/>
      <c r="F88" s="46"/>
    </row>
    <row r="91">
      <c r="A91" s="1044" t="str">
        <f>HYPERLINK("https://www.youtube.com/watch?v=NZ9KiFtbiMs","2. LEG EXTENSION")</f>
        <v>2. LEG EXTENSION</v>
      </c>
      <c r="B91" s="13"/>
      <c r="C91" s="13"/>
      <c r="D91" s="13"/>
      <c r="E91" s="13"/>
      <c r="F91" s="57"/>
    </row>
    <row r="92">
      <c r="A92" s="1045" t="s">
        <v>119</v>
      </c>
      <c r="B92" s="1046">
        <f>IF('WEEK 36'!B82='WEEK 36'!B84,'WEEK 36'!B82+5,IF('WEEK 36'!F82&lt;=9,MROUND('WEEK 36'!B80*0.95,5),'WEEK 36'!B82))</f>
        <v>135</v>
      </c>
      <c r="C92" s="13"/>
      <c r="D92" s="13"/>
      <c r="E92" s="13"/>
      <c r="F92" s="57"/>
    </row>
    <row r="93">
      <c r="A93" s="567" t="s">
        <v>50</v>
      </c>
      <c r="B93" s="568" t="s">
        <v>51</v>
      </c>
      <c r="C93" s="568" t="s">
        <v>52</v>
      </c>
      <c r="D93" s="568" t="s">
        <v>53</v>
      </c>
      <c r="E93" s="1047" t="s">
        <v>54</v>
      </c>
      <c r="F93" s="1048" t="s">
        <v>55</v>
      </c>
    </row>
    <row r="94">
      <c r="A94" s="1049">
        <v>1.0</v>
      </c>
      <c r="B94" s="1050">
        <f>'WEEK 37'!B92</f>
        <v>135</v>
      </c>
      <c r="C94" s="1051" t="s">
        <v>144</v>
      </c>
      <c r="D94" s="1052" t="s">
        <v>57</v>
      </c>
      <c r="E94" s="1130" t="str">
        <f>IF('WEEK 37'!B94='WEEK 36'!B82,'WEEK 36'!F82,"")</f>
        <v/>
      </c>
      <c r="F94" s="1017"/>
    </row>
    <row r="95">
      <c r="A95" s="1049">
        <v>2.0</v>
      </c>
      <c r="B95" s="1050">
        <f>if('WEEK 37'!F94&lt;12,mround('WEEK 37'!B94*0.8,5),IF('WEEK 37'!F94&lt;=19,MROUND('WEEK 37'!B94*0.95,5),'WEEK 37'!B94))</f>
        <v>110</v>
      </c>
      <c r="C95" s="1051" t="s">
        <v>144</v>
      </c>
      <c r="D95" s="1052" t="s">
        <v>57</v>
      </c>
      <c r="E95" s="1130" t="str">
        <f>IF('WEEK 37'!B95='WEEK 36'!B83,'WEEK 36'!F83,"")</f>
        <v/>
      </c>
      <c r="F95" s="1017"/>
    </row>
    <row r="96">
      <c r="A96" s="1053">
        <v>3.0</v>
      </c>
      <c r="B96" s="1054">
        <f>if('WEEK 37'!F95&lt;12,mround('WEEK 37'!B95*0.8,5),IF('WEEK 37'!F95&lt;=19,MROUND('WEEK 37'!B95*0.95,5),'WEEK 37'!B95))</f>
        <v>90</v>
      </c>
      <c r="C96" s="1055" t="s">
        <v>144</v>
      </c>
      <c r="D96" s="1056" t="s">
        <v>57</v>
      </c>
      <c r="E96" s="1348" t="str">
        <f>IF('WEEK 37'!B96='WEEK 36'!B84,'WEEK 36'!F84,"")</f>
        <v/>
      </c>
      <c r="F96" s="1017"/>
    </row>
    <row r="99">
      <c r="A99" s="323" t="str">
        <f>HYPERLINK("https://www.youtube.com/watch?v=XepOfsnGFJg","3. MACHINE LEG CURL")</f>
        <v>3. MACHINE LEG CURL</v>
      </c>
      <c r="B99" s="53"/>
      <c r="C99" s="53"/>
      <c r="D99" s="53"/>
      <c r="E99" s="53"/>
      <c r="F99" s="54"/>
      <c r="G99" s="141"/>
      <c r="H99" s="323" t="str">
        <f>HYPERLINK("https://youtu.be/kmN9cJ79PDE","3. PRONE LEG CURL")</f>
        <v>3. PRONE LEG CURL</v>
      </c>
      <c r="I99" s="53"/>
      <c r="J99" s="53"/>
      <c r="K99" s="53"/>
      <c r="L99" s="53"/>
      <c r="M99" s="54"/>
    </row>
    <row r="100">
      <c r="A100" s="1045" t="s">
        <v>119</v>
      </c>
      <c r="B100" s="1046">
        <f>IF('WEEK 36'!B90='WEEK 36'!B92,'WEEK 36'!B90+5,IF('WEEK 36'!F90&lt;=9,MROUND('WEEK 36'!B88*0.95,5),'WEEK 36'!B90))</f>
        <v>130</v>
      </c>
      <c r="C100" s="13"/>
      <c r="D100" s="13"/>
      <c r="E100" s="13"/>
      <c r="F100" s="57"/>
      <c r="H100" s="1045" t="s">
        <v>119</v>
      </c>
      <c r="I100" s="1046">
        <f>'WEEK 37'!B100</f>
        <v>130</v>
      </c>
      <c r="J100" s="13"/>
      <c r="K100" s="13"/>
      <c r="L100" s="13"/>
      <c r="M100" s="57"/>
    </row>
    <row r="101">
      <c r="A101" s="567" t="s">
        <v>50</v>
      </c>
      <c r="B101" s="568" t="s">
        <v>51</v>
      </c>
      <c r="C101" s="568" t="s">
        <v>52</v>
      </c>
      <c r="D101" s="568" t="s">
        <v>53</v>
      </c>
      <c r="E101" s="1047" t="s">
        <v>54</v>
      </c>
      <c r="F101" s="1048" t="s">
        <v>55</v>
      </c>
      <c r="H101" s="567" t="s">
        <v>50</v>
      </c>
      <c r="I101" s="568" t="s">
        <v>51</v>
      </c>
      <c r="J101" s="568" t="s">
        <v>52</v>
      </c>
      <c r="K101" s="568" t="s">
        <v>53</v>
      </c>
      <c r="L101" s="1047" t="s">
        <v>54</v>
      </c>
      <c r="M101" s="1048" t="s">
        <v>55</v>
      </c>
    </row>
    <row r="102">
      <c r="A102" s="1049">
        <v>1.0</v>
      </c>
      <c r="B102" s="1050">
        <f>'WEEK 37'!B100</f>
        <v>130</v>
      </c>
      <c r="C102" s="1051" t="s">
        <v>144</v>
      </c>
      <c r="D102" s="1052" t="s">
        <v>57</v>
      </c>
      <c r="E102" s="1130" t="str">
        <f>IF('WEEK 37'!B102='WEEK 36'!B90,'WEEK 36'!F90,"")</f>
        <v/>
      </c>
      <c r="F102" s="1017"/>
      <c r="G102" s="434" t="s">
        <v>123</v>
      </c>
      <c r="H102" s="1049">
        <v>1.0</v>
      </c>
      <c r="I102" s="1050">
        <f>'WEEK 37'!I100</f>
        <v>130</v>
      </c>
      <c r="J102" s="1051" t="s">
        <v>144</v>
      </c>
      <c r="K102" s="1052" t="s">
        <v>57</v>
      </c>
      <c r="L102" s="1130" t="str">
        <f>IF('WEEK 37'!I102='WEEK 36'!I90,'WEEK 36'!M90,"")</f>
        <v/>
      </c>
      <c r="M102" s="1017"/>
    </row>
    <row r="103">
      <c r="A103" s="1049">
        <v>2.0</v>
      </c>
      <c r="B103" s="1050">
        <f>if('WEEK 37'!F102&lt;12,mround('WEEK 37'!B102*0.8,5),IF('WEEK 37'!F102&lt;=19,MROUND('WEEK 37'!B102*0.95,5),'WEEK 37'!B102))</f>
        <v>105</v>
      </c>
      <c r="C103" s="1051" t="s">
        <v>144</v>
      </c>
      <c r="D103" s="1052" t="s">
        <v>57</v>
      </c>
      <c r="E103" s="1130" t="str">
        <f>IF('WEEK 37'!B103='WEEK 36'!B91,'WEEK 36'!F91,"")</f>
        <v/>
      </c>
      <c r="F103" s="1017"/>
      <c r="H103" s="1049">
        <v>2.0</v>
      </c>
      <c r="I103" s="1050">
        <f>if('WEEK 37'!M102&lt;12,mround('WEEK 37'!I102*0.8,5),IF('WEEK 37'!M102&lt;=19,MROUND('WEEK 37'!I102*0.95,5),'WEEK 37'!I102))</f>
        <v>105</v>
      </c>
      <c r="J103" s="1051" t="s">
        <v>144</v>
      </c>
      <c r="K103" s="1052" t="s">
        <v>57</v>
      </c>
      <c r="L103" s="1130" t="str">
        <f>IF('WEEK 37'!I103='WEEK 36'!I91,'WEEK 36'!M91,"")</f>
        <v/>
      </c>
      <c r="M103" s="1017"/>
    </row>
    <row r="104">
      <c r="A104" s="1053">
        <v>3.0</v>
      </c>
      <c r="B104" s="1054">
        <f>if('WEEK 37'!F103&lt;12,mround('WEEK 37'!B103*0.8,5),IF('WEEK 37'!F103&lt;=19,MROUND('WEEK 37'!B103*0.95,5),'WEEK 37'!B103))</f>
        <v>85</v>
      </c>
      <c r="C104" s="1055" t="s">
        <v>144</v>
      </c>
      <c r="D104" s="1056" t="s">
        <v>57</v>
      </c>
      <c r="E104" s="1130" t="str">
        <f>IF('WEEK 37'!B104='WEEK 36'!B92,'WEEK 36'!F92,"")</f>
        <v/>
      </c>
      <c r="F104" s="1017"/>
      <c r="G104" s="682"/>
      <c r="H104" s="1053">
        <v>3.0</v>
      </c>
      <c r="I104" s="1054">
        <f>if('WEEK 37'!M103&lt;12,mround('WEEK 37'!I103*0.8,5),IF('WEEK 37'!M103&lt;=19,MROUND('WEEK 37'!I103*0.95,5),'WEEK 37'!I103))</f>
        <v>85</v>
      </c>
      <c r="J104" s="1055" t="s">
        <v>144</v>
      </c>
      <c r="K104" s="1056" t="s">
        <v>57</v>
      </c>
      <c r="L104" s="1130" t="str">
        <f>IF('WEEK 37'!I104='WEEK 36'!I92,'WEEK 36'!M92,"")</f>
        <v/>
      </c>
      <c r="M104" s="1017"/>
    </row>
    <row r="105">
      <c r="A105" s="849"/>
      <c r="B105" s="849"/>
      <c r="C105" s="849"/>
      <c r="D105" s="849"/>
      <c r="E105" s="849"/>
      <c r="F105" s="849"/>
      <c r="H105" s="849"/>
      <c r="I105" s="850"/>
      <c r="J105" s="850"/>
      <c r="K105" s="850"/>
      <c r="L105" s="850"/>
      <c r="M105" s="850"/>
    </row>
    <row r="107">
      <c r="A107" s="1120" t="s">
        <v>62</v>
      </c>
      <c r="B107" s="36"/>
      <c r="C107" s="36"/>
      <c r="D107" s="36"/>
      <c r="E107" s="36"/>
      <c r="F107" s="37"/>
    </row>
    <row r="110">
      <c r="A110" s="44" t="s">
        <v>131</v>
      </c>
      <c r="B110" s="36"/>
      <c r="C110" s="36"/>
      <c r="D110" s="36"/>
      <c r="E110" s="36"/>
      <c r="F110" s="37"/>
      <c r="H110" s="44" t="s">
        <v>131</v>
      </c>
      <c r="I110" s="36"/>
      <c r="J110" s="36"/>
      <c r="K110" s="36"/>
      <c r="L110" s="36"/>
      <c r="M110" s="37"/>
    </row>
    <row r="111">
      <c r="A111" s="112" t="str">
        <f>HYPERLINK("https://www.youtube.com/watch?v=rmxOkkd2hUk","1. SHOULDER PRESS")</f>
        <v>1. SHOULDER PRESS</v>
      </c>
      <c r="B111" s="13"/>
      <c r="C111" s="13"/>
      <c r="D111" s="13"/>
      <c r="E111" s="13"/>
      <c r="F111" s="57"/>
      <c r="H111" s="1139" t="str">
        <f>HYPERLINK("https://www.youtube.com/watch?v=-cSBPE-y38M","1. MACHINE SHOULDER PRESS")</f>
        <v>1. MACHINE SHOULDER PRESS</v>
      </c>
      <c r="I111" s="13"/>
      <c r="J111" s="13"/>
      <c r="K111" s="13"/>
      <c r="L111" s="13"/>
      <c r="M111" s="57"/>
    </row>
    <row r="112">
      <c r="A112" s="226" t="s">
        <v>119</v>
      </c>
      <c r="B112" s="227">
        <f>'WEEK 36'!B100</f>
        <v>80</v>
      </c>
      <c r="C112" s="20"/>
      <c r="D112" s="20"/>
      <c r="E112" s="20"/>
      <c r="F112" s="95"/>
      <c r="H112" s="226" t="s">
        <v>119</v>
      </c>
      <c r="I112" s="227" t="str">
        <f>'WEEK 28'!B113</f>
        <v/>
      </c>
      <c r="J112" s="20"/>
      <c r="K112" s="20"/>
      <c r="L112" s="20"/>
      <c r="M112" s="95"/>
    </row>
    <row r="113">
      <c r="A113" s="231" t="s">
        <v>50</v>
      </c>
      <c r="B113" s="232" t="s">
        <v>51</v>
      </c>
      <c r="C113" s="232" t="s">
        <v>52</v>
      </c>
      <c r="D113" s="232" t="s">
        <v>53</v>
      </c>
      <c r="E113" s="233" t="s">
        <v>54</v>
      </c>
      <c r="F113" s="61" t="s">
        <v>55</v>
      </c>
      <c r="H113" s="231" t="s">
        <v>50</v>
      </c>
      <c r="I113" s="232" t="s">
        <v>51</v>
      </c>
      <c r="J113" s="232" t="s">
        <v>52</v>
      </c>
      <c r="K113" s="232" t="s">
        <v>53</v>
      </c>
      <c r="L113" s="233" t="s">
        <v>54</v>
      </c>
      <c r="M113" s="61" t="s">
        <v>55</v>
      </c>
    </row>
    <row r="114">
      <c r="A114" s="1140">
        <v>1.0</v>
      </c>
      <c r="B114" s="237">
        <f>mround('WEEK 37'!B112*0.35,5)</f>
        <v>30</v>
      </c>
      <c r="C114" s="237">
        <v>6.0</v>
      </c>
      <c r="D114" s="238" t="s">
        <v>120</v>
      </c>
      <c r="E114" s="84" t="str">
        <f>IF('WEEK 25'!B113='WEEK 37'!B114,'WEEK 25'!F113,"")</f>
        <v/>
      </c>
      <c r="F114" s="67"/>
      <c r="H114" s="1140">
        <v>1.0</v>
      </c>
      <c r="I114" s="237">
        <f>mround('WEEK 37'!I112*0.35,5)</f>
        <v>0</v>
      </c>
      <c r="J114" s="237">
        <v>6.0</v>
      </c>
      <c r="K114" s="238" t="s">
        <v>120</v>
      </c>
      <c r="L114" s="84" t="str">
        <f>IF('WEEK 25'!I113='WEEK 37'!I114,'WEEK 25'!M113,"")</f>
        <v/>
      </c>
      <c r="M114" s="67"/>
    </row>
    <row r="115">
      <c r="A115" s="236">
        <v>2.0</v>
      </c>
      <c r="B115" s="237">
        <f>mround('WEEK 37'!B112*0.65,5)</f>
        <v>50</v>
      </c>
      <c r="C115" s="237">
        <v>1.0</v>
      </c>
      <c r="D115" s="238" t="s">
        <v>121</v>
      </c>
      <c r="E115" s="84" t="str">
        <f>IF('WEEK 25'!B114='WEEK 37'!B115,'WEEK 25'!F114,"")</f>
        <v/>
      </c>
      <c r="F115" s="67"/>
      <c r="H115" s="236">
        <v>2.0</v>
      </c>
      <c r="I115" s="237">
        <f>mround('WEEK 37'!I112*0.65,5)</f>
        <v>0</v>
      </c>
      <c r="J115" s="237">
        <v>1.0</v>
      </c>
      <c r="K115" s="238" t="s">
        <v>121</v>
      </c>
      <c r="L115" s="84" t="str">
        <f>IF('WEEK 25'!I114='WEEK 37'!I115,'WEEK 25'!M114,"")</f>
        <v/>
      </c>
      <c r="M115" s="67"/>
    </row>
    <row r="116">
      <c r="A116" s="242">
        <v>3.0</v>
      </c>
      <c r="B116" s="237">
        <f>mround('WEEK 37'!B112*0.9,5)</f>
        <v>70</v>
      </c>
      <c r="C116" s="82">
        <v>1.0</v>
      </c>
      <c r="D116" s="238" t="s">
        <v>121</v>
      </c>
      <c r="E116" s="84" t="str">
        <f>IF('WEEK 25'!B115='WEEK 37'!B116,'WEEK 25'!F115,"")</f>
        <v/>
      </c>
      <c r="F116" s="67"/>
      <c r="H116" s="242">
        <v>3.0</v>
      </c>
      <c r="I116" s="237">
        <f>mround('WEEK 37'!I112*0.9,5)</f>
        <v>0</v>
      </c>
      <c r="J116" s="82">
        <v>1.0</v>
      </c>
      <c r="K116" s="238" t="s">
        <v>121</v>
      </c>
      <c r="L116" s="84" t="str">
        <f>IF('WEEK 25'!I115='WEEK 37'!I116,'WEEK 25'!M115,"")</f>
        <v/>
      </c>
      <c r="M116" s="67"/>
    </row>
    <row r="117">
      <c r="A117" s="243">
        <v>4.0</v>
      </c>
      <c r="B117" s="237">
        <f>'WEEK 37'!B112</f>
        <v>80</v>
      </c>
      <c r="C117" s="257">
        <v>1.0</v>
      </c>
      <c r="D117" s="238" t="s">
        <v>122</v>
      </c>
      <c r="E117" s="84" t="str">
        <f>IF('WEEK 25'!B116='WEEK 37'!B117,'WEEK 25'!F116,"")</f>
        <v/>
      </c>
      <c r="F117" s="67"/>
      <c r="H117" s="243">
        <v>4.0</v>
      </c>
      <c r="I117" s="237" t="str">
        <f>'WEEK 37'!I112</f>
        <v/>
      </c>
      <c r="J117" s="257">
        <v>1.0</v>
      </c>
      <c r="K117" s="238" t="s">
        <v>122</v>
      </c>
      <c r="L117" s="84" t="str">
        <f>IF('WEEK 25'!I116='WEEK 37'!I117,'WEEK 25'!M116,"")</f>
        <v/>
      </c>
      <c r="M117" s="67"/>
    </row>
    <row r="118">
      <c r="A118" s="246" t="str">
        <f>IF('WEEK 37'!F117&lt;1,"PROCEED TO DOWN SETS","NEW 4 REP MAX ATTEMPT")</f>
        <v>PROCEED TO DOWN SETS</v>
      </c>
      <c r="B118" s="20"/>
      <c r="C118" s="20"/>
      <c r="D118" s="20"/>
      <c r="E118" s="20"/>
      <c r="F118" s="95"/>
      <c r="H118" s="246" t="str">
        <f>IF('WEEK 37'!M117&lt;1,"PROCEED TO DOWN SETS","NEW 4 REP MAX ATTEMPT")</f>
        <v>PROCEED TO DOWN SETS</v>
      </c>
      <c r="I118" s="20"/>
      <c r="J118" s="20"/>
      <c r="K118" s="20"/>
      <c r="L118" s="20"/>
      <c r="M118" s="95"/>
    </row>
    <row r="119">
      <c r="A119" s="249" t="str">
        <f>IF(OR(ISBLANK('WEEK 37'!F117),ISBLANK('WEEK 37'!F116),ISBLANK('WEEK 37'!F115)), "",if('WEEK 37'!F117&lt;1,"",5))</f>
        <v/>
      </c>
      <c r="B119" s="175" t="str">
        <f>IF('WEEK 37'!F117&lt;1,"",'WEEK 37'!B117+5)</f>
        <v/>
      </c>
      <c r="C119" s="238" t="str">
        <f>if('WEEK 37'!F117&lt;1,"",4)</f>
        <v/>
      </c>
      <c r="D119" s="238" t="str">
        <f>if('WEEK 37'!F117&lt;1,"","1-5 MIN")</f>
        <v/>
      </c>
      <c r="E119" s="84" t="str">
        <f>IF('WEEK 25'!B118='WEEK 37'!B119,'WEEK 25'!F118,"")</f>
        <v/>
      </c>
      <c r="F119" s="67"/>
      <c r="H119" s="249" t="str">
        <f>IF(OR(ISBLANK('WEEK 37'!M117),ISBLANK('WEEK 37'!M116),ISBLANK('WEEK 37'!M115)), "",if('WEEK 37'!M117&lt;1,"",5))</f>
        <v/>
      </c>
      <c r="I119" s="175" t="str">
        <f>IF('WEEK 37'!M117&lt;1,"",'WEEK 37'!I117+5)</f>
        <v/>
      </c>
      <c r="J119" s="238" t="str">
        <f>if('WEEK 37'!M117&lt;1,"",4)</f>
        <v/>
      </c>
      <c r="K119" s="238" t="str">
        <f>if('WEEK 37'!M117&lt;1,"","1-5 MIN")</f>
        <v/>
      </c>
      <c r="L119" s="84" t="str">
        <f>IF('WEEK 25'!I118='WEEK 37'!I119,'WEEK 25'!M118,"")</f>
        <v/>
      </c>
      <c r="M119" s="67"/>
    </row>
    <row r="120">
      <c r="A120" s="259" t="str">
        <f>IF(OR(ISBLANK('WEEK 37'!F116),ISBLANK('WEEK 37'!F117),ISBLANK('WEEK 37'!F119)), "",IF('WEEK 37'!F119&lt;4,"","6"))</f>
        <v/>
      </c>
      <c r="B120" s="237" t="str">
        <f>IF(OR(ISBLANK('WEEK 37'!F116),ISBLANK('WEEK 37'!F117),ISBLANK('WEEK 37'!F119)), "",IF('WEEK 37'!F119&lt;4,"",'WEEK 37'!B119+5))</f>
        <v/>
      </c>
      <c r="C120" s="257" t="str">
        <f>IF(OR(ISBLANK('WEEK 37'!F116),ISBLANK('WEEK 37'!F117),ISBLANK('WEEK 37'!F119)), "",IF('WEEK 37'!F119&lt;4,"","4"))</f>
        <v/>
      </c>
      <c r="D120" s="257" t="str">
        <f>IF(OR(ISBLANK('WEEK 37'!F116),ISBLANK('WEEK 37'!F117),ISBLANK('WEEK 37'!F119)), "",IF('WEEK 37'!F119&lt;4,"","1-5 MIN"))</f>
        <v/>
      </c>
      <c r="E120" s="84" t="str">
        <f>IF('WEEK 25'!B119='WEEK 37'!B120,'WEEK 25'!F119,"")</f>
        <v/>
      </c>
      <c r="F120" s="67"/>
      <c r="H120" s="259" t="str">
        <f>IF(OR(ISBLANK('WEEK 37'!M116),ISBLANK('WEEK 37'!M117),ISBLANK('WEEK 37'!M119)), "",IF('WEEK 37'!M119&lt;4,"","6"))</f>
        <v/>
      </c>
      <c r="I120" s="237" t="str">
        <f>IF(OR(ISBLANK('WEEK 37'!M116),ISBLANK('WEEK 37'!M117),ISBLANK('WEEK 37'!M119)), "",IF('WEEK 37'!M119&lt;4,"",'WEEK 37'!I119+5))</f>
        <v/>
      </c>
      <c r="J120" s="257" t="str">
        <f>IF(OR(ISBLANK('WEEK 37'!M116),ISBLANK('WEEK 37'!M117),ISBLANK('WEEK 37'!M119)), "",IF('WEEK 37'!M119&lt;4,"","4"))</f>
        <v/>
      </c>
      <c r="K120" s="257" t="str">
        <f>IF(OR(ISBLANK('WEEK 37'!M116),ISBLANK('WEEK 37'!M117),ISBLANK('WEEK 37'!M119)), "",IF('WEEK 37'!M119&lt;4,"","1-5 MIN"))</f>
        <v/>
      </c>
      <c r="L120" s="84" t="str">
        <f>IF('WEEK 25'!I119='WEEK 37'!I120,'WEEK 25'!M119,"")</f>
        <v/>
      </c>
      <c r="M120" s="67"/>
    </row>
    <row r="121">
      <c r="A121" s="246" t="s">
        <v>133</v>
      </c>
      <c r="B121" s="20"/>
      <c r="C121" s="20"/>
      <c r="D121" s="20"/>
      <c r="E121" s="20"/>
      <c r="F121" s="95"/>
      <c r="H121" s="246" t="s">
        <v>133</v>
      </c>
      <c r="I121" s="20"/>
      <c r="J121" s="20"/>
      <c r="K121" s="20"/>
      <c r="L121" s="20"/>
      <c r="M121" s="95"/>
    </row>
    <row r="122">
      <c r="A122" s="264" t="str">
        <f>IF(OR(ISBLANK('WEEK 37'!F117),ISBLANK('WEEK 37'!F116),ISBLANK('WEEK 37'!F115)),"",IF((AND(A119="",A120="")),5,IF((AND(A119&gt;1,A120="")),6,7)))</f>
        <v/>
      </c>
      <c r="B122" s="265">
        <f>MROUND('WEEK 37'!B124*0.9,5)</f>
        <v>0</v>
      </c>
      <c r="C122" s="266" t="s">
        <v>65</v>
      </c>
      <c r="D122" s="267" t="s">
        <v>127</v>
      </c>
      <c r="E122" s="84" t="str">
        <f>IF('WEEK 25'!B121='WEEK 37'!B122,'WEEK 25'!F121,"")</f>
        <v/>
      </c>
      <c r="F122" s="67"/>
      <c r="H122" s="264" t="str">
        <f>IF(OR(ISBLANK('WEEK 37'!M117),ISBLANK('WEEK 37'!M116),ISBLANK('WEEK 37'!M115)),"",IF((AND(H119="",H120="")),5,IF((AND(H119&gt;1,H120="")),6,7)))</f>
        <v/>
      </c>
      <c r="I122" s="265">
        <f>MROUND('WEEK 37'!I124*0.9,5)</f>
        <v>0</v>
      </c>
      <c r="J122" s="266" t="s">
        <v>65</v>
      </c>
      <c r="K122" s="267" t="s">
        <v>127</v>
      </c>
      <c r="L122" s="84" t="str">
        <f>IF('WEEK 25'!I121='WEEK 37'!I122,'WEEK 25'!M121,"")</f>
        <v/>
      </c>
      <c r="M122" s="67"/>
    </row>
    <row r="123">
      <c r="A123" s="243" t="str">
        <f>IF(OR(ISBLANK('WEEK 37'!F117),ISBLANK('WEEK 37'!F116),ISBLANK('WEEK 37'!F115)),"",IF((AND(A119="",A120="")),6,IF((AND(A119&gt;1,A120="")),7,8)))</f>
        <v/>
      </c>
      <c r="B123" s="237">
        <f>mround('WEEK 37'!B124*0.78,5)</f>
        <v>0</v>
      </c>
      <c r="C123" s="245" t="s">
        <v>65</v>
      </c>
      <c r="D123" s="65" t="s">
        <v>127</v>
      </c>
      <c r="E123" s="84" t="str">
        <f>IF('WEEK 25'!B122='WEEK 37'!B123,'WEEK 25'!F122,"")</f>
        <v/>
      </c>
      <c r="F123" s="271"/>
      <c r="H123" s="243" t="str">
        <f>IF(OR(ISBLANK('WEEK 37'!M117),ISBLANK('WEEK 37'!M116),ISBLANK('WEEK 37'!M115)),"",IF((AND(H119="",H120="")),6,IF((AND(H119&gt;1,H120="")),7,8)))</f>
        <v/>
      </c>
      <c r="I123" s="237">
        <f>mround('WEEK 37'!I124*0.78,5)</f>
        <v>0</v>
      </c>
      <c r="J123" s="245" t="s">
        <v>65</v>
      </c>
      <c r="K123" s="65" t="s">
        <v>127</v>
      </c>
      <c r="L123" s="84" t="str">
        <f>IF('WEEK 25'!I122='WEEK 37'!I123,'WEEK 25'!M122,"")</f>
        <v/>
      </c>
      <c r="M123" s="271"/>
    </row>
    <row r="124">
      <c r="A124" s="272" t="s">
        <v>124</v>
      </c>
      <c r="B124" s="273" t="str">
        <f>IF(OR(ISBLANK('WEEK 37'!F117),ISBLANK('WEEK 37'!F116),ISBLANK('WEEK 37'!F115)),"",IF('WEEK 37'!F120&gt;=1,'WEEK 37'!B120,IF('WEEK 37'!F119&gt;=4,'WEEK 37'!B119,IF('WEEK 37'!F117&lt;1,'WEEK 37'!B117-5,'WEEK 37'!B117))))</f>
        <v/>
      </c>
      <c r="C124" s="11"/>
      <c r="D124" s="11"/>
      <c r="E124" s="11"/>
      <c r="F124" s="46"/>
      <c r="H124" s="272" t="s">
        <v>124</v>
      </c>
      <c r="I124" s="273" t="str">
        <f>IF(OR(ISBLANK('WEEK 37'!M117),ISBLANK('WEEK 37'!M116),ISBLANK('WEEK 37'!M115)),"",IF('WEEK 37'!M120&gt;=1,'WEEK 37'!I120,IF('WEEK 37'!M119&gt;=4,'WEEK 37'!I119,IF('WEEK 37'!M117&lt;1,'WEEK 37'!I117-5,'WEEK 37'!I117))))</f>
        <v/>
      </c>
      <c r="J124" s="11"/>
      <c r="K124" s="11"/>
      <c r="L124" s="11"/>
      <c r="M124" s="46"/>
    </row>
    <row r="125">
      <c r="A125" s="623"/>
      <c r="B125" s="623"/>
      <c r="C125" s="623"/>
      <c r="D125" s="623"/>
      <c r="E125" s="1265"/>
      <c r="F125" s="623"/>
    </row>
    <row r="126">
      <c r="A126" s="995"/>
      <c r="B126" s="995"/>
      <c r="C126" s="995"/>
      <c r="D126" s="995"/>
      <c r="E126" s="1266"/>
      <c r="F126" s="995"/>
    </row>
    <row r="127">
      <c r="A127" s="361" t="str">
        <f>HYPERLINK("https://www.youtube.com/watch?v=gxWVN6F_uxo","2.  CABLE HIGH PULLEY ROW")</f>
        <v>2.  CABLE HIGH PULLEY ROW</v>
      </c>
      <c r="B127" s="53"/>
      <c r="C127" s="53"/>
      <c r="D127" s="53"/>
      <c r="E127" s="53"/>
      <c r="F127" s="54"/>
      <c r="G127" s="635"/>
      <c r="H127" s="1267" t="str">
        <f>HYPERLINK("https://www.youtube.com/watch?v=0BaHgGyCFJY&amp;feature=youtu.be","2. MACHINE REAR DELT FLY")</f>
        <v>2. MACHINE REAR DELT FLY</v>
      </c>
      <c r="I127" s="53"/>
      <c r="J127" s="53"/>
      <c r="K127" s="53"/>
      <c r="L127" s="53"/>
      <c r="M127" s="54"/>
    </row>
    <row r="128">
      <c r="A128" s="226" t="s">
        <v>119</v>
      </c>
      <c r="B128" s="76">
        <f>'WEEK 36'!B110</f>
        <v>150</v>
      </c>
      <c r="C128" s="13"/>
      <c r="D128" s="13"/>
      <c r="E128" s="13"/>
      <c r="F128" s="57"/>
      <c r="H128" s="961" t="s">
        <v>119</v>
      </c>
      <c r="I128" s="76" t="str">
        <f>'WEEK 36'!I110</f>
        <v/>
      </c>
      <c r="J128" s="13"/>
      <c r="K128" s="13"/>
      <c r="L128" s="13"/>
      <c r="M128" s="57"/>
    </row>
    <row r="129">
      <c r="A129" s="77" t="s">
        <v>50</v>
      </c>
      <c r="B129" s="78" t="s">
        <v>51</v>
      </c>
      <c r="C129" s="78" t="s">
        <v>52</v>
      </c>
      <c r="D129" s="78" t="s">
        <v>53</v>
      </c>
      <c r="E129" s="80" t="s">
        <v>54</v>
      </c>
      <c r="F129" s="235" t="s">
        <v>55</v>
      </c>
      <c r="H129" s="962" t="s">
        <v>50</v>
      </c>
      <c r="I129" s="963" t="s">
        <v>51</v>
      </c>
      <c r="J129" s="963" t="s">
        <v>52</v>
      </c>
      <c r="K129" s="963" t="s">
        <v>53</v>
      </c>
      <c r="L129" s="1073" t="s">
        <v>54</v>
      </c>
      <c r="M129" s="1006" t="s">
        <v>55</v>
      </c>
    </row>
    <row r="130">
      <c r="A130" s="81">
        <v>1.0</v>
      </c>
      <c r="B130" s="82">
        <f> mround('WEEK 37'!B128,5)</f>
        <v>150</v>
      </c>
      <c r="C130" s="65" t="s">
        <v>233</v>
      </c>
      <c r="D130" s="83" t="s">
        <v>58</v>
      </c>
      <c r="E130" s="84" t="str">
        <f>IF('WEEK 36'!B112='WEEK 37'!B130,'WEEK 36'!F112,"")</f>
        <v/>
      </c>
      <c r="F130" s="85"/>
      <c r="H130" s="967">
        <v>1.0</v>
      </c>
      <c r="I130" s="1028">
        <f>MROUND('WEEK 37'!I128,5)</f>
        <v>0</v>
      </c>
      <c r="J130" s="65" t="s">
        <v>233</v>
      </c>
      <c r="K130" s="968" t="s">
        <v>121</v>
      </c>
      <c r="L130" s="84" t="str">
        <f>IF('WEEK 36'!I112='WEEK 37'!I130,'WEEK 36'!M112,"")</f>
        <v/>
      </c>
      <c r="M130" s="1017"/>
    </row>
    <row r="131">
      <c r="A131" s="81">
        <v>2.0</v>
      </c>
      <c r="B131" s="82">
        <f>if('WEEK 37'!F130&lt;6,mround(B130*0.8,5),IF('WEEK 37'!F130&lt;=14,MROUND('WEEK 37'!B130*0.95,5),'WEEK 37'!B130))</f>
        <v>120</v>
      </c>
      <c r="C131" s="65" t="s">
        <v>233</v>
      </c>
      <c r="D131" s="83" t="s">
        <v>58</v>
      </c>
      <c r="E131" s="84" t="str">
        <f>IF('WEEK 36'!B113='WEEK 37'!B131,'WEEK 36'!F113,"")</f>
        <v/>
      </c>
      <c r="F131" s="85"/>
      <c r="H131" s="967">
        <v>2.0</v>
      </c>
      <c r="I131" s="1028">
        <f>if('WEEK 37'!M130&lt;6,mround('WEEK 37'!I130*0.8,5),IF('WEEK 37'!M130&lt;15,MROUND('WEEK 37'!I130*0.95,5),'WEEK 37'!I130))</f>
        <v>0</v>
      </c>
      <c r="J131" s="65" t="s">
        <v>233</v>
      </c>
      <c r="K131" s="968" t="s">
        <v>121</v>
      </c>
      <c r="L131" s="84" t="str">
        <f>IF('WEEK 36'!I113='WEEK 37'!I131,'WEEK 36'!M113,"")</f>
        <v/>
      </c>
      <c r="M131" s="1017"/>
    </row>
    <row r="132">
      <c r="A132" s="86">
        <v>3.0</v>
      </c>
      <c r="B132" s="87">
        <f>if('WEEK 37'!F131&lt;6,mround('WEEK 37'!B131*0.8,5),IF('WEEK 37'!F131&lt;=14,MROUND('WEEK 37'!B131*0.95,5),'WEEK 37'!B131))</f>
        <v>95</v>
      </c>
      <c r="C132" s="65" t="s">
        <v>233</v>
      </c>
      <c r="D132" s="88" t="s">
        <v>58</v>
      </c>
      <c r="E132" s="84" t="str">
        <f>IF('WEEK 36'!B114='WEEK 37'!B132,'WEEK 36'!F114,"")</f>
        <v/>
      </c>
      <c r="F132" s="85"/>
      <c r="H132" s="971">
        <v>3.0</v>
      </c>
      <c r="I132" s="1123">
        <f>if('WEEK 37'!M131&lt;6,mround('WEEK 37'!I131*0.8,5),IF('WEEK 37'!M131&lt;15,MROUND('WEEK 37'!I131*0.95,5),'WEEK 37'!I131))</f>
        <v>0</v>
      </c>
      <c r="J132" s="65" t="s">
        <v>233</v>
      </c>
      <c r="K132" s="972" t="s">
        <v>121</v>
      </c>
      <c r="L132" s="84" t="str">
        <f>IF('WEEK 36'!I114='WEEK 37'!I132,'WEEK 36'!M114,"")</f>
        <v/>
      </c>
      <c r="M132" s="1017"/>
    </row>
    <row r="133">
      <c r="A133" s="1068"/>
      <c r="B133" s="1068"/>
      <c r="C133" s="1068"/>
      <c r="D133" s="623"/>
      <c r="E133" s="1265"/>
      <c r="F133" s="623"/>
    </row>
    <row r="134">
      <c r="A134" s="1069"/>
      <c r="B134" s="1069"/>
      <c r="C134" s="1069"/>
      <c r="D134" s="995"/>
      <c r="E134" s="1266"/>
      <c r="F134" s="995"/>
    </row>
    <row r="135">
      <c r="A135" s="1217" t="str">
        <f>HYPERLINK("https://youtu.be/QUNZvtb6mnY","3. DUMBBELL SIDE LATERAL RAISE")</f>
        <v>3. DUMBBELL SIDE LATERAL RAISE</v>
      </c>
      <c r="B135" s="53"/>
      <c r="C135" s="53"/>
      <c r="D135" s="53"/>
      <c r="E135" s="53"/>
      <c r="F135" s="54"/>
    </row>
    <row r="136">
      <c r="A136" s="1268" t="s">
        <v>134</v>
      </c>
      <c r="B136" s="76" t="str">
        <f>'WEEK 37'!B124</f>
        <v/>
      </c>
      <c r="C136" s="13"/>
      <c r="D136" s="13"/>
      <c r="E136" s="13"/>
      <c r="F136" s="57"/>
    </row>
    <row r="137">
      <c r="A137" s="1071" t="s">
        <v>50</v>
      </c>
      <c r="B137" s="1072" t="s">
        <v>51</v>
      </c>
      <c r="C137" s="1072" t="s">
        <v>52</v>
      </c>
      <c r="D137" s="1072" t="s">
        <v>53</v>
      </c>
      <c r="E137" s="1073" t="s">
        <v>54</v>
      </c>
      <c r="F137" s="1006" t="s">
        <v>55</v>
      </c>
    </row>
    <row r="138">
      <c r="A138" s="1074">
        <v>1.0</v>
      </c>
      <c r="B138" s="968">
        <f> mround('WEEK 37'!B136*0.2,5)</f>
        <v>0</v>
      </c>
      <c r="C138" s="1075" t="s">
        <v>61</v>
      </c>
      <c r="D138" s="1076" t="s">
        <v>57</v>
      </c>
      <c r="E138" s="84" t="str">
        <f>IF('WEEK 36'!B120='WEEK 37'!B138,'WEEK 36'!F120,"")</f>
        <v/>
      </c>
      <c r="F138" s="1017"/>
    </row>
    <row r="139">
      <c r="A139" s="1074">
        <v>2.0</v>
      </c>
      <c r="B139" s="968">
        <f>if('WEEK 37'!F138&lt;12,mround('WEEK 37'!B136*0.15,2.5),'WEEK 37'!B138)</f>
        <v>0</v>
      </c>
      <c r="C139" s="1075" t="s">
        <v>61</v>
      </c>
      <c r="D139" s="1076" t="s">
        <v>57</v>
      </c>
      <c r="E139" s="84" t="str">
        <f>IF('WEEK 36'!B121='WEEK 37'!B139,'WEEK 36'!F121,"")</f>
        <v/>
      </c>
      <c r="F139" s="1017"/>
    </row>
    <row r="140">
      <c r="A140" s="1078">
        <v>3.0</v>
      </c>
      <c r="B140" s="972">
        <f>if('WEEK 37'!F139&lt;12,mround('WEEK 37'!B136*0.1,2.5),'WEEK 37'!B139)</f>
        <v>0</v>
      </c>
      <c r="C140" s="1079" t="s">
        <v>61</v>
      </c>
      <c r="D140" s="1080" t="s">
        <v>57</v>
      </c>
      <c r="E140" s="84" t="str">
        <f>IF('WEEK 36'!B122='WEEK 37'!B140,'WEEK 36'!F122,"")</f>
        <v/>
      </c>
      <c r="F140" s="1017"/>
    </row>
    <row r="143">
      <c r="A143" s="361" t="str">
        <f>HYPERLINK("https://www.youtube.com/watch?v=Zt0LwrUdpNs","2.  TRICEP OVERHEAD ROPE EXTENSION")</f>
        <v>2.  TRICEP OVERHEAD ROPE EXTENSION</v>
      </c>
      <c r="B143" s="53"/>
      <c r="C143" s="53"/>
      <c r="D143" s="53"/>
      <c r="E143" s="53"/>
      <c r="F143" s="54"/>
    </row>
    <row r="144">
      <c r="A144" s="226" t="s">
        <v>119</v>
      </c>
      <c r="B144" s="839">
        <f>IF('WEEK 36'!B128='WEEK 36'!B130,'WEEK 36'!B126,IF('WEEK 36'!F128&lt;=15,MROUND('WEEK 36'!B126*0.35,5),'WEEK 36'!B126))</f>
        <v>40</v>
      </c>
      <c r="F144" s="28"/>
    </row>
    <row r="145">
      <c r="A145" s="77" t="s">
        <v>50</v>
      </c>
      <c r="B145" s="78" t="s">
        <v>51</v>
      </c>
      <c r="C145" s="78" t="s">
        <v>52</v>
      </c>
      <c r="D145" s="78" t="s">
        <v>53</v>
      </c>
      <c r="E145" s="80" t="s">
        <v>54</v>
      </c>
      <c r="F145" s="1003" t="s">
        <v>55</v>
      </c>
    </row>
    <row r="146">
      <c r="A146" s="81">
        <v>1.0</v>
      </c>
      <c r="B146" s="82">
        <f>'WEEK 37'!B144</f>
        <v>40</v>
      </c>
      <c r="C146" s="65" t="s">
        <v>233</v>
      </c>
      <c r="D146" s="83" t="s">
        <v>58</v>
      </c>
      <c r="E146" s="84" t="str">
        <f>IF('WEEK 36'!B128='WEEK 37'!B146,'WEEK 36'!F128,"")</f>
        <v/>
      </c>
      <c r="F146" s="85"/>
    </row>
    <row r="147">
      <c r="A147" s="81">
        <v>2.0</v>
      </c>
      <c r="B147" s="82">
        <f>if('WEEK 37'!F146&lt;6,mround('WEEK 37'!B146*0.8,5),IF('WEEK 37'!F146&lt;=14,MROUND('WEEK 37'!B146*0.95,5),'WEEK 37'!B146))</f>
        <v>30</v>
      </c>
      <c r="C147" s="65" t="s">
        <v>233</v>
      </c>
      <c r="D147" s="83" t="s">
        <v>58</v>
      </c>
      <c r="E147" s="84" t="str">
        <f>IF('WEEK 36'!B129='WEEK 37'!B147,'WEEK 36'!F129,"")</f>
        <v/>
      </c>
      <c r="F147" s="85"/>
    </row>
    <row r="148">
      <c r="A148" s="86">
        <v>3.0</v>
      </c>
      <c r="B148" s="87">
        <f>if('WEEK 37'!F147&lt;6,mround('WEEK 37'!B147*0.8,5),IF('WEEK 37'!F147&lt;=14,MROUND('WEEK 37'!B147*0.95,5),'WEEK 37'!B147))</f>
        <v>25</v>
      </c>
      <c r="C148" s="71" t="s">
        <v>233</v>
      </c>
      <c r="D148" s="88" t="s">
        <v>58</v>
      </c>
      <c r="E148" s="84" t="str">
        <f>IF('WEEK 36'!B130='WEEK 37'!B148,'WEEK 36'!F130,"")</f>
        <v/>
      </c>
      <c r="F148" s="85"/>
    </row>
    <row r="151">
      <c r="A151" s="75" t="str">
        <f>HYPERLINK("https://www.youtube.com/watch?v=Bi6Do6QIlpQ","4. BICEP EZ BAR CURL")</f>
        <v>4. BICEP EZ BAR CURL</v>
      </c>
      <c r="B151" s="53"/>
      <c r="C151" s="53"/>
      <c r="D151" s="53"/>
      <c r="E151" s="53"/>
      <c r="F151" s="54"/>
    </row>
    <row r="152">
      <c r="A152" s="961" t="s">
        <v>119</v>
      </c>
      <c r="B152" s="1046">
        <f>IF('WEEK 10'!B152='WEEK 10'!B154,'WEEK 10'!B152+5,IF('WEEK 10'!F152&lt;=9,MROUND('WEEK 10'!B150*0.95,5),'WEEK 10'!B152))</f>
        <v>95</v>
      </c>
      <c r="C152" s="13"/>
      <c r="D152" s="13"/>
      <c r="E152" s="13"/>
      <c r="F152" s="57"/>
    </row>
    <row r="153">
      <c r="A153" s="962" t="s">
        <v>50</v>
      </c>
      <c r="B153" s="963" t="s">
        <v>51</v>
      </c>
      <c r="C153" s="963" t="s">
        <v>52</v>
      </c>
      <c r="D153" s="963" t="s">
        <v>53</v>
      </c>
      <c r="E153" s="1073" t="s">
        <v>54</v>
      </c>
      <c r="F153" s="1006" t="s">
        <v>55</v>
      </c>
    </row>
    <row r="154">
      <c r="A154" s="967">
        <v>1.0</v>
      </c>
      <c r="B154" s="968">
        <f> mround('WEEK 37'!B152,5)</f>
        <v>95</v>
      </c>
      <c r="C154" s="937" t="s">
        <v>234</v>
      </c>
      <c r="D154" s="1296" t="s">
        <v>127</v>
      </c>
      <c r="E154" s="1235" t="str">
        <f>if('WEEK 37'!B154='WEEK 30'!B154,'WEEK 30'!F154,"")</f>
        <v/>
      </c>
      <c r="F154" s="984">
        <v>10.0</v>
      </c>
    </row>
    <row r="155">
      <c r="A155" s="967">
        <v>2.0</v>
      </c>
      <c r="B155" s="968">
        <f>if('WEEK 37'!F154&lt;6,mround('WEEK 37'!B154*0.75,5),if('WEEK 37'!F154&lt;12,mround('WEEK 37'!B154*0.85,5),'WEEK 37'!B154))</f>
        <v>70</v>
      </c>
      <c r="C155" s="937" t="s">
        <v>234</v>
      </c>
      <c r="D155" s="1296" t="s">
        <v>127</v>
      </c>
      <c r="E155" s="1235" t="str">
        <f>if('WEEK 37'!B155='WEEK 30'!B155,'WEEK 30'!F155,"")</f>
        <v/>
      </c>
      <c r="F155" s="1131">
        <v>15.0</v>
      </c>
    </row>
    <row r="156">
      <c r="A156" s="971">
        <v>3.0</v>
      </c>
      <c r="B156" s="968">
        <f>if('WEEK 37'!F155&lt;6,mround('WEEK 37'!B155*0.75,5),if('WEEK 37'!F155&lt;12,mround('WEEK 37'!B155*0.85,5),'WEEK 37'!B155))</f>
        <v>55</v>
      </c>
      <c r="C156" s="937" t="s">
        <v>234</v>
      </c>
      <c r="D156" s="1296" t="s">
        <v>127</v>
      </c>
      <c r="E156" s="1271" t="str">
        <f>if('WEEK 37'!B156='WEEK 30'!B156,'WEEK 30'!F156,"")</f>
        <v/>
      </c>
      <c r="F156" s="984">
        <v>5.0</v>
      </c>
    </row>
    <row r="159">
      <c r="A159" s="1149" t="s">
        <v>135</v>
      </c>
      <c r="B159" s="36"/>
      <c r="C159" s="36"/>
      <c r="D159" s="36"/>
      <c r="E159" s="36"/>
      <c r="F159" s="37"/>
    </row>
    <row r="160">
      <c r="A160" s="623"/>
      <c r="B160" s="623"/>
      <c r="C160" s="623"/>
      <c r="D160" s="623"/>
      <c r="E160" s="1274"/>
      <c r="F160" s="623"/>
    </row>
    <row r="161">
      <c r="A161" s="1275" t="str">
        <f>HYPERLINK("https://www.amazon.com/30-Minute-Body-Investment-Champion/dp/0692791892/ref=sr_1_1?ie=UTF8&amp;qid=1490447969&amp;sr=8-1&amp;keywords=30+minute+body","WANT TO LEARN MORE?")</f>
        <v>WANT TO LEARN MORE?</v>
      </c>
      <c r="B161" s="25"/>
      <c r="C161" s="25"/>
      <c r="D161" s="25"/>
      <c r="E161" s="25"/>
      <c r="F161" s="26"/>
    </row>
    <row r="162">
      <c r="A162" s="529"/>
      <c r="F162" s="28"/>
    </row>
    <row r="163">
      <c r="A163" s="1276"/>
      <c r="B163" s="999"/>
      <c r="C163" s="1150" t="s">
        <v>67</v>
      </c>
      <c r="F163" s="28"/>
    </row>
    <row r="164">
      <c r="A164" s="1276"/>
      <c r="B164" s="999"/>
      <c r="F164" s="28"/>
    </row>
    <row r="165">
      <c r="A165" s="1276"/>
      <c r="B165" s="999"/>
      <c r="F165" s="28"/>
    </row>
    <row r="166">
      <c r="A166" s="1276"/>
      <c r="B166" s="999"/>
      <c r="F166" s="28"/>
    </row>
    <row r="167">
      <c r="A167" s="1276"/>
      <c r="B167" s="999"/>
      <c r="F167" s="28"/>
    </row>
    <row r="168">
      <c r="A168" s="1276"/>
      <c r="B168" s="999"/>
      <c r="F168" s="28"/>
    </row>
    <row r="169">
      <c r="A169" s="1277"/>
      <c r="B169" s="999"/>
      <c r="F169" s="28"/>
    </row>
    <row r="170">
      <c r="A170" s="1276"/>
      <c r="B170" s="999"/>
      <c r="F170" s="28"/>
    </row>
    <row r="171">
      <c r="A171" s="1276"/>
      <c r="B171" s="999"/>
      <c r="F171" s="28"/>
    </row>
    <row r="172">
      <c r="A172" s="1278"/>
      <c r="B172" s="999"/>
      <c r="F172" s="28"/>
    </row>
    <row r="173">
      <c r="A173" s="1276"/>
      <c r="B173" s="999"/>
      <c r="F173" s="28"/>
    </row>
    <row r="174">
      <c r="A174" s="1276"/>
      <c r="B174" s="999"/>
      <c r="F174" s="28"/>
    </row>
    <row r="175">
      <c r="A175" s="1276"/>
      <c r="B175" s="999"/>
      <c r="F175" s="28"/>
    </row>
    <row r="176">
      <c r="A176" s="1276"/>
      <c r="B176" s="999"/>
      <c r="F176" s="28"/>
    </row>
    <row r="177">
      <c r="A177" s="1279"/>
      <c r="B177" s="1280"/>
      <c r="C177" s="11"/>
      <c r="D177" s="11"/>
      <c r="E177" s="11"/>
      <c r="F177" s="46"/>
    </row>
  </sheetData>
  <mergeCells count="70">
    <mergeCell ref="H111:M111"/>
    <mergeCell ref="I112:M112"/>
    <mergeCell ref="G102:G103"/>
    <mergeCell ref="G104:G105"/>
    <mergeCell ref="A107:F107"/>
    <mergeCell ref="A110:F110"/>
    <mergeCell ref="H110:M110"/>
    <mergeCell ref="A111:F111"/>
    <mergeCell ref="B112:F112"/>
    <mergeCell ref="B152:F152"/>
    <mergeCell ref="A159:F159"/>
    <mergeCell ref="A161:F162"/>
    <mergeCell ref="C163:F177"/>
    <mergeCell ref="A127:F127"/>
    <mergeCell ref="B128:F128"/>
    <mergeCell ref="A135:F135"/>
    <mergeCell ref="B136:F136"/>
    <mergeCell ref="A143:F143"/>
    <mergeCell ref="B144:F144"/>
    <mergeCell ref="A151:F151"/>
    <mergeCell ref="A9:F9"/>
    <mergeCell ref="H9:M9"/>
    <mergeCell ref="A10:F11"/>
    <mergeCell ref="H10:M10"/>
    <mergeCell ref="A12:F12"/>
    <mergeCell ref="A13:F13"/>
    <mergeCell ref="H15:M15"/>
    <mergeCell ref="A15:F15"/>
    <mergeCell ref="A18:F18"/>
    <mergeCell ref="H18:M18"/>
    <mergeCell ref="A19:F19"/>
    <mergeCell ref="H19:M19"/>
    <mergeCell ref="B20:F20"/>
    <mergeCell ref="I20:M20"/>
    <mergeCell ref="A25:F25"/>
    <mergeCell ref="G25:G26"/>
    <mergeCell ref="H25:M25"/>
    <mergeCell ref="A32:F32"/>
    <mergeCell ref="H32:M32"/>
    <mergeCell ref="B33:F33"/>
    <mergeCell ref="I33:M33"/>
    <mergeCell ref="A39:F39"/>
    <mergeCell ref="B40:F40"/>
    <mergeCell ref="A46:F46"/>
    <mergeCell ref="A49:F49"/>
    <mergeCell ref="B52:F52"/>
    <mergeCell ref="A55:F55"/>
    <mergeCell ref="B56:F56"/>
    <mergeCell ref="A63:F63"/>
    <mergeCell ref="B64:F64"/>
    <mergeCell ref="A71:F71"/>
    <mergeCell ref="A73:F73"/>
    <mergeCell ref="A76:F76"/>
    <mergeCell ref="B77:F77"/>
    <mergeCell ref="B88:F88"/>
    <mergeCell ref="A91:F91"/>
    <mergeCell ref="B92:F92"/>
    <mergeCell ref="A99:F99"/>
    <mergeCell ref="G99:G101"/>
    <mergeCell ref="H99:M99"/>
    <mergeCell ref="B100:F100"/>
    <mergeCell ref="I100:M100"/>
    <mergeCell ref="A118:F118"/>
    <mergeCell ref="H118:M118"/>
    <mergeCell ref="A121:F121"/>
    <mergeCell ref="H121:M121"/>
    <mergeCell ref="B124:F124"/>
    <mergeCell ref="I124:M124"/>
    <mergeCell ref="H127:M127"/>
    <mergeCell ref="I128:M128"/>
  </mergeCells>
  <dataValidations>
    <dataValidation type="decimal" operator="greaterThanOrEqual" allowBlank="1" showDropDown="1" sqref="F53:F54 F57:F62 F65:F68">
      <formula1>0.0</formula1>
    </dataValidation>
  </dataValidations>
  <drawing r:id="rId2"/>
  <legacyDrawing r:id="rId3"/>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'MSW37'!A1</f>
        <v/>
      </c>
    </row>
    <row r="8">
      <c r="A8" s="11"/>
      <c r="B8" s="11"/>
      <c r="C8" s="11"/>
      <c r="D8" s="11"/>
      <c r="E8" s="11"/>
      <c r="F8" s="11"/>
      <c r="G8" s="11"/>
      <c r="H8" s="11"/>
      <c r="I8" s="11"/>
      <c r="J8" s="11"/>
      <c r="K8" s="11"/>
      <c r="L8" s="11"/>
      <c r="M8" s="11"/>
    </row>
    <row r="9">
      <c r="A9" s="1293" t="str">
        <f>'MSW37'!A9</f>
        <v>Week 37</v>
      </c>
      <c r="B9" s="36"/>
      <c r="C9" s="36"/>
      <c r="D9" s="36"/>
      <c r="E9" s="36"/>
      <c r="F9" s="37"/>
      <c r="G9" s="419" t="str">
        <f>'MSW37'!G9</f>
        <v/>
      </c>
      <c r="H9" s="24" t="s">
        <v>35</v>
      </c>
      <c r="I9" s="25"/>
      <c r="J9" s="25"/>
      <c r="K9" s="25"/>
      <c r="L9" s="25"/>
      <c r="M9" s="26"/>
    </row>
    <row r="10">
      <c r="A10" s="719" t="str">
        <f>'MSW37'!A10</f>
        <v>PRESS TO RECORD BODY WEIGHT</v>
      </c>
      <c r="B10" s="25"/>
      <c r="C10" s="25"/>
      <c r="D10" s="25"/>
      <c r="E10" s="25"/>
      <c r="F10" s="26"/>
      <c r="H10" s="27" t="s">
        <v>355</v>
      </c>
      <c r="M10" s="28"/>
    </row>
    <row r="11">
      <c r="A11" s="336"/>
      <c r="B11" s="11"/>
      <c r="C11" s="11"/>
      <c r="D11" s="11"/>
      <c r="E11" s="11"/>
      <c r="F11" s="46"/>
      <c r="H11" s="29" t="s">
        <v>356</v>
      </c>
      <c r="I11" s="30"/>
      <c r="J11" s="30"/>
      <c r="K11" s="30"/>
      <c r="L11" s="30"/>
      <c r="M11" s="31"/>
    </row>
    <row r="12">
      <c r="A12" s="720" t="str">
        <f>'MSW37'!A12</f>
        <v>This Weeks Goals</v>
      </c>
      <c r="B12" s="36"/>
      <c r="C12" s="36"/>
      <c r="D12" s="36"/>
      <c r="E12" s="36"/>
      <c r="F12" s="37"/>
      <c r="G12" s="419"/>
    </row>
    <row r="13">
      <c r="A13" s="721" t="str">
        <f>'MSW37'!A13</f>
        <v>This is what we call percentage week. For the most part we are going to work your body just under it's maximum potential and go for more repititions. There are however a few areas that are excluded from this principle but the general theme of the week is working under your max. </v>
      </c>
      <c r="B13" s="36"/>
      <c r="C13" s="36"/>
      <c r="D13" s="36"/>
      <c r="E13" s="36"/>
      <c r="F13" s="37"/>
    </row>
    <row r="14">
      <c r="A14" s="653" t="str">
        <f>'MSW37'!A14</f>
        <v/>
      </c>
    </row>
    <row r="15">
      <c r="A15" s="50" t="str">
        <f>'MSW37'!A15</f>
        <v>DAY 1 </v>
      </c>
      <c r="B15" s="36"/>
      <c r="C15" s="36"/>
      <c r="D15" s="36"/>
      <c r="E15" s="36"/>
      <c r="F15" s="37"/>
      <c r="G15" s="722" t="str">
        <f>'MSW37'!G15</f>
        <v/>
      </c>
      <c r="H15" s="429" t="str">
        <f>'MSW37'!H15</f>
        <v>ALTERNATE WORKOUTS</v>
      </c>
      <c r="I15" s="36"/>
      <c r="J15" s="36"/>
      <c r="K15" s="36"/>
      <c r="L15" s="36"/>
      <c r="M15" s="37"/>
    </row>
    <row r="16">
      <c r="A16" s="657" t="str">
        <f>'MSW37'!A16</f>
        <v/>
      </c>
    </row>
    <row r="18">
      <c r="A18" s="51" t="str">
        <f>'MSW37'!A18</f>
        <v>CHEST &amp; BACK </v>
      </c>
      <c r="B18" s="36"/>
      <c r="C18" s="36"/>
      <c r="D18" s="36"/>
      <c r="E18" s="36"/>
      <c r="F18" s="37"/>
      <c r="G18" s="722" t="str">
        <f>'MSW37'!G18</f>
        <v/>
      </c>
      <c r="H18" s="51" t="str">
        <f>'MSW37'!H18</f>
        <v>CHEST &amp; BACK </v>
      </c>
      <c r="I18" s="36"/>
      <c r="J18" s="36"/>
      <c r="K18" s="36"/>
      <c r="L18" s="36"/>
      <c r="M18" s="37"/>
    </row>
    <row r="19">
      <c r="A19" s="93" t="str">
        <f>'MSW37'!A19</f>
        <v>1. BENCH PRESS</v>
      </c>
      <c r="B19" s="53"/>
      <c r="C19" s="53"/>
      <c r="D19" s="53"/>
      <c r="E19" s="53"/>
      <c r="F19" s="54"/>
      <c r="H19" s="93" t="str">
        <f>'MSW37'!H19</f>
        <v>1. MACHINE PRESS</v>
      </c>
      <c r="I19" s="53"/>
      <c r="J19" s="53"/>
      <c r="K19" s="53"/>
      <c r="L19" s="53"/>
      <c r="M19" s="54"/>
    </row>
    <row r="20">
      <c r="A20" s="226" t="str">
        <f>'MSW37'!A20</f>
        <v>CURRENT MAX</v>
      </c>
      <c r="B20" s="691">
        <f>'MSW37'!B20</f>
        <v>260</v>
      </c>
      <c r="C20" s="13"/>
      <c r="D20" s="13"/>
      <c r="E20" s="13"/>
      <c r="F20" s="57"/>
      <c r="H20" s="226" t="str">
        <f>'MSW37'!H20</f>
        <v>CURRENT MAX</v>
      </c>
      <c r="I20" s="691" t="str">
        <f>'MSW37'!I20</f>
        <v/>
      </c>
      <c r="J20" s="13"/>
      <c r="K20" s="13"/>
      <c r="L20" s="13"/>
      <c r="M20" s="57"/>
    </row>
    <row r="21">
      <c r="A21" s="96" t="str">
        <f>'MSW37'!A21</f>
        <v>SET</v>
      </c>
      <c r="B21" s="97" t="str">
        <f>'MSW37'!B21</f>
        <v>WEIGHT</v>
      </c>
      <c r="C21" s="97" t="str">
        <f>'MSW37'!C21</f>
        <v>REPS</v>
      </c>
      <c r="D21" s="97" t="str">
        <f>'MSW37'!D21</f>
        <v>REST</v>
      </c>
      <c r="E21" s="341" t="str">
        <f>'MSW37'!E21</f>
        <v>PREVIOUS</v>
      </c>
      <c r="F21" s="235" t="str">
        <f>'MSW37'!F21</f>
        <v>REP LOG</v>
      </c>
      <c r="H21" s="96" t="str">
        <f>'MSW37'!H21</f>
        <v>SET</v>
      </c>
      <c r="I21" s="97" t="str">
        <f>'MSW37'!I21</f>
        <v>WEIGHT</v>
      </c>
      <c r="J21" s="97" t="str">
        <f>'MSW37'!J21</f>
        <v>REPS</v>
      </c>
      <c r="K21" s="97" t="str">
        <f>'MSW37'!K21</f>
        <v>REST</v>
      </c>
      <c r="L21" s="341" t="str">
        <f>'MSW37'!L21</f>
        <v>PREVIOUS</v>
      </c>
      <c r="M21" s="235" t="str">
        <f>'MSW37'!M21</f>
        <v>REP LOG</v>
      </c>
    </row>
    <row r="22">
      <c r="A22" s="725">
        <f>'MSW37'!A22</f>
        <v>1</v>
      </c>
      <c r="B22" s="344">
        <f>'MSW37'!B22</f>
        <v>80</v>
      </c>
      <c r="C22" s="344">
        <f>'MSW37'!C22</f>
        <v>6</v>
      </c>
      <c r="D22" s="343" t="str">
        <f>'MSW37'!D22</f>
        <v>30 sec</v>
      </c>
      <c r="E22" s="66" t="str">
        <f>'MSW37'!E22</f>
        <v/>
      </c>
      <c r="F22" s="85">
        <v>6.0</v>
      </c>
      <c r="H22" s="725">
        <f>'MSW37'!H22</f>
        <v>1</v>
      </c>
      <c r="I22" s="344">
        <f>'MSW37'!I22</f>
        <v>0</v>
      </c>
      <c r="J22" s="344">
        <f>'MSW37'!J22</f>
        <v>6</v>
      </c>
      <c r="K22" s="343" t="str">
        <f>'MSW37'!K22</f>
        <v>30 sec</v>
      </c>
      <c r="L22" s="66" t="str">
        <f>'MSW37'!L22</f>
        <v/>
      </c>
      <c r="M22" s="85" t="str">
        <f>'MSW37'!M22</f>
        <v/>
      </c>
    </row>
    <row r="23">
      <c r="A23" s="725">
        <f>'MSW37'!A23</f>
        <v>2</v>
      </c>
      <c r="B23" s="344">
        <f>'MSW37'!B23</f>
        <v>170</v>
      </c>
      <c r="C23" s="344">
        <f>'MSW37'!C23</f>
        <v>1</v>
      </c>
      <c r="D23" s="343" t="str">
        <f>'MSW37'!D23</f>
        <v>45 sec</v>
      </c>
      <c r="E23" s="66">
        <f>'MSW37'!E23</f>
        <v>1</v>
      </c>
      <c r="F23" s="85">
        <v>1.0</v>
      </c>
      <c r="H23" s="725">
        <f>'MSW37'!H23</f>
        <v>2</v>
      </c>
      <c r="I23" s="344">
        <f>'MSW37'!I23</f>
        <v>0</v>
      </c>
      <c r="J23" s="344">
        <f>'MSW37'!J23</f>
        <v>1</v>
      </c>
      <c r="K23" s="343" t="str">
        <f>'MSW37'!K23</f>
        <v>45 sec</v>
      </c>
      <c r="L23" s="66" t="str">
        <f>'MSW37'!L23</f>
        <v/>
      </c>
      <c r="M23" s="85" t="str">
        <f>'MSW37'!M23</f>
        <v/>
      </c>
    </row>
    <row r="24">
      <c r="A24" s="725">
        <f>'MSW37'!A24</f>
        <v>3</v>
      </c>
      <c r="B24" s="344">
        <f>'MSW37'!B24</f>
        <v>210</v>
      </c>
      <c r="C24" s="344">
        <f>'MSW37'!C24</f>
        <v>1</v>
      </c>
      <c r="D24" s="343" t="str">
        <f>'MSW37'!D24</f>
        <v>1 MIN</v>
      </c>
      <c r="E24" s="66" t="str">
        <f>'MSW37'!E24</f>
        <v/>
      </c>
      <c r="F24" s="85">
        <v>1.0</v>
      </c>
      <c r="H24" s="725">
        <f>'MSW37'!H24</f>
        <v>3</v>
      </c>
      <c r="I24" s="344">
        <f>'MSW37'!I24</f>
        <v>0</v>
      </c>
      <c r="J24" s="344">
        <f>'MSW37'!J24</f>
        <v>1</v>
      </c>
      <c r="K24" s="343" t="str">
        <f>'MSW37'!K24</f>
        <v>1 MIN</v>
      </c>
      <c r="L24" s="66" t="str">
        <f>'MSW37'!L24</f>
        <v/>
      </c>
      <c r="M24" s="85" t="str">
        <f>'MSW37'!M24</f>
        <v/>
      </c>
    </row>
    <row r="25">
      <c r="A25" s="730" t="str">
        <f>'MSW37'!A25</f>
        <v>Working Set</v>
      </c>
      <c r="B25" s="13"/>
      <c r="C25" s="13"/>
      <c r="D25" s="13"/>
      <c r="E25" s="13"/>
      <c r="F25" s="57"/>
      <c r="G25" s="731" t="str">
        <f>'MSW37'!G25</f>
        <v>ALTERNATE</v>
      </c>
      <c r="H25" s="730" t="str">
        <f>'MSW37'!H25</f>
        <v>Working Set</v>
      </c>
      <c r="I25" s="13"/>
      <c r="J25" s="13"/>
      <c r="K25" s="13"/>
      <c r="L25" s="13"/>
      <c r="M25" s="57"/>
    </row>
    <row r="26">
      <c r="A26" s="96" t="str">
        <f>'MSW37'!A26</f>
        <v>SET</v>
      </c>
      <c r="B26" s="97" t="str">
        <f>'MSW37'!B26</f>
        <v>WEIGHT</v>
      </c>
      <c r="C26" s="97" t="str">
        <f>'MSW37'!C26</f>
        <v>REPS</v>
      </c>
      <c r="D26" s="97" t="str">
        <f>'MSW37'!D26</f>
        <v>REST</v>
      </c>
      <c r="E26" s="341" t="str">
        <f>'MSW37'!E26</f>
        <v>PREVIOUS</v>
      </c>
      <c r="F26" s="235" t="str">
        <f>'MSW37'!F26</f>
        <v>REP LOG</v>
      </c>
      <c r="H26" s="96" t="str">
        <f>'MSW37'!H26</f>
        <v>SET</v>
      </c>
      <c r="I26" s="97" t="str">
        <f>'MSW37'!I26</f>
        <v>WEIGHT</v>
      </c>
      <c r="J26" s="97" t="str">
        <f>'MSW37'!J26</f>
        <v>REPS</v>
      </c>
      <c r="K26" s="97" t="str">
        <f>'MSW37'!K26</f>
        <v>REST</v>
      </c>
      <c r="L26" s="341" t="str">
        <f>'MSW37'!L26</f>
        <v>PREVIOUS</v>
      </c>
      <c r="M26" s="235" t="str">
        <f>'MSW37'!M26</f>
        <v>REP LOG</v>
      </c>
    </row>
    <row r="27">
      <c r="A27" s="342">
        <f>'MSW37'!A27</f>
        <v>1</v>
      </c>
      <c r="B27" s="348">
        <f>'MSW37'!B27</f>
        <v>235</v>
      </c>
      <c r="C27" s="437" t="str">
        <f>'MSW37'!C27</f>
        <v>REP OUT</v>
      </c>
      <c r="D27" s="343" t="str">
        <f>'MSW37'!D27</f>
        <v>1-5 MIN</v>
      </c>
      <c r="E27" s="66" t="str">
        <f>'MSW37'!E27</f>
        <v/>
      </c>
      <c r="F27" s="85">
        <v>3.0</v>
      </c>
      <c r="G27" s="423" t="str">
        <f>'MSW37'!G27</f>
        <v/>
      </c>
      <c r="H27" s="725">
        <f>'MSW37'!H27</f>
        <v>1</v>
      </c>
      <c r="I27" s="348">
        <f>'MSW37'!I27</f>
        <v>0</v>
      </c>
      <c r="J27" s="437" t="str">
        <f>'MSW37'!J27</f>
        <v>REP OUT</v>
      </c>
      <c r="K27" s="343" t="str">
        <f>'MSW37'!K27</f>
        <v>1-5 MIN</v>
      </c>
      <c r="L27" s="66" t="str">
        <f>'MSW37'!L27</f>
        <v/>
      </c>
      <c r="M27" s="85" t="str">
        <f>'MSW37'!M27</f>
        <v/>
      </c>
    </row>
    <row r="28">
      <c r="A28" s="725">
        <f>'MSW37'!A28</f>
        <v>2</v>
      </c>
      <c r="B28" s="348">
        <f>'MSW37'!B28</f>
        <v>200</v>
      </c>
      <c r="C28" s="437" t="str">
        <f>'MSW37'!C28</f>
        <v>REP OUT</v>
      </c>
      <c r="D28" s="343" t="str">
        <f>'MSW37'!D28</f>
        <v>1-5 MIN</v>
      </c>
      <c r="E28" s="66" t="str">
        <f>'MSW37'!E28</f>
        <v/>
      </c>
      <c r="F28" s="85">
        <v>8.0</v>
      </c>
      <c r="H28" s="725">
        <f>'MSW37'!H28</f>
        <v>2</v>
      </c>
      <c r="I28" s="348">
        <f>'MSW37'!I28</f>
        <v>0</v>
      </c>
      <c r="J28" s="437" t="str">
        <f>'MSW37'!J28</f>
        <v>REP OUT</v>
      </c>
      <c r="K28" s="343" t="str">
        <f>'MSW37'!K28</f>
        <v>1-5 MIN</v>
      </c>
      <c r="L28" s="66" t="str">
        <f>'MSW37'!L28</f>
        <v/>
      </c>
      <c r="M28" s="85" t="str">
        <f>'MSW37'!M28</f>
        <v/>
      </c>
    </row>
    <row r="29">
      <c r="A29" s="485">
        <f>'MSW37'!A29</f>
        <v>3</v>
      </c>
      <c r="B29" s="732">
        <f>'MSW37'!B29</f>
        <v>180</v>
      </c>
      <c r="C29" s="733" t="str">
        <f>'MSW37'!C29</f>
        <v>REP OUT</v>
      </c>
      <c r="D29" s="486" t="str">
        <f>'MSW37'!D29</f>
        <v>1-5 MIN</v>
      </c>
      <c r="E29" s="72" t="str">
        <f>'MSW37'!E29</f>
        <v/>
      </c>
      <c r="F29" s="85" t="str">
        <f>'MSW37'!F29</f>
        <v/>
      </c>
      <c r="H29" s="735">
        <f>'MSW37'!H29</f>
        <v>3</v>
      </c>
      <c r="I29" s="736">
        <f>'MSW37'!I29</f>
        <v>0</v>
      </c>
      <c r="J29" s="737" t="str">
        <f>'MSW37'!J29</f>
        <v>REP OUT</v>
      </c>
      <c r="K29" s="738" t="str">
        <f>'MSW37'!K29</f>
        <v>1-5 MIN</v>
      </c>
      <c r="L29" s="66" t="str">
        <f>'MSW37'!L29</f>
        <v/>
      </c>
      <c r="M29" s="330" t="str">
        <f>'MSW37'!M29</f>
        <v/>
      </c>
    </row>
    <row r="30">
      <c r="A30" s="740" t="str">
        <f>'MSW37'!A30</f>
        <v/>
      </c>
    </row>
    <row r="32">
      <c r="A32" s="440" t="str">
        <f>'MSW37'!A32</f>
        <v>2. DB CHEST FLY</v>
      </c>
      <c r="B32" s="53"/>
      <c r="C32" s="53"/>
      <c r="D32" s="53"/>
      <c r="E32" s="53"/>
      <c r="F32" s="54"/>
      <c r="G32" s="419" t="str">
        <f>'MSW37'!G32</f>
        <v/>
      </c>
      <c r="H32" s="504" t="str">
        <f>'MSW37'!H32</f>
        <v>2. MACHINE CHEST FLY</v>
      </c>
      <c r="I32" s="53"/>
      <c r="J32" s="53"/>
      <c r="K32" s="53"/>
      <c r="L32" s="53"/>
      <c r="M32" s="54"/>
    </row>
    <row r="33">
      <c r="A33" s="226" t="str">
        <f>'MSW37'!A33</f>
        <v>DB INCL PRSS MAX</v>
      </c>
      <c r="B33" s="691" t="str">
        <f>'WEEK 12'!B34</f>
        <v/>
      </c>
      <c r="C33" s="13"/>
      <c r="D33" s="13"/>
      <c r="E33" s="13"/>
      <c r="F33" s="57"/>
      <c r="H33" s="226" t="str">
        <f>'MSW37'!H33</f>
        <v>DB INCL PRSS MAX</v>
      </c>
      <c r="I33" s="548" t="str">
        <f>'MSW37'!I33</f>
        <v/>
      </c>
      <c r="J33" s="13"/>
      <c r="K33" s="13"/>
      <c r="L33" s="13"/>
      <c r="M33" s="57"/>
    </row>
    <row r="34">
      <c r="A34" s="743" t="str">
        <f>'MSW37'!A34</f>
        <v>SET</v>
      </c>
      <c r="B34" s="744" t="str">
        <f>'MSW37'!B34</f>
        <v>WEIGHT</v>
      </c>
      <c r="C34" s="744" t="str">
        <f>'MSW37'!C34</f>
        <v>REPS</v>
      </c>
      <c r="D34" s="744" t="str">
        <f>'MSW37'!D34</f>
        <v>REST</v>
      </c>
      <c r="E34" s="745" t="str">
        <f>'MSW37'!E34</f>
        <v>PREVIOUS</v>
      </c>
      <c r="F34" s="746" t="str">
        <f>'MSW37'!F34</f>
        <v>REP LOG</v>
      </c>
      <c r="H34" s="96" t="str">
        <f>'MSW37'!H34</f>
        <v>SET</v>
      </c>
      <c r="I34" s="97" t="str">
        <f>'MSW37'!I34</f>
        <v>WEIGHT</v>
      </c>
      <c r="J34" s="97" t="str">
        <f>'MSW37'!J34</f>
        <v>REPS</v>
      </c>
      <c r="K34" s="97" t="str">
        <f>'MSW37'!K34</f>
        <v>REST</v>
      </c>
      <c r="L34" s="341" t="str">
        <f>'MSW37'!L34</f>
        <v>PREVIOUS</v>
      </c>
      <c r="M34" s="235" t="str">
        <f>'MSW37'!M34</f>
        <v>REP LOG</v>
      </c>
    </row>
    <row r="35">
      <c r="A35" s="725">
        <f>'MSW37'!A35</f>
        <v>1</v>
      </c>
      <c r="B35" s="254">
        <f>'MSW37'!B35</f>
        <v>0</v>
      </c>
      <c r="C35" s="344">
        <f>'MSW37'!C35</f>
        <v>15</v>
      </c>
      <c r="D35" s="343" t="str">
        <f>'MSW37'!D35</f>
        <v>1 MIN</v>
      </c>
      <c r="E35" s="66" t="str">
        <f>'MSW37'!E35</f>
        <v/>
      </c>
      <c r="F35" s="85" t="str">
        <f>'MSW37'!F35</f>
        <v/>
      </c>
      <c r="H35" s="240">
        <f>'MSW37'!H35</f>
        <v>1</v>
      </c>
      <c r="I35" s="254">
        <f>'MSW37'!I35</f>
        <v>0</v>
      </c>
      <c r="J35" s="241">
        <f>'MSW37'!J35</f>
        <v>15</v>
      </c>
      <c r="K35" s="83" t="str">
        <f>'MSW37'!K35</f>
        <v>1 MIN</v>
      </c>
      <c r="L35" s="66" t="str">
        <f>'MSW37'!L35</f>
        <v/>
      </c>
      <c r="M35" s="85" t="str">
        <f>'MSW37'!M35</f>
        <v/>
      </c>
    </row>
    <row r="36">
      <c r="A36" s="747">
        <f>'MSW37'!A36</f>
        <v>2</v>
      </c>
      <c r="B36" s="662">
        <f>'MSW37'!B36</f>
        <v>0</v>
      </c>
      <c r="C36" s="813">
        <f>'MSW37'!C36</f>
        <v>15</v>
      </c>
      <c r="D36" s="486" t="str">
        <f>'MSW37'!D36</f>
        <v>1 MIN</v>
      </c>
      <c r="E36" s="72" t="str">
        <f>'MSW37'!E36</f>
        <v/>
      </c>
      <c r="F36" s="85" t="str">
        <f>'MSW37'!F36</f>
        <v/>
      </c>
      <c r="H36" s="661">
        <f>'MSW37'!H36</f>
        <v>2</v>
      </c>
      <c r="I36" s="662">
        <f>'MSW37'!I36</f>
        <v>0</v>
      </c>
      <c r="J36" s="662">
        <f>'MSW37'!J36</f>
        <v>15</v>
      </c>
      <c r="K36" s="88" t="str">
        <f>'MSW37'!K36</f>
        <v>1 MIN</v>
      </c>
      <c r="L36" s="72" t="str">
        <f>'MSW37'!L36</f>
        <v/>
      </c>
      <c r="M36" s="85" t="str">
        <f>'MSW37'!M36</f>
        <v/>
      </c>
    </row>
    <row r="37">
      <c r="A37" t="str">
        <f>'MSW37'!A37</f>
        <v/>
      </c>
      <c r="G37" t="str">
        <f>'MSW37'!G37</f>
        <v/>
      </c>
    </row>
    <row r="39">
      <c r="A39" s="73" t="str">
        <f>'MSW37'!A39</f>
        <v>3. LAT PULL DOWN</v>
      </c>
      <c r="B39" s="53"/>
      <c r="C39" s="53"/>
      <c r="D39" s="53"/>
      <c r="E39" s="53"/>
      <c r="F39" s="54"/>
    </row>
    <row r="40">
      <c r="A40" s="226" t="str">
        <f>'MSW37'!A40</f>
        <v>CURRENT MAX</v>
      </c>
      <c r="B40" s="227">
        <f>'MSW37'!B40</f>
        <v>235</v>
      </c>
      <c r="C40" s="20"/>
      <c r="D40" s="20"/>
      <c r="E40" s="20"/>
      <c r="F40" s="95"/>
    </row>
    <row r="41">
      <c r="A41" s="231" t="str">
        <f>'MSW37'!A41</f>
        <v>SET</v>
      </c>
      <c r="B41" s="232" t="str">
        <f>'MSW37'!B41</f>
        <v>WEIGHT</v>
      </c>
      <c r="C41" s="232" t="str">
        <f>'MSW37'!C41</f>
        <v>REPS</v>
      </c>
      <c r="D41" s="232" t="str">
        <f>'MSW37'!D41</f>
        <v>REST</v>
      </c>
      <c r="E41" s="233" t="str">
        <f>'MSW37'!E41</f>
        <v>PREVIOUS</v>
      </c>
      <c r="F41" s="286" t="str">
        <f>'MSW37'!F41</f>
        <v>REP LOG</v>
      </c>
    </row>
    <row r="42">
      <c r="A42" s="236">
        <f>'MSW37'!A42</f>
        <v>1</v>
      </c>
      <c r="B42" s="237">
        <f>'MSW37'!B42</f>
        <v>80</v>
      </c>
      <c r="C42" s="238">
        <f>'MSW37'!C42</f>
        <v>6</v>
      </c>
      <c r="D42" s="238" t="str">
        <f>'MSW37'!D42</f>
        <v>30s</v>
      </c>
      <c r="E42" s="66" t="str">
        <f>'MSW37'!E42</f>
        <v/>
      </c>
      <c r="F42" s="67" t="str">
        <f>'MSW37'!F42</f>
        <v/>
      </c>
    </row>
    <row r="43">
      <c r="A43" s="236">
        <f>'MSW37'!A43</f>
        <v>2</v>
      </c>
      <c r="B43" s="237">
        <f>'MSW37'!B43</f>
        <v>155</v>
      </c>
      <c r="C43" s="238">
        <f>'MSW37'!C43</f>
        <v>3</v>
      </c>
      <c r="D43" s="238" t="str">
        <f>'MSW37'!D43</f>
        <v>1-2 MIN</v>
      </c>
      <c r="E43" s="66" t="str">
        <f>'MSW37'!E43</f>
        <v/>
      </c>
      <c r="F43" s="67" t="str">
        <f>'MSW37'!F43</f>
        <v/>
      </c>
    </row>
    <row r="44">
      <c r="A44" s="242">
        <f>'MSW37'!A44</f>
        <v>3</v>
      </c>
      <c r="B44" s="237">
        <f>'MSW37'!B44</f>
        <v>210</v>
      </c>
      <c r="C44" s="63">
        <f>'MSW37'!C44</f>
        <v>2</v>
      </c>
      <c r="D44" s="238" t="str">
        <f>'MSW37'!D44</f>
        <v>1-2 MIN</v>
      </c>
      <c r="E44" s="66" t="str">
        <f>'MSW37'!E44</f>
        <v/>
      </c>
      <c r="F44" s="67" t="str">
        <f>'MSW37'!F44</f>
        <v/>
      </c>
    </row>
    <row r="45">
      <c r="A45" s="243">
        <f>'MSW37'!A45</f>
        <v>4</v>
      </c>
      <c r="B45" s="237">
        <f>'MSW37'!B45</f>
        <v>235</v>
      </c>
      <c r="C45" s="257">
        <f>'MSW37'!C45</f>
        <v>3</v>
      </c>
      <c r="D45" s="238" t="str">
        <f>'MSW37'!D45</f>
        <v>1-5 MIN</v>
      </c>
      <c r="E45" s="66" t="str">
        <f>'MSW37'!E45</f>
        <v/>
      </c>
      <c r="F45" s="665" t="str">
        <f>'MSW37'!F45</f>
        <v/>
      </c>
    </row>
    <row r="46">
      <c r="A46" s="246" t="str">
        <f>'MSW37'!A46</f>
        <v>PROCEED TO DOWN SETS</v>
      </c>
      <c r="B46" s="20"/>
      <c r="C46" s="20"/>
      <c r="D46" s="20"/>
      <c r="E46" s="20"/>
      <c r="F46" s="20"/>
    </row>
    <row r="47">
      <c r="A47" s="249" t="str">
        <f>'MSW37'!A47</f>
        <v/>
      </c>
      <c r="B47" s="175" t="str">
        <f>'MSW37'!B47</f>
        <v/>
      </c>
      <c r="C47" s="238" t="str">
        <f>'MSW37'!C47</f>
        <v/>
      </c>
      <c r="D47" s="238" t="str">
        <f>'MSW37'!D47</f>
        <v/>
      </c>
      <c r="E47" s="250" t="str">
        <f>'MSW37'!E47</f>
        <v/>
      </c>
      <c r="F47" s="271" t="str">
        <f>'MSW37'!F47</f>
        <v/>
      </c>
    </row>
    <row r="48">
      <c r="A48" s="256" t="str">
        <f>'MSW37'!A48</f>
        <v/>
      </c>
      <c r="B48" s="237" t="str">
        <f>'MSW37'!B48</f>
        <v/>
      </c>
      <c r="C48" s="257" t="str">
        <f>'MSW37'!C48</f>
        <v/>
      </c>
      <c r="D48" s="257" t="str">
        <f>'MSW37'!D48</f>
        <v/>
      </c>
      <c r="E48" s="258" t="str">
        <f>'MSW37'!E48</f>
        <v/>
      </c>
      <c r="F48" s="665" t="str">
        <f>'MSW37'!F48</f>
        <v/>
      </c>
    </row>
    <row r="49">
      <c r="A49" s="246" t="str">
        <f>'MSW37'!A49</f>
        <v>FILL OUT REP LOG FOR DOWN SETS</v>
      </c>
      <c r="B49" s="20"/>
      <c r="C49" s="20"/>
      <c r="D49" s="20"/>
      <c r="E49" s="20"/>
      <c r="F49" s="20"/>
    </row>
    <row r="50">
      <c r="A50" s="264" t="str">
        <f>'MSW37'!A50</f>
        <v/>
      </c>
      <c r="B50" s="265">
        <f>'MSW37'!B50</f>
        <v>0</v>
      </c>
      <c r="C50" s="266" t="str">
        <f>'MSW37'!C50</f>
        <v>REP OUT</v>
      </c>
      <c r="D50" s="267" t="str">
        <f>'MSW37'!D50</f>
        <v>1-3 MIN</v>
      </c>
      <c r="E50" s="268" t="str">
        <f>'MSW37'!E50</f>
        <v/>
      </c>
      <c r="F50" s="271" t="str">
        <f>'MSW37'!F50</f>
        <v/>
      </c>
    </row>
    <row r="51">
      <c r="A51" s="243" t="str">
        <f>'MSW37'!A51</f>
        <v/>
      </c>
      <c r="B51" s="237">
        <f>'MSW37'!B51</f>
        <v>0</v>
      </c>
      <c r="C51" s="245" t="str">
        <f>'MSW37'!C51</f>
        <v>REP OUT</v>
      </c>
      <c r="D51" s="65" t="str">
        <f>'MSW37'!D51</f>
        <v>1-3 MIN</v>
      </c>
      <c r="E51" s="258" t="str">
        <f>'MSW37'!E51</f>
        <v/>
      </c>
      <c r="F51" s="271" t="str">
        <f>'MSW37'!F51</f>
        <v/>
      </c>
    </row>
    <row r="52">
      <c r="A52" s="272" t="str">
        <f>'MSW37'!A52</f>
        <v>FINAL MAX</v>
      </c>
      <c r="B52" s="273" t="str">
        <f>'MSW37'!B52</f>
        <v/>
      </c>
      <c r="C52" s="11"/>
      <c r="D52" s="11"/>
      <c r="E52" s="11"/>
      <c r="F52" s="46"/>
    </row>
    <row r="53">
      <c r="A53" s="302" t="str">
        <f>'MSW37'!A53</f>
        <v/>
      </c>
    </row>
    <row r="55">
      <c r="A55" s="73" t="str">
        <f>'MSW37'!A55</f>
        <v>4. MACHINE LOW ROW</v>
      </c>
      <c r="B55" s="53"/>
      <c r="C55" s="53"/>
      <c r="D55" s="53"/>
      <c r="E55" s="53"/>
      <c r="F55" s="53"/>
    </row>
    <row r="56">
      <c r="A56" s="282" t="str">
        <f>'MSW37'!A56</f>
        <v>CURRENT MAX</v>
      </c>
      <c r="B56" s="56">
        <f>'MSW37'!B56</f>
        <v>220</v>
      </c>
      <c r="C56" s="13"/>
      <c r="D56" s="13"/>
      <c r="E56" s="13"/>
      <c r="F56" s="13"/>
    </row>
    <row r="57">
      <c r="A57" s="58" t="str">
        <f>'MSW37'!A57</f>
        <v>SET</v>
      </c>
      <c r="B57" s="59" t="str">
        <f>'MSW37'!B57</f>
        <v>WEIGHT</v>
      </c>
      <c r="C57" s="59" t="str">
        <f>'MSW37'!C57</f>
        <v>REPS</v>
      </c>
      <c r="D57" s="59" t="str">
        <f>'MSW37'!D57</f>
        <v>REST</v>
      </c>
      <c r="E57" s="584" t="str">
        <f>'MSW37'!E57</f>
        <v>PREVIOUS</v>
      </c>
      <c r="F57" s="286" t="str">
        <f>'MSW37'!F57</f>
        <v>REP LOG</v>
      </c>
    </row>
    <row r="58">
      <c r="A58" s="62">
        <f>'MSW37'!A58</f>
        <v>1</v>
      </c>
      <c r="B58" s="63">
        <f>'MSW37'!B58</f>
        <v>200</v>
      </c>
      <c r="C58" s="104" t="str">
        <f>'MSW37'!C58</f>
        <v>REP OUT</v>
      </c>
      <c r="D58" s="65" t="str">
        <f>'MSW37'!D58</f>
        <v>1 MIN</v>
      </c>
      <c r="E58" s="66" t="str">
        <f>'MSW37'!E58</f>
        <v/>
      </c>
      <c r="F58" s="67" t="str">
        <f>'MSW37'!F58</f>
        <v/>
      </c>
    </row>
    <row r="59">
      <c r="A59" s="62">
        <f>'MSW37'!A59</f>
        <v>2</v>
      </c>
      <c r="B59" s="63">
        <f>'MSW37'!B59</f>
        <v>175</v>
      </c>
      <c r="C59" s="104" t="str">
        <f>'MSW37'!C59</f>
        <v>REP OUT</v>
      </c>
      <c r="D59" s="65" t="str">
        <f>'MSW37'!D59</f>
        <v>1 MIN</v>
      </c>
      <c r="E59" s="66" t="str">
        <f>'MSW37'!E59</f>
        <v/>
      </c>
      <c r="F59" s="67" t="str">
        <f>'MSW37'!F59</f>
        <v/>
      </c>
    </row>
    <row r="60">
      <c r="A60" s="68">
        <f>'MSW37'!A60</f>
        <v>3</v>
      </c>
      <c r="B60" s="69">
        <f>'MSW37'!B60</f>
        <v>150</v>
      </c>
      <c r="C60" s="105" t="str">
        <f>'MSW37'!C60</f>
        <v>REP OUT</v>
      </c>
      <c r="D60" s="71" t="str">
        <f>'MSW37'!D60</f>
        <v>1 MIN</v>
      </c>
      <c r="E60" s="72" t="str">
        <f>'MSW37'!E60</f>
        <v/>
      </c>
      <c r="F60" s="67" t="str">
        <f>'MSW37'!F60</f>
        <v/>
      </c>
    </row>
    <row r="61">
      <c r="A61" s="103" t="str">
        <f>'MSW37'!A61</f>
        <v/>
      </c>
    </row>
    <row r="63">
      <c r="A63" s="73" t="str">
        <f>'MSW37'!A63</f>
        <v>5. MACHINE HIGH ROW</v>
      </c>
      <c r="B63" s="53"/>
      <c r="C63" s="53"/>
      <c r="D63" s="53"/>
      <c r="E63" s="53"/>
      <c r="F63" s="53"/>
    </row>
    <row r="64">
      <c r="A64" s="282" t="str">
        <f>'MSW37'!A64</f>
        <v>CURRENT MAX</v>
      </c>
      <c r="B64" s="56">
        <f>'MSW37'!B64</f>
        <v>205</v>
      </c>
      <c r="C64" s="13"/>
      <c r="D64" s="13"/>
      <c r="E64" s="13"/>
      <c r="F64" s="13"/>
    </row>
    <row r="65">
      <c r="A65" s="58" t="str">
        <f>'MSW37'!A65</f>
        <v>SET</v>
      </c>
      <c r="B65" s="59" t="str">
        <f>'MSW37'!B65</f>
        <v>WEIGHT</v>
      </c>
      <c r="C65" s="59" t="str">
        <f>'MSW37'!C65</f>
        <v>REPS</v>
      </c>
      <c r="D65" s="59" t="str">
        <f>'MSW37'!D65</f>
        <v>REST</v>
      </c>
      <c r="E65" s="584" t="str">
        <f>'MSW37'!E65</f>
        <v>PREVIOUS</v>
      </c>
      <c r="F65" s="286" t="str">
        <f>'MSW37'!F65</f>
        <v>REP LOG</v>
      </c>
    </row>
    <row r="66">
      <c r="A66" s="62">
        <f>'MSW37'!A66</f>
        <v>1</v>
      </c>
      <c r="B66" s="63">
        <f>'MSW37'!B66</f>
        <v>175</v>
      </c>
      <c r="C66" s="104" t="str">
        <f>'MSW37'!C66</f>
        <v>REP OUT</v>
      </c>
      <c r="D66" s="65" t="str">
        <f>'MSW37'!D66</f>
        <v>1 MIN</v>
      </c>
      <c r="E66" s="66" t="str">
        <f>'MSW37'!E66</f>
        <v/>
      </c>
      <c r="F66" s="67" t="str">
        <f>'MSW37'!F66</f>
        <v/>
      </c>
    </row>
    <row r="67">
      <c r="A67" s="62">
        <f>'MSW37'!A67</f>
        <v>2</v>
      </c>
      <c r="B67" s="63">
        <f>'MSW37'!B67</f>
        <v>145</v>
      </c>
      <c r="C67" s="104" t="str">
        <f>'MSW37'!C67</f>
        <v>REP OUT</v>
      </c>
      <c r="D67" s="65" t="str">
        <f>'MSW37'!D67</f>
        <v>1 MIN</v>
      </c>
      <c r="E67" s="66" t="str">
        <f>'MSW37'!E67</f>
        <v/>
      </c>
      <c r="F67" s="67" t="str">
        <f>'MSW37'!F67</f>
        <v/>
      </c>
    </row>
    <row r="68">
      <c r="A68" s="68">
        <f>'MSW37'!A68</f>
        <v>3</v>
      </c>
      <c r="B68" s="87">
        <f>'MSW37'!B68</f>
        <v>115</v>
      </c>
      <c r="C68" s="105" t="str">
        <f>'MSW37'!C68</f>
        <v>REP OUT</v>
      </c>
      <c r="D68" s="309" t="str">
        <f>'MSW37'!D68</f>
        <v>1 MIN</v>
      </c>
      <c r="E68" s="72" t="str">
        <f>'MSW37'!E68</f>
        <v/>
      </c>
      <c r="F68" s="67" t="str">
        <f>'MSW37'!F68</f>
        <v/>
      </c>
    </row>
    <row r="69">
      <c r="A69" t="str">
        <f>'MSW37'!A69</f>
        <v/>
      </c>
    </row>
    <row r="71">
      <c r="A71" s="310" t="str">
        <f>'MSW37'!A71</f>
        <v>CLICK TO COMPLETE WORKOUT</v>
      </c>
      <c r="B71" s="36"/>
      <c r="C71" s="36"/>
      <c r="D71" s="36"/>
      <c r="E71" s="36"/>
      <c r="F71" s="37"/>
    </row>
    <row r="72">
      <c r="A72" t="str">
        <f>'MSW37'!A72</f>
        <v/>
      </c>
      <c r="B72" t="str">
        <f>'MSW37'!B72</f>
        <v/>
      </c>
      <c r="C72" t="str">
        <f>'MSW37'!C72</f>
        <v/>
      </c>
      <c r="D72" t="str">
        <f>'MSW37'!D72</f>
        <v/>
      </c>
      <c r="E72" t="str">
        <f>'MSW37'!E72</f>
        <v/>
      </c>
      <c r="F72" t="str">
        <f>'MSW37'!F72</f>
        <v/>
      </c>
    </row>
    <row r="73">
      <c r="A73" s="224" t="str">
        <f>'MSW37'!A73</f>
        <v>DAY 2 </v>
      </c>
      <c r="B73" s="36"/>
      <c r="C73" s="36"/>
      <c r="D73" s="36"/>
      <c r="E73" s="36"/>
      <c r="F73" s="37"/>
    </row>
    <row r="74">
      <c r="A74" t="str">
        <f>'MSW37'!A74</f>
        <v/>
      </c>
    </row>
    <row r="76">
      <c r="A76" s="1355" t="str">
        <f>'MSW37'!A76</f>
        <v>1. MACHINE SQUAT</v>
      </c>
      <c r="B76" s="53"/>
      <c r="C76" s="53"/>
      <c r="D76" s="53"/>
      <c r="E76" s="53"/>
      <c r="F76" s="54"/>
    </row>
    <row r="77">
      <c r="A77" s="961" t="str">
        <f>'MSW37'!A77</f>
        <v>8 REP MAX</v>
      </c>
      <c r="B77" s="1035">
        <f>'MSW37'!B77</f>
        <v>25</v>
      </c>
      <c r="C77" s="13"/>
      <c r="D77" s="13"/>
      <c r="E77" s="13"/>
      <c r="F77" s="57"/>
    </row>
    <row r="78">
      <c r="A78" s="231" t="str">
        <f>'MSW37'!A78</f>
        <v>SET</v>
      </c>
      <c r="B78" s="232" t="str">
        <f>'MSW37'!B78</f>
        <v>WEIGHT</v>
      </c>
      <c r="C78" s="232" t="str">
        <f>'MSW37'!C78</f>
        <v>REPS</v>
      </c>
      <c r="D78" s="232" t="str">
        <f>'MSW37'!D78</f>
        <v>REST</v>
      </c>
      <c r="E78" s="1073" t="str">
        <f>'MSW37'!E78</f>
        <v>PREVIOUS</v>
      </c>
      <c r="F78" s="1006" t="str">
        <f>'MSW37'!F78</f>
        <v>REP LOG</v>
      </c>
    </row>
    <row r="79">
      <c r="A79" s="236">
        <f>'MSW37'!A79</f>
        <v>1</v>
      </c>
      <c r="B79" s="237">
        <f>'MSW37'!B79</f>
        <v>10</v>
      </c>
      <c r="C79" s="238">
        <f>'MSW37'!C79</f>
        <v>10</v>
      </c>
      <c r="D79" s="238" t="str">
        <f>'MSW37'!D79</f>
        <v>30s</v>
      </c>
      <c r="E79" s="1130" t="str">
        <f>'MSW37'!E79</f>
        <v/>
      </c>
      <c r="F79" s="1131"/>
    </row>
    <row r="80">
      <c r="A80" s="236">
        <f>'MSW37'!A80</f>
        <v>2</v>
      </c>
      <c r="B80" s="237">
        <f>'MSW37'!B80</f>
        <v>15</v>
      </c>
      <c r="C80" s="238">
        <f>'MSW37'!C80</f>
        <v>10</v>
      </c>
      <c r="D80" s="238" t="str">
        <f>'MSW37'!D80</f>
        <v>1-2 MIN</v>
      </c>
      <c r="E80" s="1130" t="str">
        <f>'MSW37'!E80</f>
        <v/>
      </c>
      <c r="F80" s="1113"/>
    </row>
    <row r="81">
      <c r="A81" s="242">
        <f>'MSW37'!A81</f>
        <v>3</v>
      </c>
      <c r="B81" s="237">
        <f>'MSW37'!B81</f>
        <v>25</v>
      </c>
      <c r="C81" s="238">
        <f>'MSW37'!C81</f>
        <v>10</v>
      </c>
      <c r="D81" s="238" t="str">
        <f>'MSW37'!D81</f>
        <v>1-2 MIN</v>
      </c>
      <c r="E81" s="1130" t="str">
        <f>'MSW37'!E81</f>
        <v/>
      </c>
      <c r="F81" s="1113"/>
    </row>
    <row r="82">
      <c r="A82" s="249">
        <f>'MSW37'!A82</f>
        <v>4</v>
      </c>
      <c r="B82" s="175">
        <f>'MSW37'!B82</f>
        <v>20</v>
      </c>
      <c r="C82" s="238">
        <f>'MSW37'!C82</f>
        <v>10</v>
      </c>
      <c r="D82" s="238" t="str">
        <f>'MSW37'!D82</f>
        <v>1-5 MIN</v>
      </c>
      <c r="E82" s="1130" t="str">
        <f>'MSW37'!E82</f>
        <v/>
      </c>
      <c r="F82" s="1113"/>
    </row>
    <row r="83">
      <c r="A83" s="249">
        <f>'MSW37'!A83</f>
        <v>5</v>
      </c>
      <c r="B83" s="175">
        <f>'MSW37'!B83</f>
        <v>15</v>
      </c>
      <c r="C83" s="238">
        <f>'MSW37'!C83</f>
        <v>10</v>
      </c>
      <c r="D83" s="238" t="str">
        <f>'MSW37'!D83</f>
        <v>1-5 MIN</v>
      </c>
      <c r="E83" s="1130" t="str">
        <f>'MSW37'!E83</f>
        <v/>
      </c>
      <c r="F83" s="1113"/>
    </row>
    <row r="84">
      <c r="A84" s="249">
        <f>'MSW37'!A84</f>
        <v>6</v>
      </c>
      <c r="B84" s="175">
        <f>'MSW37'!B84</f>
        <v>10</v>
      </c>
      <c r="C84" s="238">
        <f>'MSW37'!C84</f>
        <v>10</v>
      </c>
      <c r="D84" s="238" t="str">
        <f>'MSW37'!D84</f>
        <v>1-5 MIN</v>
      </c>
      <c r="E84" s="1130" t="str">
        <f>'MSW37'!E84</f>
        <v/>
      </c>
      <c r="F84" s="1113"/>
    </row>
    <row r="85">
      <c r="A85" s="1038">
        <f>'MSW37'!A85</f>
        <v>7</v>
      </c>
      <c r="B85" s="175">
        <f>'MSW37'!B85</f>
        <v>10</v>
      </c>
      <c r="C85" s="238">
        <f>'MSW37'!C85</f>
        <v>10</v>
      </c>
      <c r="D85" s="238" t="str">
        <f>'MSW37'!D85</f>
        <v>1-5 MIN</v>
      </c>
      <c r="E85" s="1130" t="str">
        <f>'MSW37'!E85</f>
        <v/>
      </c>
      <c r="F85" s="1357"/>
    </row>
    <row r="86">
      <c r="A86" s="249">
        <f>'MSW37'!A86</f>
        <v>8</v>
      </c>
      <c r="B86" s="175">
        <f>'MSW37'!B86</f>
        <v>10</v>
      </c>
      <c r="C86" s="238">
        <f>'MSW37'!C86</f>
        <v>10</v>
      </c>
      <c r="D86" s="238" t="str">
        <f>'MSW37'!D86</f>
        <v>1-5 MIN</v>
      </c>
      <c r="E86" s="1130" t="str">
        <f>'MSW37'!E86</f>
        <v/>
      </c>
      <c r="F86" s="1359"/>
    </row>
    <row r="87">
      <c r="A87" s="1038">
        <f>'MSW37'!A87</f>
        <v>9</v>
      </c>
      <c r="B87" s="175">
        <f>'MSW37'!B87</f>
        <v>10</v>
      </c>
      <c r="C87" s="238">
        <f>'MSW37'!C87</f>
        <v>10</v>
      </c>
      <c r="D87" s="238" t="str">
        <f>'MSW37'!D87</f>
        <v>1-5 MIN</v>
      </c>
      <c r="E87" s="1130" t="str">
        <f>'MSW37'!E87</f>
        <v/>
      </c>
      <c r="F87" s="1359"/>
    </row>
    <row r="88">
      <c r="A88" s="272" t="str">
        <f>'MSW37'!A88</f>
        <v>6 REP MAX</v>
      </c>
      <c r="B88" s="1109">
        <f>'MSW37'!B88</f>
        <v>25</v>
      </c>
      <c r="C88" s="11"/>
      <c r="D88" s="11"/>
      <c r="E88" s="11"/>
      <c r="F88" s="46"/>
    </row>
    <row r="89">
      <c r="A89" t="str">
        <f>'MSW37'!A89</f>
        <v/>
      </c>
    </row>
    <row r="91">
      <c r="A91" s="1044" t="str">
        <f>'MSW37'!A91</f>
        <v>2. LEG EXTENSION</v>
      </c>
      <c r="B91" s="13"/>
      <c r="C91" s="13"/>
      <c r="D91" s="13"/>
      <c r="E91" s="13"/>
      <c r="F91" s="57"/>
    </row>
    <row r="92">
      <c r="A92" s="1045" t="str">
        <f>'MSW37'!A92</f>
        <v>CURRENT MAX</v>
      </c>
      <c r="B92" s="1046">
        <f>'MSW37'!B92</f>
        <v>135</v>
      </c>
      <c r="C92" s="13"/>
      <c r="D92" s="13"/>
      <c r="E92" s="13"/>
      <c r="F92" s="57"/>
    </row>
    <row r="93">
      <c r="A93" s="567" t="str">
        <f>'MSW37'!A93</f>
        <v>SET</v>
      </c>
      <c r="B93" s="568" t="str">
        <f>'MSW37'!B93</f>
        <v>WEIGHT</v>
      </c>
      <c r="C93" s="568" t="str">
        <f>'MSW37'!C93</f>
        <v>REPS</v>
      </c>
      <c r="D93" s="568" t="str">
        <f>'MSW37'!D93</f>
        <v>REST</v>
      </c>
      <c r="E93" s="1047" t="str">
        <f>'MSW37'!E93</f>
        <v>PREVIOUS</v>
      </c>
      <c r="F93" s="1048" t="str">
        <f>'MSW37'!F93</f>
        <v>REP LOG</v>
      </c>
    </row>
    <row r="94">
      <c r="A94" s="1049">
        <f>'MSW37'!A94</f>
        <v>1</v>
      </c>
      <c r="B94" s="1050">
        <f>'MSW37'!B94</f>
        <v>135</v>
      </c>
      <c r="C94" s="1051" t="str">
        <f>'MSW37'!C94</f>
        <v>10 - 20</v>
      </c>
      <c r="D94" s="1052" t="str">
        <f>'MSW37'!D94</f>
        <v>1 MIN</v>
      </c>
      <c r="E94" s="1130" t="str">
        <f>'MSW37'!E94</f>
        <v/>
      </c>
      <c r="F94" s="1011"/>
    </row>
    <row r="95">
      <c r="A95" s="1049">
        <f>'MSW37'!A95</f>
        <v>2</v>
      </c>
      <c r="B95" s="1050">
        <f>'MSW37'!B95</f>
        <v>110</v>
      </c>
      <c r="C95" s="1051" t="str">
        <f>'MSW37'!C95</f>
        <v>10 - 20</v>
      </c>
      <c r="D95" s="1052" t="str">
        <f>'MSW37'!D95</f>
        <v>1 MIN</v>
      </c>
      <c r="E95" s="1130" t="str">
        <f>'MSW37'!E95</f>
        <v/>
      </c>
      <c r="F95" s="1011"/>
    </row>
    <row r="96">
      <c r="A96" s="1053">
        <f>'MSW37'!A96</f>
        <v>3</v>
      </c>
      <c r="B96" s="1054">
        <f>'MSW37'!B96</f>
        <v>90</v>
      </c>
      <c r="C96" s="1055" t="str">
        <f>'MSW37'!C96</f>
        <v>10 - 20</v>
      </c>
      <c r="D96" s="1056" t="str">
        <f>'MSW37'!D96</f>
        <v>1 MIN</v>
      </c>
      <c r="E96" s="1348" t="str">
        <f>'MSW37'!E96</f>
        <v/>
      </c>
      <c r="F96" s="1011"/>
    </row>
    <row r="97">
      <c r="A97" t="str">
        <f>'MSW37'!A97</f>
        <v/>
      </c>
    </row>
    <row r="99">
      <c r="A99" s="323" t="str">
        <f>'MSW37'!A99</f>
        <v>3. MACHINE LEG CURL</v>
      </c>
      <c r="B99" s="53"/>
      <c r="C99" s="53"/>
      <c r="D99" s="53"/>
      <c r="E99" s="53"/>
      <c r="F99" s="54"/>
      <c r="G99" s="141" t="str">
        <f>'MSW37'!G99</f>
        <v/>
      </c>
      <c r="H99" s="323" t="str">
        <f>'MSW37'!H99</f>
        <v>3. PRONE LEG CURL</v>
      </c>
      <c r="I99" s="53"/>
      <c r="J99" s="53"/>
      <c r="K99" s="53"/>
      <c r="L99" s="53"/>
      <c r="M99" s="54"/>
    </row>
    <row r="100">
      <c r="A100" s="1045" t="str">
        <f>'MSW37'!A100</f>
        <v>CURRENT MAX</v>
      </c>
      <c r="B100" s="1046">
        <f>'MSW37'!B100</f>
        <v>130</v>
      </c>
      <c r="C100" s="13"/>
      <c r="D100" s="13"/>
      <c r="E100" s="13"/>
      <c r="F100" s="57"/>
      <c r="H100" s="1045" t="str">
        <f>'MSW37'!H100</f>
        <v>CURRENT MAX</v>
      </c>
      <c r="I100" s="1046">
        <f>'MSW37'!I100</f>
        <v>130</v>
      </c>
      <c r="J100" s="13"/>
      <c r="K100" s="13"/>
      <c r="L100" s="13"/>
      <c r="M100" s="57"/>
    </row>
    <row r="101">
      <c r="A101" s="567" t="str">
        <f>'MSW37'!A101</f>
        <v>SET</v>
      </c>
      <c r="B101" s="568" t="str">
        <f>'MSW37'!B101</f>
        <v>WEIGHT</v>
      </c>
      <c r="C101" s="568" t="str">
        <f>'MSW37'!C101</f>
        <v>REPS</v>
      </c>
      <c r="D101" s="568" t="str">
        <f>'MSW37'!D101</f>
        <v>REST</v>
      </c>
      <c r="E101" s="1047" t="str">
        <f>'MSW37'!E101</f>
        <v>PREVIOUS</v>
      </c>
      <c r="F101" s="1048" t="str">
        <f>'MSW37'!F101</f>
        <v>REP LOG</v>
      </c>
      <c r="H101" s="567" t="str">
        <f>'MSW37'!H101</f>
        <v>SET</v>
      </c>
      <c r="I101" s="568" t="str">
        <f>'MSW37'!I101</f>
        <v>WEIGHT</v>
      </c>
      <c r="J101" s="568" t="str">
        <f>'MSW37'!J101</f>
        <v>REPS</v>
      </c>
      <c r="K101" s="568" t="str">
        <f>'MSW37'!K101</f>
        <v>REST</v>
      </c>
      <c r="L101" s="1047" t="str">
        <f>'MSW37'!L101</f>
        <v>PREVIOUS</v>
      </c>
      <c r="M101" s="1048" t="str">
        <f>'MSW37'!M101</f>
        <v>REP LOG</v>
      </c>
    </row>
    <row r="102">
      <c r="A102" s="1049">
        <f>'MSW37'!A102</f>
        <v>1</v>
      </c>
      <c r="B102" s="1050">
        <f>'MSW37'!B102</f>
        <v>130</v>
      </c>
      <c r="C102" s="1051" t="str">
        <f>'MSW37'!C102</f>
        <v>10 - 20</v>
      </c>
      <c r="D102" s="1052" t="str">
        <f>'MSW37'!D102</f>
        <v>1 MIN</v>
      </c>
      <c r="E102" s="1130" t="str">
        <f>'MSW37'!E102</f>
        <v/>
      </c>
      <c r="F102" s="1011"/>
      <c r="G102" s="434" t="str">
        <f>'MSW37'!G102</f>
        <v>ALTERNATE</v>
      </c>
      <c r="H102" s="1049">
        <f>'MSW37'!H102</f>
        <v>1</v>
      </c>
      <c r="I102" s="1050">
        <f>'MSW37'!I102</f>
        <v>130</v>
      </c>
      <c r="J102" s="1051" t="str">
        <f>'MSW37'!J102</f>
        <v>10 - 20</v>
      </c>
      <c r="K102" s="1052" t="str">
        <f>'MSW37'!K102</f>
        <v>1 MIN</v>
      </c>
      <c r="L102" s="1130" t="str">
        <f>'MSW37'!L102</f>
        <v/>
      </c>
      <c r="M102" s="1017" t="str">
        <f>'MSW37'!M102</f>
        <v/>
      </c>
    </row>
    <row r="103">
      <c r="A103" s="1049">
        <f>'MSW37'!A103</f>
        <v>2</v>
      </c>
      <c r="B103" s="1050">
        <f>'MSW37'!B103</f>
        <v>105</v>
      </c>
      <c r="C103" s="1051" t="str">
        <f>'MSW37'!C103</f>
        <v>10 - 20</v>
      </c>
      <c r="D103" s="1052" t="str">
        <f>'MSW37'!D103</f>
        <v>1 MIN</v>
      </c>
      <c r="E103" s="1130" t="str">
        <f>'MSW37'!E103</f>
        <v/>
      </c>
      <c r="F103" s="1011"/>
      <c r="H103" s="1049">
        <f>'MSW37'!H103</f>
        <v>2</v>
      </c>
      <c r="I103" s="1050">
        <f>'MSW37'!I103</f>
        <v>105</v>
      </c>
      <c r="J103" s="1051" t="str">
        <f>'MSW37'!J103</f>
        <v>10 - 20</v>
      </c>
      <c r="K103" s="1052" t="str">
        <f>'MSW37'!K103</f>
        <v>1 MIN</v>
      </c>
      <c r="L103" s="1130" t="str">
        <f>'MSW37'!L103</f>
        <v/>
      </c>
      <c r="M103" s="1017" t="str">
        <f>'MSW37'!M103</f>
        <v/>
      </c>
    </row>
    <row r="104">
      <c r="A104" s="1053">
        <f>'MSW37'!A104</f>
        <v>3</v>
      </c>
      <c r="B104" s="1054">
        <f>'MSW37'!B104</f>
        <v>85</v>
      </c>
      <c r="C104" s="1055" t="str">
        <f>'MSW37'!C104</f>
        <v>10 - 20</v>
      </c>
      <c r="D104" s="1056" t="str">
        <f>'MSW37'!D104</f>
        <v>1 MIN</v>
      </c>
      <c r="E104" s="1348" t="str">
        <f>'MSW37'!E104</f>
        <v/>
      </c>
      <c r="F104" s="1011"/>
      <c r="G104" s="682" t="str">
        <f>'MSW37'!G104</f>
        <v/>
      </c>
      <c r="H104" s="1053">
        <f>'MSW37'!H104</f>
        <v>3</v>
      </c>
      <c r="I104" s="1054">
        <f>'MSW37'!I104</f>
        <v>85</v>
      </c>
      <c r="J104" s="1055" t="str">
        <f>'MSW37'!J104</f>
        <v>10 - 20</v>
      </c>
      <c r="K104" s="1056" t="str">
        <f>'MSW37'!K104</f>
        <v>1 MIN</v>
      </c>
      <c r="L104" s="1348" t="str">
        <f>'MSW37'!L104</f>
        <v/>
      </c>
      <c r="M104" s="1017" t="str">
        <f>'MSW37'!M104</f>
        <v/>
      </c>
    </row>
    <row r="105">
      <c r="A105" s="849" t="str">
        <f>'MSW37'!A105</f>
        <v/>
      </c>
      <c r="G105" s="849" t="str">
        <f>'MSW37'!H105</f>
        <v/>
      </c>
    </row>
    <row r="107">
      <c r="A107" s="1120" t="str">
        <f>'MSW37'!A107</f>
        <v>DAY 3</v>
      </c>
      <c r="B107" s="36"/>
      <c r="C107" s="36"/>
      <c r="D107" s="36"/>
      <c r="E107" s="36"/>
      <c r="F107" s="37"/>
    </row>
    <row r="108">
      <c r="A108" t="str">
        <f>'MSW37'!A108</f>
        <v/>
      </c>
    </row>
    <row r="110">
      <c r="A110" s="44" t="str">
        <f>'MSW37'!A110</f>
        <v>SHOULDERS &amp; ARMS</v>
      </c>
      <c r="B110" s="36"/>
      <c r="C110" s="36"/>
      <c r="D110" s="36"/>
      <c r="E110" s="36"/>
      <c r="F110" s="37"/>
      <c r="G110" t="str">
        <f>'MSW37'!G110</f>
        <v/>
      </c>
      <c r="H110" s="44" t="str">
        <f>'MSW37'!H110</f>
        <v>SHOULDERS &amp; ARMS</v>
      </c>
      <c r="I110" s="36"/>
      <c r="J110" s="36"/>
      <c r="K110" s="36"/>
      <c r="L110" s="36"/>
      <c r="M110" s="37"/>
    </row>
    <row r="111">
      <c r="A111" s="112" t="str">
        <f>'MSW37'!A111</f>
        <v>1. SHOULDER PRESS</v>
      </c>
      <c r="B111" s="13"/>
      <c r="C111" s="13"/>
      <c r="D111" s="13"/>
      <c r="E111" s="13"/>
      <c r="F111" s="57"/>
      <c r="H111" s="1139" t="str">
        <f>'MSW37'!H111</f>
        <v>1. MACHINE SHOULDER PRESS</v>
      </c>
      <c r="I111" s="13"/>
      <c r="J111" s="13"/>
      <c r="K111" s="13"/>
      <c r="L111" s="13"/>
      <c r="M111" s="57"/>
    </row>
    <row r="112">
      <c r="A112" s="226" t="str">
        <f>'MSW37'!A112</f>
        <v>CURRENT MAX</v>
      </c>
      <c r="B112" s="227">
        <f>'MSW37'!B112</f>
        <v>80</v>
      </c>
      <c r="C112" s="20"/>
      <c r="D112" s="20"/>
      <c r="E112" s="20"/>
      <c r="F112" s="95"/>
      <c r="H112" s="226" t="str">
        <f>'MSW37'!H112</f>
        <v>CURRENT MAX</v>
      </c>
      <c r="I112" s="227" t="str">
        <f>'MSW37'!I112</f>
        <v/>
      </c>
      <c r="J112" s="20"/>
      <c r="K112" s="20"/>
      <c r="L112" s="20"/>
      <c r="M112" s="95"/>
    </row>
    <row r="113">
      <c r="A113" s="231" t="str">
        <f>'MSW37'!A113</f>
        <v>SET</v>
      </c>
      <c r="B113" s="232" t="str">
        <f>'MSW37'!B113</f>
        <v>WEIGHT</v>
      </c>
      <c r="C113" s="232" t="str">
        <f>'MSW37'!C113</f>
        <v>REPS</v>
      </c>
      <c r="D113" s="232" t="str">
        <f>'MSW37'!D113</f>
        <v>REST</v>
      </c>
      <c r="E113" s="233" t="str">
        <f>'MSW37'!E113</f>
        <v>PREVIOUS</v>
      </c>
      <c r="F113" s="61" t="str">
        <f>'MSW37'!F113</f>
        <v>REP LOG</v>
      </c>
      <c r="H113" s="231" t="str">
        <f>'MSW37'!H113</f>
        <v>SET</v>
      </c>
      <c r="I113" s="232" t="str">
        <f>'MSW37'!I113</f>
        <v>WEIGHT</v>
      </c>
      <c r="J113" s="232" t="str">
        <f>'MSW37'!J113</f>
        <v>REPS</v>
      </c>
      <c r="K113" s="232" t="str">
        <f>'MSW37'!K113</f>
        <v>REST</v>
      </c>
      <c r="L113" s="233" t="str">
        <f>'MSW37'!L113</f>
        <v>PREVIOUS</v>
      </c>
      <c r="M113" s="61" t="str">
        <f>'MSW37'!M113</f>
        <v>REP LOG</v>
      </c>
    </row>
    <row r="114">
      <c r="A114" s="1140">
        <f>'MSW37'!A114</f>
        <v>1</v>
      </c>
      <c r="B114" s="237">
        <f>'MSW37'!B114</f>
        <v>30</v>
      </c>
      <c r="C114" s="237">
        <f>'MSW37'!C114</f>
        <v>6</v>
      </c>
      <c r="D114" s="238" t="str">
        <f>'MSW37'!D114</f>
        <v>30s</v>
      </c>
      <c r="E114" s="84" t="str">
        <f>'MSW37'!E114</f>
        <v/>
      </c>
      <c r="F114" s="67"/>
      <c r="H114" s="1140">
        <f>'MSW37'!H114</f>
        <v>1</v>
      </c>
      <c r="I114" s="237">
        <f>'MSW37'!I114</f>
        <v>0</v>
      </c>
      <c r="J114" s="237">
        <f>'MSW37'!J114</f>
        <v>6</v>
      </c>
      <c r="K114" s="238" t="str">
        <f>'MSW37'!K114</f>
        <v>30s</v>
      </c>
      <c r="L114" s="84" t="str">
        <f>'MSW37'!L114</f>
        <v/>
      </c>
      <c r="M114" s="67" t="str">
        <f>'MSW37'!M114</f>
        <v/>
      </c>
    </row>
    <row r="115">
      <c r="A115" s="236">
        <f>'MSW37'!A115</f>
        <v>2</v>
      </c>
      <c r="B115" s="237">
        <f>'MSW37'!B115</f>
        <v>50</v>
      </c>
      <c r="C115" s="237">
        <f>'MSW37'!C115</f>
        <v>1</v>
      </c>
      <c r="D115" s="238" t="str">
        <f>'MSW37'!D115</f>
        <v>1-2 MIN</v>
      </c>
      <c r="E115" s="84" t="str">
        <f>'MSW37'!E115</f>
        <v/>
      </c>
      <c r="F115" s="67"/>
      <c r="H115" s="236">
        <f>'MSW37'!H115</f>
        <v>2</v>
      </c>
      <c r="I115" s="237">
        <f>'MSW37'!I115</f>
        <v>0</v>
      </c>
      <c r="J115" s="237">
        <f>'MSW37'!J115</f>
        <v>1</v>
      </c>
      <c r="K115" s="238" t="str">
        <f>'MSW37'!K115</f>
        <v>1-2 MIN</v>
      </c>
      <c r="L115" s="84" t="str">
        <f>'MSW37'!L115</f>
        <v/>
      </c>
      <c r="M115" s="67" t="str">
        <f>'MSW37'!M115</f>
        <v/>
      </c>
    </row>
    <row r="116">
      <c r="A116" s="242">
        <f>'MSW37'!A116</f>
        <v>3</v>
      </c>
      <c r="B116" s="237">
        <f>'MSW37'!B116</f>
        <v>70</v>
      </c>
      <c r="C116" s="82">
        <f>'MSW37'!C116</f>
        <v>1</v>
      </c>
      <c r="D116" s="238" t="str">
        <f>'MSW37'!D116</f>
        <v>1-2 MIN</v>
      </c>
      <c r="E116" s="84" t="str">
        <f>'MSW37'!E116</f>
        <v/>
      </c>
      <c r="F116" s="67"/>
      <c r="H116" s="242">
        <f>'MSW37'!H116</f>
        <v>3</v>
      </c>
      <c r="I116" s="237">
        <f>'MSW37'!I116</f>
        <v>0</v>
      </c>
      <c r="J116" s="82">
        <f>'MSW37'!J116</f>
        <v>1</v>
      </c>
      <c r="K116" s="238" t="str">
        <f>'MSW37'!K116</f>
        <v>1-2 MIN</v>
      </c>
      <c r="L116" s="84" t="str">
        <f>'MSW37'!L116</f>
        <v/>
      </c>
      <c r="M116" s="67" t="str">
        <f>'MSW37'!M116</f>
        <v/>
      </c>
    </row>
    <row r="117">
      <c r="A117" s="243">
        <f>'MSW37'!A117</f>
        <v>4</v>
      </c>
      <c r="B117" s="237">
        <f>'MSW37'!B117</f>
        <v>80</v>
      </c>
      <c r="C117" s="257">
        <f>'MSW37'!C117</f>
        <v>1</v>
      </c>
      <c r="D117" s="238" t="str">
        <f>'MSW37'!D117</f>
        <v>1-5 MIN</v>
      </c>
      <c r="E117" s="84" t="str">
        <f>'MSW37'!E117</f>
        <v/>
      </c>
      <c r="F117" s="67"/>
      <c r="H117" s="243">
        <f>'MSW37'!H117</f>
        <v>4</v>
      </c>
      <c r="I117" s="237" t="str">
        <f>'MSW37'!I117</f>
        <v/>
      </c>
      <c r="J117" s="257">
        <f>'MSW37'!J117</f>
        <v>1</v>
      </c>
      <c r="K117" s="238" t="str">
        <f>'MSW37'!K117</f>
        <v>1-5 MIN</v>
      </c>
      <c r="L117" s="84" t="str">
        <f>'MSW37'!L117</f>
        <v/>
      </c>
      <c r="M117" s="67" t="str">
        <f>'MSW37'!M117</f>
        <v/>
      </c>
    </row>
    <row r="118">
      <c r="A118" s="246" t="str">
        <f>'MSW37'!A118</f>
        <v>PROCEED TO DOWN SETS</v>
      </c>
      <c r="B118" s="20"/>
      <c r="C118" s="20"/>
      <c r="D118" s="20"/>
      <c r="E118" s="20"/>
      <c r="F118" s="95"/>
      <c r="H118" s="246" t="str">
        <f>'MSW37'!H118</f>
        <v>PROCEED TO DOWN SETS</v>
      </c>
      <c r="I118" s="20"/>
      <c r="J118" s="20"/>
      <c r="K118" s="20"/>
      <c r="L118" s="20"/>
      <c r="M118" s="95"/>
    </row>
    <row r="119">
      <c r="A119" s="249" t="str">
        <f>'MSW37'!A119</f>
        <v/>
      </c>
      <c r="B119" s="175" t="str">
        <f>'MSW37'!B119</f>
        <v/>
      </c>
      <c r="C119" s="238" t="str">
        <f>'MSW37'!C119</f>
        <v/>
      </c>
      <c r="D119" s="238" t="str">
        <f>'MSW37'!D119</f>
        <v/>
      </c>
      <c r="E119" s="84" t="str">
        <f>'MSW37'!E119</f>
        <v/>
      </c>
      <c r="F119" s="67"/>
      <c r="H119" s="249" t="str">
        <f>'MSW37'!H119</f>
        <v/>
      </c>
      <c r="I119" s="175" t="str">
        <f>'MSW37'!I119</f>
        <v/>
      </c>
      <c r="J119" s="238" t="str">
        <f>'MSW37'!J119</f>
        <v/>
      </c>
      <c r="K119" s="238" t="str">
        <f>'MSW37'!K119</f>
        <v/>
      </c>
      <c r="L119" s="84" t="str">
        <f>'MSW37'!L119</f>
        <v/>
      </c>
      <c r="M119" s="67" t="str">
        <f>'MSW37'!M119</f>
        <v/>
      </c>
    </row>
    <row r="120">
      <c r="A120" s="259" t="str">
        <f>'MSW37'!A120</f>
        <v/>
      </c>
      <c r="B120" s="175" t="str">
        <f>'MSW37'!B120</f>
        <v/>
      </c>
      <c r="C120" s="238" t="str">
        <f>'MSW37'!C120</f>
        <v/>
      </c>
      <c r="D120" s="238" t="str">
        <f>'MSW37'!D120</f>
        <v/>
      </c>
      <c r="E120" s="84" t="str">
        <f>'MSW37'!E120</f>
        <v/>
      </c>
      <c r="F120" s="67"/>
      <c r="H120" s="259" t="str">
        <f>'MSW37'!H120</f>
        <v/>
      </c>
      <c r="I120" s="175" t="str">
        <f>'MSW37'!I120</f>
        <v/>
      </c>
      <c r="J120" s="238" t="str">
        <f>'MSW37'!J120</f>
        <v/>
      </c>
      <c r="K120" s="238" t="str">
        <f>'MSW37'!K120</f>
        <v/>
      </c>
      <c r="L120" s="84" t="str">
        <f>'MSW37'!L120</f>
        <v/>
      </c>
      <c r="M120" s="67"/>
    </row>
    <row r="121">
      <c r="A121" s="246" t="str">
        <f>'MSW37'!A121</f>
        <v>DOWN SETS</v>
      </c>
      <c r="B121" s="20"/>
      <c r="C121" s="20"/>
      <c r="D121" s="20"/>
      <c r="E121" s="20"/>
      <c r="F121" s="95"/>
      <c r="H121" s="246" t="str">
        <f>'MSW37'!H121</f>
        <v>DOWN SETS</v>
      </c>
      <c r="I121" s="20"/>
      <c r="J121" s="20"/>
      <c r="K121" s="20"/>
      <c r="L121" s="20"/>
      <c r="M121" s="95"/>
    </row>
    <row r="122">
      <c r="A122" s="264" t="str">
        <f>'MSW37'!A122</f>
        <v/>
      </c>
      <c r="B122" s="265">
        <f>'MSW37'!B122</f>
        <v>0</v>
      </c>
      <c r="C122" s="266" t="str">
        <f>'MSW37'!C122</f>
        <v>REP OUT</v>
      </c>
      <c r="D122" s="267" t="str">
        <f>'MSW37'!D122</f>
        <v>1-3 MIN</v>
      </c>
      <c r="E122" s="84" t="str">
        <f>'MSW37'!E122</f>
        <v/>
      </c>
      <c r="F122" s="67"/>
      <c r="H122" s="264" t="str">
        <f>'MSW37'!H122</f>
        <v/>
      </c>
      <c r="I122" s="265">
        <f>'MSW37'!I122</f>
        <v>0</v>
      </c>
      <c r="J122" s="266" t="str">
        <f>'MSW37'!J122</f>
        <v>REP OUT</v>
      </c>
      <c r="K122" s="267" t="str">
        <f>'MSW37'!K122</f>
        <v>1-3 MIN</v>
      </c>
      <c r="L122" s="84" t="str">
        <f>'MSW37'!L122</f>
        <v/>
      </c>
      <c r="M122" s="67" t="str">
        <f>'MSW37'!M122</f>
        <v/>
      </c>
    </row>
    <row r="123">
      <c r="A123" s="243" t="str">
        <f>'MSW37'!A123</f>
        <v/>
      </c>
      <c r="B123" s="237">
        <f>'MSW37'!B123</f>
        <v>0</v>
      </c>
      <c r="C123" s="245" t="str">
        <f>'MSW37'!C123</f>
        <v>REP OUT</v>
      </c>
      <c r="D123" s="65" t="str">
        <f>'MSW37'!D123</f>
        <v>1-3 MIN</v>
      </c>
      <c r="E123" s="84" t="str">
        <f>'MSW37'!E123</f>
        <v/>
      </c>
      <c r="F123" s="271"/>
      <c r="H123" s="243" t="str">
        <f>'MSW37'!H123</f>
        <v/>
      </c>
      <c r="I123" s="237">
        <f>'MSW37'!I123</f>
        <v>0</v>
      </c>
      <c r="J123" s="245" t="str">
        <f>'MSW37'!J123</f>
        <v>REP OUT</v>
      </c>
      <c r="K123" s="65" t="str">
        <f>'MSW37'!K123</f>
        <v>1-3 MIN</v>
      </c>
      <c r="L123" s="84" t="str">
        <f>'MSW37'!L123</f>
        <v/>
      </c>
      <c r="M123" s="271" t="str">
        <f>'MSW37'!M123</f>
        <v/>
      </c>
    </row>
    <row r="124">
      <c r="A124" s="272" t="str">
        <f>'MSW37'!A124</f>
        <v>FINAL MAX</v>
      </c>
      <c r="B124" s="273" t="str">
        <f>'MSW37'!B124</f>
        <v/>
      </c>
      <c r="C124" s="11"/>
      <c r="D124" s="11"/>
      <c r="E124" s="11"/>
      <c r="F124" s="46"/>
      <c r="H124" s="272" t="str">
        <f>'MSW37'!H124</f>
        <v>FINAL MAX</v>
      </c>
      <c r="I124" s="273" t="str">
        <f>'MSW37'!I124</f>
        <v/>
      </c>
      <c r="J124" s="11"/>
      <c r="K124" s="11"/>
      <c r="L124" s="11"/>
      <c r="M124" s="46"/>
    </row>
    <row r="125">
      <c r="A125" s="623" t="str">
        <f>'MSW37'!A125</f>
        <v/>
      </c>
    </row>
    <row r="127">
      <c r="A127" s="1217" t="str">
        <f>'MSW37'!A127</f>
        <v>2.  CABLE HIGH PULLEY ROW</v>
      </c>
      <c r="B127" s="53"/>
      <c r="C127" s="53"/>
      <c r="D127" s="53"/>
      <c r="E127" s="53"/>
      <c r="F127" s="54"/>
      <c r="G127" t="str">
        <f>'MSW37'!G127</f>
        <v/>
      </c>
      <c r="H127" s="1217" t="str">
        <f>'MSW37'!H127</f>
        <v>2. MACHINE REAR DELT FLY</v>
      </c>
      <c r="I127" s="53"/>
      <c r="J127" s="53"/>
      <c r="K127" s="53"/>
      <c r="L127" s="53"/>
      <c r="M127" s="54"/>
    </row>
    <row r="128">
      <c r="A128" s="961" t="str">
        <f>'MSW37'!A128</f>
        <v>CURRENT MAX</v>
      </c>
      <c r="B128" s="76">
        <f>'MSW37'!B128</f>
        <v>150</v>
      </c>
      <c r="C128" s="13"/>
      <c r="D128" s="13"/>
      <c r="E128" s="13"/>
      <c r="F128" s="57"/>
      <c r="H128" s="961" t="str">
        <f>'MSW37'!H128</f>
        <v>CURRENT MAX</v>
      </c>
      <c r="I128" s="76" t="str">
        <f>'MSW37'!I128</f>
        <v/>
      </c>
      <c r="J128" s="13"/>
      <c r="K128" s="13"/>
      <c r="L128" s="13"/>
      <c r="M128" s="57"/>
    </row>
    <row r="129">
      <c r="A129" s="962" t="str">
        <f>'MSW37'!A129</f>
        <v>SET</v>
      </c>
      <c r="B129" s="963" t="str">
        <f>'MSW37'!B129</f>
        <v>WEIGHT</v>
      </c>
      <c r="C129" s="963" t="str">
        <f>'MSW37'!C129</f>
        <v>REPS</v>
      </c>
      <c r="D129" s="963" t="str">
        <f>'MSW37'!D129</f>
        <v>REST</v>
      </c>
      <c r="E129" s="1005" t="str">
        <f>'MSW37'!E129</f>
        <v>PREVIOUS</v>
      </c>
      <c r="F129" s="1006" t="str">
        <f>'MSW37'!F129</f>
        <v>REP LOG</v>
      </c>
      <c r="H129" s="962" t="str">
        <f>'MSW37'!H129</f>
        <v>SET</v>
      </c>
      <c r="I129" s="963" t="str">
        <f>'MSW37'!I129</f>
        <v>WEIGHT</v>
      </c>
      <c r="J129" s="963" t="str">
        <f>'MSW37'!J129</f>
        <v>REPS</v>
      </c>
      <c r="K129" s="963" t="str">
        <f>'MSW37'!K129</f>
        <v>REST</v>
      </c>
      <c r="L129" s="1005" t="str">
        <f>'MSW37'!L129</f>
        <v>PREVIOUS</v>
      </c>
      <c r="M129" s="1006" t="str">
        <f>'MSW37'!M129</f>
        <v>REP LOG</v>
      </c>
    </row>
    <row r="130">
      <c r="A130" s="967">
        <f>'MSW37'!A130</f>
        <v>1</v>
      </c>
      <c r="B130" s="1028">
        <f>'MSW37'!B130</f>
        <v>150</v>
      </c>
      <c r="C130" s="1067" t="str">
        <f>'MSW37'!C130</f>
        <v>6 - 15</v>
      </c>
      <c r="D130" s="1067" t="str">
        <f>'MSW37'!D130</f>
        <v>1MIN</v>
      </c>
      <c r="E130" s="1010" t="str">
        <f>'MSW37'!E130</f>
        <v/>
      </c>
      <c r="F130" s="1011"/>
      <c r="H130" s="967">
        <f>'MSW37'!H130</f>
        <v>1</v>
      </c>
      <c r="I130" s="1028">
        <f>'MSW37'!I130</f>
        <v>0</v>
      </c>
      <c r="J130" s="1067" t="str">
        <f>'MSW37'!J130</f>
        <v>6 - 15</v>
      </c>
      <c r="K130" s="1067" t="str">
        <f>'MSW37'!K130</f>
        <v>1-2 MIN</v>
      </c>
      <c r="L130" s="1010" t="str">
        <f>'MSW37'!L130</f>
        <v/>
      </c>
      <c r="M130" s="1017" t="str">
        <f>'MSW37'!M130</f>
        <v/>
      </c>
    </row>
    <row r="131">
      <c r="A131" s="967">
        <f>'MSW37'!A131</f>
        <v>2</v>
      </c>
      <c r="B131" s="1028">
        <f>'MSW37'!B131</f>
        <v>120</v>
      </c>
      <c r="C131" s="1067" t="str">
        <f>'MSW37'!C131</f>
        <v>6 - 15</v>
      </c>
      <c r="D131" s="1067" t="str">
        <f>'MSW37'!D131</f>
        <v>1MIN</v>
      </c>
      <c r="E131" s="1010" t="str">
        <f>'MSW37'!E131</f>
        <v/>
      </c>
      <c r="F131" s="1011"/>
      <c r="H131" s="967">
        <f>'MSW37'!H131</f>
        <v>2</v>
      </c>
      <c r="I131" s="1028">
        <f>'MSW37'!I131</f>
        <v>0</v>
      </c>
      <c r="J131" s="1067" t="str">
        <f>'MSW37'!J131</f>
        <v>6 - 15</v>
      </c>
      <c r="K131" s="1067" t="str">
        <f>'MSW37'!K131</f>
        <v>1-2 MIN</v>
      </c>
      <c r="L131" s="1010" t="str">
        <f>'MSW37'!L131</f>
        <v/>
      </c>
      <c r="M131" s="1017" t="str">
        <f>'MSW37'!M131</f>
        <v/>
      </c>
    </row>
    <row r="132">
      <c r="A132" s="971">
        <f>'MSW37'!A132</f>
        <v>3</v>
      </c>
      <c r="B132" s="1123">
        <f>'MSW37'!B132</f>
        <v>95</v>
      </c>
      <c r="C132" s="1220" t="str">
        <f>'MSW37'!C132</f>
        <v>6 - 15</v>
      </c>
      <c r="D132" s="1220" t="str">
        <f>'MSW37'!D132</f>
        <v>1MIN</v>
      </c>
      <c r="E132" s="1021" t="str">
        <f>'MSW37'!E132</f>
        <v/>
      </c>
      <c r="F132" s="1017" t="str">
        <f>'MSW37'!F132</f>
        <v/>
      </c>
      <c r="H132" s="971">
        <f>'MSW37'!H132</f>
        <v>3</v>
      </c>
      <c r="I132" s="1123">
        <f>'MSW37'!I132</f>
        <v>0</v>
      </c>
      <c r="J132" s="1220" t="str">
        <f>'MSW37'!J132</f>
        <v>6 - 15</v>
      </c>
      <c r="K132" s="1220" t="str">
        <f>'MSW37'!K132</f>
        <v>1-2 MIN</v>
      </c>
      <c r="L132" s="1021" t="str">
        <f>'MSW37'!L132</f>
        <v/>
      </c>
      <c r="M132" s="1017" t="str">
        <f>'MSW37'!M132</f>
        <v/>
      </c>
    </row>
    <row r="133">
      <c r="A133" s="1068" t="str">
        <f>'MSW37'!A133</f>
        <v/>
      </c>
    </row>
    <row r="135">
      <c r="A135" s="1217" t="str">
        <f>'MSW37'!A135</f>
        <v>3. DUMBBELL SIDE LATERAL RAISE</v>
      </c>
      <c r="B135" s="53"/>
      <c r="C135" s="53"/>
      <c r="D135" s="53"/>
      <c r="E135" s="53"/>
      <c r="F135" s="54"/>
      <c r="G135" t="str">
        <f>'MSW37'!G135</f>
        <v/>
      </c>
    </row>
    <row r="136">
      <c r="A136" s="1268" t="s">
        <v>240</v>
      </c>
      <c r="B136" s="76" t="str">
        <f>'MSW37'!B136</f>
        <v/>
      </c>
      <c r="C136" s="13"/>
      <c r="D136" s="13"/>
      <c r="E136" s="13"/>
      <c r="F136" s="57"/>
    </row>
    <row r="137">
      <c r="A137" s="1071" t="str">
        <f>'MSW37'!A137</f>
        <v>SET</v>
      </c>
      <c r="B137" s="1072" t="str">
        <f>'MSW37'!B137</f>
        <v>WEIGHT</v>
      </c>
      <c r="C137" s="1072" t="str">
        <f>'MSW37'!C137</f>
        <v>REPS</v>
      </c>
      <c r="D137" s="1072" t="str">
        <f>'MSW37'!D137</f>
        <v>REST</v>
      </c>
      <c r="E137" s="1073" t="str">
        <f>'MSW37'!E137</f>
        <v>PREVIOUS</v>
      </c>
      <c r="F137" s="1006" t="str">
        <f>'MSW37'!F137</f>
        <v>REP LOG</v>
      </c>
    </row>
    <row r="138">
      <c r="A138" s="387">
        <f>'MSW37'!A138</f>
        <v>1</v>
      </c>
      <c r="B138" s="388">
        <f>'MSW37'!B138</f>
        <v>0</v>
      </c>
      <c r="C138" s="1360" t="str">
        <f>'MSW37'!C138</f>
        <v>10 - 15</v>
      </c>
      <c r="D138" s="1361" t="str">
        <f>'MSW37'!D138</f>
        <v>1 MIN</v>
      </c>
      <c r="E138" s="1362" t="str">
        <f>'MSW37'!E138</f>
        <v/>
      </c>
      <c r="F138" s="85"/>
    </row>
    <row r="139">
      <c r="A139" s="387">
        <f>'MSW37'!A139</f>
        <v>2</v>
      </c>
      <c r="B139" s="388">
        <f>'MSW37'!B139</f>
        <v>0</v>
      </c>
      <c r="C139" s="1360" t="str">
        <f>'MSW37'!C139</f>
        <v>10 - 15</v>
      </c>
      <c r="D139" s="1361" t="str">
        <f>'MSW37'!D139</f>
        <v>1 MIN</v>
      </c>
      <c r="E139" s="1362" t="str">
        <f>'MSW37'!E139</f>
        <v/>
      </c>
      <c r="F139" s="85"/>
    </row>
    <row r="140">
      <c r="A140" s="394">
        <f>'MSW37'!A140</f>
        <v>3</v>
      </c>
      <c r="B140" s="395">
        <f>'MSW37'!B140</f>
        <v>0</v>
      </c>
      <c r="C140" s="1363" t="str">
        <f>'MSW37'!C140</f>
        <v>10 - 15</v>
      </c>
      <c r="D140" s="1364" t="str">
        <f>'MSW37'!D140</f>
        <v>1 MIN</v>
      </c>
      <c r="E140" s="1365" t="str">
        <f>'MSW37'!E140</f>
        <v/>
      </c>
      <c r="F140" s="85" t="str">
        <f>'MSW37'!F140</f>
        <v/>
      </c>
    </row>
    <row r="141">
      <c r="A141" t="str">
        <f>'MSW37'!A141</f>
        <v/>
      </c>
    </row>
    <row r="143">
      <c r="A143" s="361" t="str">
        <f>'MSW37'!A143</f>
        <v>2.  TRICEP OVERHEAD ROPE EXTENSION</v>
      </c>
      <c r="B143" s="53"/>
      <c r="C143" s="53"/>
      <c r="D143" s="53"/>
      <c r="E143" s="53"/>
      <c r="F143" s="54"/>
    </row>
    <row r="144">
      <c r="A144" s="670" t="str">
        <f>'MSW37'!A144</f>
        <v>CURRENT MAX</v>
      </c>
      <c r="B144" s="1366">
        <f>'MSW37'!B144</f>
        <v>40</v>
      </c>
      <c r="C144" s="20"/>
      <c r="D144" s="20"/>
      <c r="E144" s="20"/>
      <c r="F144" s="95"/>
    </row>
    <row r="145">
      <c r="A145" s="1071" t="str">
        <f>'MSW37'!A145</f>
        <v>SET</v>
      </c>
      <c r="B145" s="1072" t="str">
        <f>'MSW37'!B145</f>
        <v>WEIGHT</v>
      </c>
      <c r="C145" s="1072" t="str">
        <f>'MSW37'!C145</f>
        <v>REPS</v>
      </c>
      <c r="D145" s="1072" t="str">
        <f>'MSW37'!D145</f>
        <v>REST</v>
      </c>
      <c r="E145" s="1073" t="str">
        <f>'MSW37'!E145</f>
        <v>PREVIOUS</v>
      </c>
      <c r="F145" s="1003" t="str">
        <f>'MSW37'!F145</f>
        <v>REP LOG</v>
      </c>
    </row>
    <row r="146">
      <c r="A146" s="387">
        <f>'MSW37'!A146</f>
        <v>1</v>
      </c>
      <c r="B146" s="388">
        <f>'MSW37'!B146</f>
        <v>40</v>
      </c>
      <c r="C146" s="1360" t="str">
        <f>'MSW37'!C146</f>
        <v>6 - 15</v>
      </c>
      <c r="D146" s="1361" t="str">
        <f>'MSW37'!D146</f>
        <v>1MIN</v>
      </c>
      <c r="E146" s="1362" t="str">
        <f>'MSW37'!E146</f>
        <v/>
      </c>
      <c r="F146" s="85"/>
    </row>
    <row r="147">
      <c r="A147" s="387">
        <f>'MSW37'!A147</f>
        <v>2</v>
      </c>
      <c r="B147" s="388">
        <f>'MSW37'!B147</f>
        <v>30</v>
      </c>
      <c r="C147" s="1360" t="str">
        <f>'MSW37'!C147</f>
        <v>6 - 15</v>
      </c>
      <c r="D147" s="1361" t="str">
        <f>'MSW37'!D147</f>
        <v>1MIN</v>
      </c>
      <c r="E147" s="1362" t="str">
        <f>'MSW37'!E147</f>
        <v/>
      </c>
      <c r="F147" s="85"/>
    </row>
    <row r="148">
      <c r="A148" s="394">
        <f>'MSW37'!A148</f>
        <v>3</v>
      </c>
      <c r="B148" s="395">
        <f>'MSW37'!B148</f>
        <v>25</v>
      </c>
      <c r="C148" s="1363" t="str">
        <f>'MSW37'!C148</f>
        <v>6 - 15</v>
      </c>
      <c r="D148" s="1364" t="str">
        <f>'MSW37'!D148</f>
        <v>1MIN</v>
      </c>
      <c r="E148" s="1365" t="str">
        <f>'MSW37'!E148</f>
        <v/>
      </c>
      <c r="F148" s="85"/>
    </row>
    <row r="149">
      <c r="A149" t="str">
        <f>'MSW37'!A149</f>
        <v/>
      </c>
    </row>
    <row r="151">
      <c r="A151" s="361" t="str">
        <f>'MSW37'!A151</f>
        <v>4. BICEP EZ BAR CURL</v>
      </c>
      <c r="B151" s="53"/>
      <c r="C151" s="53"/>
      <c r="D151" s="53"/>
      <c r="E151" s="53"/>
      <c r="F151" s="54"/>
    </row>
    <row r="152">
      <c r="A152" s="670" t="str">
        <f>'MSW37'!A152</f>
        <v>CURRENT MAX</v>
      </c>
      <c r="B152" s="1366">
        <f>'MSW37'!B152</f>
        <v>95</v>
      </c>
      <c r="C152" s="20"/>
      <c r="D152" s="20"/>
      <c r="E152" s="20"/>
      <c r="F152" s="95"/>
    </row>
    <row r="153">
      <c r="A153" s="1071" t="str">
        <f>'MSW37'!A153</f>
        <v>SET</v>
      </c>
      <c r="B153" s="1072" t="str">
        <f>'MSW37'!B153</f>
        <v>WEIGHT</v>
      </c>
      <c r="C153" s="1072" t="str">
        <f>'MSW37'!C153</f>
        <v>REPS</v>
      </c>
      <c r="D153" s="1072" t="str">
        <f>'MSW37'!D153</f>
        <v>REST</v>
      </c>
      <c r="E153" s="1073" t="str">
        <f>'MSW37'!E153</f>
        <v>PREVIOUS</v>
      </c>
      <c r="F153" s="1003" t="str">
        <f>'MSW37'!F153</f>
        <v>REP LOG</v>
      </c>
    </row>
    <row r="154">
      <c r="A154" s="387">
        <f>'MSW37'!A154</f>
        <v>1</v>
      </c>
      <c r="B154" s="388">
        <f>'MSW37'!B154</f>
        <v>95</v>
      </c>
      <c r="C154" s="1360" t="str">
        <f>'MSW37'!C154</f>
        <v>6 - 12</v>
      </c>
      <c r="D154" s="1361" t="str">
        <f>'MSW37'!D154</f>
        <v>1-3 MIN</v>
      </c>
      <c r="E154" s="1362" t="str">
        <f>'MSW37'!E154</f>
        <v/>
      </c>
      <c r="F154" s="85"/>
    </row>
    <row r="155">
      <c r="A155" s="387">
        <f>'MSW37'!A155</f>
        <v>2</v>
      </c>
      <c r="B155" s="388">
        <f>'MSW37'!B155</f>
        <v>70</v>
      </c>
      <c r="C155" s="1360" t="str">
        <f>'MSW37'!C155</f>
        <v>6 - 12</v>
      </c>
      <c r="D155" s="1361" t="str">
        <f>'MSW37'!D155</f>
        <v>1-3 MIN</v>
      </c>
      <c r="E155" s="1362" t="str">
        <f>'MSW37'!E155</f>
        <v/>
      </c>
      <c r="F155" s="85"/>
    </row>
    <row r="156">
      <c r="A156" s="394">
        <f>'MSW37'!A156</f>
        <v>3</v>
      </c>
      <c r="B156" s="395">
        <f>'MSW37'!B156</f>
        <v>55</v>
      </c>
      <c r="C156" s="1363" t="str">
        <f>'MSW37'!C156</f>
        <v>6 - 12</v>
      </c>
      <c r="D156" s="1364" t="str">
        <f>'MSW37'!D156</f>
        <v>1-3 MIN</v>
      </c>
      <c r="E156" s="1365" t="str">
        <f>'MSW37'!E156</f>
        <v/>
      </c>
      <c r="F156" s="85"/>
    </row>
    <row r="157">
      <c r="A157" t="str">
        <f>'MSW37'!A157</f>
        <v/>
      </c>
    </row>
    <row r="159">
      <c r="A159" s="1149" t="str">
        <f>'MSW37'!A159</f>
        <v>WORKOUT COMPLETE!</v>
      </c>
      <c r="B159" s="36"/>
      <c r="C159" s="36"/>
      <c r="D159" s="36"/>
      <c r="E159" s="36"/>
      <c r="F159" s="37"/>
    </row>
    <row r="160">
      <c r="A160" s="623" t="str">
        <f>'MSW37'!A160</f>
        <v/>
      </c>
      <c r="B160" s="623" t="str">
        <f>'MSW37'!B160</f>
        <v/>
      </c>
      <c r="C160" s="623" t="str">
        <f>'MSW37'!C160</f>
        <v/>
      </c>
      <c r="D160" s="623" t="str">
        <f>'MSW37'!D160</f>
        <v/>
      </c>
      <c r="E160" s="1274" t="str">
        <f>'MSW37'!E160</f>
        <v/>
      </c>
      <c r="F160" s="623" t="str">
        <f>'MSW37'!F160</f>
        <v/>
      </c>
    </row>
    <row r="161">
      <c r="A161" s="1275" t="str">
        <f>'MSW37'!A161</f>
        <v>WANT TO LEARN MORE?</v>
      </c>
      <c r="B161" s="25"/>
      <c r="C161" s="25"/>
      <c r="D161" s="25"/>
      <c r="E161" s="25"/>
      <c r="F161" s="26"/>
    </row>
    <row r="162">
      <c r="A162" s="529"/>
      <c r="F162" s="28"/>
    </row>
    <row r="163">
      <c r="A163" s="1276" t="str">
        <f>'MSW37'!A163</f>
        <v/>
      </c>
      <c r="B163" s="999" t="str">
        <f>'MSW37'!B163</f>
        <v/>
      </c>
      <c r="C163" s="1150" t="str">
        <f>'MSW37'!C163</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63" s="28"/>
    </row>
    <row r="164">
      <c r="A164" s="1276" t="str">
        <f>'MSW37'!A164</f>
        <v/>
      </c>
      <c r="B164" s="999" t="str">
        <f>'MSW37'!B164</f>
        <v/>
      </c>
      <c r="F164" s="28"/>
    </row>
    <row r="165">
      <c r="A165" s="1276" t="str">
        <f>'MSW37'!A165</f>
        <v/>
      </c>
      <c r="B165" s="999" t="str">
        <f>'MSW37'!B165</f>
        <v/>
      </c>
      <c r="F165" s="28"/>
    </row>
    <row r="166">
      <c r="A166" s="1276" t="str">
        <f>'MSW37'!A166</f>
        <v/>
      </c>
      <c r="B166" s="999" t="str">
        <f>'MSW37'!B166</f>
        <v/>
      </c>
      <c r="F166" s="28"/>
    </row>
    <row r="167">
      <c r="A167" s="1276" t="str">
        <f>'MSW37'!A167</f>
        <v/>
      </c>
      <c r="B167" s="999" t="str">
        <f>'MSW37'!B167</f>
        <v/>
      </c>
      <c r="F167" s="28"/>
    </row>
    <row r="168">
      <c r="A168" s="1276" t="str">
        <f>'MSW37'!A168</f>
        <v/>
      </c>
      <c r="B168" s="999" t="str">
        <f>'MSW37'!B168</f>
        <v/>
      </c>
      <c r="F168" s="28"/>
    </row>
    <row r="169">
      <c r="A169" s="1277" t="str">
        <f>'MSW37'!A169</f>
        <v/>
      </c>
      <c r="B169" s="999" t="str">
        <f>'MSW37'!B169</f>
        <v/>
      </c>
      <c r="F169" s="28"/>
    </row>
    <row r="170">
      <c r="A170" s="1276" t="str">
        <f>'MSW37'!A170</f>
        <v/>
      </c>
      <c r="B170" s="999" t="str">
        <f>'MSW37'!B170</f>
        <v/>
      </c>
      <c r="F170" s="28"/>
    </row>
    <row r="171">
      <c r="A171" s="1276" t="str">
        <f>'MSW37'!A171</f>
        <v/>
      </c>
      <c r="B171" s="999" t="str">
        <f>'MSW37'!B171</f>
        <v/>
      </c>
      <c r="F171" s="28"/>
    </row>
    <row r="172">
      <c r="A172" s="1278" t="str">
        <f>'MSW37'!A172</f>
        <v/>
      </c>
      <c r="B172" s="999" t="str">
        <f>'MSW37'!B172</f>
        <v/>
      </c>
      <c r="F172" s="28"/>
    </row>
    <row r="173">
      <c r="A173" s="1276" t="str">
        <f>'MSW37'!A173</f>
        <v/>
      </c>
      <c r="B173" s="999" t="str">
        <f>'MSW37'!B173</f>
        <v/>
      </c>
      <c r="F173" s="28"/>
    </row>
    <row r="174">
      <c r="A174" s="1276" t="str">
        <f>'MSW37'!A174</f>
        <v/>
      </c>
      <c r="B174" s="999" t="str">
        <f>'MSW37'!B174</f>
        <v/>
      </c>
      <c r="F174" s="28"/>
    </row>
    <row r="175">
      <c r="A175" s="1276" t="str">
        <f>'MSW37'!A175</f>
        <v/>
      </c>
      <c r="B175" s="999" t="str">
        <f>'MSW37'!B175</f>
        <v/>
      </c>
      <c r="F175" s="28"/>
    </row>
    <row r="176">
      <c r="A176" s="1276" t="str">
        <f>'MSW37'!A176</f>
        <v/>
      </c>
      <c r="B176" s="999" t="str">
        <f>'MSW37'!B176</f>
        <v/>
      </c>
      <c r="F176" s="28"/>
    </row>
    <row r="177">
      <c r="A177" s="1279" t="str">
        <f>'MSW37'!A177</f>
        <v/>
      </c>
      <c r="B177" s="1280" t="str">
        <f>'MSW37'!B177</f>
        <v/>
      </c>
      <c r="C177" s="11"/>
      <c r="D177" s="11"/>
      <c r="E177" s="11"/>
      <c r="F177" s="46"/>
    </row>
  </sheetData>
  <mergeCells count="97">
    <mergeCell ref="A91:F91"/>
    <mergeCell ref="B92:F92"/>
    <mergeCell ref="A71:F71"/>
    <mergeCell ref="A73:F73"/>
    <mergeCell ref="A74:F75"/>
    <mergeCell ref="A76:F76"/>
    <mergeCell ref="B77:F77"/>
    <mergeCell ref="B88:F88"/>
    <mergeCell ref="A89:F90"/>
    <mergeCell ref="A12:F12"/>
    <mergeCell ref="A13:F13"/>
    <mergeCell ref="A15:F15"/>
    <mergeCell ref="A25:F25"/>
    <mergeCell ref="G12:M14"/>
    <mergeCell ref="H15:M15"/>
    <mergeCell ref="G18:G24"/>
    <mergeCell ref="H18:M18"/>
    <mergeCell ref="H19:M19"/>
    <mergeCell ref="I20:M20"/>
    <mergeCell ref="H25:M25"/>
    <mergeCell ref="H118:M118"/>
    <mergeCell ref="H121:M121"/>
    <mergeCell ref="G135:M177"/>
    <mergeCell ref="G37:M98"/>
    <mergeCell ref="H99:M99"/>
    <mergeCell ref="I100:M100"/>
    <mergeCell ref="G105:M109"/>
    <mergeCell ref="H110:M110"/>
    <mergeCell ref="H111:M111"/>
    <mergeCell ref="I112:M112"/>
    <mergeCell ref="A97:F98"/>
    <mergeCell ref="A99:F99"/>
    <mergeCell ref="G99:G101"/>
    <mergeCell ref="B100:F100"/>
    <mergeCell ref="G102:G103"/>
    <mergeCell ref="A105:F106"/>
    <mergeCell ref="A107:F107"/>
    <mergeCell ref="A108:F109"/>
    <mergeCell ref="A110:F110"/>
    <mergeCell ref="G110:G124"/>
    <mergeCell ref="A111:F111"/>
    <mergeCell ref="B112:F112"/>
    <mergeCell ref="A118:F118"/>
    <mergeCell ref="A121:F121"/>
    <mergeCell ref="A16:M17"/>
    <mergeCell ref="A18:F18"/>
    <mergeCell ref="A19:F19"/>
    <mergeCell ref="B20:F20"/>
    <mergeCell ref="A1:M8"/>
    <mergeCell ref="A9:F9"/>
    <mergeCell ref="G9:G11"/>
    <mergeCell ref="H9:M9"/>
    <mergeCell ref="A10:F11"/>
    <mergeCell ref="H10:M10"/>
    <mergeCell ref="A14:F14"/>
    <mergeCell ref="G25:G26"/>
    <mergeCell ref="G27:G29"/>
    <mergeCell ref="A30:M31"/>
    <mergeCell ref="A32:F32"/>
    <mergeCell ref="G32:G36"/>
    <mergeCell ref="H32:M32"/>
    <mergeCell ref="I33:M33"/>
    <mergeCell ref="B33:F33"/>
    <mergeCell ref="A37:F38"/>
    <mergeCell ref="A39:F39"/>
    <mergeCell ref="B40:F40"/>
    <mergeCell ref="A46:F46"/>
    <mergeCell ref="A49:F49"/>
    <mergeCell ref="B52:F52"/>
    <mergeCell ref="A53:F54"/>
    <mergeCell ref="A55:F55"/>
    <mergeCell ref="B56:F56"/>
    <mergeCell ref="A61:F62"/>
    <mergeCell ref="A63:F63"/>
    <mergeCell ref="B64:F64"/>
    <mergeCell ref="A69:F70"/>
    <mergeCell ref="B124:F124"/>
    <mergeCell ref="I124:M124"/>
    <mergeCell ref="A125:M126"/>
    <mergeCell ref="A127:F127"/>
    <mergeCell ref="H127:M127"/>
    <mergeCell ref="I128:M128"/>
    <mergeCell ref="B144:F144"/>
    <mergeCell ref="A149:F150"/>
    <mergeCell ref="A151:F151"/>
    <mergeCell ref="B152:F152"/>
    <mergeCell ref="A157:F158"/>
    <mergeCell ref="A159:F159"/>
    <mergeCell ref="A161:F162"/>
    <mergeCell ref="C163:F177"/>
    <mergeCell ref="G127:G132"/>
    <mergeCell ref="B128:F128"/>
    <mergeCell ref="A133:M134"/>
    <mergeCell ref="A135:F135"/>
    <mergeCell ref="B136:F136"/>
    <mergeCell ref="A141:F142"/>
    <mergeCell ref="A143:F143"/>
  </mergeCells>
  <dataValidations>
    <dataValidation type="decimal" allowBlank="1" showDropDown="1" showInputMessage="1" showErrorMessage="1" prompt="Enter a number between 0 and 30" sqref="F21:F24 M21:M24 F26:F29 M26:M29 F34:F36 M34:M36 F41:F45 F47:F48 F50:F51 F57:F60 F65:F68 F72 F78:F87 F93:F96 F101:F104 M101:M104 F113:F117 M113:M117 F119:F120 M119:M120 F122:F123 M122:M123 F129:F132 M129:M132 F137:F140 F145:F148 F153:F156 F160">
      <formula1>0.0</formula1>
      <formula2>30.0</formula2>
    </dataValidation>
    <dataValidation type="decimal" operator="greaterThan" allowBlank="1" showDropDown="1" showErrorMessage="1" sqref="M11">
      <formula1>0.0</formula1>
    </dataValidation>
  </dataValidations>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51" t="str">
        <f>'MSW14'!A1</f>
        <v/>
      </c>
    </row>
    <row r="8">
      <c r="A8" s="11"/>
      <c r="B8" s="11"/>
      <c r="C8" s="11"/>
      <c r="D8" s="11"/>
      <c r="E8" s="11"/>
      <c r="F8" s="11"/>
      <c r="G8" s="11"/>
      <c r="H8" s="11"/>
      <c r="I8" s="11"/>
      <c r="J8" s="11"/>
      <c r="K8" s="11"/>
      <c r="L8" s="11"/>
      <c r="M8" s="11"/>
      <c r="N8" s="11"/>
      <c r="O8" s="11"/>
      <c r="P8" s="11"/>
      <c r="Q8" s="11"/>
      <c r="R8" s="11"/>
      <c r="S8" s="11"/>
      <c r="T8" s="11"/>
    </row>
    <row r="9">
      <c r="A9" s="1305" t="str">
        <f>'MSW38'!A9</f>
        <v>Week 38</v>
      </c>
      <c r="B9" s="36"/>
      <c r="C9" s="36"/>
      <c r="D9" s="36"/>
      <c r="E9" s="36"/>
      <c r="F9" s="37"/>
      <c r="G9" s="1172" t="str">
        <f>'MSW38'!G9</f>
        <v/>
      </c>
      <c r="H9" s="24" t="s">
        <v>35</v>
      </c>
      <c r="I9" s="25"/>
      <c r="J9" s="25"/>
      <c r="K9" s="25"/>
      <c r="L9" s="25"/>
      <c r="M9" s="26"/>
      <c r="N9" s="1172"/>
    </row>
    <row r="10">
      <c r="A10" s="991" t="str">
        <f>'MSW38'!A10</f>
        <v>PRESS TO RECORD BODY WEIGHT</v>
      </c>
      <c r="F10" s="28"/>
      <c r="H10" s="27" t="s">
        <v>357</v>
      </c>
      <c r="M10" s="28"/>
    </row>
    <row r="11">
      <c r="A11" s="336"/>
      <c r="B11" s="11"/>
      <c r="C11" s="11"/>
      <c r="D11" s="11"/>
      <c r="E11" s="11"/>
      <c r="F11" s="46"/>
      <c r="H11" s="29" t="s">
        <v>358</v>
      </c>
      <c r="I11" s="30"/>
      <c r="J11" s="30"/>
      <c r="K11" s="30"/>
      <c r="L11" s="30"/>
      <c r="M11" s="31"/>
    </row>
    <row r="12">
      <c r="A12" s="992" t="str">
        <f>'MSW38'!A12</f>
        <v>This Weeks Goals</v>
      </c>
      <c r="B12" s="11"/>
      <c r="C12" s="11"/>
      <c r="D12" s="11"/>
      <c r="E12" s="11"/>
      <c r="F12" s="46"/>
      <c r="H12" s="1172"/>
    </row>
    <row r="13">
      <c r="A13" s="1128" t="str">
        <f>'MSW38'!A13</f>
        <v>This week you will be attempting new max weights as well as experiencing high reps on leg day. Stay focused and remember rest and recovery are key to your results. Good luck!</v>
      </c>
      <c r="B13" s="11"/>
      <c r="C13" s="11"/>
      <c r="D13" s="11"/>
      <c r="E13" s="11"/>
      <c r="F13" s="46"/>
    </row>
    <row r="14">
      <c r="A14" s="1152" t="str">
        <f>'MSW38'!A14</f>
        <v/>
      </c>
      <c r="B14" s="11"/>
      <c r="C14" s="11"/>
      <c r="D14" s="11"/>
      <c r="E14" s="11"/>
      <c r="F14" s="11"/>
    </row>
    <row r="15">
      <c r="A15" s="996" t="str">
        <f>'MSW38'!A15</f>
        <v>DAY 1 </v>
      </c>
      <c r="B15" s="11"/>
      <c r="C15" s="11"/>
      <c r="D15" s="11"/>
      <c r="E15" s="11"/>
      <c r="F15" s="46"/>
      <c r="H15" s="1098" t="str">
        <f>'MSW38'!H15</f>
        <v>ALTERNATE WORKOUTS</v>
      </c>
      <c r="I15" s="36"/>
      <c r="J15" s="36"/>
      <c r="K15" s="36"/>
      <c r="L15" s="36"/>
      <c r="M15" s="37"/>
      <c r="N15" s="1151" t="str">
        <f>'MSW38'!N15</f>
        <v/>
      </c>
    </row>
    <row r="16">
      <c r="A16" s="1172" t="str">
        <f>'MSW38'!A16</f>
        <v/>
      </c>
      <c r="H16" s="1172" t="str">
        <f>'MSW38'!H16</f>
        <v/>
      </c>
    </row>
    <row r="19">
      <c r="A19" s="51" t="str">
        <f>'MSW38'!A19</f>
        <v>CHEST &amp; BACK </v>
      </c>
      <c r="B19" s="36"/>
      <c r="C19" s="36"/>
      <c r="D19" s="36"/>
      <c r="E19" s="36"/>
      <c r="F19" s="37"/>
      <c r="G19" s="1151" t="str">
        <f>'MSW38'!G19</f>
        <v/>
      </c>
      <c r="H19" s="51" t="str">
        <f>'MSW38'!H19</f>
        <v>CHEST &amp; BACK </v>
      </c>
      <c r="I19" s="36"/>
      <c r="J19" s="36"/>
      <c r="K19" s="36"/>
      <c r="L19" s="36"/>
      <c r="M19" s="37"/>
      <c r="N19" s="141" t="str">
        <f>'MSW38'!N19</f>
        <v/>
      </c>
      <c r="O19" s="51" t="str">
        <f>'MSW38'!O19</f>
        <v>CHEST &amp; BACK </v>
      </c>
      <c r="P19" s="36"/>
      <c r="Q19" s="36"/>
      <c r="R19" s="36"/>
      <c r="S19" s="36"/>
      <c r="T19" s="37"/>
    </row>
    <row r="20">
      <c r="A20" s="225" t="str">
        <f>'MSW38'!A20</f>
        <v>1. BENCH PRESS</v>
      </c>
      <c r="B20" s="13"/>
      <c r="C20" s="13"/>
      <c r="D20" s="13"/>
      <c r="E20" s="13"/>
      <c r="F20" s="57"/>
      <c r="H20" s="52" t="str">
        <f>'MSW38'!H20</f>
        <v>1. DUMBBELL INCLINE PRESS</v>
      </c>
      <c r="I20" s="53"/>
      <c r="J20" s="53"/>
      <c r="K20" s="53"/>
      <c r="L20" s="53"/>
      <c r="M20" s="54"/>
      <c r="O20" s="52" t="str">
        <f>'MSW38'!O20</f>
        <v>1. MACHINE PRESS</v>
      </c>
      <c r="P20" s="53"/>
      <c r="Q20" s="53"/>
      <c r="R20" s="53"/>
      <c r="S20" s="53"/>
      <c r="T20" s="54"/>
    </row>
    <row r="21">
      <c r="A21" s="226" t="str">
        <f>'MSW38'!A21</f>
        <v>CURRENT MAX</v>
      </c>
      <c r="B21" s="227">
        <f>'MSW38'!B21</f>
        <v>260</v>
      </c>
      <c r="C21" s="20"/>
      <c r="D21" s="20"/>
      <c r="E21" s="20"/>
      <c r="F21" s="95"/>
      <c r="H21" s="228" t="str">
        <f>'MSW38'!H21</f>
        <v>CURRENT MAX</v>
      </c>
      <c r="I21" s="229">
        <f>'MSW38'!I21</f>
        <v>90</v>
      </c>
      <c r="J21" s="16"/>
      <c r="K21" s="16"/>
      <c r="L21" s="16"/>
      <c r="M21" s="230"/>
      <c r="O21" s="228" t="str">
        <f>'MSW38'!O21</f>
        <v>CURRENT MAX</v>
      </c>
      <c r="P21" s="229" t="str">
        <f>'MSW38'!P21</f>
        <v/>
      </c>
      <c r="Q21" s="16"/>
      <c r="R21" s="16"/>
      <c r="S21" s="16"/>
      <c r="T21" s="230"/>
    </row>
    <row r="22">
      <c r="A22" s="231" t="str">
        <f>'MSW38'!A22</f>
        <v>SET</v>
      </c>
      <c r="B22" s="232" t="str">
        <f>'MSW38'!B22</f>
        <v>WEIGHT</v>
      </c>
      <c r="C22" s="232" t="str">
        <f>'MSW38'!C22</f>
        <v>REPS</v>
      </c>
      <c r="D22" s="232" t="str">
        <f>'MSW38'!D22</f>
        <v>REST</v>
      </c>
      <c r="E22" s="233" t="str">
        <f>'MSW38'!E22</f>
        <v>PREVIOUS</v>
      </c>
      <c r="F22" s="61" t="str">
        <f>'MSW38'!F22</f>
        <v>REP LOG</v>
      </c>
      <c r="H22" s="96" t="str">
        <f>'MSW38'!H22</f>
        <v>SET</v>
      </c>
      <c r="I22" s="97" t="str">
        <f>'MSW38'!I22</f>
        <v>WEIGHT</v>
      </c>
      <c r="J22" s="97" t="str">
        <f>'MSW38'!J22</f>
        <v>REPS</v>
      </c>
      <c r="K22" s="97" t="str">
        <f>'MSW38'!K22</f>
        <v>REST</v>
      </c>
      <c r="L22" s="98" t="str">
        <f>'MSW38'!L22</f>
        <v>PREVIOUS</v>
      </c>
      <c r="M22" s="235" t="str">
        <f>'MSW38'!M22</f>
        <v>REP LOG</v>
      </c>
      <c r="O22" s="96" t="str">
        <f>'MSW38'!O22</f>
        <v>SET</v>
      </c>
      <c r="P22" s="97" t="str">
        <f>'MSW38'!P22</f>
        <v>WEIGHT</v>
      </c>
      <c r="Q22" s="97" t="str">
        <f>'MSW38'!Q22</f>
        <v>REPS</v>
      </c>
      <c r="R22" s="97" t="str">
        <f>'MSW38'!R22</f>
        <v>REST</v>
      </c>
      <c r="S22" s="98" t="str">
        <f>'MSW38'!S22</f>
        <v>PREVIOUS</v>
      </c>
      <c r="T22" s="235" t="str">
        <f>'MSW38'!T22</f>
        <v>REP LOG</v>
      </c>
    </row>
    <row r="23">
      <c r="A23" s="236">
        <f>'MSW38'!A23</f>
        <v>1</v>
      </c>
      <c r="B23" s="237">
        <f>'MSW38'!B23</f>
        <v>45</v>
      </c>
      <c r="C23" s="237">
        <f>'MSW38'!C23</f>
        <v>6</v>
      </c>
      <c r="D23" s="238" t="str">
        <f>'MSW38'!D23</f>
        <v>30s</v>
      </c>
      <c r="E23" s="66">
        <f>'MSW38'!E23</f>
        <v>6</v>
      </c>
      <c r="F23" s="67">
        <v>6.0</v>
      </c>
      <c r="H23" s="244">
        <f>'MSW38'!H23</f>
        <v>1</v>
      </c>
      <c r="I23" s="241">
        <f>'MSW38'!I23</f>
        <v>30</v>
      </c>
      <c r="J23" s="63">
        <f>'MSW38'!J23</f>
        <v>6</v>
      </c>
      <c r="K23" s="83" t="str">
        <f>'MSW38'!K23</f>
        <v>1-3 MIN</v>
      </c>
      <c r="L23" s="66" t="str">
        <f>'MSW38'!L23</f>
        <v/>
      </c>
      <c r="M23" s="85" t="str">
        <f>'MSW38'!M23</f>
        <v/>
      </c>
      <c r="O23" s="244">
        <f>'MSW38'!O23</f>
        <v>1</v>
      </c>
      <c r="P23" s="241">
        <f>'MSW38'!P23</f>
        <v>0</v>
      </c>
      <c r="Q23" s="63">
        <f>'MSW38'!Q23</f>
        <v>6</v>
      </c>
      <c r="R23" s="83" t="str">
        <f>'MSW38'!R23</f>
        <v>1-3 MIN</v>
      </c>
      <c r="S23" s="66" t="str">
        <f>'MSW38'!S23</f>
        <v/>
      </c>
      <c r="T23" s="85"/>
    </row>
    <row r="24">
      <c r="A24" s="236">
        <f>'MSW38'!A24</f>
        <v>2</v>
      </c>
      <c r="B24" s="237">
        <f>'MSW38'!B24</f>
        <v>210</v>
      </c>
      <c r="C24" s="237">
        <f>'MSW38'!C24</f>
        <v>1</v>
      </c>
      <c r="D24" s="238" t="str">
        <f>'MSW38'!D24</f>
        <v>1-2 MIN</v>
      </c>
      <c r="E24" s="66" t="str">
        <f>'MSW38'!E24</f>
        <v/>
      </c>
      <c r="F24" s="67">
        <v>1.0</v>
      </c>
      <c r="G24" s="1129" t="str">
        <f>'MSW38'!G24</f>
        <v>Alternate</v>
      </c>
      <c r="H24" s="240">
        <f>'MSW38'!H24</f>
        <v>2</v>
      </c>
      <c r="I24" s="241">
        <f>'MSW38'!I24</f>
        <v>60</v>
      </c>
      <c r="J24" s="241">
        <f>'MSW38'!J24</f>
        <v>1</v>
      </c>
      <c r="K24" s="83" t="str">
        <f>'MSW38'!K24</f>
        <v>1-3 MIN</v>
      </c>
      <c r="L24" s="66" t="str">
        <f>'MSW38'!L24</f>
        <v/>
      </c>
      <c r="M24" s="85" t="str">
        <f>'MSW38'!M24</f>
        <v/>
      </c>
      <c r="O24" s="240">
        <f>'MSW38'!O24</f>
        <v>2</v>
      </c>
      <c r="P24" s="241">
        <f>'MSW38'!P24</f>
        <v>0</v>
      </c>
      <c r="Q24" s="241">
        <f>'MSW38'!Q24</f>
        <v>1</v>
      </c>
      <c r="R24" s="83" t="str">
        <f>'MSW38'!R24</f>
        <v>1-3 MIN</v>
      </c>
      <c r="S24" s="66" t="str">
        <f>'MSW38'!S24</f>
        <v/>
      </c>
      <c r="T24" s="85"/>
    </row>
    <row r="25">
      <c r="A25" s="242">
        <f>'MSW38'!A25</f>
        <v>3</v>
      </c>
      <c r="B25" s="237">
        <f>'MSW38'!B25</f>
        <v>235</v>
      </c>
      <c r="C25" s="82">
        <f>'MSW38'!C25</f>
        <v>1</v>
      </c>
      <c r="D25" s="238" t="str">
        <f>'MSW38'!D25</f>
        <v>1-2 MIN</v>
      </c>
      <c r="E25" s="66" t="str">
        <f>'MSW38'!E25</f>
        <v/>
      </c>
      <c r="F25" s="67">
        <v>1.0</v>
      </c>
      <c r="H25" s="240">
        <f>'MSW38'!H25</f>
        <v>3</v>
      </c>
      <c r="I25" s="241">
        <f>'MSW38'!I25</f>
        <v>75</v>
      </c>
      <c r="J25" s="63">
        <f>'MSW38'!J25</f>
        <v>1</v>
      </c>
      <c r="K25" s="83" t="str">
        <f>'MSW38'!K25</f>
        <v>1-3 MIN</v>
      </c>
      <c r="L25" s="66" t="str">
        <f>'MSW38'!L25</f>
        <v/>
      </c>
      <c r="M25" s="85" t="str">
        <f>'MSW38'!M25</f>
        <v/>
      </c>
      <c r="O25" s="240">
        <f>'MSW38'!O25</f>
        <v>3</v>
      </c>
      <c r="P25" s="241">
        <f>'MSW38'!P25</f>
        <v>0</v>
      </c>
      <c r="Q25" s="241">
        <f>'MSW38'!Q25</f>
        <v>1</v>
      </c>
      <c r="R25" s="83" t="str">
        <f>'MSW38'!R25</f>
        <v>1-3 MIN</v>
      </c>
      <c r="S25" s="66" t="str">
        <f>'MSW38'!S25</f>
        <v/>
      </c>
      <c r="T25" s="85"/>
    </row>
    <row r="26">
      <c r="A26" s="243">
        <f>'MSW38'!A26</f>
        <v>4</v>
      </c>
      <c r="B26" s="237">
        <f>'MSW38'!B26</f>
        <v>260</v>
      </c>
      <c r="C26" s="175">
        <f>'MSW38'!C26</f>
        <v>1</v>
      </c>
      <c r="D26" s="238" t="str">
        <f>'MSW38'!D26</f>
        <v>1-5 MIN</v>
      </c>
      <c r="E26" s="66" t="str">
        <f>'MSW38'!E26</f>
        <v/>
      </c>
      <c r="F26" s="67">
        <v>1.0</v>
      </c>
      <c r="G26" s="1151" t="str">
        <f>'MSW38'!G26</f>
        <v/>
      </c>
      <c r="H26" s="240">
        <f>'MSW38'!H26</f>
        <v>4</v>
      </c>
      <c r="I26" s="241">
        <f>'MSW38'!I26</f>
        <v>90</v>
      </c>
      <c r="J26" s="245" t="str">
        <f>'MSW38'!J26</f>
        <v>REP OUT</v>
      </c>
      <c r="K26" s="83" t="str">
        <f>'MSW38'!K26</f>
        <v>1-3 MIN</v>
      </c>
      <c r="L26" s="66" t="str">
        <f>'MSW38'!L26</f>
        <v/>
      </c>
      <c r="M26" s="85" t="str">
        <f>'MSW38'!M26</f>
        <v/>
      </c>
      <c r="O26" s="240">
        <f>'MSW38'!O26</f>
        <v>4</v>
      </c>
      <c r="P26" s="241">
        <f>'MSW38'!P26</f>
        <v>0</v>
      </c>
      <c r="Q26" s="245" t="str">
        <f>'MSW38'!Q26</f>
        <v>REP OUT</v>
      </c>
      <c r="R26" s="83" t="str">
        <f>'MSW38'!R26</f>
        <v>1-3 MIN</v>
      </c>
      <c r="S26" s="66" t="str">
        <f>'MSW38'!S26</f>
        <v/>
      </c>
      <c r="T26" s="85"/>
    </row>
    <row r="27">
      <c r="A27" s="246" t="str">
        <f>'MSW38'!A27</f>
        <v>NEW 1 REP MAX ATTEMPT</v>
      </c>
      <c r="B27" s="20"/>
      <c r="C27" s="20"/>
      <c r="D27" s="20"/>
      <c r="E27" s="20"/>
      <c r="F27" s="95"/>
      <c r="H27" s="248" t="str">
        <f>'MSW38'!H27</f>
        <v>PROCEED TO DOWNSETS</v>
      </c>
      <c r="M27" s="28"/>
      <c r="N27" s="247" t="str">
        <f>'MSW38'!N27</f>
        <v>ALTERNATE</v>
      </c>
      <c r="O27" s="248" t="str">
        <f>'MSW38'!O27</f>
        <v>PROCEED TO DOWNSETS</v>
      </c>
      <c r="T27" s="28"/>
    </row>
    <row r="28">
      <c r="A28" s="249">
        <f>'MSW38'!A28</f>
        <v>5</v>
      </c>
      <c r="B28" s="175">
        <f>'MSW38'!B28</f>
        <v>265</v>
      </c>
      <c r="C28" s="238">
        <f>'MSW38'!C28</f>
        <v>1</v>
      </c>
      <c r="D28" s="238" t="str">
        <f>'MSW38'!D28</f>
        <v>1-5 MIN</v>
      </c>
      <c r="E28" s="66" t="str">
        <f>'MSW38'!E28</f>
        <v/>
      </c>
      <c r="F28" s="67">
        <v>0.0</v>
      </c>
      <c r="H28" s="251" t="str">
        <f>'MSW38'!H28</f>
        <v/>
      </c>
      <c r="I28" s="252" t="str">
        <f>'MSW38'!I28</f>
        <v/>
      </c>
      <c r="J28" s="253" t="str">
        <f>'MSW38'!J28</f>
        <v/>
      </c>
      <c r="K28" s="254" t="str">
        <f>'MSW38'!K28</f>
        <v/>
      </c>
      <c r="L28" s="66" t="str">
        <f>'MSW38'!L28</f>
        <v/>
      </c>
      <c r="M28" s="67" t="str">
        <f>'MSW38'!M28</f>
        <v/>
      </c>
      <c r="O28" s="251" t="str">
        <f>'MSW38'!O28</f>
        <v/>
      </c>
      <c r="P28" s="252" t="str">
        <f>'MSW38'!P28</f>
        <v/>
      </c>
      <c r="Q28" s="253" t="str">
        <f>'MSW38'!Q28</f>
        <v/>
      </c>
      <c r="R28" s="254" t="str">
        <f>'MSW38'!R28</f>
        <v/>
      </c>
      <c r="S28" s="66" t="str">
        <f>'MSW38'!S28</f>
        <v/>
      </c>
      <c r="T28" s="665"/>
    </row>
    <row r="29">
      <c r="A29" s="256" t="str">
        <f>'MSW38'!A29</f>
        <v/>
      </c>
      <c r="B29" s="237" t="str">
        <f>'MSW38'!B29</f>
        <v/>
      </c>
      <c r="C29" s="257" t="str">
        <f>'MSW38'!C29</f>
        <v/>
      </c>
      <c r="D29" s="257" t="str">
        <f>'MSW38'!D29</f>
        <v/>
      </c>
      <c r="E29" s="66" t="str">
        <f>'MSW38'!E29</f>
        <v/>
      </c>
      <c r="F29" s="67" t="str">
        <f>'MSW38'!F29</f>
        <v/>
      </c>
      <c r="H29" s="260" t="str">
        <f>'MSW38'!H29</f>
        <v>FILL OUT REP LOG FIRST</v>
      </c>
      <c r="I29" s="16"/>
      <c r="J29" s="16"/>
      <c r="K29" s="16"/>
      <c r="L29" s="16"/>
      <c r="M29" s="230"/>
      <c r="N29" s="141" t="str">
        <f>'MSW38'!N29</f>
        <v/>
      </c>
      <c r="O29" s="260" t="str">
        <f>'MSW38'!O29</f>
        <v>FILL OUT REP LOG FIRST</v>
      </c>
      <c r="P29" s="16"/>
      <c r="Q29" s="16"/>
      <c r="R29" s="16"/>
      <c r="S29" s="16"/>
      <c r="T29" s="230"/>
    </row>
    <row r="30">
      <c r="A30" s="246" t="str">
        <f>'MSW38'!A30</f>
        <v>DOWN SETS</v>
      </c>
      <c r="B30" s="20"/>
      <c r="C30" s="20"/>
      <c r="D30" s="20"/>
      <c r="E30" s="20"/>
      <c r="F30" s="95"/>
      <c r="H30" s="91" t="str">
        <f>'MSW38'!H30</f>
        <v/>
      </c>
      <c r="I30" s="261" t="str">
        <f>'MSW38'!I30</f>
        <v/>
      </c>
      <c r="J30" s="262" t="str">
        <f>'MSW38'!J30</f>
        <v/>
      </c>
      <c r="K30" s="65" t="str">
        <f>'MSW38'!K30</f>
        <v/>
      </c>
      <c r="L30" s="66" t="str">
        <f>'MSW38'!L30</f>
        <v/>
      </c>
      <c r="M30" s="263" t="str">
        <f>'MSW38'!M30</f>
        <v/>
      </c>
      <c r="O30" s="91" t="str">
        <f>'MSW38'!O30</f>
        <v/>
      </c>
      <c r="P30" s="261" t="str">
        <f>'MSW38'!P30</f>
        <v/>
      </c>
      <c r="Q30" s="262" t="str">
        <f>'MSW38'!Q30</f>
        <v/>
      </c>
      <c r="R30" s="65" t="str">
        <f>'MSW38'!R30</f>
        <v/>
      </c>
      <c r="S30" s="66" t="str">
        <f>'MSW38'!S30</f>
        <v/>
      </c>
      <c r="T30" s="263" t="str">
        <f>'MSW38'!T30</f>
        <v/>
      </c>
    </row>
    <row r="31">
      <c r="A31" s="264">
        <f>'MSW38'!A31</f>
        <v>6</v>
      </c>
      <c r="B31" s="265">
        <f>'MSW38'!B31</f>
        <v>235</v>
      </c>
      <c r="C31" s="266" t="str">
        <f>'MSW38'!C31</f>
        <v>REP OUT</v>
      </c>
      <c r="D31" s="267" t="str">
        <f>'MSW38'!D31</f>
        <v>1-3 MIN</v>
      </c>
      <c r="E31" s="66">
        <f>'MSW38'!E31</f>
        <v>1</v>
      </c>
      <c r="F31" s="67" t="str">
        <f>'MSW38'!F31</f>
        <v/>
      </c>
      <c r="H31" s="269" t="str">
        <f>'MSW38'!H31</f>
        <v/>
      </c>
      <c r="I31" s="254" t="str">
        <f>'MSW38'!I31</f>
        <v/>
      </c>
      <c r="J31" s="253" t="str">
        <f>'MSW38'!J31</f>
        <v/>
      </c>
      <c r="K31" s="65" t="str">
        <f>'MSW38'!K31</f>
        <v/>
      </c>
      <c r="L31" s="66" t="str">
        <f>'MSW38'!L31</f>
        <v/>
      </c>
      <c r="M31" s="270" t="str">
        <f>'MSW38'!M31</f>
        <v/>
      </c>
      <c r="O31" s="269" t="str">
        <f>'MSW38'!O31</f>
        <v/>
      </c>
      <c r="P31" s="254" t="str">
        <f>'MSW38'!P31</f>
        <v/>
      </c>
      <c r="Q31" s="253" t="str">
        <f>'MSW38'!Q31</f>
        <v/>
      </c>
      <c r="R31" s="65" t="str">
        <f>'MSW38'!R31</f>
        <v/>
      </c>
      <c r="S31" s="66" t="str">
        <f>'MSW38'!S31</f>
        <v/>
      </c>
      <c r="T31" s="270" t="str">
        <f>'MSW38'!T31</f>
        <v/>
      </c>
    </row>
    <row r="32">
      <c r="A32" s="243">
        <f>'MSW38'!A32</f>
        <v>7</v>
      </c>
      <c r="B32" s="237">
        <f>'MSW38'!B32</f>
        <v>205</v>
      </c>
      <c r="C32" s="245" t="str">
        <f>'MSW38'!C32</f>
        <v>REP OUT</v>
      </c>
      <c r="D32" s="65" t="str">
        <f>'MSW38'!D32</f>
        <v>1-3 MIN</v>
      </c>
      <c r="E32" s="66">
        <f>'MSW38'!E32</f>
        <v>6</v>
      </c>
      <c r="F32" s="271" t="str">
        <f>'MSW38'!F32</f>
        <v/>
      </c>
      <c r="H32" s="269" t="str">
        <f>'MSW38'!H32</f>
        <v/>
      </c>
      <c r="I32" s="254" t="str">
        <f>'MSW38'!I32</f>
        <v/>
      </c>
      <c r="J32" s="253" t="str">
        <f>'MSW38'!J32</f>
        <v/>
      </c>
      <c r="K32" s="65" t="str">
        <f>'MSW38'!K32</f>
        <v/>
      </c>
      <c r="L32" s="66" t="str">
        <f>'MSW38'!L32</f>
        <v/>
      </c>
      <c r="M32" s="270" t="str">
        <f>'MSW38'!M32</f>
        <v/>
      </c>
      <c r="O32" s="269" t="str">
        <f>'MSW38'!O32</f>
        <v/>
      </c>
      <c r="P32" s="254" t="str">
        <f>'MSW38'!P32</f>
        <v/>
      </c>
      <c r="Q32" s="253" t="str">
        <f>'MSW38'!Q32</f>
        <v/>
      </c>
      <c r="R32" s="65" t="str">
        <f>'MSW38'!R32</f>
        <v/>
      </c>
      <c r="S32" s="66" t="str">
        <f>'MSW38'!S32</f>
        <v/>
      </c>
      <c r="T32" s="263" t="str">
        <f>'MSW38'!T32</f>
        <v/>
      </c>
    </row>
    <row r="33">
      <c r="A33" s="272" t="str">
        <f>'MSW38'!A33</f>
        <v>FINAL MAX</v>
      </c>
      <c r="B33" s="273">
        <f>'MSW38'!B33</f>
        <v>260</v>
      </c>
      <c r="C33" s="11"/>
      <c r="D33" s="11"/>
      <c r="E33" s="11"/>
      <c r="F33" s="46"/>
      <c r="H33" s="269" t="str">
        <f>'MSW38'!H33</f>
        <v/>
      </c>
      <c r="I33" s="254" t="str">
        <f>'MSW38'!I33</f>
        <v/>
      </c>
      <c r="J33" s="253" t="str">
        <f>'MSW38'!J33</f>
        <v/>
      </c>
      <c r="K33" s="65" t="str">
        <f>'MSW38'!K33</f>
        <v/>
      </c>
      <c r="L33" s="66" t="str">
        <f>'MSW38'!L33</f>
        <v/>
      </c>
      <c r="M33" s="270" t="str">
        <f>'MSW38'!M33</f>
        <v/>
      </c>
      <c r="O33" s="269" t="str">
        <f>'MSW38'!O33</f>
        <v/>
      </c>
      <c r="P33" s="254" t="str">
        <f>'MSW38'!P33</f>
        <v/>
      </c>
      <c r="Q33" s="253" t="str">
        <f>'MSW38'!Q33</f>
        <v/>
      </c>
      <c r="R33" s="65" t="str">
        <f>'MSW38'!R33</f>
        <v/>
      </c>
      <c r="S33" s="66" t="str">
        <f>'MSW38'!S33</f>
        <v/>
      </c>
      <c r="T33" s="263" t="str">
        <f>'MSW38'!T33</f>
        <v/>
      </c>
    </row>
    <row r="34">
      <c r="A34" s="1151" t="str">
        <f>'MSW38'!A34</f>
        <v/>
      </c>
      <c r="H34" s="280" t="str">
        <f>'MSW38'!H34</f>
        <v>FINAL MAX</v>
      </c>
      <c r="I34" s="273" t="str">
        <f>'MSW38'!I34</f>
        <v/>
      </c>
      <c r="J34" s="11"/>
      <c r="K34" s="11"/>
      <c r="L34" s="11"/>
      <c r="M34" s="46"/>
      <c r="O34" s="280" t="str">
        <f>'MSW38'!O34</f>
        <v>FINAL MAX</v>
      </c>
      <c r="P34" s="273" t="str">
        <f>'MSW38'!P34</f>
        <v/>
      </c>
      <c r="Q34" s="11"/>
      <c r="R34" s="11"/>
      <c r="S34" s="11"/>
      <c r="T34" s="46"/>
    </row>
    <row r="35">
      <c r="A35" s="658" t="str">
        <f>'MSW38'!A35</f>
        <v/>
      </c>
      <c r="O35" s="1151" t="str">
        <f>'MSW38'!O35</f>
        <v/>
      </c>
    </row>
    <row r="37">
      <c r="A37" s="440" t="str">
        <f>'MSW38'!A37</f>
        <v>2. DUMBBELL CHEST FLY</v>
      </c>
      <c r="B37" s="53"/>
      <c r="C37" s="53"/>
      <c r="D37" s="53"/>
      <c r="E37" s="53"/>
      <c r="F37" s="54"/>
      <c r="G37" s="659" t="str">
        <f>'MSW38'!G37</f>
        <v/>
      </c>
      <c r="H37" s="504" t="str">
        <f>'MSW38'!H37</f>
        <v>2. MACHINE CHEST FLY</v>
      </c>
      <c r="I37" s="53"/>
      <c r="J37" s="53"/>
      <c r="K37" s="53"/>
      <c r="L37" s="53"/>
      <c r="M37" s="54"/>
      <c r="N37" s="660" t="str">
        <f>'MSW38'!N37</f>
        <v/>
      </c>
    </row>
    <row r="38">
      <c r="A38" s="226" t="str">
        <f>'MSW38'!A38</f>
        <v>DB INCL PRSS MAX</v>
      </c>
      <c r="B38" s="548" t="str">
        <f>'MSW38'!B38</f>
        <v/>
      </c>
      <c r="C38" s="13"/>
      <c r="D38" s="13"/>
      <c r="E38" s="13"/>
      <c r="F38" s="57"/>
      <c r="H38" s="226" t="str">
        <f>'MSW38'!H38</f>
        <v>DB INCL PRSS MAX</v>
      </c>
      <c r="I38" s="548" t="str">
        <f>'MSW38'!I38</f>
        <v/>
      </c>
      <c r="J38" s="13"/>
      <c r="K38" s="13"/>
      <c r="L38" s="13"/>
      <c r="M38" s="57"/>
    </row>
    <row r="39">
      <c r="A39" s="96" t="str">
        <f>'MSW38'!A39</f>
        <v>SET</v>
      </c>
      <c r="B39" s="97" t="str">
        <f>'MSW38'!B39</f>
        <v>WEIGHT</v>
      </c>
      <c r="C39" s="97" t="str">
        <f>'MSW38'!C39</f>
        <v>REPS</v>
      </c>
      <c r="D39" s="97" t="str">
        <f>'MSW38'!D39</f>
        <v>REST</v>
      </c>
      <c r="E39" s="98" t="str">
        <f>'MSW38'!E39</f>
        <v>PREVIOUS</v>
      </c>
      <c r="F39" s="235" t="str">
        <f>'MSW38'!F39</f>
        <v>REP LOG</v>
      </c>
      <c r="H39" s="96" t="str">
        <f>'MSW38'!H39</f>
        <v>SET</v>
      </c>
      <c r="I39" s="97" t="str">
        <f>'MSW38'!I39</f>
        <v>WEIGHT</v>
      </c>
      <c r="J39" s="97" t="str">
        <f>'MSW38'!J39</f>
        <v>REPS</v>
      </c>
      <c r="K39" s="97" t="str">
        <f>'MSW38'!K39</f>
        <v>REST</v>
      </c>
      <c r="L39" s="341" t="str">
        <f>'MSW38'!L39</f>
        <v>PREVIOUS</v>
      </c>
      <c r="M39" s="235" t="str">
        <f>'MSW38'!M39</f>
        <v>REP LOG</v>
      </c>
    </row>
    <row r="40">
      <c r="A40" s="240">
        <f>'MSW38'!A40</f>
        <v>1</v>
      </c>
      <c r="B40" s="254">
        <f>'MSW38'!B40</f>
        <v>0</v>
      </c>
      <c r="C40" s="241">
        <f>'MSW38'!C40</f>
        <v>15</v>
      </c>
      <c r="D40" s="83" t="str">
        <f>'MSW38'!D40</f>
        <v>1-3 MIN</v>
      </c>
      <c r="E40" s="84" t="str">
        <f>'MSW38'!E40</f>
        <v/>
      </c>
      <c r="F40" s="85" t="str">
        <f>'MSW38'!F40</f>
        <v/>
      </c>
      <c r="H40" s="240">
        <f>'MSW38'!H40</f>
        <v>1</v>
      </c>
      <c r="I40" s="254">
        <f>'MSW38'!I40</f>
        <v>0</v>
      </c>
      <c r="J40" s="241">
        <f>'MSW38'!J40</f>
        <v>15</v>
      </c>
      <c r="K40" s="83" t="str">
        <f>'MSW38'!K40</f>
        <v>1-3 MIN</v>
      </c>
      <c r="L40" s="84" t="str">
        <f>'MSW38'!L40</f>
        <v/>
      </c>
      <c r="M40" s="85" t="str">
        <f>'MSW38'!M40</f>
        <v/>
      </c>
    </row>
    <row r="41">
      <c r="A41" s="661">
        <f>'MSW38'!A41</f>
        <v>2</v>
      </c>
      <c r="B41" s="662">
        <f>'MSW38'!B41</f>
        <v>0</v>
      </c>
      <c r="C41" s="662">
        <f>'MSW38'!C41</f>
        <v>15</v>
      </c>
      <c r="D41" s="88" t="str">
        <f>'MSW38'!D41</f>
        <v>1-3 MIN</v>
      </c>
      <c r="E41" s="89" t="str">
        <f>'MSW38'!E41</f>
        <v/>
      </c>
      <c r="F41" s="85" t="str">
        <f>'MSW38'!F41</f>
        <v/>
      </c>
      <c r="H41" s="661">
        <f>'MSW38'!H41</f>
        <v>2</v>
      </c>
      <c r="I41" s="662">
        <f>'MSW38'!I41</f>
        <v>0</v>
      </c>
      <c r="J41" s="662">
        <f>'MSW38'!J41</f>
        <v>15</v>
      </c>
      <c r="K41" s="88" t="str">
        <f>'MSW38'!K41</f>
        <v>1-3 MIN</v>
      </c>
      <c r="L41" s="89" t="str">
        <f>'MSW38'!L41</f>
        <v/>
      </c>
      <c r="M41" s="85" t="str">
        <f>'MSW38'!M41</f>
        <v/>
      </c>
    </row>
    <row r="42">
      <c r="A42" s="1151" t="str">
        <f>'MSW38'!A42</f>
        <v/>
      </c>
      <c r="G42" s="1151" t="str">
        <f>'MSW38'!G42</f>
        <v/>
      </c>
    </row>
    <row r="44">
      <c r="A44" s="73" t="str">
        <f>'MSW38'!A44</f>
        <v>3. MACHINE LOW ROW </v>
      </c>
      <c r="B44" s="53"/>
      <c r="C44" s="53"/>
      <c r="D44" s="53"/>
      <c r="E44" s="53"/>
      <c r="F44" s="54"/>
    </row>
    <row r="45">
      <c r="A45" s="226" t="str">
        <f>'MSW38'!A45</f>
        <v>CURRENT MAX</v>
      </c>
      <c r="B45" s="227">
        <f>'MSW38'!B45</f>
        <v>220</v>
      </c>
      <c r="C45" s="20"/>
      <c r="D45" s="20"/>
      <c r="E45" s="20"/>
      <c r="F45" s="95"/>
    </row>
    <row r="46">
      <c r="A46" s="231" t="str">
        <f>'MSW38'!A46</f>
        <v>SET</v>
      </c>
      <c r="B46" s="232" t="str">
        <f>'MSW38'!B46</f>
        <v>WEIGHT</v>
      </c>
      <c r="C46" s="232" t="str">
        <f>'MSW38'!C46</f>
        <v>REPS</v>
      </c>
      <c r="D46" s="232" t="str">
        <f>'MSW38'!D46</f>
        <v>REST</v>
      </c>
      <c r="E46" s="233" t="str">
        <f>'MSW38'!E46</f>
        <v>PREVIOUS</v>
      </c>
      <c r="F46" s="61" t="str">
        <f>'MSW38'!F46</f>
        <v>REP LOG</v>
      </c>
    </row>
    <row r="47">
      <c r="A47" s="236">
        <f>'MSW38'!A47</f>
        <v>1</v>
      </c>
      <c r="B47" s="237">
        <f>'MSW38'!B47</f>
        <v>65</v>
      </c>
      <c r="C47" s="237">
        <f>'MSW38'!C47</f>
        <v>6</v>
      </c>
      <c r="D47" s="238" t="str">
        <f>'MSW38'!D47</f>
        <v>30s</v>
      </c>
      <c r="E47" s="66" t="str">
        <f>'MSW38'!E47</f>
        <v/>
      </c>
      <c r="F47" s="67" t="str">
        <f>'MSW38'!F47</f>
        <v/>
      </c>
    </row>
    <row r="48">
      <c r="A48" s="236">
        <f>'MSW38'!A48</f>
        <v>2</v>
      </c>
      <c r="B48" s="237">
        <f>'MSW38'!B48</f>
        <v>145</v>
      </c>
      <c r="C48" s="238">
        <f>'MSW38'!C48</f>
        <v>3</v>
      </c>
      <c r="D48" s="238" t="str">
        <f>'MSW38'!D48</f>
        <v>1-2 MIN</v>
      </c>
      <c r="E48" s="66" t="str">
        <f>'MSW38'!E48</f>
        <v/>
      </c>
      <c r="F48" s="67" t="str">
        <f>'MSW38'!F48</f>
        <v/>
      </c>
    </row>
    <row r="49">
      <c r="A49" s="242">
        <f>'MSW38'!A49</f>
        <v>3</v>
      </c>
      <c r="B49" s="237">
        <f>'MSW38'!B49</f>
        <v>200</v>
      </c>
      <c r="C49" s="63">
        <f>'MSW38'!C49</f>
        <v>2</v>
      </c>
      <c r="D49" s="238" t="str">
        <f>'MSW38'!D49</f>
        <v>1-2 MIN</v>
      </c>
      <c r="E49" s="66" t="str">
        <f>'MSW38'!E49</f>
        <v/>
      </c>
      <c r="F49" s="67" t="str">
        <f>'MSW38'!F49</f>
        <v/>
      </c>
    </row>
    <row r="50">
      <c r="A50" s="243">
        <f>'MSW38'!A50</f>
        <v>4</v>
      </c>
      <c r="B50" s="237">
        <f>'MSW38'!B50</f>
        <v>220</v>
      </c>
      <c r="C50" s="257">
        <f>'MSW38'!C50</f>
        <v>3</v>
      </c>
      <c r="D50" s="238" t="str">
        <f>'MSW38'!D50</f>
        <v>1-5 MIN</v>
      </c>
      <c r="E50" s="66" t="str">
        <f>'MSW38'!E50</f>
        <v/>
      </c>
      <c r="F50" s="67" t="str">
        <f>'MSW38'!F50</f>
        <v/>
      </c>
    </row>
    <row r="51">
      <c r="A51" s="246" t="str">
        <f>'MSW38'!A51</f>
        <v>PROCEED TO DOWN SETS</v>
      </c>
      <c r="B51" s="20"/>
      <c r="C51" s="20"/>
      <c r="D51" s="20"/>
      <c r="E51" s="20"/>
      <c r="F51" s="95"/>
    </row>
    <row r="52">
      <c r="A52" s="249" t="str">
        <f>'MSW38'!A52</f>
        <v/>
      </c>
      <c r="B52" s="175" t="str">
        <f>'MSW38'!B52</f>
        <v/>
      </c>
      <c r="C52" s="238" t="str">
        <f>'MSW38'!C52</f>
        <v/>
      </c>
      <c r="D52" s="238" t="str">
        <f>'MSW38'!D52</f>
        <v/>
      </c>
      <c r="E52" s="250" t="str">
        <f>'MSW38'!E52</f>
        <v/>
      </c>
      <c r="F52" s="67" t="str">
        <f>'MSW38'!F52</f>
        <v/>
      </c>
    </row>
    <row r="53">
      <c r="A53" s="259" t="str">
        <f>'MSW38'!A53</f>
        <v/>
      </c>
      <c r="B53" s="237" t="str">
        <f>'MSW38'!B53</f>
        <v/>
      </c>
      <c r="C53" s="257" t="str">
        <f>'MSW38'!C53</f>
        <v/>
      </c>
      <c r="D53" s="257" t="str">
        <f>'MSW38'!D53</f>
        <v/>
      </c>
      <c r="E53" s="258" t="str">
        <f>'MSW38'!E53</f>
        <v/>
      </c>
      <c r="F53" s="67" t="str">
        <f>'MSW38'!F53</f>
        <v/>
      </c>
    </row>
    <row r="54">
      <c r="A54" s="246" t="str">
        <f>'MSW38'!A54</f>
        <v>DOWN SETS</v>
      </c>
      <c r="B54" s="20"/>
      <c r="C54" s="20"/>
      <c r="D54" s="20"/>
      <c r="E54" s="20"/>
      <c r="F54" s="95"/>
    </row>
    <row r="55">
      <c r="A55" s="264" t="str">
        <f>'MSW38'!A55</f>
        <v/>
      </c>
      <c r="B55" s="265">
        <f>'MSW38'!B55</f>
        <v>0</v>
      </c>
      <c r="C55" s="266" t="str">
        <f>'MSW38'!C55</f>
        <v>REP OUT</v>
      </c>
      <c r="D55" s="267" t="str">
        <f>'MSW38'!D55</f>
        <v>1-3 MIN</v>
      </c>
      <c r="E55" s="268" t="str">
        <f>'MSW38'!E55</f>
        <v/>
      </c>
      <c r="F55" s="67" t="str">
        <f>'MSW38'!F55</f>
        <v/>
      </c>
    </row>
    <row r="56">
      <c r="A56" s="243" t="str">
        <f>'MSW38'!A56</f>
        <v/>
      </c>
      <c r="B56" s="237">
        <f>'MSW38'!B56</f>
        <v>0</v>
      </c>
      <c r="C56" s="245" t="str">
        <f>'MSW38'!C56</f>
        <v>REP OUT</v>
      </c>
      <c r="D56" s="65" t="str">
        <f>'MSW38'!D56</f>
        <v>1-3 MIN</v>
      </c>
      <c r="E56" s="258" t="str">
        <f>'MSW38'!E56</f>
        <v/>
      </c>
      <c r="F56" s="271" t="str">
        <f>'MSW38'!F56</f>
        <v/>
      </c>
    </row>
    <row r="57">
      <c r="A57" s="272" t="str">
        <f>'MSW38'!A57</f>
        <v>FINAL MAX</v>
      </c>
      <c r="B57" s="273" t="str">
        <f>'MSW38'!B57</f>
        <v/>
      </c>
      <c r="C57" s="11"/>
      <c r="D57" s="11"/>
      <c r="E57" s="11"/>
      <c r="F57" s="46"/>
    </row>
    <row r="58">
      <c r="A58" s="292" t="str">
        <f>'MSW38'!A58</f>
        <v/>
      </c>
    </row>
    <row r="59">
      <c r="A59" s="73" t="str">
        <f>'MSW38'!A59</f>
        <v>4. HIGH ROW</v>
      </c>
      <c r="B59" s="53"/>
      <c r="C59" s="53"/>
      <c r="D59" s="53"/>
      <c r="E59" s="53"/>
      <c r="F59" s="54"/>
    </row>
    <row r="60">
      <c r="A60" s="282" t="str">
        <f>'MSW38'!A60</f>
        <v>CURRENT MAX</v>
      </c>
      <c r="B60" s="56">
        <f>'MSW38'!B60</f>
        <v>205</v>
      </c>
      <c r="C60" s="13"/>
      <c r="D60" s="13"/>
      <c r="E60" s="13"/>
      <c r="F60" s="57"/>
    </row>
    <row r="61">
      <c r="A61" s="58" t="str">
        <f>'MSW38'!A61</f>
        <v>SET</v>
      </c>
      <c r="B61" s="59" t="str">
        <f>'MSW38'!B61</f>
        <v>WEIGHT</v>
      </c>
      <c r="C61" s="59" t="str">
        <f>'MSW38'!C61</f>
        <v>REPS</v>
      </c>
      <c r="D61" s="59" t="str">
        <f>'MSW38'!D61</f>
        <v>REST</v>
      </c>
      <c r="E61" s="60" t="str">
        <f>'MSW38'!E61</f>
        <v>PREVIOUS</v>
      </c>
      <c r="F61" s="61" t="str">
        <f>'MSW38'!F61</f>
        <v>REP LOG</v>
      </c>
    </row>
    <row r="62">
      <c r="A62" s="62">
        <f>'MSW38'!A62</f>
        <v>1</v>
      </c>
      <c r="B62" s="63">
        <f>'MSW38'!B62</f>
        <v>175</v>
      </c>
      <c r="C62" s="104" t="str">
        <f>'MSW38'!C62</f>
        <v>REP OUT</v>
      </c>
      <c r="D62" s="65" t="str">
        <f>'MSW38'!D62</f>
        <v>1-3 MIN</v>
      </c>
      <c r="E62" s="84" t="str">
        <f>'MSW38'!E62</f>
        <v/>
      </c>
      <c r="F62" s="67" t="str">
        <f>'MSW38'!F62</f>
        <v/>
      </c>
    </row>
    <row r="63">
      <c r="A63" s="62">
        <f>'MSW38'!A63</f>
        <v>2</v>
      </c>
      <c r="B63" s="63">
        <f>'MSW38'!B63</f>
        <v>155</v>
      </c>
      <c r="C63" s="104" t="str">
        <f>'MSW38'!C63</f>
        <v>REP OUT</v>
      </c>
      <c r="D63" s="65" t="str">
        <f>'MSW38'!D63</f>
        <v>1-3 MIN</v>
      </c>
      <c r="E63" s="84" t="str">
        <f>'MSW38'!E63</f>
        <v/>
      </c>
      <c r="F63" s="67" t="str">
        <f>'MSW38'!F63</f>
        <v/>
      </c>
    </row>
    <row r="64">
      <c r="A64" s="68">
        <f>'MSW38'!A64</f>
        <v>3</v>
      </c>
      <c r="B64" s="69">
        <f>'MSW38'!B64</f>
        <v>155</v>
      </c>
      <c r="C64" s="105" t="str">
        <f>'MSW38'!C64</f>
        <v>REP OUT</v>
      </c>
      <c r="D64" s="65" t="str">
        <f>'MSW38'!D64</f>
        <v>1-3 MIN</v>
      </c>
      <c r="E64" s="89" t="str">
        <f>'MSW38'!E64</f>
        <v/>
      </c>
      <c r="F64" s="67" t="str">
        <f>'MSW38'!F64</f>
        <v/>
      </c>
    </row>
    <row r="65">
      <c r="A65" s="657" t="str">
        <f>'MSW38'!A65</f>
        <v/>
      </c>
    </row>
    <row r="67">
      <c r="A67" s="440" t="str">
        <f>'MSW38'!A67</f>
        <v>5. LAT PULL DOWN</v>
      </c>
      <c r="B67" s="53"/>
      <c r="C67" s="53"/>
      <c r="D67" s="53"/>
      <c r="E67" s="53"/>
      <c r="F67" s="54"/>
    </row>
    <row r="68">
      <c r="A68" s="282" t="str">
        <f>'MSW38'!A68</f>
        <v>CURRENT MAX</v>
      </c>
      <c r="B68" s="56">
        <f>'MSW38'!B68</f>
        <v>235</v>
      </c>
      <c r="C68" s="13"/>
      <c r="D68" s="13"/>
      <c r="E68" s="13"/>
      <c r="F68" s="57"/>
    </row>
    <row r="69">
      <c r="A69" s="58" t="str">
        <f>'MSW38'!A69</f>
        <v>SET</v>
      </c>
      <c r="B69" s="59" t="str">
        <f>'MSW38'!B69</f>
        <v>WEIGHT</v>
      </c>
      <c r="C69" s="59" t="str">
        <f>'MSW38'!C69</f>
        <v>REPS</v>
      </c>
      <c r="D69" s="59" t="str">
        <f>'MSW38'!D69</f>
        <v>REST</v>
      </c>
      <c r="E69" s="60" t="str">
        <f>'MSW38'!E69</f>
        <v>PREVIOUS</v>
      </c>
      <c r="F69" s="61" t="str">
        <f>'MSW38'!F69</f>
        <v>REP LOG</v>
      </c>
    </row>
    <row r="70">
      <c r="A70" s="62">
        <f>'MSW38'!A70</f>
        <v>1</v>
      </c>
      <c r="B70" s="63">
        <f>'MSW38'!B70</f>
        <v>188</v>
      </c>
      <c r="C70" s="104" t="str">
        <f>'MSW38'!C70</f>
        <v>REP OUT</v>
      </c>
      <c r="D70" s="65" t="str">
        <f>'MSW38'!D70</f>
        <v>1-3 MIN</v>
      </c>
      <c r="E70" s="66" t="str">
        <f>'MSW38'!E70</f>
        <v/>
      </c>
      <c r="F70" s="67" t="str">
        <f>'MSW38'!F70</f>
        <v/>
      </c>
    </row>
    <row r="71">
      <c r="A71" s="62">
        <f>'MSW38'!A71</f>
        <v>2</v>
      </c>
      <c r="B71" s="663">
        <f>'MSW38'!B71</f>
        <v>160</v>
      </c>
      <c r="C71" s="104" t="str">
        <f>'MSW38'!C71</f>
        <v>REP OUT</v>
      </c>
      <c r="D71" s="65" t="str">
        <f>'MSW38'!D71</f>
        <v>1-3 MIN</v>
      </c>
      <c r="E71" s="66" t="str">
        <f>'MSW38'!E71</f>
        <v/>
      </c>
      <c r="F71" s="67" t="str">
        <f>'MSW38'!F71</f>
        <v/>
      </c>
    </row>
    <row r="72">
      <c r="A72" s="325">
        <f>'MSW38'!A72</f>
        <v>3</v>
      </c>
      <c r="B72" s="663">
        <f>'MSW38'!B72</f>
        <v>135</v>
      </c>
      <c r="C72" s="327" t="str">
        <f>'MSW38'!C72</f>
        <v>REP OUT</v>
      </c>
      <c r="D72" s="65" t="str">
        <f>'MSW38'!D72</f>
        <v>1-3 MIN</v>
      </c>
      <c r="E72" s="664" t="str">
        <f>'MSW38'!E72</f>
        <v/>
      </c>
      <c r="F72" s="665" t="str">
        <f>'MSW38'!F72</f>
        <v/>
      </c>
    </row>
    <row r="73">
      <c r="A73" s="580" t="str">
        <f>'MSW38'!A73</f>
        <v/>
      </c>
      <c r="B73" s="666" t="str">
        <f>'MSW38'!B73</f>
        <v/>
      </c>
      <c r="C73" s="667" t="str">
        <f>'MSW38'!C73</f>
        <v/>
      </c>
      <c r="D73" s="666" t="str">
        <f>'MSW38'!D73</f>
        <v/>
      </c>
      <c r="E73" s="668" t="str">
        <f>'MSW38'!E73</f>
        <v/>
      </c>
      <c r="F73" s="666" t="str">
        <f>'MSW38'!F73</f>
        <v/>
      </c>
    </row>
    <row r="74">
      <c r="A74" s="581" t="str">
        <f>'MSW38'!A74</f>
        <v>CLICK TO COMPLETE WORKOUT</v>
      </c>
      <c r="B74" s="25"/>
      <c r="C74" s="25"/>
      <c r="D74" s="25"/>
      <c r="E74" s="25"/>
      <c r="F74" s="26"/>
    </row>
    <row r="75">
      <c r="A75" s="336"/>
      <c r="B75" s="11"/>
      <c r="C75" s="11"/>
      <c r="D75" s="11"/>
      <c r="E75" s="11"/>
      <c r="F75" s="46"/>
    </row>
    <row r="76">
      <c r="A76" s="582" t="str">
        <f>'MSW38'!A76</f>
        <v/>
      </c>
      <c r="B76" s="582" t="str">
        <f>'MSW38'!B76</f>
        <v/>
      </c>
      <c r="C76" s="582" t="str">
        <f>'MSW38'!C76</f>
        <v/>
      </c>
      <c r="D76" s="582" t="str">
        <f>'MSW38'!D76</f>
        <v/>
      </c>
      <c r="E76" s="582" t="str">
        <f>'MSW38'!E76</f>
        <v/>
      </c>
      <c r="F76" s="582" t="str">
        <f>'MSW38'!F76</f>
        <v/>
      </c>
    </row>
    <row r="77">
      <c r="A77" s="669" t="str">
        <f>'MSW38'!A77</f>
        <v>DAY 2 </v>
      </c>
      <c r="B77" s="11"/>
      <c r="C77" s="11"/>
      <c r="D77" s="11"/>
      <c r="E77" s="11"/>
      <c r="F77" s="46"/>
    </row>
    <row r="78">
      <c r="A78" s="1151" t="str">
        <f>'MSW38'!A78</f>
        <v/>
      </c>
      <c r="B78" s="1151" t="str">
        <f>'MSW38'!B78</f>
        <v/>
      </c>
      <c r="C78" s="1151" t="str">
        <f>'MSW38'!C78</f>
        <v/>
      </c>
      <c r="D78" s="1151" t="str">
        <f>'MSW38'!D78</f>
        <v/>
      </c>
      <c r="E78" s="1151" t="str">
        <f>'MSW38'!E78</f>
        <v/>
      </c>
      <c r="F78" s="1151" t="str">
        <f>'MSW38'!F78</f>
        <v/>
      </c>
    </row>
    <row r="79">
      <c r="A79" s="1151" t="str">
        <f>'MSW38'!A79</f>
        <v/>
      </c>
      <c r="B79" s="1151" t="str">
        <f>'MSW38'!B79</f>
        <v/>
      </c>
      <c r="C79" s="1151" t="str">
        <f>'MSW38'!C79</f>
        <v/>
      </c>
      <c r="D79" s="1151" t="str">
        <f>'MSW38'!D79</f>
        <v/>
      </c>
      <c r="E79" s="1151" t="str">
        <f>'MSW38'!E79</f>
        <v/>
      </c>
      <c r="F79" s="1151" t="str">
        <f>'MSW38'!F79</f>
        <v/>
      </c>
    </row>
    <row r="80">
      <c r="A80" s="1355" t="str">
        <f>'MSW38'!A80</f>
        <v>1. MACHINE SQUAT</v>
      </c>
      <c r="B80" s="53"/>
      <c r="C80" s="53"/>
      <c r="D80" s="53"/>
      <c r="E80" s="53"/>
      <c r="F80" s="54"/>
    </row>
    <row r="81">
      <c r="A81" s="961" t="str">
        <f>'MSW38'!A81</f>
        <v>4 REP MAX</v>
      </c>
      <c r="B81" s="1035">
        <f>'MSW38'!B81</f>
        <v>35</v>
      </c>
      <c r="C81" s="13"/>
      <c r="D81" s="13"/>
      <c r="E81" s="13"/>
      <c r="F81" s="57"/>
    </row>
    <row r="82">
      <c r="A82" s="231" t="str">
        <f>'MSW38'!A82</f>
        <v>SET</v>
      </c>
      <c r="B82" s="232" t="str">
        <f>'MSW38'!B82</f>
        <v>WEIGHT</v>
      </c>
      <c r="C82" s="232" t="str">
        <f>'MSW38'!C82</f>
        <v>REPS</v>
      </c>
      <c r="D82" s="232" t="str">
        <f>'MSW38'!D82</f>
        <v>REST</v>
      </c>
      <c r="E82" s="233" t="str">
        <f>'MSW38'!E82</f>
        <v>PREVIOUS</v>
      </c>
      <c r="F82" s="61" t="str">
        <f>'MSW38'!F82</f>
        <v>REP LOG</v>
      </c>
    </row>
    <row r="83">
      <c r="A83" s="236">
        <f>'MSW38'!A83</f>
        <v>1</v>
      </c>
      <c r="B83" s="237">
        <f>'MSW38'!B83</f>
        <v>10</v>
      </c>
      <c r="C83" s="238">
        <f>'MSW38'!C83</f>
        <v>10</v>
      </c>
      <c r="D83" s="238" t="str">
        <f>'MSW38'!D83</f>
        <v>30s</v>
      </c>
      <c r="E83" s="66" t="str">
        <f>'MSW38'!E83</f>
        <v/>
      </c>
      <c r="F83" s="1300" t="str">
        <f>'MSW38'!F83</f>
        <v/>
      </c>
    </row>
    <row r="84">
      <c r="A84" s="236">
        <f>'MSW38'!A84</f>
        <v>2</v>
      </c>
      <c r="B84" s="237">
        <f>'MSW38'!B84</f>
        <v>25</v>
      </c>
      <c r="C84" s="238">
        <f>'MSW38'!C84</f>
        <v>10</v>
      </c>
      <c r="D84" s="238" t="str">
        <f>'MSW38'!D84</f>
        <v>1-2 MIN</v>
      </c>
      <c r="E84" s="66" t="str">
        <f>'MSW38'!E84</f>
        <v/>
      </c>
      <c r="F84" s="1300"/>
    </row>
    <row r="85">
      <c r="A85" s="242">
        <f>'MSW38'!A85</f>
        <v>3</v>
      </c>
      <c r="B85" s="237">
        <f>'MSW38'!B85</f>
        <v>30</v>
      </c>
      <c r="C85" s="238">
        <f>'MSW38'!C85</f>
        <v>10</v>
      </c>
      <c r="D85" s="238" t="str">
        <f>'MSW38'!D85</f>
        <v>1-2 MIN</v>
      </c>
      <c r="E85" s="66" t="str">
        <f>'MSW38'!E85</f>
        <v/>
      </c>
      <c r="F85" s="1300"/>
    </row>
    <row r="86">
      <c r="A86" s="249">
        <f>'MSW38'!A86</f>
        <v>4</v>
      </c>
      <c r="B86" s="175">
        <f>'MSW38'!B86</f>
        <v>25</v>
      </c>
      <c r="C86" s="238">
        <f>'MSW38'!C86</f>
        <v>10</v>
      </c>
      <c r="D86" s="238" t="str">
        <f>'MSW38'!D86</f>
        <v>1-5 MIN</v>
      </c>
      <c r="E86" s="66" t="str">
        <f>'MSW38'!E86</f>
        <v/>
      </c>
      <c r="F86" s="1300"/>
    </row>
    <row r="87">
      <c r="A87" s="249">
        <f>'MSW38'!A87</f>
        <v>5</v>
      </c>
      <c r="B87" s="175">
        <f>'MSW38'!B87</f>
        <v>20</v>
      </c>
      <c r="C87" s="238">
        <f>'MSW38'!C87</f>
        <v>10</v>
      </c>
      <c r="D87" s="238" t="str">
        <f>'MSW38'!D87</f>
        <v>1-5 MIN</v>
      </c>
      <c r="E87" s="1108" t="str">
        <f>'MSW38'!E87</f>
        <v/>
      </c>
      <c r="F87" s="1301"/>
    </row>
    <row r="88">
      <c r="A88" s="249">
        <f>'MSW38'!A88</f>
        <v>6</v>
      </c>
      <c r="B88" s="175">
        <f>'MSW38'!B88</f>
        <v>15</v>
      </c>
      <c r="C88" s="238">
        <f>'MSW38'!C88</f>
        <v>10</v>
      </c>
      <c r="D88" s="238" t="str">
        <f>'MSW38'!D88</f>
        <v>1-5 MIN</v>
      </c>
      <c r="E88" s="1108" t="str">
        <f>'MSW38'!E88</f>
        <v/>
      </c>
      <c r="F88" s="1300"/>
    </row>
    <row r="89">
      <c r="A89" s="1038">
        <f>'MSW38'!A89</f>
        <v>7</v>
      </c>
      <c r="B89" s="175">
        <f>'MSW38'!B89</f>
        <v>10</v>
      </c>
      <c r="C89" s="238">
        <f>'MSW38'!C89</f>
        <v>10</v>
      </c>
      <c r="D89" s="238" t="str">
        <f>'MSW38'!D89</f>
        <v>1-5 MIN</v>
      </c>
      <c r="E89" s="1108" t="str">
        <f>'MSW38'!E89</f>
        <v/>
      </c>
      <c r="F89" s="1300"/>
    </row>
    <row r="90">
      <c r="A90" s="249">
        <f>'MSW38'!A90</f>
        <v>8</v>
      </c>
      <c r="B90" s="175">
        <f>'MSW38'!B90</f>
        <v>10</v>
      </c>
      <c r="C90" s="238">
        <f>'MSW38'!C90</f>
        <v>10</v>
      </c>
      <c r="D90" s="238" t="str">
        <f>'MSW38'!D90</f>
        <v>1-5 MIN</v>
      </c>
      <c r="E90" s="1108" t="str">
        <f>'MSW38'!E90</f>
        <v/>
      </c>
      <c r="F90" s="1300"/>
    </row>
    <row r="91">
      <c r="A91" s="1038">
        <f>'MSW38'!A91</f>
        <v>9</v>
      </c>
      <c r="B91" s="175">
        <f>'MSW38'!B91</f>
        <v>10</v>
      </c>
      <c r="C91" s="238">
        <f>'MSW38'!C91</f>
        <v>10</v>
      </c>
      <c r="D91" s="238" t="str">
        <f>'MSW38'!D91</f>
        <v>1-5 MIN</v>
      </c>
      <c r="E91" s="1108" t="str">
        <f>'MSW38'!E91</f>
        <v/>
      </c>
      <c r="F91" s="1300"/>
    </row>
    <row r="92">
      <c r="A92" s="1038" t="str">
        <f>'MSW38'!A92</f>
        <v>10</v>
      </c>
      <c r="B92" s="175">
        <f>'MSW38'!B92</f>
        <v>10</v>
      </c>
      <c r="C92" s="238">
        <f>'MSW38'!C92</f>
        <v>10</v>
      </c>
      <c r="D92" s="238" t="str">
        <f>'MSW38'!D92</f>
        <v>1-5 MIN</v>
      </c>
      <c r="E92" s="1108" t="str">
        <f>'MSW38'!E92</f>
        <v/>
      </c>
      <c r="F92" s="1300"/>
    </row>
    <row r="93">
      <c r="A93" s="272" t="str">
        <f>'MSW38'!A93</f>
        <v>4 REP MAX</v>
      </c>
      <c r="B93" s="1109">
        <f>'MSW38'!B93</f>
        <v>35</v>
      </c>
      <c r="C93" s="11"/>
      <c r="D93" s="11"/>
      <c r="E93" s="11"/>
      <c r="F93" s="46"/>
    </row>
    <row r="94">
      <c r="A94" s="1151" t="str">
        <f>'MSW38'!A94</f>
        <v/>
      </c>
      <c r="B94" s="1151" t="str">
        <f>'MSW38'!B94</f>
        <v/>
      </c>
      <c r="C94" s="1151" t="str">
        <f>'MSW38'!C94</f>
        <v/>
      </c>
      <c r="D94" s="1151" t="str">
        <f>'MSW38'!D94</f>
        <v/>
      </c>
      <c r="E94" s="1151" t="str">
        <f>'MSW38'!E94</f>
        <v/>
      </c>
      <c r="F94" s="1151" t="str">
        <f>'MSW38'!F94</f>
        <v/>
      </c>
    </row>
    <row r="95">
      <c r="A95" s="1151" t="str">
        <f>'MSW38'!A95</f>
        <v/>
      </c>
      <c r="B95" s="1151" t="str">
        <f>'MSW38'!B95</f>
        <v/>
      </c>
      <c r="C95" s="1151" t="str">
        <f>'MSW38'!C95</f>
        <v/>
      </c>
      <c r="D95" s="1151" t="str">
        <f>'MSW38'!D95</f>
        <v/>
      </c>
      <c r="E95" s="1151" t="str">
        <f>'MSW38'!E95</f>
        <v/>
      </c>
      <c r="F95" s="1151" t="str">
        <f>'MSW38'!F95</f>
        <v/>
      </c>
    </row>
    <row r="96">
      <c r="A96" s="1285" t="str">
        <f>'MSW38'!A96</f>
        <v>2. LEG EXTENSION</v>
      </c>
      <c r="B96" s="53"/>
      <c r="C96" s="53"/>
      <c r="D96" s="53"/>
      <c r="E96" s="53"/>
      <c r="F96" s="54"/>
    </row>
    <row r="97">
      <c r="A97" s="1045" t="str">
        <f>'MSW38'!A97</f>
        <v>CURRENT MAX</v>
      </c>
      <c r="B97" s="1367">
        <f>'MSW38'!B97</f>
        <v>130</v>
      </c>
      <c r="C97" s="20"/>
      <c r="D97" s="20"/>
      <c r="E97" s="20"/>
      <c r="F97" s="95"/>
    </row>
    <row r="98">
      <c r="A98" s="567" t="str">
        <f>'MSW38'!A98</f>
        <v>SET</v>
      </c>
      <c r="B98" s="568" t="str">
        <f>'MSW38'!B98</f>
        <v>WEIGHT</v>
      </c>
      <c r="C98" s="568" t="str">
        <f>'MSW38'!C98</f>
        <v>REPS</v>
      </c>
      <c r="D98" s="568" t="str">
        <f>'MSW38'!D98</f>
        <v>REST</v>
      </c>
      <c r="E98" s="1047" t="str">
        <f>'MSW38'!E98</f>
        <v>PREVIOUS</v>
      </c>
      <c r="F98" s="1048" t="str">
        <f>'MSW38'!F98</f>
        <v>REP LOG</v>
      </c>
    </row>
    <row r="99">
      <c r="A99" s="1049">
        <f>'MSW38'!A99</f>
        <v>1</v>
      </c>
      <c r="B99" s="1050">
        <f>'MSW38'!B99</f>
        <v>130</v>
      </c>
      <c r="C99" s="1051" t="str">
        <f>'MSW38'!C99</f>
        <v>10 - 15</v>
      </c>
      <c r="D99" s="1052" t="str">
        <f>'MSW38'!D99</f>
        <v>1 MIN</v>
      </c>
      <c r="E99" s="1130" t="str">
        <f>'MSW38'!E99</f>
        <v/>
      </c>
      <c r="F99" s="1113" t="str">
        <f>'MSW38'!F99</f>
        <v/>
      </c>
    </row>
    <row r="100">
      <c r="A100" s="1049">
        <f>'MSW38'!A100</f>
        <v>2</v>
      </c>
      <c r="B100" s="1050">
        <f>'MSW38'!B100</f>
        <v>105</v>
      </c>
      <c r="C100" s="1051" t="str">
        <f>'MSW38'!C100</f>
        <v>10 - 15</v>
      </c>
      <c r="D100" s="1052" t="str">
        <f>'MSW38'!D100</f>
        <v>1 MIN</v>
      </c>
      <c r="E100" s="1130" t="str">
        <f>'MSW38'!E100</f>
        <v/>
      </c>
      <c r="F100" s="1113" t="str">
        <f>'MSW38'!F100</f>
        <v/>
      </c>
    </row>
    <row r="101">
      <c r="A101" s="1053">
        <f>'MSW38'!A101</f>
        <v>3</v>
      </c>
      <c r="B101" s="1054">
        <f>'MSW38'!B101</f>
        <v>85</v>
      </c>
      <c r="C101" s="1055" t="str">
        <f>'MSW38'!C101</f>
        <v>10 - 15</v>
      </c>
      <c r="D101" s="1056" t="str">
        <f>'MSW38'!D101</f>
        <v>1 MIN</v>
      </c>
      <c r="E101" s="1348" t="str">
        <f>'MSW38'!E101</f>
        <v/>
      </c>
      <c r="F101" s="1113" t="str">
        <f>'MSW38'!F101</f>
        <v/>
      </c>
    </row>
    <row r="102">
      <c r="A102" s="1151" t="str">
        <f>'MSW38'!A102</f>
        <v/>
      </c>
    </row>
    <row r="104">
      <c r="A104" s="323" t="str">
        <f>'MSW38'!A104</f>
        <v>3. MACHINE LEG CURL</v>
      </c>
      <c r="B104" s="53"/>
      <c r="C104" s="53"/>
      <c r="D104" s="53"/>
      <c r="E104" s="53"/>
      <c r="F104" s="54"/>
      <c r="G104" s="141" t="str">
        <f>'MSW38'!G104</f>
        <v/>
      </c>
      <c r="H104" s="323" t="str">
        <f>'MSW38'!H104</f>
        <v>3. PRONE LEG CURL</v>
      </c>
      <c r="I104" s="53"/>
      <c r="J104" s="53"/>
      <c r="K104" s="53"/>
      <c r="L104" s="53"/>
      <c r="M104" s="54"/>
    </row>
    <row r="105">
      <c r="A105" s="1045" t="str">
        <f>'MSW38'!A105</f>
        <v>CURRENT MAX</v>
      </c>
      <c r="B105" s="1368">
        <f>'MSW38'!B105</f>
        <v>125</v>
      </c>
      <c r="C105" s="13"/>
      <c r="D105" s="13"/>
      <c r="E105" s="13"/>
      <c r="F105" s="57"/>
      <c r="H105" s="1045" t="str">
        <f>'MSW38'!H105</f>
        <v>CURRENT MAX</v>
      </c>
      <c r="I105" s="1046">
        <f>'MSW38'!I105</f>
        <v>125</v>
      </c>
      <c r="J105" s="13"/>
      <c r="K105" s="13"/>
      <c r="L105" s="13"/>
      <c r="M105" s="57"/>
    </row>
    <row r="106">
      <c r="A106" s="567" t="str">
        <f>'MSW38'!A106</f>
        <v>SET</v>
      </c>
      <c r="B106" s="568" t="str">
        <f>'MSW38'!B106</f>
        <v>WEIGHT</v>
      </c>
      <c r="C106" s="568" t="str">
        <f>'MSW38'!C106</f>
        <v>REPS</v>
      </c>
      <c r="D106" s="568" t="str">
        <f>'MSW38'!D106</f>
        <v>REST</v>
      </c>
      <c r="E106" s="1047" t="str">
        <f>'MSW38'!E106</f>
        <v>PREVIOUS</v>
      </c>
      <c r="F106" s="1048" t="str">
        <f>'MSW38'!F106</f>
        <v>REP LOG</v>
      </c>
      <c r="H106" s="567" t="str">
        <f>'MSW38'!H106</f>
        <v>SET</v>
      </c>
      <c r="I106" s="568" t="str">
        <f>'MSW38'!I106</f>
        <v>WEIGHT</v>
      </c>
      <c r="J106" s="568" t="str">
        <f>'MSW38'!J106</f>
        <v>REPS</v>
      </c>
      <c r="K106" s="568" t="str">
        <f>'MSW38'!K106</f>
        <v>REST</v>
      </c>
      <c r="L106" s="1047" t="str">
        <f>'MSW38'!L106</f>
        <v>PREVIOUS</v>
      </c>
      <c r="M106" s="1048" t="str">
        <f>'MSW38'!M106</f>
        <v>REP LOG</v>
      </c>
    </row>
    <row r="107">
      <c r="A107" s="1049">
        <f>'MSW38'!A107</f>
        <v>1</v>
      </c>
      <c r="B107" s="1050">
        <f>'MSW38'!B107</f>
        <v>125</v>
      </c>
      <c r="C107" s="1051" t="str">
        <f>'MSW38'!C107</f>
        <v>10 - 15</v>
      </c>
      <c r="D107" s="1052" t="str">
        <f>'MSW38'!D107</f>
        <v>1 MIN</v>
      </c>
      <c r="E107" s="1130" t="str">
        <f>'MSW38'!E107</f>
        <v/>
      </c>
      <c r="F107" s="1113" t="str">
        <f>'MSW38'!F107</f>
        <v/>
      </c>
      <c r="G107" s="434" t="str">
        <f>'MSW38'!G107</f>
        <v>ALTERNATE</v>
      </c>
      <c r="H107" s="1049">
        <f>'MSW38'!H107</f>
        <v>1</v>
      </c>
      <c r="I107" s="1050">
        <f>'MSW38'!I107</f>
        <v>125</v>
      </c>
      <c r="J107" s="1051" t="str">
        <f>'MSW38'!J107</f>
        <v>10 - 15</v>
      </c>
      <c r="K107" s="1052" t="str">
        <f>'MSW38'!K107</f>
        <v>1 MIN</v>
      </c>
      <c r="L107" s="1130" t="str">
        <f>'MSW38'!L107</f>
        <v/>
      </c>
      <c r="M107" s="1113" t="str">
        <f>'MSW38'!M107</f>
        <v/>
      </c>
    </row>
    <row r="108">
      <c r="A108" s="1049">
        <f>'MSW38'!A108</f>
        <v>2</v>
      </c>
      <c r="B108" s="1050">
        <f>'MSW38'!B108</f>
        <v>100</v>
      </c>
      <c r="C108" s="1051" t="str">
        <f>'MSW38'!C108</f>
        <v>10 - 15</v>
      </c>
      <c r="D108" s="1052" t="str">
        <f>'MSW38'!D108</f>
        <v>1 MIN</v>
      </c>
      <c r="E108" s="1130" t="str">
        <f>'MSW38'!E108</f>
        <v/>
      </c>
      <c r="F108" s="1113" t="str">
        <f>'MSW38'!F108</f>
        <v/>
      </c>
      <c r="H108" s="1049">
        <f>'MSW38'!H108</f>
        <v>2</v>
      </c>
      <c r="I108" s="1050">
        <f>'MSW38'!I108</f>
        <v>100</v>
      </c>
      <c r="J108" s="1051" t="str">
        <f>'MSW38'!J108</f>
        <v>10 - 15</v>
      </c>
      <c r="K108" s="1052" t="str">
        <f>'MSW38'!K108</f>
        <v>1 MIN</v>
      </c>
      <c r="L108" s="1130" t="str">
        <f>'MSW38'!L108</f>
        <v/>
      </c>
      <c r="M108" s="1113" t="str">
        <f>'MSW38'!M108</f>
        <v/>
      </c>
    </row>
    <row r="109">
      <c r="A109" s="1053">
        <f>'MSW38'!A109</f>
        <v>3</v>
      </c>
      <c r="B109" s="1054">
        <f>'MSW38'!B109</f>
        <v>80</v>
      </c>
      <c r="C109" s="1055" t="str">
        <f>'MSW38'!C109</f>
        <v>10 - 15</v>
      </c>
      <c r="D109" s="1056" t="str">
        <f>'MSW38'!D109</f>
        <v>1 MIN</v>
      </c>
      <c r="E109" s="1348" t="str">
        <f>'MSW38'!E109</f>
        <v/>
      </c>
      <c r="F109" s="1113" t="str">
        <f>'MSW38'!F109</f>
        <v/>
      </c>
      <c r="G109" s="682" t="str">
        <f>'MSW38'!G109</f>
        <v/>
      </c>
      <c r="H109" s="1053">
        <f>'MSW38'!H109</f>
        <v>3</v>
      </c>
      <c r="I109" s="1054">
        <f>'MSW38'!I109</f>
        <v>80</v>
      </c>
      <c r="J109" s="1055" t="str">
        <f>'MSW38'!J109</f>
        <v>10 - 15</v>
      </c>
      <c r="K109" s="1056" t="str">
        <f>'MSW38'!K109</f>
        <v>1 MIN</v>
      </c>
      <c r="L109" s="1348" t="str">
        <f>'MSW38'!L109</f>
        <v/>
      </c>
      <c r="M109" s="1113" t="str">
        <f>'MSW38'!M109</f>
        <v/>
      </c>
    </row>
    <row r="110">
      <c r="A110" s="849" t="str">
        <f>'MSW38'!A110</f>
        <v/>
      </c>
      <c r="G110" s="849" t="str">
        <f>'MSW38'!H110</f>
        <v/>
      </c>
    </row>
    <row r="112">
      <c r="A112" s="1120" t="str">
        <f>'MSW38'!A112</f>
        <v>DAY 3</v>
      </c>
      <c r="B112" s="36"/>
      <c r="C112" s="36"/>
      <c r="D112" s="36"/>
      <c r="E112" s="36"/>
      <c r="F112" s="37"/>
    </row>
    <row r="113">
      <c r="A113" s="1151" t="str">
        <f>'MSW38'!A113</f>
        <v/>
      </c>
    </row>
    <row r="115">
      <c r="A115" s="960" t="str">
        <f>'MSW38'!A115</f>
        <v>1. SHOULDER CLEANS</v>
      </c>
      <c r="B115" s="53"/>
      <c r="C115" s="53"/>
      <c r="D115" s="53"/>
      <c r="E115" s="53"/>
      <c r="F115" s="54"/>
    </row>
    <row r="116">
      <c r="A116" s="961" t="str">
        <f>'MSW38'!A116</f>
        <v>CURRENT MAX</v>
      </c>
      <c r="B116" s="76">
        <f>'MSW38'!B116</f>
        <v>30</v>
      </c>
      <c r="C116" s="13"/>
      <c r="D116" s="13"/>
      <c r="E116" s="13"/>
      <c r="F116" s="57"/>
    </row>
    <row r="117">
      <c r="A117" s="962" t="str">
        <f>'MSW38'!A117</f>
        <v>SET</v>
      </c>
      <c r="B117" s="963" t="str">
        <f>'MSW38'!B117</f>
        <v>WEIGHT</v>
      </c>
      <c r="C117" s="963" t="str">
        <f>'MSW38'!C117</f>
        <v>REPS</v>
      </c>
      <c r="D117" s="981" t="str">
        <f>'MSW38'!D117</f>
        <v>REST</v>
      </c>
      <c r="E117" s="965" t="str">
        <f>'MSW38'!E117</f>
        <v>PREVIOUS</v>
      </c>
      <c r="F117" s="966" t="str">
        <f>'MSW38'!F117</f>
        <v>REP LOG</v>
      </c>
    </row>
    <row r="118">
      <c r="A118" s="967">
        <f>'MSW38'!A118</f>
        <v>1</v>
      </c>
      <c r="B118" s="968">
        <f>'MSW38'!B118</f>
        <v>30</v>
      </c>
      <c r="C118" s="968">
        <f>'MSW38'!C118</f>
        <v>20</v>
      </c>
      <c r="D118" s="969" t="str">
        <f>'MSW38'!D118</f>
        <v>1 MIN</v>
      </c>
      <c r="E118" s="1369" t="str">
        <f>'MSW38'!E118</f>
        <v/>
      </c>
      <c r="F118" s="982"/>
    </row>
    <row r="119">
      <c r="A119" s="967">
        <f>'MSW38'!A119</f>
        <v>2</v>
      </c>
      <c r="B119" s="968">
        <f>'MSW38'!B119</f>
        <v>25</v>
      </c>
      <c r="C119" s="968">
        <f>'MSW38'!C119</f>
        <v>20</v>
      </c>
      <c r="D119" s="969" t="str">
        <f>'MSW38'!D119</f>
        <v>1 MIN</v>
      </c>
      <c r="E119" s="1369" t="str">
        <f>'MSW38'!E119</f>
        <v/>
      </c>
      <c r="F119" s="982"/>
    </row>
    <row r="120">
      <c r="A120" s="971">
        <f>'MSW38'!A120</f>
        <v>3</v>
      </c>
      <c r="B120" s="972">
        <f>'MSW38'!B120</f>
        <v>15</v>
      </c>
      <c r="C120" s="972">
        <f>'MSW38'!C120</f>
        <v>20</v>
      </c>
      <c r="D120" s="973" t="str">
        <f>'MSW38'!D120</f>
        <v>1 MIN</v>
      </c>
      <c r="E120" s="1370" t="str">
        <f>'MSW38'!E120</f>
        <v/>
      </c>
      <c r="F120" s="1131"/>
    </row>
    <row r="121">
      <c r="A121" s="1151" t="str">
        <f>'MSW38'!A121</f>
        <v/>
      </c>
    </row>
    <row r="123">
      <c r="A123" s="1217" t="str">
        <f>'MSW38'!A123</f>
        <v>2. DUMBBELL REAR DELT FLY </v>
      </c>
      <c r="B123" s="53"/>
      <c r="C123" s="53"/>
      <c r="D123" s="53"/>
      <c r="E123" s="53"/>
      <c r="F123" s="54"/>
    </row>
    <row r="124">
      <c r="A124" s="961" t="str">
        <f>'MSW38'!A124</f>
        <v>SHLDR PRSS MAX</v>
      </c>
      <c r="B124" s="76">
        <f>'MSW38'!B124</f>
        <v>0</v>
      </c>
      <c r="C124" s="13"/>
      <c r="D124" s="13"/>
      <c r="E124" s="13"/>
      <c r="F124" s="57"/>
    </row>
    <row r="125">
      <c r="A125" s="962" t="str">
        <f>'MSW38'!A125</f>
        <v>SET</v>
      </c>
      <c r="B125" s="963" t="str">
        <f>'MSW38'!B125</f>
        <v>WEIGHT</v>
      </c>
      <c r="C125" s="963" t="str">
        <f>'MSW38'!C125</f>
        <v>REPS</v>
      </c>
      <c r="D125" s="963" t="str">
        <f>'MSW38'!D125</f>
        <v>REST</v>
      </c>
      <c r="E125" s="1005" t="str">
        <f>'MSW38'!E125</f>
        <v>PREVIOUS</v>
      </c>
      <c r="F125" s="1006" t="str">
        <f>'MSW38'!F125</f>
        <v>REP LOG</v>
      </c>
    </row>
    <row r="126">
      <c r="A126" s="967">
        <f>'MSW38'!A126</f>
        <v>1</v>
      </c>
      <c r="B126" s="1028">
        <f>'MSW38'!B126</f>
        <v>0</v>
      </c>
      <c r="C126" s="968">
        <f>'MSW38'!C126</f>
        <v>20</v>
      </c>
      <c r="D126" s="969" t="str">
        <f>'MSW38'!D126</f>
        <v>1 MIN</v>
      </c>
      <c r="E126" s="1104" t="str">
        <f>'MSW38'!E126</f>
        <v/>
      </c>
      <c r="F126" s="1111"/>
    </row>
    <row r="127">
      <c r="A127" s="967">
        <f>'MSW38'!A127</f>
        <v>2</v>
      </c>
      <c r="B127" s="1028">
        <f>'MSW38'!B127</f>
        <v>0</v>
      </c>
      <c r="C127" s="968">
        <f>'MSW38'!C127</f>
        <v>20</v>
      </c>
      <c r="D127" s="969" t="str">
        <f>'MSW38'!D127</f>
        <v>1 MIN</v>
      </c>
      <c r="E127" s="1104" t="str">
        <f>'MSW38'!E127</f>
        <v/>
      </c>
      <c r="F127" s="1111"/>
    </row>
    <row r="128">
      <c r="A128" s="971">
        <f>'MSW38'!A128</f>
        <v>3</v>
      </c>
      <c r="B128" s="1123">
        <f>'MSW38'!B128</f>
        <v>0</v>
      </c>
      <c r="C128" s="972">
        <f>'MSW38'!C128</f>
        <v>20</v>
      </c>
      <c r="D128" s="973" t="str">
        <f>'MSW38'!D128</f>
        <v>1 MIN</v>
      </c>
      <c r="E128" s="1105" t="str">
        <f>'MSW38'!E128</f>
        <v/>
      </c>
      <c r="F128" s="1113" t="str">
        <f>'MSW38'!F128</f>
        <v/>
      </c>
    </row>
    <row r="129">
      <c r="A129" s="1371" t="str">
        <f>'MSW38'!A129</f>
        <v/>
      </c>
      <c r="B129" s="1371" t="str">
        <f>'MSW38'!B129</f>
        <v/>
      </c>
      <c r="C129" s="1371" t="str">
        <f>'MSW38'!C129</f>
        <v/>
      </c>
      <c r="D129" s="1153" t="str">
        <f>'MSW38'!D129</f>
        <v/>
      </c>
      <c r="E129" s="1265" t="str">
        <f>'MSW38'!E129</f>
        <v/>
      </c>
      <c r="F129" s="1153" t="str">
        <f>'MSW38'!F129</f>
        <v/>
      </c>
    </row>
    <row r="130">
      <c r="A130" s="1372" t="str">
        <f>'MSW38'!A130</f>
        <v/>
      </c>
      <c r="B130" s="1372" t="str">
        <f>'MSW38'!B130</f>
        <v/>
      </c>
      <c r="C130" s="1372" t="str">
        <f>'MSW38'!C130</f>
        <v/>
      </c>
      <c r="D130" s="1373" t="str">
        <f>'MSW38'!D130</f>
        <v/>
      </c>
      <c r="E130" s="1266" t="str">
        <f>'MSW38'!E130</f>
        <v/>
      </c>
      <c r="F130" s="1373" t="str">
        <f>'MSW38'!F130</f>
        <v/>
      </c>
    </row>
    <row r="131">
      <c r="A131" s="1217" t="str">
        <f>'MSW38'!A131</f>
        <v>3. DUMBBELL SIDE LATERAL RAISE</v>
      </c>
      <c r="B131" s="53"/>
      <c r="C131" s="53"/>
      <c r="D131" s="53"/>
      <c r="E131" s="53"/>
      <c r="F131" s="54"/>
    </row>
    <row r="132">
      <c r="A132" s="1262" t="str">
        <f>'MSW38'!A132</f>
        <v>SHLDR PRSS MAX</v>
      </c>
      <c r="B132" s="76" t="str">
        <f>'MSW38'!B132</f>
        <v/>
      </c>
      <c r="C132" s="13"/>
      <c r="D132" s="13"/>
      <c r="E132" s="13"/>
      <c r="F132" s="57"/>
    </row>
    <row r="133">
      <c r="A133" s="1071" t="str">
        <f>'MSW38'!A133</f>
        <v>SET</v>
      </c>
      <c r="B133" s="1072" t="str">
        <f>'MSW38'!B133</f>
        <v>WEIGHT</v>
      </c>
      <c r="C133" s="1072" t="str">
        <f>'MSW38'!C133</f>
        <v>REPS</v>
      </c>
      <c r="D133" s="1072" t="str">
        <f>'MSW38'!D133</f>
        <v>REST</v>
      </c>
      <c r="E133" s="1073" t="str">
        <f>'MSW38'!E133</f>
        <v>PREVIOUS</v>
      </c>
      <c r="F133" s="1006" t="str">
        <f>'MSW38'!F133</f>
        <v>REP LOG</v>
      </c>
    </row>
    <row r="134">
      <c r="A134" s="1074">
        <f>'MSW38'!A134</f>
        <v>1</v>
      </c>
      <c r="B134" s="968">
        <f>'MSW38'!B134</f>
        <v>0</v>
      </c>
      <c r="C134" s="968">
        <f>'MSW38'!C134</f>
        <v>20</v>
      </c>
      <c r="D134" s="969" t="str">
        <f>'MSW38'!D134</f>
        <v>1 MIN</v>
      </c>
      <c r="E134" s="1235" t="str">
        <f>'MSW38'!E134</f>
        <v/>
      </c>
      <c r="F134" s="1111"/>
    </row>
    <row r="135">
      <c r="A135" s="1074">
        <f>'MSW38'!A135</f>
        <v>2</v>
      </c>
      <c r="B135" s="968">
        <f>'MSW38'!B135</f>
        <v>0</v>
      </c>
      <c r="C135" s="968">
        <f>'MSW38'!C135</f>
        <v>20</v>
      </c>
      <c r="D135" s="969" t="str">
        <f>'MSW38'!D135</f>
        <v>1 MIN</v>
      </c>
      <c r="E135" s="1235" t="str">
        <f>'MSW38'!E135</f>
        <v/>
      </c>
      <c r="F135" s="1111"/>
    </row>
    <row r="136">
      <c r="A136" s="1078">
        <f>'MSW38'!A136</f>
        <v>3</v>
      </c>
      <c r="B136" s="972">
        <f>'MSW38'!B136</f>
        <v>0</v>
      </c>
      <c r="C136" s="972">
        <f>'MSW38'!C136</f>
        <v>20</v>
      </c>
      <c r="D136" s="973" t="str">
        <f>'MSW38'!D136</f>
        <v>1 MIN</v>
      </c>
      <c r="E136" s="1271" t="str">
        <f>'MSW38'!E136</f>
        <v/>
      </c>
      <c r="F136" s="1113" t="str">
        <f>'MSW38'!F136</f>
        <v/>
      </c>
    </row>
    <row r="137">
      <c r="A137" s="1151" t="str">
        <f>'MSW38'!A137</f>
        <v/>
      </c>
      <c r="B137" s="1151" t="str">
        <f>'MSW38'!B137</f>
        <v/>
      </c>
      <c r="C137" s="1151" t="str">
        <f>'MSW38'!C137</f>
        <v/>
      </c>
      <c r="D137" s="1151" t="str">
        <f>'MSW38'!D137</f>
        <v/>
      </c>
      <c r="E137" s="1151" t="str">
        <f>'MSW38'!E137</f>
        <v/>
      </c>
      <c r="F137" s="1151" t="str">
        <f>'MSW38'!F137</f>
        <v/>
      </c>
    </row>
    <row r="138">
      <c r="A138" s="1151" t="str">
        <f>'MSW38'!A138</f>
        <v/>
      </c>
      <c r="B138" s="1151" t="str">
        <f>'MSW38'!B138</f>
        <v/>
      </c>
      <c r="C138" s="1151" t="str">
        <f>'MSW38'!C138</f>
        <v/>
      </c>
      <c r="D138" s="1151" t="str">
        <f>'MSW38'!D138</f>
        <v/>
      </c>
      <c r="E138" s="1151" t="str">
        <f>'MSW38'!E138</f>
        <v/>
      </c>
      <c r="F138" s="1151" t="str">
        <f>'MSW38'!F138</f>
        <v/>
      </c>
    </row>
    <row r="139">
      <c r="A139" s="74" t="str">
        <f>'MSW38'!A139</f>
        <v>3. TRICEPS PUSHDOWN (STRAIGHT BAR)</v>
      </c>
      <c r="B139" s="53"/>
      <c r="C139" s="53"/>
      <c r="D139" s="53"/>
      <c r="E139" s="53"/>
      <c r="F139" s="54"/>
    </row>
    <row r="140">
      <c r="A140" s="226" t="str">
        <f>'MSW38'!A140</f>
        <v>CURRENT MAX</v>
      </c>
      <c r="B140" s="90">
        <f>'MSW38'!B140</f>
        <v>90</v>
      </c>
      <c r="C140" s="13"/>
      <c r="D140" s="13"/>
      <c r="E140" s="13"/>
      <c r="F140" s="57"/>
    </row>
    <row r="141">
      <c r="A141" s="77" t="str">
        <f>'MSW38'!A141</f>
        <v>SET</v>
      </c>
      <c r="B141" s="78" t="str">
        <f>'MSW38'!B141</f>
        <v>WEIGHT</v>
      </c>
      <c r="C141" s="78" t="str">
        <f>'MSW38'!C141</f>
        <v>REPS</v>
      </c>
      <c r="D141" s="78" t="str">
        <f>'MSW38'!D141</f>
        <v>REST</v>
      </c>
      <c r="E141" s="80" t="str">
        <f>'MSW38'!E141</f>
        <v>PREVIOUS</v>
      </c>
      <c r="F141" s="235" t="str">
        <f>'MSW38'!F141</f>
        <v>REP LOG</v>
      </c>
    </row>
    <row r="142">
      <c r="A142" s="81">
        <f>'MSW38'!A142</f>
        <v>1</v>
      </c>
      <c r="B142" s="82">
        <f>'MSW38'!B142</f>
        <v>45</v>
      </c>
      <c r="C142" s="65">
        <f>'MSW38'!C142</f>
        <v>20</v>
      </c>
      <c r="D142" s="83" t="str">
        <f>'MSW38'!D142</f>
        <v>1MIN</v>
      </c>
      <c r="E142" s="84" t="str">
        <f>'MSW38'!E142</f>
        <v/>
      </c>
      <c r="F142" s="85"/>
    </row>
    <row r="143">
      <c r="A143" s="81">
        <f>'MSW38'!A143</f>
        <v>2</v>
      </c>
      <c r="B143" s="82">
        <f>'MSW38'!B143</f>
        <v>35</v>
      </c>
      <c r="C143" s="65">
        <f>'MSW38'!C143</f>
        <v>20</v>
      </c>
      <c r="D143" s="83" t="str">
        <f>'MSW38'!D143</f>
        <v>1MIN</v>
      </c>
      <c r="E143" s="84" t="str">
        <f>'MSW38'!E143</f>
        <v/>
      </c>
      <c r="F143" s="85"/>
    </row>
    <row r="144">
      <c r="A144" s="86">
        <f>'MSW38'!A144</f>
        <v>3</v>
      </c>
      <c r="B144" s="87">
        <f>'MSW38'!B144</f>
        <v>30</v>
      </c>
      <c r="C144" s="71">
        <f>'MSW38'!C144</f>
        <v>20</v>
      </c>
      <c r="D144" s="88" t="str">
        <f>'MSW38'!D144</f>
        <v>1MIN</v>
      </c>
      <c r="E144" s="89" t="str">
        <f>'MSW38'!E144</f>
        <v/>
      </c>
      <c r="F144" s="85"/>
    </row>
    <row r="145">
      <c r="A145" s="1151" t="str">
        <f>'MSW38'!A145</f>
        <v/>
      </c>
      <c r="B145" s="1151" t="str">
        <f>'MSW38'!B145</f>
        <v/>
      </c>
      <c r="C145" s="1151" t="str">
        <f>'MSW38'!C145</f>
        <v/>
      </c>
      <c r="D145" s="1151" t="str">
        <f>'MSW38'!D145</f>
        <v/>
      </c>
      <c r="E145" s="1151" t="str">
        <f>'MSW38'!E145</f>
        <v/>
      </c>
      <c r="F145" s="1151" t="str">
        <f>'MSW38'!F145</f>
        <v/>
      </c>
    </row>
    <row r="146">
      <c r="A146" s="1151" t="str">
        <f>'MSW38'!A146</f>
        <v/>
      </c>
      <c r="B146" s="1151" t="str">
        <f>'MSW38'!B146</f>
        <v/>
      </c>
      <c r="C146" s="1151" t="str">
        <f>'MSW38'!C146</f>
        <v/>
      </c>
      <c r="D146" s="1151" t="str">
        <f>'MSW38'!D146</f>
        <v/>
      </c>
      <c r="E146" s="1151" t="str">
        <f>'MSW38'!E146</f>
        <v/>
      </c>
      <c r="F146" s="1151" t="str">
        <f>'MSW38'!F146</f>
        <v/>
      </c>
    </row>
    <row r="147">
      <c r="A147" s="75" t="str">
        <f>'MSW38'!A147</f>
        <v>5. BICEP CABLE CURL</v>
      </c>
      <c r="B147" s="53"/>
      <c r="C147" s="53"/>
      <c r="D147" s="53"/>
      <c r="E147" s="53"/>
      <c r="F147" s="54"/>
      <c r="G147" s="141" t="str">
        <f>'MSW38'!G147</f>
        <v/>
      </c>
      <c r="H147" s="75" t="str">
        <f>'MSW38'!H147</f>
        <v>5. BICEP EZ BAR CURL</v>
      </c>
      <c r="I147" s="53"/>
      <c r="J147" s="53"/>
      <c r="K147" s="53"/>
      <c r="L147" s="53"/>
      <c r="M147" s="54"/>
    </row>
    <row r="148">
      <c r="A148" s="226" t="str">
        <f>'MSW38'!A148</f>
        <v>CURRENT MAX</v>
      </c>
      <c r="B148" s="90">
        <f>'MSW38'!B148</f>
        <v>75</v>
      </c>
      <c r="C148" s="13"/>
      <c r="D148" s="13"/>
      <c r="E148" s="13"/>
      <c r="F148" s="57"/>
      <c r="H148" s="226" t="str">
        <f>'MSW38'!H148</f>
        <v>CURRENT MAX</v>
      </c>
      <c r="I148" s="90">
        <f>'MSW38'!I148</f>
        <v>5</v>
      </c>
      <c r="J148" s="13"/>
      <c r="K148" s="13"/>
      <c r="L148" s="13"/>
      <c r="M148" s="57"/>
    </row>
    <row r="149">
      <c r="A149" s="77" t="str">
        <f>'MSW38'!A149</f>
        <v>SET</v>
      </c>
      <c r="B149" s="78" t="str">
        <f>'MSW38'!B149</f>
        <v>WEIGHT</v>
      </c>
      <c r="C149" s="78" t="str">
        <f>'MSW38'!C149</f>
        <v>REPS</v>
      </c>
      <c r="D149" s="78" t="str">
        <f>'MSW38'!D149</f>
        <v>REST</v>
      </c>
      <c r="E149" s="80" t="str">
        <f>'MSW38'!E149</f>
        <v>PREVIOUS</v>
      </c>
      <c r="F149" s="235" t="str">
        <f>'MSW38'!F149</f>
        <v>REP LOG</v>
      </c>
      <c r="H149" s="77" t="str">
        <f>'MSW38'!H149</f>
        <v>SET</v>
      </c>
      <c r="I149" s="78" t="str">
        <f>'MSW38'!I149</f>
        <v>WEIGHT</v>
      </c>
      <c r="J149" s="78" t="str">
        <f>'MSW38'!J149</f>
        <v>REPS</v>
      </c>
      <c r="K149" s="78" t="str">
        <f>'MSW38'!K149</f>
        <v>REST</v>
      </c>
      <c r="L149" s="80" t="str">
        <f>'MSW38'!L149</f>
        <v>PREVIOUS</v>
      </c>
      <c r="M149" s="235" t="str">
        <f>'MSW38'!M149</f>
        <v>REP LOG</v>
      </c>
    </row>
    <row r="150">
      <c r="A150" s="81">
        <f>'MSW38'!A150</f>
        <v>1</v>
      </c>
      <c r="B150" s="82">
        <f>'MSW38'!B150</f>
        <v>40</v>
      </c>
      <c r="C150" s="65">
        <f>'MSW38'!C150</f>
        <v>20</v>
      </c>
      <c r="D150" s="83" t="str">
        <f>'MSW38'!D150</f>
        <v>1MIN</v>
      </c>
      <c r="E150" s="84" t="str">
        <f>'MSW38'!E150</f>
        <v/>
      </c>
      <c r="F150" s="85" t="str">
        <f>'MSW38'!F150</f>
        <v/>
      </c>
      <c r="H150" s="81">
        <f>'MSW38'!H150</f>
        <v>1</v>
      </c>
      <c r="I150" s="82">
        <f>'MSW38'!I150</f>
        <v>5</v>
      </c>
      <c r="J150" s="65">
        <f>'MSW38'!J150</f>
        <v>20</v>
      </c>
      <c r="K150" s="83" t="str">
        <f>'MSW38'!K150</f>
        <v>1MIN</v>
      </c>
      <c r="L150" s="84" t="str">
        <f>'MSW38'!L150</f>
        <v/>
      </c>
      <c r="M150" s="85" t="str">
        <f>'MSW38'!M150</f>
        <v/>
      </c>
    </row>
    <row r="151">
      <c r="A151" s="81">
        <f>'MSW38'!A151</f>
        <v>2</v>
      </c>
      <c r="B151" s="82">
        <f>'MSW38'!B151</f>
        <v>30</v>
      </c>
      <c r="C151" s="65">
        <f>'MSW38'!C151</f>
        <v>20</v>
      </c>
      <c r="D151" s="83" t="str">
        <f>'MSW38'!D151</f>
        <v>1MIN</v>
      </c>
      <c r="E151" s="84" t="str">
        <f>'MSW38'!E151</f>
        <v/>
      </c>
      <c r="F151" s="85" t="str">
        <f>'MSW38'!F151</f>
        <v/>
      </c>
      <c r="H151" s="81">
        <f>'MSW38'!H151</f>
        <v>2</v>
      </c>
      <c r="I151" s="82">
        <f>'MSW38'!I151</f>
        <v>5</v>
      </c>
      <c r="J151" s="65">
        <f>'MSW38'!J151</f>
        <v>20</v>
      </c>
      <c r="K151" s="83" t="str">
        <f>'MSW38'!K151</f>
        <v>1MIN</v>
      </c>
      <c r="L151" s="84" t="str">
        <f>'MSW38'!L151</f>
        <v/>
      </c>
      <c r="M151" s="85" t="str">
        <f>'MSW38'!M151</f>
        <v/>
      </c>
    </row>
    <row r="152">
      <c r="A152" s="86">
        <f>'MSW38'!A152</f>
        <v>3</v>
      </c>
      <c r="B152" s="87">
        <f>'MSW38'!B152</f>
        <v>25</v>
      </c>
      <c r="C152" s="71">
        <f>'MSW38'!C152</f>
        <v>20</v>
      </c>
      <c r="D152" s="88" t="str">
        <f>'MSW38'!D152</f>
        <v>1MIN</v>
      </c>
      <c r="E152" s="89" t="str">
        <f>'MSW38'!E152</f>
        <v/>
      </c>
      <c r="F152" s="85" t="str">
        <f>'MSW38'!F152</f>
        <v/>
      </c>
      <c r="H152" s="86">
        <f>'MSW38'!H152</f>
        <v>3</v>
      </c>
      <c r="I152" s="87">
        <f>'MSW38'!I152</f>
        <v>5</v>
      </c>
      <c r="J152" s="71">
        <f>'MSW38'!J152</f>
        <v>20</v>
      </c>
      <c r="K152" s="88" t="str">
        <f>'MSW38'!K152</f>
        <v>1MIN</v>
      </c>
      <c r="L152" s="89" t="str">
        <f>'MSW38'!L152</f>
        <v/>
      </c>
      <c r="M152" s="85" t="str">
        <f>'MSW38'!M152</f>
        <v/>
      </c>
    </row>
    <row r="153">
      <c r="A153" s="1151"/>
      <c r="G153" s="1151" t="str">
        <f>'MSW38'!G153</f>
        <v/>
      </c>
    </row>
    <row r="155">
      <c r="A155" s="1149" t="str">
        <f>'MSW38'!A155</f>
        <v>WORKOUT COMPLETE!</v>
      </c>
      <c r="B155" s="36"/>
      <c r="C155" s="36"/>
      <c r="D155" s="36"/>
      <c r="E155" s="36"/>
      <c r="F155" s="37"/>
    </row>
    <row r="156">
      <c r="A156" s="1153"/>
      <c r="B156" s="1153"/>
      <c r="C156" s="1153"/>
      <c r="D156" s="1153"/>
      <c r="E156" s="1274"/>
      <c r="F156" s="1153"/>
    </row>
    <row r="157">
      <c r="A157" s="1275" t="str">
        <f>'MSW38'!A157</f>
        <v>WANT TO LEARN MORE?</v>
      </c>
      <c r="B157" s="25"/>
      <c r="C157" s="25"/>
      <c r="D157" s="25"/>
      <c r="E157" s="25"/>
      <c r="F157" s="26"/>
    </row>
    <row r="158">
      <c r="A158" s="529"/>
      <c r="F158" s="28"/>
    </row>
    <row r="159">
      <c r="A159" s="1374" t="str">
        <f>'MSW38'!A159</f>
        <v/>
      </c>
      <c r="B159" s="1173" t="str">
        <f>'MSW38'!B159</f>
        <v/>
      </c>
      <c r="C159" s="1375" t="str">
        <f>'MSW38'!C159</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59" s="28"/>
    </row>
    <row r="160">
      <c r="A160" s="1374" t="str">
        <f>'MSW38'!A160</f>
        <v/>
      </c>
      <c r="B160" s="1173" t="str">
        <f>'MSW38'!B160</f>
        <v/>
      </c>
      <c r="F160" s="28"/>
    </row>
    <row r="161">
      <c r="A161" s="1374" t="str">
        <f>'MSW38'!A161</f>
        <v/>
      </c>
      <c r="B161" s="1173" t="str">
        <f>'MSW38'!B161</f>
        <v/>
      </c>
      <c r="F161" s="28"/>
    </row>
    <row r="162">
      <c r="A162" s="1374" t="str">
        <f>'MSW38'!A162</f>
        <v/>
      </c>
      <c r="B162" s="1173" t="str">
        <f>'MSW38'!B162</f>
        <v/>
      </c>
      <c r="F162" s="28"/>
    </row>
    <row r="163">
      <c r="A163" s="1374" t="str">
        <f>'MSW38'!A163</f>
        <v/>
      </c>
      <c r="B163" s="1173" t="str">
        <f>'MSW38'!B163</f>
        <v/>
      </c>
      <c r="F163" s="28"/>
    </row>
    <row r="164">
      <c r="A164" s="1374" t="str">
        <f>'MSW38'!A164</f>
        <v/>
      </c>
      <c r="B164" s="1173" t="str">
        <f>'MSW38'!B164</f>
        <v/>
      </c>
      <c r="F164" s="28"/>
    </row>
    <row r="165">
      <c r="A165" s="1376" t="str">
        <f>'MSW38'!A165</f>
        <v/>
      </c>
      <c r="B165" s="1173" t="str">
        <f>'MSW38'!B165</f>
        <v/>
      </c>
      <c r="F165" s="28"/>
    </row>
    <row r="166">
      <c r="A166" s="1374" t="str">
        <f>'MSW38'!A166</f>
        <v/>
      </c>
      <c r="B166" s="1173" t="str">
        <f>'MSW38'!B166</f>
        <v/>
      </c>
      <c r="F166" s="28"/>
    </row>
    <row r="167">
      <c r="A167" s="1374" t="str">
        <f>'MSW38'!A167</f>
        <v/>
      </c>
      <c r="B167" s="1173" t="str">
        <f>'MSW38'!B167</f>
        <v/>
      </c>
      <c r="F167" s="28"/>
    </row>
    <row r="168">
      <c r="A168" s="1377" t="str">
        <f>'MSW38'!A168</f>
        <v/>
      </c>
      <c r="B168" s="1173" t="str">
        <f>'MSW38'!B168</f>
        <v/>
      </c>
      <c r="F168" s="28"/>
    </row>
    <row r="169">
      <c r="A169" s="1374" t="str">
        <f>'MSW38'!A169</f>
        <v/>
      </c>
      <c r="B169" s="1173" t="str">
        <f>'MSW38'!B169</f>
        <v/>
      </c>
      <c r="F169" s="28"/>
    </row>
    <row r="170">
      <c r="A170" s="1374" t="str">
        <f>'MSW38'!A170</f>
        <v/>
      </c>
      <c r="B170" s="1173" t="str">
        <f>'MSW38'!B170</f>
        <v/>
      </c>
      <c r="F170" s="28"/>
    </row>
    <row r="171">
      <c r="A171" s="1374" t="str">
        <f>'MSW38'!A171</f>
        <v/>
      </c>
      <c r="B171" s="1173" t="str">
        <f>'MSW38'!B171</f>
        <v/>
      </c>
      <c r="F171" s="28"/>
    </row>
    <row r="172">
      <c r="A172" s="1374" t="str">
        <f>'MSW38'!A172</f>
        <v/>
      </c>
      <c r="B172" s="1173" t="str">
        <f>'MSW38'!B172</f>
        <v/>
      </c>
      <c r="F172" s="28"/>
    </row>
    <row r="173">
      <c r="A173" s="1378" t="str">
        <f>'MSW38'!A173</f>
        <v/>
      </c>
      <c r="B173" s="1379" t="str">
        <f>'MSW38'!B173</f>
        <v/>
      </c>
      <c r="C173" s="11"/>
      <c r="D173" s="11"/>
      <c r="E173" s="11"/>
      <c r="F173" s="46"/>
    </row>
  </sheetData>
  <mergeCells count="99">
    <mergeCell ref="A13:F13"/>
    <mergeCell ref="A14:F14"/>
    <mergeCell ref="A12:F12"/>
    <mergeCell ref="A16:F18"/>
    <mergeCell ref="A19:F19"/>
    <mergeCell ref="G19:G23"/>
    <mergeCell ref="A20:F20"/>
    <mergeCell ref="B21:F21"/>
    <mergeCell ref="A27:F27"/>
    <mergeCell ref="H29:M29"/>
    <mergeCell ref="I34:M34"/>
    <mergeCell ref="A30:F30"/>
    <mergeCell ref="B33:F33"/>
    <mergeCell ref="A34:F34"/>
    <mergeCell ref="A35:N36"/>
    <mergeCell ref="A37:F37"/>
    <mergeCell ref="H37:M37"/>
    <mergeCell ref="I38:M38"/>
    <mergeCell ref="A58:F58"/>
    <mergeCell ref="A59:F59"/>
    <mergeCell ref="B38:F38"/>
    <mergeCell ref="A42:F43"/>
    <mergeCell ref="A44:F44"/>
    <mergeCell ref="B45:F45"/>
    <mergeCell ref="A51:F51"/>
    <mergeCell ref="A54:F54"/>
    <mergeCell ref="B57:F57"/>
    <mergeCell ref="B81:F81"/>
    <mergeCell ref="B93:F93"/>
    <mergeCell ref="A96:F96"/>
    <mergeCell ref="B97:F97"/>
    <mergeCell ref="G37:G41"/>
    <mergeCell ref="G42:M103"/>
    <mergeCell ref="B60:F60"/>
    <mergeCell ref="A65:F66"/>
    <mergeCell ref="A67:F67"/>
    <mergeCell ref="B68:F68"/>
    <mergeCell ref="A74:F75"/>
    <mergeCell ref="A102:F103"/>
    <mergeCell ref="A121:F122"/>
    <mergeCell ref="A123:F123"/>
    <mergeCell ref="B124:F124"/>
    <mergeCell ref="A131:F131"/>
    <mergeCell ref="B132:F132"/>
    <mergeCell ref="A139:F139"/>
    <mergeCell ref="G107:G108"/>
    <mergeCell ref="A110:F111"/>
    <mergeCell ref="G110:M146"/>
    <mergeCell ref="A112:F112"/>
    <mergeCell ref="A113:F114"/>
    <mergeCell ref="A115:F115"/>
    <mergeCell ref="B116:F116"/>
    <mergeCell ref="B140:F140"/>
    <mergeCell ref="A155:F155"/>
    <mergeCell ref="A157:F158"/>
    <mergeCell ref="A147:F147"/>
    <mergeCell ref="G147:G152"/>
    <mergeCell ref="H147:M147"/>
    <mergeCell ref="B148:F148"/>
    <mergeCell ref="I148:M148"/>
    <mergeCell ref="A153:F154"/>
    <mergeCell ref="G153:M173"/>
    <mergeCell ref="C159:F173"/>
    <mergeCell ref="H10:M10"/>
    <mergeCell ref="H12:M14"/>
    <mergeCell ref="A15:F15"/>
    <mergeCell ref="H15:M15"/>
    <mergeCell ref="O19:T19"/>
    <mergeCell ref="O20:T20"/>
    <mergeCell ref="P21:T21"/>
    <mergeCell ref="O27:T27"/>
    <mergeCell ref="O29:T29"/>
    <mergeCell ref="P34:T34"/>
    <mergeCell ref="O35:T173"/>
    <mergeCell ref="A1:T8"/>
    <mergeCell ref="A9:F9"/>
    <mergeCell ref="G9:G18"/>
    <mergeCell ref="H9:M9"/>
    <mergeCell ref="N9:T14"/>
    <mergeCell ref="A10:F11"/>
    <mergeCell ref="N15:T18"/>
    <mergeCell ref="N19:N26"/>
    <mergeCell ref="N27:N28"/>
    <mergeCell ref="N29:N34"/>
    <mergeCell ref="N37:N173"/>
    <mergeCell ref="H16:M18"/>
    <mergeCell ref="H19:M19"/>
    <mergeCell ref="H20:M20"/>
    <mergeCell ref="I21:M21"/>
    <mergeCell ref="G24:G25"/>
    <mergeCell ref="G26:G34"/>
    <mergeCell ref="H27:M27"/>
    <mergeCell ref="A77:F77"/>
    <mergeCell ref="A80:F80"/>
    <mergeCell ref="A104:F104"/>
    <mergeCell ref="G104:G106"/>
    <mergeCell ref="H104:M104"/>
    <mergeCell ref="B105:F105"/>
    <mergeCell ref="I105:M105"/>
  </mergeCells>
  <dataValidations>
    <dataValidation type="decimal" allowBlank="1" showDropDown="1" showInputMessage="1" showErrorMessage="1" prompt="Enter a number between 0 and 30" sqref="F22:F26 M22:M26 T22:T26 M28 T28 F28:F29 F31:F32 M30:M33 T30:T33 F39:F41 M39:M41 F46:F50 F52:F53 F55:F56 F61:F64 F69:F73 F76 F78:F79 F82:F92 F94:F95 F98:F101 F106:F109 M106:M109 F117:F120 F125:F130 F133:F138 F141:F146 F149:F152 M149:M152 F156">
      <formula1>0.0</formula1>
      <formula2>30.0</formula2>
    </dataValidation>
    <dataValidation type="decimal" operator="greaterThan" allowBlank="1" showDropDown="1" showErrorMessage="1" sqref="M11">
      <formula1>0.0</formula1>
    </dataValidation>
  </dataValidations>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305" t="s">
        <v>359</v>
      </c>
      <c r="B9" s="36"/>
      <c r="C9" s="36"/>
      <c r="D9" s="36"/>
      <c r="E9" s="36"/>
      <c r="F9" s="37"/>
      <c r="G9" s="987"/>
      <c r="H9" s="24" t="s">
        <v>35</v>
      </c>
      <c r="I9" s="25"/>
      <c r="J9" s="25"/>
      <c r="K9" s="25"/>
      <c r="L9" s="25"/>
      <c r="M9" s="26"/>
    </row>
    <row r="10">
      <c r="A10" s="991" t="str">
        <f>HYPERLINK("https://goo.gl/forms/3ibooB993Hi7SS2d2","PRESS TO RECORD BODY WEIGHT")</f>
        <v>PRESS TO RECORD BODY WEIGHT</v>
      </c>
      <c r="F10" s="28"/>
      <c r="G10" s="987"/>
      <c r="H10" s="147" t="s">
        <v>360</v>
      </c>
      <c r="M10" s="28"/>
    </row>
    <row r="11">
      <c r="A11" s="336"/>
      <c r="B11" s="11"/>
      <c r="C11" s="11"/>
      <c r="D11" s="11"/>
      <c r="E11" s="11"/>
      <c r="F11" s="46"/>
      <c r="G11" s="987"/>
      <c r="H11" s="29" t="s">
        <v>361</v>
      </c>
      <c r="I11" s="30"/>
      <c r="J11" s="30"/>
      <c r="K11" s="30"/>
      <c r="L11" s="30"/>
      <c r="M11" s="31"/>
    </row>
    <row r="12">
      <c r="A12" s="992" t="s">
        <v>69</v>
      </c>
      <c r="B12" s="11"/>
      <c r="C12" s="11"/>
      <c r="D12" s="11"/>
      <c r="E12" s="11"/>
      <c r="F12" s="46"/>
      <c r="G12" s="987"/>
      <c r="H12" s="987"/>
      <c r="I12" s="987"/>
      <c r="J12" s="987"/>
      <c r="K12" s="987"/>
      <c r="L12" s="987"/>
      <c r="M12" s="987"/>
    </row>
    <row r="13">
      <c r="A13" s="1128" t="s">
        <v>190</v>
      </c>
      <c r="B13" s="11"/>
      <c r="C13" s="11"/>
      <c r="D13" s="11"/>
      <c r="E13" s="11"/>
      <c r="F13" s="46"/>
      <c r="G13" s="987"/>
      <c r="H13" s="987"/>
      <c r="I13" s="987"/>
      <c r="J13" s="987"/>
      <c r="K13" s="987"/>
      <c r="L13" s="987"/>
      <c r="M13" s="987"/>
    </row>
    <row r="14">
      <c r="A14" s="994"/>
      <c r="B14" s="994"/>
      <c r="C14" s="994"/>
      <c r="D14" s="994"/>
      <c r="E14" s="994"/>
      <c r="F14" s="995"/>
      <c r="G14" s="987"/>
      <c r="H14" s="989"/>
      <c r="I14" s="989"/>
      <c r="J14" s="989"/>
      <c r="K14" s="989"/>
      <c r="L14" s="989"/>
      <c r="M14" s="989"/>
    </row>
    <row r="15">
      <c r="A15" s="996" t="s">
        <v>47</v>
      </c>
      <c r="B15" s="11"/>
      <c r="C15" s="11"/>
      <c r="D15" s="11"/>
      <c r="E15" s="11"/>
      <c r="F15" s="46"/>
      <c r="G15" s="997"/>
      <c r="H15" s="998" t="s">
        <v>118</v>
      </c>
      <c r="I15" s="11"/>
      <c r="J15" s="11"/>
      <c r="K15" s="11"/>
      <c r="L15" s="11"/>
      <c r="M15" s="46"/>
    </row>
    <row r="16">
      <c r="A16" s="987"/>
      <c r="B16" s="987"/>
      <c r="C16" s="987"/>
      <c r="D16" s="987"/>
      <c r="E16" s="987"/>
      <c r="F16" s="987"/>
      <c r="G16" s="623"/>
      <c r="H16" s="987"/>
      <c r="I16" s="987"/>
      <c r="J16" s="987"/>
      <c r="K16" s="987"/>
      <c r="L16" s="987"/>
      <c r="M16" s="987"/>
    </row>
    <row r="19">
      <c r="A19" s="51" t="s">
        <v>48</v>
      </c>
      <c r="B19" s="36"/>
      <c r="C19" s="36"/>
      <c r="D19" s="36"/>
      <c r="E19" s="36"/>
      <c r="F19" s="37"/>
      <c r="H19" s="51" t="s">
        <v>48</v>
      </c>
      <c r="I19" s="36"/>
      <c r="J19" s="36"/>
      <c r="K19" s="36"/>
      <c r="L19" s="36"/>
      <c r="M19" s="37"/>
      <c r="N19" s="141"/>
      <c r="O19" s="51" t="s">
        <v>48</v>
      </c>
      <c r="P19" s="36"/>
      <c r="Q19" s="36"/>
      <c r="R19" s="36"/>
      <c r="S19" s="36"/>
      <c r="T19" s="37"/>
    </row>
    <row r="20">
      <c r="A20" s="225" t="str">
        <f>HYPERLINK("https://www.youtube.com/watch?v=iLgUDezDMbU","1. BENCH PRESS")</f>
        <v>1. BENCH PRESS</v>
      </c>
      <c r="B20" s="13"/>
      <c r="C20" s="13"/>
      <c r="D20" s="13"/>
      <c r="E20" s="13"/>
      <c r="F20" s="57"/>
      <c r="H20" s="52" t="str">
        <f>HYPERLINK("https://youtu.be/ujVN-A0Z-ic","1. DUMBBELL INCLINE PRESS")</f>
        <v>1. DUMBBELL INCLINE PRESS</v>
      </c>
      <c r="I20" s="53"/>
      <c r="J20" s="53"/>
      <c r="K20" s="53"/>
      <c r="L20" s="53"/>
      <c r="M20" s="54"/>
      <c r="O20" s="52" t="str">
        <f>HYPERLINK("https://youtu.be/75e_H9Vq_Lw","1. MACHINE PRESS")</f>
        <v>1. MACHINE PRESS</v>
      </c>
      <c r="P20" s="53"/>
      <c r="Q20" s="53"/>
      <c r="R20" s="53"/>
      <c r="S20" s="53"/>
      <c r="T20" s="54"/>
    </row>
    <row r="21">
      <c r="A21" s="226" t="s">
        <v>119</v>
      </c>
      <c r="B21" s="227">
        <f>'WEEK 37'!B20</f>
        <v>260</v>
      </c>
      <c r="C21" s="20"/>
      <c r="D21" s="20"/>
      <c r="E21" s="20"/>
      <c r="F21" s="95"/>
      <c r="H21" s="228" t="s">
        <v>119</v>
      </c>
      <c r="I21" s="229">
        <f>IF('WEEK 32'!B34="",'WEEK 9'!I17,'WEEK 32'!B34)</f>
        <v>90</v>
      </c>
      <c r="J21" s="16"/>
      <c r="K21" s="16"/>
      <c r="L21" s="16"/>
      <c r="M21" s="230"/>
      <c r="O21" s="228" t="s">
        <v>119</v>
      </c>
      <c r="P21" s="229" t="str">
        <f>IF('WEEK 32'!I34="",'WEEK 34'!I20,'WEEK 32'!I34)</f>
        <v/>
      </c>
      <c r="Q21" s="16"/>
      <c r="R21" s="16"/>
      <c r="S21" s="16"/>
      <c r="T21" s="230"/>
    </row>
    <row r="22">
      <c r="A22" s="231" t="s">
        <v>50</v>
      </c>
      <c r="B22" s="232" t="s">
        <v>51</v>
      </c>
      <c r="C22" s="232" t="s">
        <v>52</v>
      </c>
      <c r="D22" s="232" t="s">
        <v>53</v>
      </c>
      <c r="E22" s="233" t="s">
        <v>54</v>
      </c>
      <c r="F22" s="61" t="s">
        <v>55</v>
      </c>
      <c r="H22" s="96" t="s">
        <v>50</v>
      </c>
      <c r="I22" s="97" t="s">
        <v>51</v>
      </c>
      <c r="J22" s="97" t="s">
        <v>52</v>
      </c>
      <c r="K22" s="97" t="s">
        <v>53</v>
      </c>
      <c r="L22" s="98" t="s">
        <v>54</v>
      </c>
      <c r="M22" s="235" t="s">
        <v>55</v>
      </c>
      <c r="O22" s="96" t="s">
        <v>50</v>
      </c>
      <c r="P22" s="97" t="s">
        <v>51</v>
      </c>
      <c r="Q22" s="97" t="s">
        <v>52</v>
      </c>
      <c r="R22" s="97" t="s">
        <v>53</v>
      </c>
      <c r="S22" s="98" t="s">
        <v>54</v>
      </c>
      <c r="T22" s="235" t="s">
        <v>55</v>
      </c>
    </row>
    <row r="23">
      <c r="A23" s="236">
        <v>1.0</v>
      </c>
      <c r="B23" s="237">
        <f>IF( 'WEEK 38'!B20&lt;125,45,mround('WEEK 38'!B21*0.35,5))</f>
        <v>45</v>
      </c>
      <c r="C23" s="237">
        <v>6.0</v>
      </c>
      <c r="D23" s="238" t="s">
        <v>120</v>
      </c>
      <c r="E23" s="66">
        <f>IF('WEEK 38'!B23='WEEK 35'!B23,'WEEK 35'!F23,"")</f>
        <v>6</v>
      </c>
      <c r="F23" s="67">
        <v>6.0</v>
      </c>
      <c r="H23" s="244">
        <v>1.0</v>
      </c>
      <c r="I23" s="241">
        <f>mround('WEEK 38'!I21*0.35,5)</f>
        <v>30</v>
      </c>
      <c r="J23" s="63">
        <v>6.0</v>
      </c>
      <c r="K23" s="83" t="s">
        <v>127</v>
      </c>
      <c r="L23" s="66" t="str">
        <f>IF('WEEK 38'!I23='WEEK 35'!I23,'WEEK 35'!M23,"")</f>
        <v/>
      </c>
      <c r="M23" s="85"/>
      <c r="O23" s="244">
        <v>1.0</v>
      </c>
      <c r="P23" s="241">
        <f>mround('WEEK 38'!P21*0.35,5)</f>
        <v>0</v>
      </c>
      <c r="Q23" s="63">
        <v>6.0</v>
      </c>
      <c r="R23" s="83" t="s">
        <v>127</v>
      </c>
      <c r="S23" s="66" t="str">
        <f>IF('WEEK 38'!P23='WEEK 35'!P23,'WEEK 35'!T23,"")</f>
        <v/>
      </c>
      <c r="T23" s="85">
        <v>6.0</v>
      </c>
    </row>
    <row r="24">
      <c r="A24" s="236">
        <v>2.0</v>
      </c>
      <c r="B24" s="237">
        <f>mround('WEEK 38'!B21*0.8,5)</f>
        <v>210</v>
      </c>
      <c r="C24" s="237">
        <v>1.0</v>
      </c>
      <c r="D24" s="238" t="s">
        <v>121</v>
      </c>
      <c r="E24" s="66" t="str">
        <f>IF('WEEK 38'!B24='WEEK 35'!B24,'WEEK 35'!F24,"")</f>
        <v/>
      </c>
      <c r="F24" s="67">
        <v>1.0</v>
      </c>
      <c r="G24" s="1129" t="s">
        <v>191</v>
      </c>
      <c r="H24" s="240">
        <v>2.0</v>
      </c>
      <c r="I24" s="241">
        <f>mround('WEEK 38'!I21*0.65,5)</f>
        <v>60</v>
      </c>
      <c r="J24" s="241">
        <v>1.0</v>
      </c>
      <c r="K24" s="83" t="s">
        <v>127</v>
      </c>
      <c r="L24" s="66" t="str">
        <f>IF('WEEK 38'!I24='WEEK 35'!I24,'WEEK 35'!M24,"")</f>
        <v/>
      </c>
      <c r="M24" s="85"/>
      <c r="O24" s="240">
        <v>2.0</v>
      </c>
      <c r="P24" s="241">
        <f>mround('WEEK 38'!P21*0.65,5)</f>
        <v>0</v>
      </c>
      <c r="Q24" s="241">
        <v>1.0</v>
      </c>
      <c r="R24" s="83" t="s">
        <v>127</v>
      </c>
      <c r="S24" s="66" t="str">
        <f>IF('WEEK 38'!P24='WEEK 35'!P24,'WEEK 35'!T24,"")</f>
        <v/>
      </c>
      <c r="T24" s="85">
        <v>1.0</v>
      </c>
    </row>
    <row r="25">
      <c r="A25" s="242">
        <v>3.0</v>
      </c>
      <c r="B25" s="237">
        <f>mround('WEEK 38'!B21*0.9,5)</f>
        <v>235</v>
      </c>
      <c r="C25" s="82">
        <v>1.0</v>
      </c>
      <c r="D25" s="238" t="s">
        <v>121</v>
      </c>
      <c r="E25" s="66" t="str">
        <f>IF('WEEK 38'!B25='WEEK 35'!B25,'WEEK 35'!F25,"")</f>
        <v/>
      </c>
      <c r="F25" s="67">
        <v>1.0</v>
      </c>
      <c r="H25" s="240">
        <v>3.0</v>
      </c>
      <c r="I25" s="241">
        <f>mround('WEEK 38'!I21*0.85,5)</f>
        <v>75</v>
      </c>
      <c r="J25" s="63">
        <v>1.0</v>
      </c>
      <c r="K25" s="83" t="s">
        <v>127</v>
      </c>
      <c r="L25" s="66" t="str">
        <f>IF('WEEK 38'!I25='WEEK 35'!I25,'WEEK 35'!M25,"")</f>
        <v/>
      </c>
      <c r="M25" s="85"/>
      <c r="O25" s="240">
        <v>3.0</v>
      </c>
      <c r="P25" s="241">
        <f>mround('WEEK 38'!P21*0.85,5)</f>
        <v>0</v>
      </c>
      <c r="Q25" s="241">
        <v>1.0</v>
      </c>
      <c r="R25" s="83" t="s">
        <v>127</v>
      </c>
      <c r="S25" s="66" t="str">
        <f>IF('WEEK 38'!P25='WEEK 35'!P25,'WEEK 35'!T25,"")</f>
        <v/>
      </c>
      <c r="T25" s="85">
        <v>1.0</v>
      </c>
    </row>
    <row r="26">
      <c r="A26" s="243">
        <v>4.0</v>
      </c>
      <c r="B26" s="237">
        <f>'WEEK 38'!B21</f>
        <v>260</v>
      </c>
      <c r="C26" s="175">
        <v>1.0</v>
      </c>
      <c r="D26" s="238" t="s">
        <v>122</v>
      </c>
      <c r="E26" s="66" t="str">
        <f>IF('WEEK 38'!B26='WEEK 35'!B26,'WEEK 35'!F26,"")</f>
        <v/>
      </c>
      <c r="F26" s="67">
        <v>1.0</v>
      </c>
      <c r="H26" s="240">
        <v>4.0</v>
      </c>
      <c r="I26" s="241">
        <f>mround('WEEK 38'!I21*1,5)</f>
        <v>90</v>
      </c>
      <c r="J26" s="245" t="s">
        <v>65</v>
      </c>
      <c r="K26" s="83" t="s">
        <v>127</v>
      </c>
      <c r="L26" s="66" t="str">
        <f>IF('WEEK 38'!I26='WEEK 35'!I26,'WEEK 35'!M26,"")</f>
        <v/>
      </c>
      <c r="M26" s="85"/>
      <c r="O26" s="240">
        <v>4.0</v>
      </c>
      <c r="P26" s="241">
        <f>mround('WEEK 38'!P21*1,5)</f>
        <v>0</v>
      </c>
      <c r="Q26" s="245" t="s">
        <v>65</v>
      </c>
      <c r="R26" s="83" t="s">
        <v>127</v>
      </c>
      <c r="S26" s="66" t="str">
        <f>IF('WEEK 38'!P26='WEEK 35'!P26,'WEEK 35'!T26,"")</f>
        <v/>
      </c>
      <c r="T26" s="85">
        <v>8.0</v>
      </c>
    </row>
    <row r="27">
      <c r="A27" s="246" t="str">
        <f>IF('WEEK 38'!F26&lt;1,"PROCEED TO DOWN SETS","NEW 1 REP MAX ATTEMPT")</f>
        <v>NEW 1 REP MAX ATTEMPT</v>
      </c>
      <c r="B27" s="20"/>
      <c r="C27" s="20"/>
      <c r="D27" s="20"/>
      <c r="E27" s="20"/>
      <c r="F27" s="95"/>
      <c r="H27" s="248" t="str">
        <f>IF(OR(ISBLANK('WEEK 38'!M26),ISBLANK('WEEK 38'!M25),ISBLANK('WEEK 38'!M24)),"PROCEED TO DOWNSETS",if('WEEK 38'!M26&gt;=6,"NEW 4 REP MAX ATTEMPT","PROCEED TO DOWN SETS"))</f>
        <v>PROCEED TO DOWNSETS</v>
      </c>
      <c r="M27" s="28"/>
      <c r="N27" s="247" t="s">
        <v>123</v>
      </c>
      <c r="O27" s="248" t="str">
        <f>IF(OR(ISBLANK('WEEK 38'!T26),ISBLANK('WEEK 38'!T25),ISBLANK('WEEK 38'!T24)),"PROCEED TO DOWNSETS",if('WEEK 38'!T26&gt;=6,"NEW 4 REP MAX ATTEMPT","PROCEED TO DOWN SETS"))</f>
        <v>PROCEED TO DOWNSETS</v>
      </c>
      <c r="T27" s="28"/>
    </row>
    <row r="28">
      <c r="A28" s="249">
        <f>if('WEEK 38'!F26&lt;1,"",5)</f>
        <v>5</v>
      </c>
      <c r="B28" s="175">
        <f>IF('WEEK 38'!F26&lt;1,"",'WEEK 38'!B26+5)</f>
        <v>265</v>
      </c>
      <c r="C28" s="238">
        <f>if('WEEK 38'!F26&lt;1,"",1)</f>
        <v>1</v>
      </c>
      <c r="D28" s="238" t="str">
        <f>if('WEEK 38'!F26&lt;1,"","1-5 MIN")</f>
        <v>1-5 MIN</v>
      </c>
      <c r="E28" s="66" t="str">
        <f>IF('WEEK 38'!B28='WEEK 35'!B28,'WEEK 35'!F28,"")</f>
        <v/>
      </c>
      <c r="F28" s="67"/>
      <c r="H28" s="251" t="str">
        <f>IF(OR(ISBLANK('WEEK 38'!M26),ISBLANK('WEEK 38'!M25),ISBLANK('WEEK 38'!M24)),"",IF('WEEK 38'!M26&gt;=6,5,""))</f>
        <v/>
      </c>
      <c r="I28" s="252" t="str">
        <f>IF(OR(ISBLANK('WEEK 38'!M26),ISBLANK('WEEK 38'!M25),ISBLANK('WEEK 38'!M24)),"",IF('WEEK 38'!M26&gt;=6,'WEEK 38'!I21+5,""))</f>
        <v/>
      </c>
      <c r="J28" s="253" t="str">
        <f>IF(OR(ISBLANK('WEEK 38'!M26),ISBLANK('WEEK 38'!M25),ISBLANK('WEEK 38'!M24)),"",IF('WEEK 38'!M26&gt;=6,"REP OUT",""))</f>
        <v/>
      </c>
      <c r="K28" s="254" t="str">
        <f>IF(OR(ISBLANK('WEEK 38'!M26),ISBLANK('WEEK 38'!M25),ISBLANK('WEEK 38'!M24)),"",IF('WEEK 38'!M26&gt;5,"1-3 MIN",""))</f>
        <v/>
      </c>
      <c r="L28" s="66" t="str">
        <f>IF('WEEK 38'!I28='WEEK 35'!I28,'WEEK 35'!M28,"")</f>
        <v/>
      </c>
      <c r="M28" s="67"/>
      <c r="O28" s="251" t="str">
        <f>IF(OR(ISBLANK('WEEK 38'!T26),ISBLANK('WEEK 38'!T25),ISBLANK('WEEK 38'!T24)),"",IF('WEEK 38'!T26&gt;=6,5,""))</f>
        <v/>
      </c>
      <c r="P28" s="252" t="str">
        <f>IF(OR(ISBLANK('WEEK 38'!T26),ISBLANK('WEEK 38'!T25),ISBLANK('WEEK 38'!T24)),"",IF('WEEK 38'!T26&gt;=6,'WEEK 38'!P21+5,""))</f>
        <v/>
      </c>
      <c r="Q28" s="253" t="str">
        <f>IF(OR(ISBLANK('WEEK 38'!T26),ISBLANK('WEEK 38'!T25),ISBLANK('WEEK 38'!T24)),"",IF('WEEK 38'!T26&gt;=6,"REP OUT",""))</f>
        <v/>
      </c>
      <c r="R28" s="254" t="str">
        <f>IF(OR(ISBLANK('WEEK 38'!T26),ISBLANK('WEEK 38'!T25),ISBLANK('WEEK 38'!T24)),"",IF('WEEK 38'!T26&gt;5,"1-3 MIN",""))</f>
        <v/>
      </c>
      <c r="S28" s="66" t="str">
        <f>IF('WEEK 38'!P28='WEEK 35'!P28,'WEEK 35'!T28,"")</f>
        <v/>
      </c>
      <c r="T28" s="665">
        <v>4.0</v>
      </c>
    </row>
    <row r="29">
      <c r="A29" s="256" t="str">
        <f>IF('WEEK 38'!F28&lt;1,"","6")</f>
        <v/>
      </c>
      <c r="B29" s="237" t="str">
        <f>IF('WEEK 38'!F28&lt;1,"",'WEEK 38'!B28+5)</f>
        <v/>
      </c>
      <c r="C29" s="257" t="str">
        <f>IF('WEEK 38'!F28&lt;1,"","1")</f>
        <v/>
      </c>
      <c r="D29" s="257" t="str">
        <f>IF('WEEK 38'!F28&lt;1,"","1-5 MIN")</f>
        <v/>
      </c>
      <c r="E29" s="66" t="str">
        <f>IF('WEEK 38'!B29='WEEK 35'!B29,'WEEK 35'!F29,"")</f>
        <v/>
      </c>
      <c r="F29" s="67"/>
      <c r="H29" s="260" t="str">
        <f>IF(OR(ISBLANK('WEEK 38'!M26),ISBLANK('WEEK 38'!M25),ISBLANK('WEEK 38'!M24)),"FILL OUT REP LOG FIRST","DOWN SETS")</f>
        <v>FILL OUT REP LOG FIRST</v>
      </c>
      <c r="I29" s="16"/>
      <c r="J29" s="16"/>
      <c r="K29" s="16"/>
      <c r="L29" s="16"/>
      <c r="M29" s="230"/>
      <c r="N29" s="141"/>
      <c r="O29" s="260" t="str">
        <f>IF(OR(ISBLANK('WEEK 38'!T26),ISBLANK('WEEK 38'!T25),ISBLANK('WEEK 38'!T24)),"FILL OUT REP LOG FIRST","DOWN SETS")</f>
        <v>FILL OUT REP LOG FIRST</v>
      </c>
      <c r="P29" s="16"/>
      <c r="Q29" s="16"/>
      <c r="R29" s="16"/>
      <c r="S29" s="16"/>
      <c r="T29" s="230"/>
    </row>
    <row r="30">
      <c r="A30" s="246" t="str">
        <f>IF(OR(ISBLANK('WEEK 38'!F26),ISBLANK('WEEK 38'!F25),ISBLANK('WEEK 38'!F24)),"FILL OUT REP LOG FOR DOWN SETS","DOWN SETS")</f>
        <v>DOWN SETS</v>
      </c>
      <c r="B30" s="20"/>
      <c r="C30" s="20"/>
      <c r="D30" s="20"/>
      <c r="E30" s="20"/>
      <c r="F30" s="95"/>
      <c r="H30" s="91" t="str">
        <f>IF('WEEK 38'!M28&gt;=4,"",IF(OR(ISBLANK('WEEK 38'!M26),ISBLANK('WEEK 38'!M25),ISBLANK('WEEK 38'!M24)),"",IF('WEEK 38'!M26&gt;5,6,5)))</f>
        <v/>
      </c>
      <c r="I30" s="261" t="str">
        <f>IF('WEEK 38'!M28&gt;=4,"",IF(OR(ISBLANK('WEEK 38'!M26),ISBLANK('WEEK 38'!M25),ISBLANK('WEEK 38'!M24)),"",IF('WEEK 38'!M26&lt;6,mround('WEEK 38'!I21*0.8,5),IF('WEEK 38'!M26&lt;10,mround('WEEK 38'!I21*0.93,5),mround('WEEK 38'!I21*0.7,5)))))</f>
        <v/>
      </c>
      <c r="J30" s="262" t="str">
        <f>IF('WEEK 38'!M28&gt;=4,"",IF(OR(ISBLANK('WEEK 38'!M26),ISBLANK('WEEK 38'!M25),ISBLANK('WEEK 38'!M24)),"","REP OUT"))</f>
        <v/>
      </c>
      <c r="K30" s="65" t="str">
        <f>IF('WEEK 38'!M28&gt;=4,"",IF(OR(ISBLANK('WEEK 38'!M26),ISBLANK('WEEK 38'!M25),ISBLANK('WEEK 38'!M24)),"","1-3 MIN"))</f>
        <v/>
      </c>
      <c r="L30" s="66" t="str">
        <f>IF('WEEK 38'!I30='WEEK 35'!I30,'WEEK 35'!M30,"")</f>
        <v/>
      </c>
      <c r="M30" s="263"/>
      <c r="O30" s="91" t="str">
        <f>IF('WEEK 38'!T28&gt;=4,"",IF(OR(ISBLANK('WEEK 38'!T26),ISBLANK('WEEK 38'!T25),ISBLANK('WEEK 38'!T24)),"",IF('WEEK 38'!T26&gt;5,6,5)))</f>
        <v/>
      </c>
      <c r="P30" s="261" t="str">
        <f>IF('WEEK 38'!T28&gt;=4,"",IF(OR(ISBLANK('WEEK 38'!T26),ISBLANK('WEEK 38'!T25),ISBLANK('WEEK 38'!T24)),"",IF('WEEK 38'!T26&lt;6,mround('WEEK 38'!P21*0.8,5),IF('WEEK 38'!T26&lt;10,mround('WEEK 38'!P21*0.93,5),mround('WEEK 38'!P21*0.7,5)))))</f>
        <v/>
      </c>
      <c r="Q30" s="262" t="str">
        <f>IF('WEEK 38'!T28&gt;=4,"",IF(OR(ISBLANK('WEEK 38'!T26),ISBLANK('WEEK 38'!T25),ISBLANK('WEEK 38'!T24)),"","REP OUT"))</f>
        <v/>
      </c>
      <c r="R30" s="65" t="str">
        <f>IF('WEEK 38'!T28&gt;=4,"",IF(OR(ISBLANK('WEEK 38'!T26),ISBLANK('WEEK 38'!T25),ISBLANK('WEEK 38'!T24)),"","1-3 MIN"))</f>
        <v/>
      </c>
      <c r="S30" s="66" t="str">
        <f>IF('WEEK 38'!P30='WEEK 35'!P30,'WEEK 35'!T30,"")</f>
        <v/>
      </c>
      <c r="T30" s="263"/>
    </row>
    <row r="31">
      <c r="A31" s="264">
        <f>IF(OR(ISBLANK('WEEK 38'!F26),ISBLANK('WEEK 38'!F25),ISBLANK('WEEK 38'!F24)),"",IF((AND('WEEK 38'!A28="",'WEEK 38'!A29="")),5,IF((AND('WEEK 38'!A28&gt;1,'WEEK 38'!A29="")),6,7)))</f>
        <v>6</v>
      </c>
      <c r="B31" s="265">
        <f>IF(OR(ISBLANK('WEEK 38'!F26),ISBLANK('WEEK 38'!F25),ISBLANK('WEEK 38'!F24)),"",MROUND('WEEK 38'!B33*0.9,5))</f>
        <v>235</v>
      </c>
      <c r="C31" s="266" t="str">
        <f>IF(OR(ISBLANK('WEEK 38'!F26),ISBLANK('WEEK 38'!F25),ISBLANK('WEEK 38'!F24)),"","REP OUT")</f>
        <v>REP OUT</v>
      </c>
      <c r="D31" s="267" t="str">
        <f>IF(OR(ISBLANK('WEEK 38'!F26),ISBLANK('WEEK 38'!F25),ISBLANK('WEEK 38'!F24)),"","1-3 MIN")</f>
        <v>1-3 MIN</v>
      </c>
      <c r="E31" s="66">
        <f>IF('WEEK 38'!B31='WEEK 35'!B31,'WEEK 35'!F31,"")</f>
        <v>1</v>
      </c>
      <c r="F31" s="67"/>
      <c r="H31" s="269" t="str">
        <f>IF('WEEK 38'!M28&gt;=4,"",IF(OR(ISBLANK('WEEK 38'!M26),ISBLANK('WEEK 38'!M25),ISBLANK('WEEK 38'!M24)),"",IF('WEEK 38'!M26&gt;5,7,6)))</f>
        <v/>
      </c>
      <c r="I31" s="254" t="str">
        <f>IF('WEEK 38'!M28&gt;=4,"",IF(OR(ISBLANK('WEEK 38'!M26),ISBLANK('WEEK 38'!M25),ISBLANK('WEEK 38'!M24)),"",IF('WEEK 38'!M26&lt;6,mround('WEEK 38'!I21*0.65,5),IF('WEEK 38'!M26&lt;10,mround('WEEK 38'!I21*0.7,5),mround('WEEK 38'!I21*0.65,5)))))</f>
        <v/>
      </c>
      <c r="J31" s="253" t="str">
        <f>IF('WEEK 38'!M28&gt;=4,"",IF(OR(ISBLANK('WEEK 38'!M26),ISBLANK('WEEK 38'!M25),ISBLANK('WEEK 38'!M24)),"","REP OUT"))</f>
        <v/>
      </c>
      <c r="K31" s="65" t="str">
        <f>IF('WEEK 38'!M28&gt;=4,"",IF(OR(ISBLANK('WEEK 38'!M26),ISBLANK('WEEK 38'!M25),ISBLANK('WEEK 38'!M24)),"","1-3 MIN"))</f>
        <v/>
      </c>
      <c r="L31" s="66" t="str">
        <f>IF('WEEK 38'!I31='WEEK 35'!I31,'WEEK 35'!M31,"")</f>
        <v/>
      </c>
      <c r="M31" s="270"/>
      <c r="O31" s="269" t="str">
        <f>IF('WEEK 38'!T28&gt;=4,"",IF(OR(ISBLANK('WEEK 38'!T26),ISBLANK('WEEK 38'!T25),ISBLANK('WEEK 38'!T24)),"",IF('WEEK 38'!T26&gt;5,7,6)))</f>
        <v/>
      </c>
      <c r="P31" s="254" t="str">
        <f>IF('WEEK 38'!T28&gt;=4,"",IF(OR(ISBLANK('WEEK 38'!T26),ISBLANK('WEEK 38'!T25),ISBLANK('WEEK 38'!T24)),"",IF('WEEK 38'!T26&lt;6,mround('WEEK 38'!P21*0.65,5),IF('WEEK 38'!T26&lt;10,mround('WEEK 38'!P21*0.7,5),mround('WEEK 38'!P21*0.65,5)))))</f>
        <v/>
      </c>
      <c r="Q31" s="253" t="str">
        <f>IF('WEEK 38'!T28&gt;=4,"",IF(OR(ISBLANK('WEEK 38'!T26),ISBLANK('WEEK 38'!T25),ISBLANK('WEEK 38'!T24)),"","REP OUT"))</f>
        <v/>
      </c>
      <c r="R31" s="65" t="str">
        <f>IF('WEEK 38'!T28&gt;=4,"",IF(OR(ISBLANK('WEEK 38'!T26),ISBLANK('WEEK 38'!T25),ISBLANK('WEEK 38'!T24)),"","1 MIN"))</f>
        <v/>
      </c>
      <c r="S31" s="66" t="str">
        <f>IF('WEEK 38'!P31='WEEK 35'!P31,'WEEK 35'!T31,"")</f>
        <v/>
      </c>
      <c r="T31" s="270"/>
    </row>
    <row r="32">
      <c r="A32" s="243">
        <f>IF(OR(ISBLANK('WEEK 38'!F26),ISBLANK('WEEK 38'!F25),ISBLANK('WEEK 38'!F24)),"",IF((AND('WEEK 38'!A28="",'WEEK 38'!A29="")),6,IF((AND('WEEK 38'!A28&gt;1,'WEEK 38'!A29="")),7,8)))</f>
        <v>7</v>
      </c>
      <c r="B32" s="237">
        <f>IF(OR(ISBLANK('WEEK 38'!F26),ISBLANK('WEEK 38'!F25),ISBLANK('WEEK 38'!F24)),"",mround('WEEK 38'!B33*0.78,5))</f>
        <v>205</v>
      </c>
      <c r="C32" s="245" t="str">
        <f>IF(OR(ISBLANK('WEEK 38'!F26),ISBLANK('WEEK 38'!F25),ISBLANK('WEEK 38'!F24)),"","REP OUT")</f>
        <v>REP OUT</v>
      </c>
      <c r="D32" s="65" t="str">
        <f>IF(OR(ISBLANK('WEEK 38'!F26),ISBLANK('WEEK 38'!F25),ISBLANK('WEEK 38'!F24)),"","1-3 MIN")</f>
        <v>1-3 MIN</v>
      </c>
      <c r="E32" s="66">
        <f>IF('WEEK 38'!B32='WEEK 35'!B32,'WEEK 35'!F32,"")</f>
        <v>6</v>
      </c>
      <c r="F32" s="271"/>
      <c r="H32" s="269" t="str">
        <f>IF('WEEK 38'!M28&lt;4,"",IF(OR(ISBLANK('WEEK 38'!M26),ISBLANK('WEEK 38'!M25),ISBLANK('WEEK 38'!M24)),"",IF('WEEK 38'!M28&gt;3,6,5)))</f>
        <v/>
      </c>
      <c r="I32" s="254" t="str">
        <f>IF('WEEK 38'!M28&lt;4,"",IF(OR(ISBLANK('WEEK 38'!M26),ISBLANK('WEEK 38'!M25),ISBLANK('WEEK 38'!M24)),"",IF('WEEK 38'!M28&lt;6,mround('WEEK 38'!I34*0.7,5),IF('WEEK 38'!M28&lt;10,mround('WEEK 38'!I34*0.8,5),mround(I34*0.93,5)))))</f>
        <v/>
      </c>
      <c r="J32" s="253" t="str">
        <f>IF('WEEK 38'!M28&lt;4,"",IF(OR(ISBLANK('WEEK 38'!M26),ISBLANK('WEEK 38'!M25),ISBLANK('WEEK 38'!M24)),"","REP OUT"))</f>
        <v/>
      </c>
      <c r="K32" s="65" t="str">
        <f>IF('WEEK 38'!M28&lt;4,"",IF(OR(ISBLANK('WEEK 38'!M26),ISBLANK('WEEK 38'!M25),ISBLANK('WEEK 38'!M24)),"","1-3 MIN"))</f>
        <v/>
      </c>
      <c r="L32" s="66" t="str">
        <f>IF('WEEK 38'!I32='WEEK 35'!I32,'WEEK 35'!M32,"")</f>
        <v/>
      </c>
      <c r="M32" s="270"/>
      <c r="N32" s="141"/>
      <c r="O32" s="269" t="str">
        <f>IF('WEEK 38'!T28&lt;4,"",IF(OR(ISBLANK('WEEK 38'!T26),ISBLANK('WEEK 38'!T25),ISBLANK('WEEK 38'!T24)),"",IF('WEEK 38'!T28&gt;3,6,5)))</f>
        <v/>
      </c>
      <c r="P32" s="254" t="str">
        <f>IF('WEEK 38'!T28&lt;4,"",IF(OR(ISBLANK('WEEK 38'!T26),ISBLANK('WEEK 38'!T25),ISBLANK('WEEK 38'!T24)),"",IF('WEEK 38'!T28&lt;6,mround('WEEK 38'!P34*0.7,5),IF('WEEK 38'!T28&lt;10,mround('WEEK 38'!P34*0.8,5),mround(P34*0.93,5)))))</f>
        <v/>
      </c>
      <c r="Q32" s="253" t="str">
        <f>IF('WEEK 38'!T28&lt;4,"",IF(OR(ISBLANK('WEEK 38'!T26),ISBLANK('WEEK 38'!T25),ISBLANK('WEEK 38'!T24)),"","REP OUT"))</f>
        <v/>
      </c>
      <c r="R32" s="65" t="str">
        <f>IF('WEEK 38'!T28&lt;4,"",IF(OR(ISBLANK('WEEK 38'!T26),ISBLANK('WEEK 38'!T25),ISBLANK('WEEK 38'!T24)),"","1-3 MIN"))</f>
        <v/>
      </c>
      <c r="S32" s="66" t="str">
        <f>IF('WEEK 38'!P32='WEEK 35'!P32,'WEEK 35'!T32,"")</f>
        <v/>
      </c>
      <c r="T32" s="263"/>
    </row>
    <row r="33">
      <c r="A33" s="272" t="s">
        <v>124</v>
      </c>
      <c r="B33" s="273">
        <f>IF(OR(ISBLANK('WEEK 38'!F26),ISBLANK('WEEK 38'!F25),ISBLANK('WEEK 38'!F24)),"",IF('WEEK 38'!F29&gt;=1,'WEEK 38'!B29,IF('WEEK 38'!F28&gt;=1,'WEEK 38'!B28,IF('WEEK 38'!F26&lt;1,'WEEK 38'!B26-5,'WEEK 38'!B26))))</f>
        <v>260</v>
      </c>
      <c r="C33" s="11"/>
      <c r="D33" s="11"/>
      <c r="E33" s="11"/>
      <c r="F33" s="46"/>
      <c r="H33" s="269" t="str">
        <f>IF('WEEK 38'!M28&lt;4,"",IF(OR(ISBLANK('WEEK 38'!M26),ISBLANK('WEEK 38'!M25),ISBLANK('WEEK 38'!M24)),"",IF('WEEK 38'!M28&gt;3,7,"")))</f>
        <v/>
      </c>
      <c r="I33" s="254" t="str">
        <f>IF('WEEK 38'!M28&lt;4,"",IF(OR(ISBLANK('WEEK 38'!M26),ISBLANK('WEEK 38'!M25),ISBLANK('WEEK 38'!M24)),"",IF('WEEK 38'!M28&lt;6,mround('WEEK 38'!I34*0.65,5),IF('WEEK 38'!M28&lt;10,mround('WEEK 38'!I34*0.7,5),mround(I34*0.75,5)))))</f>
        <v/>
      </c>
      <c r="J33" s="253" t="str">
        <f>IF('WEEK 38'!M28&lt;4,"",IF(OR(ISBLANK('WEEK 38'!M26),ISBLANK('WEEK 38'!M25),ISBLANK('WEEK 38'!M24)),"","REP OUT"))</f>
        <v/>
      </c>
      <c r="K33" s="65" t="str">
        <f>IF('WEEK 38'!M28&lt;4,"",IF(OR(ISBLANK('WEEK 38'!M26),ISBLANK('WEEK 38'!M25),ISBLANK('WEEK 38'!M24)),"","1-3 MIN"))</f>
        <v/>
      </c>
      <c r="L33" s="66" t="str">
        <f>IF('WEEK 38'!I33='WEEK 35'!I33,'WEEK 35'!M33,"")</f>
        <v/>
      </c>
      <c r="M33" s="270"/>
      <c r="N33" s="141"/>
      <c r="O33" s="269" t="str">
        <f>IF('WEEK 38'!T28&lt;4,"",IF(OR(ISBLANK('WEEK 38'!T26),ISBLANK('WEEK 38'!T25),ISBLANK('WEEK 38'!T24)),"",IF('WEEK 38'!T28&gt;3,7,"")))</f>
        <v/>
      </c>
      <c r="P33" s="254" t="str">
        <f>IF('WEEK 38'!T28&lt;4,"",IF(OR(ISBLANK('WEEK 38'!T26),ISBLANK('WEEK 38'!T25),ISBLANK('WEEK 38'!T24)),"",IF('WEEK 38'!T28&lt;6,mround('WEEK 38'!P34*0.65,5),IF('WEEK 38'!T28&lt;10,mround('WEEK 38'!P34*0.7,5),mround(P34*0.75,5)))))</f>
        <v/>
      </c>
      <c r="Q33" s="253" t="str">
        <f>IF('WEEK 38'!T28&lt;4,"",IF(OR(ISBLANK('WEEK 38'!T26),ISBLANK('WEEK 38'!T25),ISBLANK('WEEK 38'!T24)),"","REP OUT"))</f>
        <v/>
      </c>
      <c r="R33" s="65" t="str">
        <f>IF('WEEK 38'!T28&lt;4,"",IF(OR(ISBLANK('WEEK 38'!T26),ISBLANK('WEEK 38'!T25),ISBLANK('WEEK 38'!T24)),"","1-3 MIN"))</f>
        <v/>
      </c>
      <c r="S33" s="66" t="str">
        <f>IF('WEEK 38'!P33='WEEK 35'!P33,'WEEK 35'!T33,"")</f>
        <v/>
      </c>
      <c r="T33" s="263"/>
    </row>
    <row r="34">
      <c r="H34" s="280" t="s">
        <v>124</v>
      </c>
      <c r="I34" s="273" t="str">
        <f>IF(OR(ISBLANK('WEEK 38'!M24),ISBLANK('WEEK 38'!M25),ISBLANK('WEEK 38'!M26)),"",IF('WEEK 38'!M28&gt;=4,'WEEK 38'!I28,IF('WEEK 38'!M26&lt;=3,'WEEK 38'!I26-5,'WEEK 38'!I26)))</f>
        <v/>
      </c>
      <c r="J34" s="11"/>
      <c r="K34" s="11"/>
      <c r="L34" s="11"/>
      <c r="M34" s="46"/>
      <c r="N34" s="141"/>
      <c r="O34" s="280" t="s">
        <v>124</v>
      </c>
      <c r="P34" s="273" t="str">
        <f>IF(OR(ISBLANK('WEEK 38'!T24),ISBLANK('WEEK 38'!T25),ISBLANK('WEEK 38'!T26)),"",IF('WEEK 38'!T28&gt;=4,'WEEK 38'!P28,IF('WEEK 38'!T26&lt;=3,'WEEK 38'!P26-5,'WEEK 38'!P26)))</f>
        <v/>
      </c>
      <c r="Q34" s="11"/>
      <c r="R34" s="11"/>
      <c r="S34" s="11"/>
      <c r="T34" s="46"/>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228</v>
      </c>
      <c r="B38" s="548" t="str">
        <f>IF('WEEK 38'!I34="",'WEEK 12'!B34,'WEEK 38'!I34)</f>
        <v/>
      </c>
      <c r="C38" s="13"/>
      <c r="D38" s="13"/>
      <c r="E38" s="13"/>
      <c r="F38" s="57"/>
      <c r="H38" s="226" t="s">
        <v>228</v>
      </c>
      <c r="I38" s="548" t="str">
        <f>'WEEK 38'!B38</f>
        <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38'!B38*0.29,2.5)</f>
        <v>0</v>
      </c>
      <c r="C40" s="241">
        <v>15.0</v>
      </c>
      <c r="D40" s="83" t="s">
        <v>127</v>
      </c>
      <c r="E40" s="84" t="str">
        <f>IF('WEEK 34'!B40='WEEK 31'!B40,'WEEK 34'!F40,"")</f>
        <v/>
      </c>
      <c r="F40" s="85"/>
      <c r="H40" s="240">
        <v>1.0</v>
      </c>
      <c r="I40" s="254">
        <f>mround('WEEK 38'!I38*2*0.75,10)</f>
        <v>0</v>
      </c>
      <c r="J40" s="241">
        <v>15.0</v>
      </c>
      <c r="K40" s="83" t="s">
        <v>127</v>
      </c>
      <c r="L40" s="84" t="str">
        <f>IF('WEEK 34'!I40='WEEK 31'!J40,'WEEK 34'!M40,"")</f>
        <v/>
      </c>
      <c r="M40" s="85"/>
    </row>
    <row r="41">
      <c r="A41" s="661">
        <v>2.0</v>
      </c>
      <c r="B41" s="662">
        <f>mround('WEEK 38'!B38*0.29,2.5)</f>
        <v>0</v>
      </c>
      <c r="C41" s="662">
        <v>15.0</v>
      </c>
      <c r="D41" s="88" t="s">
        <v>127</v>
      </c>
      <c r="E41" s="89" t="str">
        <f>IF('WEEK 34'!B41='WEEK 31'!B41,'WEEK 34'!F41,"")</f>
        <v/>
      </c>
      <c r="F41" s="85"/>
      <c r="H41" s="661">
        <v>2.0</v>
      </c>
      <c r="I41" s="662">
        <f>mround('WEEK 38'!I38*2*0.75,10)</f>
        <v>0</v>
      </c>
      <c r="J41" s="662">
        <v>15.0</v>
      </c>
      <c r="K41" s="88" t="s">
        <v>127</v>
      </c>
      <c r="L41" s="89" t="str">
        <f>IF('WEEK 34'!I41='WEEK 31'!J41,'WEEK 34'!M41,"")</f>
        <v/>
      </c>
      <c r="M41" s="85"/>
    </row>
    <row r="44">
      <c r="A44" s="73" t="str">
        <f>HYPERLINK("https://youtu.be/9YH1YvZbiY0","3. MACHINE LOW ROW ")</f>
        <v>3. MACHINE LOW ROW </v>
      </c>
      <c r="B44" s="53"/>
      <c r="C44" s="53"/>
      <c r="D44" s="53"/>
      <c r="E44" s="53"/>
      <c r="F44" s="54"/>
    </row>
    <row r="45">
      <c r="A45" s="226" t="s">
        <v>119</v>
      </c>
      <c r="B45" s="227">
        <f>'WEEK 37'!B56</f>
        <v>220</v>
      </c>
      <c r="C45" s="20"/>
      <c r="D45" s="20"/>
      <c r="E45" s="20"/>
      <c r="F45" s="95"/>
    </row>
    <row r="46">
      <c r="A46" s="231" t="s">
        <v>50</v>
      </c>
      <c r="B46" s="232" t="s">
        <v>51</v>
      </c>
      <c r="C46" s="232" t="s">
        <v>52</v>
      </c>
      <c r="D46" s="232" t="s">
        <v>53</v>
      </c>
      <c r="E46" s="233" t="s">
        <v>54</v>
      </c>
      <c r="F46" s="61" t="s">
        <v>55</v>
      </c>
    </row>
    <row r="47">
      <c r="A47" s="236">
        <v>1.0</v>
      </c>
      <c r="B47" s="237">
        <f>mround('WEEK 26'!B45*0.35,5)</f>
        <v>65</v>
      </c>
      <c r="C47" s="237">
        <v>6.0</v>
      </c>
      <c r="D47" s="238" t="s">
        <v>120</v>
      </c>
      <c r="E47" s="66"/>
      <c r="F47" s="67"/>
    </row>
    <row r="48">
      <c r="A48" s="236">
        <v>2.0</v>
      </c>
      <c r="B48" s="237">
        <f>mround('WEEK 38'!B45*0.65,5)</f>
        <v>145</v>
      </c>
      <c r="C48" s="238">
        <v>3.0</v>
      </c>
      <c r="D48" s="238" t="s">
        <v>121</v>
      </c>
      <c r="E48" s="66"/>
      <c r="F48" s="67"/>
    </row>
    <row r="49">
      <c r="A49" s="242">
        <v>3.0</v>
      </c>
      <c r="B49" s="237">
        <f>mround('WEEK 38'!B45*0.9,5)</f>
        <v>200</v>
      </c>
      <c r="C49" s="63">
        <v>2.0</v>
      </c>
      <c r="D49" s="238" t="s">
        <v>121</v>
      </c>
      <c r="E49" s="66"/>
      <c r="F49" s="67"/>
    </row>
    <row r="50">
      <c r="A50" s="243">
        <v>4.0</v>
      </c>
      <c r="B50" s="237">
        <f>'WEEK 38'!B45</f>
        <v>220</v>
      </c>
      <c r="C50" s="257">
        <v>3.0</v>
      </c>
      <c r="D50" s="238" t="s">
        <v>122</v>
      </c>
      <c r="E50" s="66"/>
      <c r="F50" s="67"/>
    </row>
    <row r="51">
      <c r="A51" s="246" t="str">
        <f>IF('WEEK 38'!F50&lt;3,"PROCEED TO DOWN SETS","NEW 4 REP MAX ATTEMPT")</f>
        <v>PROCEED TO DOWN SETS</v>
      </c>
      <c r="B51" s="20"/>
      <c r="C51" s="20"/>
      <c r="D51" s="20"/>
      <c r="E51" s="20"/>
      <c r="F51" s="95"/>
    </row>
    <row r="52">
      <c r="A52" s="249" t="str">
        <f>if('WEEK 38'!F50&lt;=2,"",5)</f>
        <v/>
      </c>
      <c r="B52" s="175" t="str">
        <f>IF('WEEK 38'!F50&lt;=2,"",'WEEK 38'!B50+5)</f>
        <v/>
      </c>
      <c r="C52" s="238" t="str">
        <f>if('WEEK 38'!F50&lt;=2,"",4)</f>
        <v/>
      </c>
      <c r="D52" s="238" t="str">
        <f>if('WEEK 38'!F50&lt;=2,"","1-5 MIN")</f>
        <v/>
      </c>
      <c r="E52" s="250"/>
      <c r="F52" s="67"/>
    </row>
    <row r="53">
      <c r="A53" s="259" t="str">
        <f>IF('WEEK 38'!F52&lt;4,"","6")</f>
        <v/>
      </c>
      <c r="B53" s="237" t="str">
        <f>IF('WEEK 38'!F52&lt;4,"",'WEEK 38'!B52+5)</f>
        <v/>
      </c>
      <c r="C53" s="257" t="str">
        <f>IF('WEEK 38'!F52&lt;4,"","4")</f>
        <v/>
      </c>
      <c r="D53" s="257" t="str">
        <f>IF('WEEK 38'!F52&lt;4,"","1-5 MIN")</f>
        <v/>
      </c>
      <c r="E53" s="258"/>
      <c r="F53" s="67"/>
    </row>
    <row r="54">
      <c r="A54" s="246" t="s">
        <v>133</v>
      </c>
      <c r="B54" s="20"/>
      <c r="C54" s="20"/>
      <c r="D54" s="20"/>
      <c r="E54" s="20"/>
      <c r="F54" s="95"/>
    </row>
    <row r="55">
      <c r="A55" s="264" t="str">
        <f>IF(OR(ISBLANK('WEEK 38'!F50),ISBLANK('WEEK 38'!F49),ISBLANK('WEEK 38'!F48)),"",IF((AND('WEEK 38'!A52="",'WEEK 38'!A53="")),5,IF((AND('WEEK 38'!A52&gt;1,'WEEK 38'!A53="")),6,7)))</f>
        <v/>
      </c>
      <c r="B55" s="265">
        <f>MROUND('WEEK 38'!B57*0.8,5)</f>
        <v>0</v>
      </c>
      <c r="C55" s="266" t="s">
        <v>65</v>
      </c>
      <c r="D55" s="267" t="s">
        <v>127</v>
      </c>
      <c r="E55" s="268"/>
      <c r="F55" s="67"/>
    </row>
    <row r="56">
      <c r="A56" s="243" t="str">
        <f>IF(OR(ISBLANK('WEEK 38'!F50),ISBLANK('WEEK 38'!F49),ISBLANK('WEEK 38'!F48)),"",IF((AND('WEEK 38'!A52="",'WEEK 38'!A53="")),6,IF((AND('WEEK 38'!A52&gt;1,'WEEK 38'!A53="")),7,8)))</f>
        <v/>
      </c>
      <c r="B56" s="237">
        <f>mround('WEEK 38'!B57*0.7,5)</f>
        <v>0</v>
      </c>
      <c r="C56" s="245" t="s">
        <v>65</v>
      </c>
      <c r="D56" s="65" t="s">
        <v>127</v>
      </c>
      <c r="E56" s="258"/>
      <c r="F56" s="271"/>
    </row>
    <row r="57">
      <c r="A57" s="272" t="s">
        <v>124</v>
      </c>
      <c r="B57" s="273" t="str">
        <f>IF(OR(ISBLANK('WEEK 38'!F50),ISBLANK('WEEK 38'!F49),ISBLANK('WEEK 38'!F48)),"",IF('WEEK 38'!F53&gt;=4,'WEEK 38'!B53,IF('WEEK 38'!F52&gt;=1,'WEEK 38'!B52,IF('WEEK 38'!F50&lt;3,'WEEK 38'!B50-5,'WEEK 38'!B50))))</f>
        <v/>
      </c>
      <c r="C57" s="11"/>
      <c r="D57" s="11"/>
      <c r="E57" s="11"/>
      <c r="F57" s="46"/>
    </row>
    <row r="58">
      <c r="A58" s="292"/>
      <c r="B58" s="292"/>
      <c r="C58" s="292"/>
      <c r="D58" s="292"/>
      <c r="E58" s="292"/>
      <c r="F58" s="292"/>
    </row>
    <row r="59">
      <c r="A59" s="73" t="str">
        <f>HYPERLINK("https://youtu.be/hMUUvL3FlkE","4. HIGH ROW")</f>
        <v>4. HIGH ROW</v>
      </c>
      <c r="B59" s="53"/>
      <c r="C59" s="53"/>
      <c r="D59" s="53"/>
      <c r="E59" s="53"/>
      <c r="F59" s="54"/>
    </row>
    <row r="60">
      <c r="A60" s="282" t="s">
        <v>119</v>
      </c>
      <c r="B60" s="56">
        <f>'WEEK 37'!B64</f>
        <v>205</v>
      </c>
      <c r="C60" s="13"/>
      <c r="D60" s="13"/>
      <c r="E60" s="13"/>
      <c r="F60" s="57"/>
    </row>
    <row r="61">
      <c r="A61" s="58" t="s">
        <v>50</v>
      </c>
      <c r="B61" s="59" t="s">
        <v>51</v>
      </c>
      <c r="C61" s="59" t="s">
        <v>52</v>
      </c>
      <c r="D61" s="59" t="s">
        <v>53</v>
      </c>
      <c r="E61" s="60" t="s">
        <v>54</v>
      </c>
      <c r="F61" s="61" t="s">
        <v>55</v>
      </c>
    </row>
    <row r="62">
      <c r="A62" s="62">
        <v>1.0</v>
      </c>
      <c r="B62" s="63">
        <f>MROUND('WEEK 38'!B60*0.85,5)</f>
        <v>175</v>
      </c>
      <c r="C62" s="104" t="s">
        <v>65</v>
      </c>
      <c r="D62" s="65" t="s">
        <v>127</v>
      </c>
      <c r="E62" s="84" t="str">
        <f>IF('WEEK 25'!B68='WEEK 38'!B62,'WEEK 25'!F68,"")</f>
        <v/>
      </c>
      <c r="F62" s="67"/>
    </row>
    <row r="63">
      <c r="A63" s="62">
        <v>2.0</v>
      </c>
      <c r="B63" s="63">
        <f>IF('WEEK 38'!F62&lt;6,MROUND('WEEK 38'!B60*0.75,5),IF('WEEK 38'!F62&lt;=10,MROUND('WEEK 38'!B60*0.85,5),'WEEK 38'!B62))</f>
        <v>155</v>
      </c>
      <c r="C63" s="104" t="s">
        <v>65</v>
      </c>
      <c r="D63" s="65" t="s">
        <v>127</v>
      </c>
      <c r="E63" s="84" t="str">
        <f>IF('WEEK 25'!B69='WEEK 38'!B63,'WEEK 25'!F69,"")</f>
        <v/>
      </c>
      <c r="F63" s="67"/>
    </row>
    <row r="64">
      <c r="A64" s="68">
        <v>3.0</v>
      </c>
      <c r="B64" s="69">
        <f>IF('WEEK 38'!F63&lt;6,MROUND('WEEK 38'!B60*0.75,5),IF('WEEK 38'!F63&lt;=10,MROUND('WEEK 38'!B60*0.85,5),'WEEK 38'!B63))</f>
        <v>155</v>
      </c>
      <c r="C64" s="105" t="s">
        <v>65</v>
      </c>
      <c r="D64" s="65" t="s">
        <v>127</v>
      </c>
      <c r="E64" s="89" t="str">
        <f>IF('WEEK 25'!B70='WEEK 38'!B64,'WEEK 25'!F70,"")</f>
        <v/>
      </c>
      <c r="F64" s="67"/>
    </row>
    <row r="65">
      <c r="A65" s="657"/>
    </row>
    <row r="67">
      <c r="A67" s="440" t="str">
        <f>HYPERLINK("https://www.youtube.com/watch?v=PnaDzYh2axA","5. LAT PULL DOWN")</f>
        <v>5. LAT PULL DOWN</v>
      </c>
      <c r="B67" s="53"/>
      <c r="C67" s="53"/>
      <c r="D67" s="53"/>
      <c r="E67" s="53"/>
      <c r="F67" s="54"/>
    </row>
    <row r="68">
      <c r="A68" s="282" t="s">
        <v>119</v>
      </c>
      <c r="B68" s="56">
        <f>if('WEEK 37'!B52="",'WEEK 37'!B40,'WEEK 37'!B52)</f>
        <v>235</v>
      </c>
      <c r="C68" s="13"/>
      <c r="D68" s="13"/>
      <c r="E68" s="13"/>
      <c r="F68" s="57"/>
    </row>
    <row r="69">
      <c r="A69" s="58" t="s">
        <v>50</v>
      </c>
      <c r="B69" s="59" t="s">
        <v>51</v>
      </c>
      <c r="C69" s="59" t="s">
        <v>52</v>
      </c>
      <c r="D69" s="59" t="s">
        <v>53</v>
      </c>
      <c r="E69" s="60" t="s">
        <v>54</v>
      </c>
      <c r="F69" s="61" t="s">
        <v>55</v>
      </c>
    </row>
    <row r="70">
      <c r="A70" s="62">
        <v>1.0</v>
      </c>
      <c r="B70" s="63">
        <f>'WEEK 38'!B68*0.8</f>
        <v>188</v>
      </c>
      <c r="C70" s="104" t="s">
        <v>65</v>
      </c>
      <c r="D70" s="65" t="s">
        <v>127</v>
      </c>
      <c r="E70" s="66"/>
      <c r="F70" s="67"/>
    </row>
    <row r="71">
      <c r="A71" s="62">
        <v>2.0</v>
      </c>
      <c r="B71" s="663">
        <f>IF('WEEK 38'!F70&lt;6,MROUND('WEEK 38'!B70*0.85,5),IF('WEEK 38'!F70&lt;=10,MROUND('WEEK 38'!B70*0.95,5),'WEEK 38'!B70))</f>
        <v>160</v>
      </c>
      <c r="C71" s="104" t="s">
        <v>65</v>
      </c>
      <c r="D71" s="65" t="s">
        <v>127</v>
      </c>
      <c r="E71" s="66"/>
      <c r="F71" s="67"/>
    </row>
    <row r="72">
      <c r="A72" s="325">
        <v>3.0</v>
      </c>
      <c r="B72" s="663">
        <f>IF('WEEK 38'!F71&lt;6,MROUND('WEEK 38'!B71*0.85,5),IF('WEEK 38'!F71&lt;=10,MROUND('WEEK 38'!B71*0.95,5),'WEEK 38'!B71))</f>
        <v>135</v>
      </c>
      <c r="C72" s="327" t="s">
        <v>65</v>
      </c>
      <c r="D72" s="65" t="s">
        <v>127</v>
      </c>
      <c r="E72" s="664"/>
      <c r="F72" s="665"/>
    </row>
    <row r="73">
      <c r="A73" s="580"/>
      <c r="B73" s="666"/>
      <c r="C73" s="667"/>
      <c r="D73" s="666"/>
      <c r="E73" s="668"/>
      <c r="F73" s="666"/>
    </row>
    <row r="74">
      <c r="A74" s="581" t="str">
        <f>HYPERLINK("https://docs.google.com/a/fitnessresults.com/forms/d/e/1FAIpQLSd7MoczESe8Yjv6BKpmwAZGn9Aiymrs9-UdgfYIUpbr9t5NXg/viewform?usp=pp_url&amp;entry.93370101","CLICK TO COMPLETE WORKOUT")</f>
        <v>CLICK TO COMPLETE WORKOUT</v>
      </c>
      <c r="B74" s="25"/>
      <c r="C74" s="25"/>
      <c r="D74" s="25"/>
      <c r="E74" s="25"/>
      <c r="F74" s="26"/>
    </row>
    <row r="75">
      <c r="A75" s="336"/>
      <c r="B75" s="11"/>
      <c r="C75" s="11"/>
      <c r="D75" s="11"/>
      <c r="E75" s="11"/>
      <c r="F75" s="46"/>
    </row>
    <row r="76">
      <c r="A76" s="582"/>
      <c r="B76" s="582"/>
      <c r="C76" s="582"/>
      <c r="D76" s="582"/>
      <c r="E76" s="582"/>
      <c r="F76" s="582"/>
    </row>
    <row r="77">
      <c r="A77" s="669" t="s">
        <v>128</v>
      </c>
      <c r="B77" s="11"/>
      <c r="C77" s="11"/>
      <c r="D77" s="11"/>
      <c r="E77" s="11"/>
      <c r="F77" s="46"/>
    </row>
    <row r="80">
      <c r="A80" s="1355" t="str">
        <f>HYPERLINK("https://www.youtube.com/watch?v=5UOeRbRoFOI","1. MACHINE SQUAT")</f>
        <v>1. MACHINE SQUAT</v>
      </c>
      <c r="B80" s="53"/>
      <c r="C80" s="53"/>
      <c r="D80" s="53"/>
      <c r="E80" s="53"/>
      <c r="F80" s="54"/>
    </row>
    <row r="81">
      <c r="A81" s="1262" t="s">
        <v>216</v>
      </c>
      <c r="B81" s="1035">
        <f>'WEEK 34'!B86</f>
        <v>35</v>
      </c>
      <c r="C81" s="13"/>
      <c r="D81" s="13"/>
      <c r="E81" s="13"/>
      <c r="F81" s="57"/>
    </row>
    <row r="82">
      <c r="A82" s="231" t="s">
        <v>50</v>
      </c>
      <c r="B82" s="232" t="s">
        <v>51</v>
      </c>
      <c r="C82" s="232" t="s">
        <v>52</v>
      </c>
      <c r="D82" s="232" t="s">
        <v>53</v>
      </c>
      <c r="E82" s="233" t="s">
        <v>54</v>
      </c>
      <c r="F82" s="61" t="s">
        <v>55</v>
      </c>
    </row>
    <row r="83">
      <c r="A83" s="236">
        <v>1.0</v>
      </c>
      <c r="B83" s="237">
        <f>mround('WEEK 38'!B81*0.35,5)</f>
        <v>10</v>
      </c>
      <c r="C83" s="238">
        <v>10.0</v>
      </c>
      <c r="D83" s="238" t="s">
        <v>120</v>
      </c>
      <c r="E83" s="66" t="str">
        <f>IF('WEEK 38'!D83='WEEK 34'!B78,'WEEK 34'!F78,"")</f>
        <v/>
      </c>
      <c r="F83" s="67"/>
    </row>
    <row r="84">
      <c r="A84" s="236">
        <v>2.0</v>
      </c>
      <c r="B84" s="237">
        <f>mround('WEEK 38'!B81*0.65,5)</f>
        <v>25</v>
      </c>
      <c r="C84" s="238">
        <v>10.0</v>
      </c>
      <c r="D84" s="238" t="s">
        <v>121</v>
      </c>
      <c r="E84" s="66" t="str">
        <f>IF('WEEK 38'!D84='WEEK 34'!B79,'WEEK 34'!F79,"")</f>
        <v/>
      </c>
      <c r="F84" s="67"/>
    </row>
    <row r="85">
      <c r="A85" s="242">
        <v>3.0</v>
      </c>
      <c r="B85" s="237">
        <f>mround('WEEK 38'!B81*0.9,5)</f>
        <v>30</v>
      </c>
      <c r="C85" s="238">
        <v>10.0</v>
      </c>
      <c r="D85" s="238" t="s">
        <v>121</v>
      </c>
      <c r="E85" s="66" t="str">
        <f>IF('WEEK 38'!D85='WEEK 34'!B80,'WEEK 34'!F80,"")</f>
        <v/>
      </c>
      <c r="F85" s="67"/>
    </row>
    <row r="86">
      <c r="A86" s="249">
        <v>4.0</v>
      </c>
      <c r="B86" s="175">
        <f>if('WEEK 38'!F85&lt;4,MROUND('WEEK 38'!B85-('WEEK 38'!B85*20%),5),'WEEK 38'!B81)</f>
        <v>25</v>
      </c>
      <c r="C86" s="238">
        <v>10.0</v>
      </c>
      <c r="D86" s="238" t="s">
        <v>122</v>
      </c>
      <c r="E86" s="66" t="str">
        <f>IF('WEEK 38'!D86='WEEK 34'!B81,'WEEK 34'!F81,"")</f>
        <v/>
      </c>
      <c r="F86" s="67"/>
    </row>
    <row r="87">
      <c r="A87" s="249">
        <v>5.0</v>
      </c>
      <c r="B87" s="175">
        <f>IF((AND('WEEK 38'!B86&lt;='WEEK 38'!B85,'WEEK 38'!F86&gt;=4)),'WEEK 38'!B86,IF('WEEK 38'!F86&lt;4,MROUND('WEEK 38'!B86-('WEEK 38'!B86*20%),5),if( 'WEEK 38'!F86&lt;4,MROUND('WEEK 38'!B86-('WEEK 38'!B86*10%),5),MROUND('WEEK 38'!B86+('WEEK 38'!B86*10%),5))))</f>
        <v>20</v>
      </c>
      <c r="C87" s="238">
        <v>10.0</v>
      </c>
      <c r="D87" s="238" t="s">
        <v>122</v>
      </c>
      <c r="E87" s="66" t="str">
        <f>IF('WEEK 38'!D87='WEEK 34'!B82,'WEEK 34'!F82,"")</f>
        <v/>
      </c>
      <c r="F87" s="1037"/>
    </row>
    <row r="88">
      <c r="A88" s="249">
        <f>if('WEEK 38'!F86&lt;4,6,6)</f>
        <v>6</v>
      </c>
      <c r="B88" s="175">
        <f>IF((AND('WEEK 38'!B87&lt;='WEEK 38'!B86,'WEEK 38'!F87&gt;=4)),'WEEK 38'!B87,IF('WEEK 38'!F87&lt;4,MROUND('WEEK 38'!B87-('WEEK 38'!B87*20%),5),if( 'WEEK 38'!F87&lt;4,MROUND('WEEK 38'!B87-('WEEK 38'!B87*10%),5),MROUND('WEEK 38'!B87+('WEEK 38'!B87*10%),5))))</f>
        <v>15</v>
      </c>
      <c r="C88" s="238">
        <v>10.0</v>
      </c>
      <c r="D88" s="238" t="s">
        <v>122</v>
      </c>
      <c r="E88" s="66" t="str">
        <f>IF('WEEK 38'!D88='WEEK 34'!B83,'WEEK 34'!F83,"")</f>
        <v/>
      </c>
      <c r="F88" s="67"/>
    </row>
    <row r="89">
      <c r="A89" s="1038">
        <f>IF('WEEK 38'!F88&lt;4,7,"7")</f>
        <v>7</v>
      </c>
      <c r="B89" s="175">
        <f>IF((AND('WEEK 38'!B88&lt;='WEEK 38'!B87,'WEEK 38'!F88&gt;=4)),'WEEK 38'!B88,IF('WEEK 38'!F88&lt;4,MROUND('WEEK 38'!B88-('WEEK 38'!B88*20%),5),if( 'WEEK 38'!F88&lt;4,MROUND('WEEK 38'!B88-('WEEK 38'!B88*10%),5),MROUND('WEEK 38'!B88+('WEEK 38'!B88*10%),5))))</f>
        <v>10</v>
      </c>
      <c r="C89" s="238">
        <v>10.0</v>
      </c>
      <c r="D89" s="238" t="s">
        <v>122</v>
      </c>
      <c r="E89" s="66" t="str">
        <f>IF('WEEK 38'!D89='WEEK 34'!B84,'WEEK 34'!F84,"")</f>
        <v/>
      </c>
      <c r="F89" s="67"/>
    </row>
    <row r="90">
      <c r="A90" s="249">
        <f>IF('WEEK 38'!F89&lt;4,8,"8")</f>
        <v>8</v>
      </c>
      <c r="B90" s="175">
        <f>IF((AND('WEEK 38'!B89&lt;='WEEK 38'!B88,'WEEK 38'!F89&gt;=4)),'WEEK 38'!B89,IF('WEEK 38'!F89&lt;4,MROUND('WEEK 38'!B89-('WEEK 38'!B89*20%),5),if( 'WEEK 38'!F89&lt;4,MROUND('WEEK 38'!B89-('WEEK 38'!B89*10%),5),MROUND('WEEK 38'!B89+('WEEK 38'!B89*10%),5))))</f>
        <v>10</v>
      </c>
      <c r="C90" s="238">
        <v>10.0</v>
      </c>
      <c r="D90" s="238" t="s">
        <v>122</v>
      </c>
      <c r="E90" s="66" t="str">
        <f>IF('WEEK 38'!D90='WEEK 34'!B85,'WEEK 34'!F85,"")</f>
        <v/>
      </c>
      <c r="F90" s="67"/>
    </row>
    <row r="91">
      <c r="A91" s="1038">
        <f>IF('WEEK 38'!F90&lt;4,9,"9")</f>
        <v>9</v>
      </c>
      <c r="B91" s="175">
        <f>IF((AND('WEEK 38'!B90&lt;='WEEK 38'!B89,'WEEK 38'!F90&gt;=4)),'WEEK 38'!B90,IF('WEEK 38'!F90&lt;4,MROUND('WEEK 38'!B90-('WEEK 38'!B90*20%),5),if( 'WEEK 38'!F90&lt;4,MROUND('WEEK 38'!B90-('WEEK 38'!B90*10%),5),MROUND('WEEK 38'!B90+('WEEK 38'!B90*10%),5))))</f>
        <v>10</v>
      </c>
      <c r="C91" s="238">
        <v>10.0</v>
      </c>
      <c r="D91" s="238" t="s">
        <v>122</v>
      </c>
      <c r="E91" s="1108" t="str">
        <f>IF('WEEK 38'!B91='WEEK 35'!I61,'WEEK 35'!M61,"")</f>
        <v/>
      </c>
      <c r="F91" s="67"/>
    </row>
    <row r="92">
      <c r="A92" s="1038" t="str">
        <f>IF('WEEK 38'!F91&lt;4,"10","10")</f>
        <v>10</v>
      </c>
      <c r="B92" s="175">
        <f>IF((AND('WEEK 38'!B91&lt;='WEEK 38'!B90,'WEEK 38'!F91&gt;=4)),'WEEK 38'!B91,IF('WEEK 38'!F91&lt;4,MROUND('WEEK 38'!B91-('WEEK 38'!B91*20%),5),if( 'WEEK 38'!F91&lt;4,MROUND('WEEK 38'!B91-('WEEK 38'!B91*10%),5),MROUND('WEEK 38'!B91+('WEEK 38'!B91*10%),5))))</f>
        <v>10</v>
      </c>
      <c r="C92" s="238">
        <v>10.0</v>
      </c>
      <c r="D92" s="238" t="s">
        <v>122</v>
      </c>
      <c r="E92" s="1108" t="str">
        <f>IF('WEEK 38'!B92='WEEK 35'!I62,'WEEK 35'!M62,"")</f>
        <v/>
      </c>
      <c r="F92" s="67"/>
    </row>
    <row r="93">
      <c r="A93" s="272" t="s">
        <v>216</v>
      </c>
      <c r="B93" s="1109">
        <f>IF(OR(ISBLANK('WEEK 38'!F83),ISBLANK('WEEK 38'!F84)),'WEEK 38'!B81,IF((AND('WEEK 38'!F92&gt;=4,'WEEK 38'!B92&gt;'WEEK 38'!B91)),'WEEK 38'!B92,IF((AND('WEEK 38'!F91&gt;=4,'WEEK 38'!B91&gt;'WEEK 38'!B90)),'WEEK 38'!B91,IF((AND('WEEK 38'!F90&gt;=4,'WEEK 38'!B90&gt;'WEEK 38'!B89)),'WEEK 38'!B90,IF((AND('WEEK 38'!F89&gt;=4,'WEEK 38'!B89&gt;'WEEK 38'!B88)),'WEEK 38'!B89,IF((AND('WEEK 38'!F88&gt;=4,'WEEK 38'!B88&gt;'WEEK 38'!B87)),'WEEK 38'!B88,IF((AND('WEEK 38'!F87&gt;=4,'WEEK 38'!B87&gt;'WEEK 38'!B86)),'WEEK 38'!B87,IF((AND('WEEK 38'!F86&gt;=4,'WEEK 38'!B86&gt;'WEEK 38'!B85)),'WEEK 38'!B86,IF((AND('WEEK 38'!F85&gt;=4,'WEEK 38'!B85&gt;'WEEK 38'!B84)),'WEEK 38'!B85,IF((AND('WEEK 38'!F84&gt;=4,'WEEK 38'!B84&gt;'WEEK 38'!B83)),'WEEK 38'!B84))))))))))</f>
        <v>35</v>
      </c>
      <c r="C93" s="11"/>
      <c r="D93" s="11"/>
      <c r="E93" s="11"/>
      <c r="F93" s="46"/>
    </row>
    <row r="96">
      <c r="A96" s="1285" t="str">
        <f>HYPERLINK("https://www.youtube.com/watch?v=NZ9KiFtbiMs","2. LEG EXTENSION")</f>
        <v>2. LEG EXTENSION</v>
      </c>
      <c r="B96" s="53"/>
      <c r="C96" s="53"/>
      <c r="D96" s="53"/>
      <c r="E96" s="53"/>
      <c r="F96" s="54"/>
    </row>
    <row r="97">
      <c r="A97" s="1045" t="s">
        <v>119</v>
      </c>
      <c r="B97" s="1367">
        <f>IF('WEEK 37'!B94='WEEK 37'!B96,'WEEK 37'!B94+5,IF('WEEK 9'!F95&lt;=9,MROUND('WEEK 37'!B92*0.95,5),'WEEK 37'!B94))</f>
        <v>130</v>
      </c>
      <c r="C97" s="20"/>
      <c r="D97" s="20"/>
      <c r="E97" s="20"/>
      <c r="F97" s="95"/>
    </row>
    <row r="98">
      <c r="A98" s="567" t="s">
        <v>50</v>
      </c>
      <c r="B98" s="568" t="s">
        <v>51</v>
      </c>
      <c r="C98" s="568" t="s">
        <v>52</v>
      </c>
      <c r="D98" s="568" t="s">
        <v>53</v>
      </c>
      <c r="E98" s="1047" t="s">
        <v>54</v>
      </c>
      <c r="F98" s="1048" t="s">
        <v>55</v>
      </c>
    </row>
    <row r="99">
      <c r="A99" s="1049">
        <v>1.0</v>
      </c>
      <c r="B99" s="1050">
        <f>'WEEK 38'!B97</f>
        <v>130</v>
      </c>
      <c r="C99" s="1051" t="s">
        <v>61</v>
      </c>
      <c r="D99" s="1052" t="s">
        <v>57</v>
      </c>
      <c r="E99" s="1130" t="str">
        <f>IF('WEEK 38'!B99='WEEK 37'!B94,'WEEK 37'!F94,"")</f>
        <v/>
      </c>
      <c r="F99" s="1017"/>
    </row>
    <row r="100">
      <c r="A100" s="1049">
        <v>2.0</v>
      </c>
      <c r="B100" s="1050">
        <f>if('WEEK 38'!F99&lt;12,mround('WEEK 38'!B99*0.8,5),IF('WEEK 38'!F99&lt;=14,MROUND('WEEK 38'!B99*0.95,5),'WEEK 38'!B99))</f>
        <v>105</v>
      </c>
      <c r="C100" s="1051" t="s">
        <v>61</v>
      </c>
      <c r="D100" s="1052" t="s">
        <v>57</v>
      </c>
      <c r="E100" s="1130" t="str">
        <f>IF('WEEK 38'!B100='WEEK 37'!B95,'WEEK 37'!F95,"")</f>
        <v/>
      </c>
      <c r="F100" s="1017"/>
    </row>
    <row r="101">
      <c r="A101" s="1053">
        <v>3.0</v>
      </c>
      <c r="B101" s="1054">
        <f>if('WEEK 38'!F100&lt;12,mround('WEEK 38'!B100*0.8,5),IF('WEEK 38'!F100&lt;=14,MROUND('WEEK 38'!B100*0.95,5),'WEEK 38'!B100))</f>
        <v>85</v>
      </c>
      <c r="C101" s="1055" t="s">
        <v>61</v>
      </c>
      <c r="D101" s="1056" t="s">
        <v>57</v>
      </c>
      <c r="E101" s="1348" t="str">
        <f>IF('WEEK 38'!B101='WEEK 37'!B96,'WEEK 37'!F96,"")</f>
        <v/>
      </c>
      <c r="F101" s="1017"/>
    </row>
    <row r="104">
      <c r="A104" s="323" t="str">
        <f>HYPERLINK("https://www.youtube.com/watch?v=XepOfsnGFJg","3. MACHINE LEG CURL")</f>
        <v>3. MACHINE LEG CURL</v>
      </c>
      <c r="B104" s="53"/>
      <c r="C104" s="53"/>
      <c r="D104" s="53"/>
      <c r="E104" s="53"/>
      <c r="F104" s="54"/>
      <c r="G104" s="141"/>
      <c r="H104" s="323" t="str">
        <f>HYPERLINK("https://youtu.be/kmN9cJ79PDE","3. PRONE LEG CURL")</f>
        <v>3. PRONE LEG CURL</v>
      </c>
      <c r="I104" s="53"/>
      <c r="J104" s="53"/>
      <c r="K104" s="53"/>
      <c r="L104" s="53"/>
      <c r="M104" s="54"/>
    </row>
    <row r="105">
      <c r="A105" s="1045" t="s">
        <v>119</v>
      </c>
      <c r="B105" s="1368">
        <f>IF('WEEK 37'!B102='WEEK 37'!B104,'WEEK 37'!B102+5,IF('WEEK 9'!F103&lt;=9,MROUND('WEEK 37'!B100*0.95,5),'WEEK 37'!B102))</f>
        <v>125</v>
      </c>
      <c r="C105" s="13"/>
      <c r="D105" s="13"/>
      <c r="E105" s="13"/>
      <c r="F105" s="57"/>
      <c r="H105" s="1045" t="s">
        <v>119</v>
      </c>
      <c r="I105" s="1046">
        <f>B105</f>
        <v>125</v>
      </c>
      <c r="J105" s="13"/>
      <c r="K105" s="13"/>
      <c r="L105" s="13"/>
      <c r="M105" s="57"/>
    </row>
    <row r="106">
      <c r="A106" s="567" t="s">
        <v>50</v>
      </c>
      <c r="B106" s="568" t="s">
        <v>51</v>
      </c>
      <c r="C106" s="568" t="s">
        <v>52</v>
      </c>
      <c r="D106" s="568" t="s">
        <v>53</v>
      </c>
      <c r="E106" s="1047" t="s">
        <v>54</v>
      </c>
      <c r="F106" s="1048" t="s">
        <v>55</v>
      </c>
      <c r="H106" s="567" t="s">
        <v>50</v>
      </c>
      <c r="I106" s="568" t="s">
        <v>51</v>
      </c>
      <c r="J106" s="568" t="s">
        <v>52</v>
      </c>
      <c r="K106" s="568" t="s">
        <v>53</v>
      </c>
      <c r="L106" s="1047" t="s">
        <v>54</v>
      </c>
      <c r="M106" s="1048" t="s">
        <v>55</v>
      </c>
    </row>
    <row r="107">
      <c r="A107" s="1049">
        <v>1.0</v>
      </c>
      <c r="B107" s="1050">
        <f>'WEEK 38'!B105</f>
        <v>125</v>
      </c>
      <c r="C107" s="1051" t="s">
        <v>61</v>
      </c>
      <c r="D107" s="1052" t="s">
        <v>57</v>
      </c>
      <c r="E107" s="1130" t="str">
        <f>IF('WEEK 38'!B107='WEEK 37'!B102,'WEEK 37'!F102,"")</f>
        <v/>
      </c>
      <c r="F107" s="1017"/>
      <c r="G107" s="434" t="s">
        <v>123</v>
      </c>
      <c r="H107" s="1049">
        <v>1.0</v>
      </c>
      <c r="I107" s="1050">
        <f>'WEEK 38'!I105</f>
        <v>125</v>
      </c>
      <c r="J107" s="1051" t="s">
        <v>61</v>
      </c>
      <c r="K107" s="1052" t="s">
        <v>57</v>
      </c>
      <c r="L107" s="1130" t="str">
        <f>IF('WEEK 38'!I107='WEEK 37'!I102,'WEEK 37'!M102,"")</f>
        <v/>
      </c>
      <c r="M107" s="1017"/>
    </row>
    <row r="108">
      <c r="A108" s="1049">
        <v>2.0</v>
      </c>
      <c r="B108" s="1050">
        <f>if('WEEK 38'!F107&lt;12,mround('WEEK 38'!B107*0.8,5),IF('WEEK 38'!F107&lt;=14,MROUND('WEEK 38'!B107*0.95,5),'WEEK 38'!B107))</f>
        <v>100</v>
      </c>
      <c r="C108" s="1051" t="s">
        <v>61</v>
      </c>
      <c r="D108" s="1052" t="s">
        <v>57</v>
      </c>
      <c r="E108" s="1130" t="str">
        <f>IF('WEEK 38'!B108='WEEK 37'!B103,'WEEK 37'!F103,"")</f>
        <v/>
      </c>
      <c r="F108" s="1017"/>
      <c r="H108" s="1049">
        <v>2.0</v>
      </c>
      <c r="I108" s="1050">
        <f>if('WEEK 38'!M107&lt;12,mround('WEEK 38'!I107*0.8,5),IF('WEEK 38'!M107&lt;=14,MROUND('WEEK 38'!I107*0.95,5),'WEEK 38'!I107))</f>
        <v>100</v>
      </c>
      <c r="J108" s="1051" t="s">
        <v>61</v>
      </c>
      <c r="K108" s="1052" t="s">
        <v>57</v>
      </c>
      <c r="L108" s="1130" t="str">
        <f>IF('WEEK 38'!I108='WEEK 37'!I103,'WEEK 37'!M103,"")</f>
        <v/>
      </c>
      <c r="M108" s="1017"/>
    </row>
    <row r="109">
      <c r="A109" s="1053">
        <v>3.0</v>
      </c>
      <c r="B109" s="1054">
        <f>if('WEEK 38'!F108&lt;12,mround('WEEK 38'!B108*0.8,5),IF('WEEK 38'!F108&lt;=14,MROUND('WEEK 38'!B108*0.95,5),'WEEK 38'!B108))</f>
        <v>80</v>
      </c>
      <c r="C109" s="1055" t="s">
        <v>61</v>
      </c>
      <c r="D109" s="1056" t="s">
        <v>57</v>
      </c>
      <c r="E109" s="1348" t="str">
        <f>IF('WEEK 38'!B109='WEEK 37'!B104,'WEEK 37'!F104,"")</f>
        <v/>
      </c>
      <c r="F109" s="1017"/>
      <c r="G109" s="682"/>
      <c r="H109" s="1053">
        <v>3.0</v>
      </c>
      <c r="I109" s="1054">
        <f>if('WEEK 38'!M108&lt;12,mround('WEEK 38'!I108*0.8,5),IF('WEEK 38'!M108&lt;=14,MROUND('WEEK 38'!I108*0.95,5),'WEEK 38'!I108))</f>
        <v>80</v>
      </c>
      <c r="J109" s="1055" t="s">
        <v>61</v>
      </c>
      <c r="K109" s="1056" t="s">
        <v>57</v>
      </c>
      <c r="L109" s="1348" t="str">
        <f>IF('WEEK 38'!I109='WEEK 37'!I104,'WEEK 37'!M104,"")</f>
        <v/>
      </c>
      <c r="M109" s="1017"/>
    </row>
    <row r="110">
      <c r="A110" s="849"/>
      <c r="B110" s="849"/>
      <c r="C110" s="849"/>
      <c r="D110" s="849"/>
      <c r="E110" s="849"/>
      <c r="F110" s="849"/>
      <c r="H110" s="849"/>
      <c r="I110" s="850"/>
      <c r="J110" s="850"/>
      <c r="K110" s="850"/>
      <c r="L110" s="850"/>
      <c r="M110" s="850"/>
    </row>
    <row r="112">
      <c r="A112" s="1120" t="s">
        <v>62</v>
      </c>
      <c r="B112" s="36"/>
      <c r="C112" s="36"/>
      <c r="D112" s="36"/>
      <c r="E112" s="36"/>
      <c r="F112" s="37"/>
    </row>
    <row r="115">
      <c r="A115" s="960" t="str">
        <f>HYPERLINK("https://youtu.be/ZhZ733bUA9Q","1. SHOULDER CLEANS")</f>
        <v>1. SHOULDER CLEANS</v>
      </c>
      <c r="B115" s="53"/>
      <c r="C115" s="53"/>
      <c r="D115" s="53"/>
      <c r="E115" s="53"/>
      <c r="F115" s="54"/>
    </row>
    <row r="116">
      <c r="A116" s="961" t="s">
        <v>119</v>
      </c>
      <c r="B116" s="76">
        <f>IF('WEEK 35'!B117='WEEK 35'!B119,'WEEK 35'!B117+5,IF('WEEK 35'!F117&lt;=15,MROUND('WEEK 35'!B115*0.85,5),'WEEK 35'!B117))</f>
        <v>30</v>
      </c>
      <c r="C116" s="13"/>
      <c r="D116" s="13"/>
      <c r="E116" s="13"/>
      <c r="F116" s="57"/>
    </row>
    <row r="117">
      <c r="A117" s="962" t="s">
        <v>50</v>
      </c>
      <c r="B117" s="963" t="s">
        <v>51</v>
      </c>
      <c r="C117" s="963" t="s">
        <v>52</v>
      </c>
      <c r="D117" s="981" t="s">
        <v>53</v>
      </c>
      <c r="E117" s="965" t="s">
        <v>54</v>
      </c>
      <c r="F117" s="966" t="s">
        <v>55</v>
      </c>
    </row>
    <row r="118">
      <c r="A118" s="967">
        <v>1.0</v>
      </c>
      <c r="B118" s="968">
        <f>MROUND('WEEK 38'!B116,2.5)</f>
        <v>30</v>
      </c>
      <c r="C118" s="968">
        <v>20.0</v>
      </c>
      <c r="D118" s="969" t="s">
        <v>57</v>
      </c>
      <c r="E118" s="970"/>
      <c r="F118" s="982"/>
    </row>
    <row r="119">
      <c r="A119" s="967">
        <v>2.0</v>
      </c>
      <c r="B119" s="968">
        <f>if('WEEK 38'!F118&lt;20,mround('WEEK 38'!B118*0.75,5),'WEEK 38'!B118)</f>
        <v>25</v>
      </c>
      <c r="C119" s="968">
        <v>20.0</v>
      </c>
      <c r="D119" s="969" t="s">
        <v>57</v>
      </c>
      <c r="E119" s="970"/>
      <c r="F119" s="983"/>
    </row>
    <row r="120">
      <c r="A120" s="971">
        <v>3.0</v>
      </c>
      <c r="B120" s="972">
        <f>if('WEEK 38'!F119&lt;20,mround('WEEK 38'!B119*0.6,5),'WEEK 38'!B119)</f>
        <v>15</v>
      </c>
      <c r="C120" s="972">
        <v>20.0</v>
      </c>
      <c r="D120" s="973" t="s">
        <v>57</v>
      </c>
      <c r="E120" s="974"/>
      <c r="F120" s="984"/>
    </row>
    <row r="123">
      <c r="A123" s="1217" t="str">
        <f>HYPERLINK("https://www.youtube.com/watch?v=XDLQt1j3qUU","2. DUMBBELL REAR DELT FLY ")</f>
        <v>2. DUMBBELL REAR DELT FLY </v>
      </c>
      <c r="B123" s="53"/>
      <c r="C123" s="53"/>
      <c r="D123" s="53"/>
      <c r="E123" s="53"/>
      <c r="F123" s="54"/>
    </row>
    <row r="124">
      <c r="A124" s="1268" t="s">
        <v>134</v>
      </c>
      <c r="B124" s="76">
        <f>mround('WEEK 37'!B124,2.5)</f>
        <v>0</v>
      </c>
      <c r="C124" s="13"/>
      <c r="D124" s="13"/>
      <c r="E124" s="13"/>
      <c r="F124" s="57"/>
    </row>
    <row r="125">
      <c r="A125" s="962" t="s">
        <v>50</v>
      </c>
      <c r="B125" s="963" t="s">
        <v>51</v>
      </c>
      <c r="C125" s="963" t="s">
        <v>52</v>
      </c>
      <c r="D125" s="963" t="s">
        <v>53</v>
      </c>
      <c r="E125" s="1005" t="s">
        <v>54</v>
      </c>
      <c r="F125" s="1006" t="s">
        <v>55</v>
      </c>
    </row>
    <row r="126">
      <c r="A126" s="967">
        <v>1.0</v>
      </c>
      <c r="B126" s="1028">
        <f>MROUND('WEEK 38'!B124*0.2*0.5,2.5)</f>
        <v>0</v>
      </c>
      <c r="C126" s="968">
        <v>20.0</v>
      </c>
      <c r="D126" s="969" t="s">
        <v>57</v>
      </c>
      <c r="E126" s="1010"/>
      <c r="F126" s="1017"/>
    </row>
    <row r="127">
      <c r="A127" s="967">
        <v>2.0</v>
      </c>
      <c r="B127" s="1028">
        <f>if('WEEK 38'!F126&lt;10,mround('WEEK 38'!B126*0.8,2.5),IF('WEEK 38'!F126&lt;20,MROUND('WEEK 38'!B126*0.95,2.5),'WEEK 38'!B126))</f>
        <v>0</v>
      </c>
      <c r="C127" s="968">
        <v>20.0</v>
      </c>
      <c r="D127" s="969" t="s">
        <v>57</v>
      </c>
      <c r="E127" s="1010"/>
      <c r="F127" s="1017"/>
    </row>
    <row r="128">
      <c r="A128" s="971">
        <v>3.0</v>
      </c>
      <c r="B128" s="1123">
        <f>if('WEEK 38'!F127&lt;10,mround('WEEK 38'!B127*0.8,2.5),IF('WEEK 38'!F127&lt;20,MROUND('WEEK 38'!B127*0.95,2.5),'WEEK 38'!B127))</f>
        <v>0</v>
      </c>
      <c r="C128" s="972">
        <v>20.0</v>
      </c>
      <c r="D128" s="973" t="s">
        <v>57</v>
      </c>
      <c r="E128" s="1021"/>
      <c r="F128" s="1017"/>
    </row>
    <row r="129">
      <c r="A129" s="1068"/>
      <c r="B129" s="1068"/>
      <c r="C129" s="1068"/>
      <c r="D129" s="623"/>
      <c r="E129" s="1265"/>
      <c r="F129" s="623"/>
    </row>
    <row r="130">
      <c r="A130" s="1069"/>
      <c r="B130" s="1069"/>
      <c r="C130" s="1069"/>
      <c r="D130" s="995"/>
      <c r="E130" s="1266"/>
      <c r="F130" s="995"/>
    </row>
    <row r="131">
      <c r="A131" s="1217" t="str">
        <f>HYPERLINK("https://youtu.be/QUNZvtb6mnY","3. DUMBBELL SIDE LATERAL RAISE")</f>
        <v>3. DUMBBELL SIDE LATERAL RAISE</v>
      </c>
      <c r="B131" s="53"/>
      <c r="C131" s="53"/>
      <c r="D131" s="53"/>
      <c r="E131" s="53"/>
      <c r="F131" s="54"/>
    </row>
    <row r="132">
      <c r="A132" s="1262" t="s">
        <v>134</v>
      </c>
      <c r="B132" s="76" t="str">
        <f>'WEEK 37'!B136</f>
        <v/>
      </c>
      <c r="C132" s="13"/>
      <c r="D132" s="13"/>
      <c r="E132" s="13"/>
      <c r="F132" s="57"/>
    </row>
    <row r="133">
      <c r="A133" s="1071" t="s">
        <v>50</v>
      </c>
      <c r="B133" s="1072" t="s">
        <v>51</v>
      </c>
      <c r="C133" s="1072" t="s">
        <v>52</v>
      </c>
      <c r="D133" s="1072" t="s">
        <v>53</v>
      </c>
      <c r="E133" s="1073" t="s">
        <v>54</v>
      </c>
      <c r="F133" s="1006" t="s">
        <v>55</v>
      </c>
    </row>
    <row r="134">
      <c r="A134" s="1074">
        <v>1.0</v>
      </c>
      <c r="B134" s="968">
        <f> mround('WEEK 38'!B132*0.2*0.5,2.5)</f>
        <v>0</v>
      </c>
      <c r="C134" s="968">
        <v>20.0</v>
      </c>
      <c r="D134" s="969" t="s">
        <v>57</v>
      </c>
      <c r="E134" s="1235" t="str">
        <f>if('WEEK 38'!B134='WEEK 6'!B137,'WEEK 6'!F137,"")</f>
        <v/>
      </c>
      <c r="F134" s="1017"/>
    </row>
    <row r="135">
      <c r="A135" s="1074">
        <v>2.0</v>
      </c>
      <c r="B135" s="968">
        <f>if('WEEK 38'!F134&lt;20,mround('WEEK 38'!B132*0.15,2.5),'WEEK 38'!B134)</f>
        <v>0</v>
      </c>
      <c r="C135" s="968">
        <v>20.0</v>
      </c>
      <c r="D135" s="969" t="s">
        <v>57</v>
      </c>
      <c r="E135" s="1235" t="str">
        <f>if('WEEK 38'!B135='WEEK 6'!B138,'WEEK 6'!F138,"")</f>
        <v/>
      </c>
      <c r="F135" s="1017"/>
    </row>
    <row r="136">
      <c r="A136" s="1078">
        <v>3.0</v>
      </c>
      <c r="B136" s="972">
        <f>if('WEEK 38'!F135&lt;20,mround('WEEK 38'!B132*0.1,2.5),'WEEK 38'!B135)</f>
        <v>0</v>
      </c>
      <c r="C136" s="972">
        <v>20.0</v>
      </c>
      <c r="D136" s="973" t="s">
        <v>57</v>
      </c>
      <c r="E136" s="1271" t="str">
        <f>if('WEEK 38'!B136='WEEK 6'!B139,'WEEK 6'!F139,"")</f>
        <v/>
      </c>
      <c r="F136" s="1017"/>
    </row>
    <row r="139">
      <c r="A139" s="74" t="str">
        <f>HYPERLINK("https://www.youtube.com/watch?v=Yke__29qVfo","3. TRICEPS PUSHDOWN (STRAIGHT BAR)")</f>
        <v>3. TRICEPS PUSHDOWN (STRAIGHT BAR)</v>
      </c>
      <c r="B139" s="53"/>
      <c r="C139" s="53"/>
      <c r="D139" s="53"/>
      <c r="E139" s="53"/>
      <c r="F139" s="54"/>
    </row>
    <row r="140">
      <c r="A140" s="226" t="s">
        <v>119</v>
      </c>
      <c r="B140" s="90">
        <f>'WEEK 35'!B137</f>
        <v>90</v>
      </c>
      <c r="C140" s="13"/>
      <c r="D140" s="13"/>
      <c r="E140" s="13"/>
      <c r="F140" s="57"/>
    </row>
    <row r="141">
      <c r="A141" s="77" t="s">
        <v>50</v>
      </c>
      <c r="B141" s="78" t="s">
        <v>51</v>
      </c>
      <c r="C141" s="78" t="s">
        <v>52</v>
      </c>
      <c r="D141" s="78" t="s">
        <v>53</v>
      </c>
      <c r="E141" s="80" t="s">
        <v>54</v>
      </c>
      <c r="F141" s="235" t="s">
        <v>55</v>
      </c>
    </row>
    <row r="142">
      <c r="A142" s="81">
        <v>1.0</v>
      </c>
      <c r="B142" s="82">
        <f> mround('WEEK 38'!B140*0.5,5)</f>
        <v>45</v>
      </c>
      <c r="C142" s="65">
        <v>20.0</v>
      </c>
      <c r="D142" s="83" t="s">
        <v>58</v>
      </c>
      <c r="E142" s="84" t="str">
        <f>IF('WEEK 25'!B143=B142,'WEEK 25'!F143,"")</f>
        <v/>
      </c>
      <c r="F142" s="85"/>
    </row>
    <row r="143">
      <c r="A143" s="81">
        <v>2.0</v>
      </c>
      <c r="B143" s="82">
        <f>if('WEEK 38'!F142&lt;10,mround(B142*0.8,5),IF('WEEK 38'!F142&lt;=19,MROUND('WEEK 38'!B142*0.95,5),'WEEK 38'!B142))</f>
        <v>35</v>
      </c>
      <c r="C143" s="65">
        <v>20.0</v>
      </c>
      <c r="D143" s="83" t="s">
        <v>58</v>
      </c>
      <c r="E143" s="84" t="str">
        <f>IF('WEEK 25'!B144=B143,'WEEK 25'!F144,"")</f>
        <v/>
      </c>
      <c r="F143" s="85"/>
    </row>
    <row r="144">
      <c r="A144" s="86">
        <v>3.0</v>
      </c>
      <c r="B144" s="87">
        <f>if('WEEK 38'!F143&lt;10,mround('WEEK 38'!B143*0.8,5),IF('WEEK 38'!F143&lt;=19,MROUND('WEEK 38'!B143*0.95,5),'WEEK 38'!B143))</f>
        <v>30</v>
      </c>
      <c r="C144" s="71">
        <v>20.0</v>
      </c>
      <c r="D144" s="88" t="s">
        <v>58</v>
      </c>
      <c r="E144" s="89" t="str">
        <f>IF('WEEK 25'!B145=B144,'WEEK 25'!F145,"")</f>
        <v/>
      </c>
      <c r="F144" s="85"/>
    </row>
    <row r="147">
      <c r="A147" s="75" t="str">
        <f>HYPERLINK("https://www.youtube.com/watch?v=9IqvmIhFxtY","5. BICEP CABLE CURL")</f>
        <v>5. BICEP CABLE CURL</v>
      </c>
      <c r="B147" s="53"/>
      <c r="C147" s="53"/>
      <c r="D147" s="53"/>
      <c r="E147" s="53"/>
      <c r="F147" s="54"/>
      <c r="G147" s="141"/>
      <c r="H147" s="75" t="str">
        <f>HYPERLINK("https://www.youtube.com/watch?v=Bi6Do6QIlpQ","5. BICEP EZ BAR CURL")</f>
        <v>5. BICEP EZ BAR CURL</v>
      </c>
      <c r="I147" s="53"/>
      <c r="J147" s="53"/>
      <c r="K147" s="53"/>
      <c r="L147" s="53"/>
      <c r="M147" s="54"/>
    </row>
    <row r="148">
      <c r="A148" s="226" t="s">
        <v>119</v>
      </c>
      <c r="B148" s="90">
        <f>IF('WEEK 35'!B147='WEEK 35'!B149,'WEEK 35'!B147+5,IF('WEEK 35'!F147&lt;=9,MROUND('WEEK 35'!B145*0.95,5),'WEEK 35'!B147))</f>
        <v>75</v>
      </c>
      <c r="C148" s="13"/>
      <c r="D148" s="13"/>
      <c r="E148" s="13"/>
      <c r="F148" s="57"/>
      <c r="G148" s="141"/>
      <c r="H148" s="226" t="s">
        <v>119</v>
      </c>
      <c r="I148" s="90">
        <f>IF('WEEK 35'!I147='WEEK 35'!I149,'WEEK 35'!I147+5,IF('WEEK 35'!M147&lt;=9,MROUND('WEEK 35'!I145*0.95,5),'WEEK 35'!I147))</f>
        <v>5</v>
      </c>
      <c r="J148" s="13"/>
      <c r="K148" s="13"/>
      <c r="L148" s="13"/>
      <c r="M148" s="57"/>
    </row>
    <row r="149">
      <c r="A149" s="77" t="s">
        <v>50</v>
      </c>
      <c r="B149" s="78" t="s">
        <v>51</v>
      </c>
      <c r="C149" s="78" t="s">
        <v>52</v>
      </c>
      <c r="D149" s="78" t="s">
        <v>53</v>
      </c>
      <c r="E149" s="80" t="s">
        <v>54</v>
      </c>
      <c r="F149" s="235" t="s">
        <v>55</v>
      </c>
      <c r="H149" s="77" t="s">
        <v>50</v>
      </c>
      <c r="I149" s="78" t="s">
        <v>51</v>
      </c>
      <c r="J149" s="78" t="s">
        <v>52</v>
      </c>
      <c r="K149" s="78" t="s">
        <v>53</v>
      </c>
      <c r="L149" s="80" t="s">
        <v>54</v>
      </c>
      <c r="M149" s="235" t="s">
        <v>55</v>
      </c>
    </row>
    <row r="150">
      <c r="A150" s="81">
        <v>1.0</v>
      </c>
      <c r="B150" s="82">
        <f>MROUND('WEEK 38'!B148*0.5,5)</f>
        <v>40</v>
      </c>
      <c r="C150" s="65">
        <v>20.0</v>
      </c>
      <c r="D150" s="83" t="s">
        <v>58</v>
      </c>
      <c r="E150" s="84" t="str">
        <f>IF('WEEK 35'!B147='WEEK 38'!B150,'WEEK 35'!B147,"")</f>
        <v/>
      </c>
      <c r="F150" s="85"/>
      <c r="H150" s="81">
        <v>1.0</v>
      </c>
      <c r="I150" s="82">
        <f>MROUND('WEEK 38'!I148*0.5,5)</f>
        <v>5</v>
      </c>
      <c r="J150" s="65">
        <v>20.0</v>
      </c>
      <c r="K150" s="83" t="s">
        <v>58</v>
      </c>
      <c r="L150" s="84" t="str">
        <f>IF('WEEK 35'!I147='WEEK 38'!I150,'WEEK 35'!I147,"")</f>
        <v/>
      </c>
      <c r="M150" s="85"/>
    </row>
    <row r="151">
      <c r="A151" s="81">
        <v>2.0</v>
      </c>
      <c r="B151" s="82">
        <f>if('WEEK 38'!F150&lt;15,mround('WEEK 38'!B150*0.8,5),IF('WEEK 38'!F150&lt;=18,MROUND('WEEK 38'!B148*0.95,5),'WEEK 38'!B150))</f>
        <v>30</v>
      </c>
      <c r="C151" s="65">
        <v>20.0</v>
      </c>
      <c r="D151" s="83" t="s">
        <v>58</v>
      </c>
      <c r="E151" s="84" t="str">
        <f>IF('WEEK 35'!B148='WEEK 38'!B151,'WEEK 35'!B148,"")</f>
        <v/>
      </c>
      <c r="F151" s="85"/>
      <c r="H151" s="81">
        <v>2.0</v>
      </c>
      <c r="I151" s="82">
        <f>if('WEEK 38'!M150&lt;15,mround('WEEK 38'!I150*0.8,5),IF('WEEK 38'!M150&lt;=18,MROUND('WEEK 38'!I148*0.95,5),'WEEK 38'!I150))</f>
        <v>5</v>
      </c>
      <c r="J151" s="65">
        <v>20.0</v>
      </c>
      <c r="K151" s="83" t="s">
        <v>58</v>
      </c>
      <c r="L151" s="84" t="str">
        <f>IF('WEEK 35'!I148='WEEK 38'!I151,'WEEK 35'!I148,"")</f>
        <v/>
      </c>
      <c r="M151" s="85"/>
    </row>
    <row r="152">
      <c r="A152" s="629">
        <v>3.0</v>
      </c>
      <c r="B152" s="630">
        <f>if('WEEK 38'!F151&lt;15,mround('WEEK 38'!B151*0.8,5),IF('WEEK 38'!F151&lt;=18,MROUND('WEEK 38'!B149*0.95,5),'WEEK 38'!B151))</f>
        <v>25</v>
      </c>
      <c r="C152" s="631">
        <v>20.0</v>
      </c>
      <c r="D152" s="328" t="s">
        <v>58</v>
      </c>
      <c r="E152" s="84" t="str">
        <f>IF('WEEK 35'!B149='WEEK 38'!B152,'WEEK 35'!B149,"")</f>
        <v/>
      </c>
      <c r="F152" s="330"/>
      <c r="H152" s="629">
        <v>3.0</v>
      </c>
      <c r="I152" s="630">
        <f>if('WEEK 38'!M151&lt;15,mround('WEEK 38'!I151*0.8,5),IF('WEEK 38'!M151&lt;=18,MROUND('WEEK 38'!I149*0.95,5),'WEEK 38'!I151))</f>
        <v>5</v>
      </c>
      <c r="J152" s="631">
        <v>20.0</v>
      </c>
      <c r="K152" s="328" t="s">
        <v>58</v>
      </c>
      <c r="L152" s="84" t="str">
        <f>IF('WEEK 35'!I149='WEEK 38'!I152,'WEEK 35'!I149,"")</f>
        <v/>
      </c>
      <c r="M152" s="330"/>
    </row>
    <row r="155">
      <c r="A155" s="1149" t="s">
        <v>135</v>
      </c>
      <c r="B155" s="36"/>
      <c r="C155" s="36"/>
      <c r="D155" s="36"/>
      <c r="E155" s="36"/>
      <c r="F155" s="37"/>
    </row>
    <row r="156">
      <c r="A156" s="623"/>
      <c r="B156" s="623"/>
      <c r="C156" s="623"/>
      <c r="D156" s="623"/>
      <c r="E156" s="1274"/>
      <c r="F156" s="623"/>
    </row>
    <row r="157">
      <c r="A157" s="1275" t="str">
        <f>HYPERLINK("https://www.amazon.com/30-Minute-Body-Investment-Champion/dp/0692791892/ref=sr_1_1?ie=UTF8&amp;qid=1490447969&amp;sr=8-1&amp;keywords=30+minute+body","WANT TO LEARN MORE?")</f>
        <v>WANT TO LEARN MORE?</v>
      </c>
      <c r="B157" s="25"/>
      <c r="C157" s="25"/>
      <c r="D157" s="25"/>
      <c r="E157" s="25"/>
      <c r="F157" s="26"/>
    </row>
    <row r="158">
      <c r="A158" s="529"/>
      <c r="F158" s="28"/>
    </row>
    <row r="159">
      <c r="A159" s="1276"/>
      <c r="B159" s="999"/>
      <c r="C159" s="1150" t="s">
        <v>67</v>
      </c>
      <c r="F159" s="28"/>
    </row>
    <row r="160">
      <c r="A160" s="1276"/>
      <c r="B160" s="999"/>
      <c r="F160" s="28"/>
    </row>
    <row r="161">
      <c r="A161" s="1276"/>
      <c r="B161" s="999"/>
      <c r="F161" s="28"/>
    </row>
    <row r="162">
      <c r="A162" s="1276"/>
      <c r="B162" s="999"/>
      <c r="F162" s="28"/>
    </row>
    <row r="163">
      <c r="A163" s="1276"/>
      <c r="B163" s="999"/>
      <c r="F163" s="28"/>
    </row>
    <row r="164">
      <c r="A164" s="1276"/>
      <c r="B164" s="999"/>
      <c r="F164" s="28"/>
    </row>
    <row r="165">
      <c r="A165" s="1277"/>
      <c r="B165" s="999"/>
      <c r="F165" s="28"/>
    </row>
    <row r="166">
      <c r="A166" s="1276"/>
      <c r="B166" s="999"/>
      <c r="F166" s="28"/>
    </row>
    <row r="167">
      <c r="A167" s="1276"/>
      <c r="B167" s="999"/>
      <c r="F167" s="28"/>
    </row>
    <row r="168">
      <c r="A168" s="1278"/>
      <c r="B168" s="999"/>
      <c r="F168" s="28"/>
    </row>
    <row r="169">
      <c r="A169" s="1276"/>
      <c r="B169" s="999"/>
      <c r="F169" s="28"/>
    </row>
    <row r="170">
      <c r="A170" s="1276"/>
      <c r="B170" s="999"/>
      <c r="F170" s="28"/>
    </row>
    <row r="171">
      <c r="A171" s="1276"/>
      <c r="B171" s="999"/>
      <c r="F171" s="28"/>
    </row>
    <row r="172">
      <c r="A172" s="1276"/>
      <c r="B172" s="999"/>
      <c r="F172" s="28"/>
    </row>
    <row r="173">
      <c r="A173" s="1279"/>
      <c r="B173" s="1280"/>
      <c r="C173" s="11"/>
      <c r="D173" s="11"/>
      <c r="E173" s="11"/>
      <c r="F173" s="46"/>
    </row>
  </sheetData>
  <mergeCells count="77">
    <mergeCell ref="G24:G25"/>
    <mergeCell ref="A27:F27"/>
    <mergeCell ref="A30:F30"/>
    <mergeCell ref="B33:F33"/>
    <mergeCell ref="G37:G41"/>
    <mergeCell ref="B38:F38"/>
    <mergeCell ref="A44:F44"/>
    <mergeCell ref="B45:F45"/>
    <mergeCell ref="A51:F51"/>
    <mergeCell ref="A54:F54"/>
    <mergeCell ref="B57:F57"/>
    <mergeCell ref="A59:F59"/>
    <mergeCell ref="B60:F60"/>
    <mergeCell ref="A65:F66"/>
    <mergeCell ref="A67:F67"/>
    <mergeCell ref="B68:F68"/>
    <mergeCell ref="A74:F75"/>
    <mergeCell ref="A77:F77"/>
    <mergeCell ref="A80:F80"/>
    <mergeCell ref="B81:F81"/>
    <mergeCell ref="B93:F93"/>
    <mergeCell ref="A96:F96"/>
    <mergeCell ref="B97:F97"/>
    <mergeCell ref="A104:F104"/>
    <mergeCell ref="G104:G106"/>
    <mergeCell ref="H104:M104"/>
    <mergeCell ref="B105:F105"/>
    <mergeCell ref="I105:M105"/>
    <mergeCell ref="G107:G108"/>
    <mergeCell ref="G109:G110"/>
    <mergeCell ref="A112:F112"/>
    <mergeCell ref="A115:F115"/>
    <mergeCell ref="B116:F116"/>
    <mergeCell ref="A123:F123"/>
    <mergeCell ref="B124:F124"/>
    <mergeCell ref="B148:F148"/>
    <mergeCell ref="A155:F155"/>
    <mergeCell ref="A157:F158"/>
    <mergeCell ref="C159:F173"/>
    <mergeCell ref="A131:F131"/>
    <mergeCell ref="B132:F132"/>
    <mergeCell ref="A139:F139"/>
    <mergeCell ref="B140:F140"/>
    <mergeCell ref="A147:F147"/>
    <mergeCell ref="H147:M147"/>
    <mergeCell ref="I148:M148"/>
    <mergeCell ref="A9:F9"/>
    <mergeCell ref="H9:M9"/>
    <mergeCell ref="A10:F11"/>
    <mergeCell ref="H10:M10"/>
    <mergeCell ref="A12:F12"/>
    <mergeCell ref="A13:F13"/>
    <mergeCell ref="H15:M15"/>
    <mergeCell ref="A20:F20"/>
    <mergeCell ref="B21:F21"/>
    <mergeCell ref="O20:T20"/>
    <mergeCell ref="P21:T21"/>
    <mergeCell ref="N19:N26"/>
    <mergeCell ref="N27:N28"/>
    <mergeCell ref="N29:N31"/>
    <mergeCell ref="N38:N41"/>
    <mergeCell ref="A15:F15"/>
    <mergeCell ref="A19:F19"/>
    <mergeCell ref="H19:M19"/>
    <mergeCell ref="O19:T19"/>
    <mergeCell ref="H20:M20"/>
    <mergeCell ref="I21:M21"/>
    <mergeCell ref="O27:T27"/>
    <mergeCell ref="H37:M37"/>
    <mergeCell ref="I38:M38"/>
    <mergeCell ref="H27:M27"/>
    <mergeCell ref="H29:M29"/>
    <mergeCell ref="O29:T29"/>
    <mergeCell ref="I34:M34"/>
    <mergeCell ref="P34:T34"/>
    <mergeCell ref="A35:N36"/>
    <mergeCell ref="A37:F37"/>
  </mergeCells>
  <dataValidations>
    <dataValidation type="decimal" operator="greaterThanOrEqual" allowBlank="1" showDropDown="1" showErrorMessage="1" sqref="M22:M26 F39:F41 F46:F49 F53 F55 F61:F64 F69:F73">
      <formula1>0.0</formula1>
    </dataValidation>
    <dataValidation type="decimal" operator="greaterThanOrEqual" allowBlank="1" showDropDown="1" sqref="F22:F26 F28 F31 F82:F86 F88">
      <formula1>0.0</formula1>
    </dataValidation>
  </dataValidations>
  <drawing r:id="rId2"/>
  <legacyDrawing r:id="rId3"/>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362</v>
      </c>
      <c r="B9" s="20"/>
      <c r="C9" s="20"/>
      <c r="D9" s="20"/>
      <c r="E9" s="20"/>
      <c r="F9" s="21"/>
      <c r="G9" s="103"/>
      <c r="H9" s="24" t="s">
        <v>35</v>
      </c>
      <c r="I9" s="25"/>
      <c r="J9" s="25"/>
      <c r="K9" s="25"/>
      <c r="L9" s="25"/>
      <c r="M9" s="26"/>
      <c r="N9" s="103"/>
    </row>
    <row r="10">
      <c r="A10" s="15" t="str">
        <f>HYPERLINK("https://goo.gl/forms/3ibooB993Hi7SS2d2","PRESS TO RECORD BODY WEIGHT")</f>
        <v>PRESS TO RECORD BODY WEIGHT</v>
      </c>
      <c r="B10" s="16"/>
      <c r="C10" s="16"/>
      <c r="D10" s="16"/>
      <c r="E10" s="16"/>
      <c r="F10" s="17"/>
      <c r="G10" s="103"/>
      <c r="H10" s="147" t="s">
        <v>363</v>
      </c>
      <c r="M10" s="28"/>
      <c r="N10" s="103"/>
    </row>
    <row r="11">
      <c r="A11" s="18"/>
      <c r="B11" s="13"/>
      <c r="C11" s="13"/>
      <c r="D11" s="13"/>
      <c r="E11" s="13"/>
      <c r="F11" s="14"/>
      <c r="G11" s="103"/>
      <c r="H11" s="29" t="s">
        <v>364</v>
      </c>
      <c r="I11" s="30"/>
      <c r="J11" s="30"/>
      <c r="K11" s="30"/>
      <c r="L11" s="30"/>
      <c r="M11" s="31"/>
      <c r="N11" s="103"/>
    </row>
    <row r="12">
      <c r="A12" s="19" t="s">
        <v>69</v>
      </c>
      <c r="B12" s="20"/>
      <c r="C12" s="20"/>
      <c r="D12" s="20"/>
      <c r="E12" s="20"/>
      <c r="F12" s="21"/>
      <c r="G12" s="103"/>
      <c r="H12" s="219"/>
      <c r="I12" s="220"/>
      <c r="J12" s="221"/>
      <c r="K12" s="219"/>
      <c r="L12" s="222"/>
      <c r="M12" s="103"/>
      <c r="N12" s="103"/>
    </row>
    <row r="13">
      <c r="A13" s="22" t="s">
        <v>177</v>
      </c>
      <c r="B13" s="20"/>
      <c r="C13" s="20"/>
      <c r="D13" s="20"/>
      <c r="E13" s="20"/>
      <c r="F13" s="21"/>
      <c r="G13" s="103"/>
      <c r="H13" s="103"/>
      <c r="I13" s="103"/>
      <c r="J13" s="103"/>
      <c r="K13" s="103"/>
      <c r="L13" s="222"/>
      <c r="M13" s="103"/>
      <c r="N13" s="103"/>
    </row>
    <row r="14">
      <c r="A14" s="219"/>
      <c r="B14" s="219"/>
      <c r="C14" s="219"/>
      <c r="D14" s="219"/>
      <c r="E14" s="223"/>
      <c r="F14" s="103"/>
      <c r="G14" s="103"/>
      <c r="H14" s="219"/>
      <c r="I14" s="219"/>
      <c r="J14" s="219"/>
      <c r="K14" s="103"/>
      <c r="L14" s="222"/>
      <c r="M14" s="103"/>
      <c r="N14" s="103"/>
    </row>
    <row r="15">
      <c r="A15" s="209"/>
      <c r="G15" s="277"/>
      <c r="H15" s="850"/>
      <c r="N15" s="277"/>
    </row>
    <row r="16">
      <c r="A16" s="50" t="s">
        <v>79</v>
      </c>
      <c r="B16" s="36"/>
      <c r="C16" s="36"/>
      <c r="D16" s="36"/>
      <c r="E16" s="36"/>
      <c r="F16" s="37"/>
      <c r="G16" s="141"/>
      <c r="H16" s="50" t="s">
        <v>118</v>
      </c>
      <c r="I16" s="36"/>
      <c r="J16" s="36"/>
      <c r="K16" s="36"/>
      <c r="L16" s="36"/>
      <c r="M16" s="37"/>
      <c r="N16" s="141"/>
    </row>
    <row r="17">
      <c r="A17" s="657"/>
    </row>
    <row r="19">
      <c r="A19" s="1344" t="s">
        <v>48</v>
      </c>
      <c r="B19" s="36"/>
      <c r="C19" s="36"/>
      <c r="D19" s="36"/>
      <c r="E19" s="36"/>
      <c r="F19" s="37"/>
      <c r="G19" s="141"/>
      <c r="H19" s="51" t="s">
        <v>48</v>
      </c>
      <c r="I19" s="36"/>
      <c r="J19" s="36"/>
      <c r="K19" s="36"/>
      <c r="L19" s="36"/>
      <c r="M19" s="37"/>
      <c r="N19" s="141"/>
    </row>
    <row r="20">
      <c r="A20" s="52" t="str">
        <f>HYPERLINK("https://youtu.be/ujVN-A0Z-ic","1. DUMBBELL INCLINE PRESS")</f>
        <v>1. DUMBBELL INCLINE PRESS</v>
      </c>
      <c r="B20" s="53"/>
      <c r="C20" s="53"/>
      <c r="D20" s="53"/>
      <c r="E20" s="53"/>
      <c r="F20" s="54"/>
      <c r="H20" s="52" t="str">
        <f>HYPERLINK("https://youtu.be/75e_H9Vq_Lw","1. MACHINE PRESS")</f>
        <v>1. MACHINE PRESS</v>
      </c>
      <c r="I20" s="53"/>
      <c r="J20" s="53"/>
      <c r="K20" s="53"/>
      <c r="L20" s="53"/>
      <c r="M20" s="54"/>
    </row>
    <row r="21">
      <c r="A21" s="228" t="s">
        <v>119</v>
      </c>
      <c r="B21" s="229" t="str">
        <f>IF('WEEK 35'!I34="",'WEEK 8'!B34,'WEEK 35'!I34)</f>
        <v/>
      </c>
      <c r="C21" s="16"/>
      <c r="D21" s="16"/>
      <c r="E21" s="16"/>
      <c r="F21" s="230"/>
      <c r="H21" s="228" t="s">
        <v>119</v>
      </c>
      <c r="I21" s="229" t="str">
        <f>if('WEEK 31'!Q34="",'WEEK 5'!I34,'WEEK 31'!Q34)</f>
        <v/>
      </c>
      <c r="J21" s="16"/>
      <c r="K21" s="16"/>
      <c r="L21" s="16"/>
      <c r="M21" s="230"/>
    </row>
    <row r="22">
      <c r="A22" s="96" t="s">
        <v>50</v>
      </c>
      <c r="B22" s="97" t="s">
        <v>51</v>
      </c>
      <c r="C22" s="97" t="s">
        <v>52</v>
      </c>
      <c r="D22" s="97" t="s">
        <v>53</v>
      </c>
      <c r="E22" s="98" t="s">
        <v>54</v>
      </c>
      <c r="F22" s="235" t="s">
        <v>55</v>
      </c>
      <c r="H22" s="96" t="s">
        <v>50</v>
      </c>
      <c r="I22" s="97" t="s">
        <v>51</v>
      </c>
      <c r="J22" s="97" t="s">
        <v>52</v>
      </c>
      <c r="K22" s="97" t="s">
        <v>53</v>
      </c>
      <c r="L22" s="98" t="s">
        <v>54</v>
      </c>
      <c r="M22" s="235" t="s">
        <v>55</v>
      </c>
    </row>
    <row r="23">
      <c r="A23" s="244">
        <v>1.0</v>
      </c>
      <c r="B23" s="241">
        <f>mround('WEEK 39'!B21*0.35,5)</f>
        <v>30</v>
      </c>
      <c r="C23" s="63">
        <v>6.0</v>
      </c>
      <c r="D23" s="83" t="s">
        <v>57</v>
      </c>
      <c r="E23" s="84">
        <f>IF('WEEK 36'!B23='WEEK 39'!B23,'WEEK 36'!F23,"")</f>
        <v>6</v>
      </c>
      <c r="F23" s="85"/>
      <c r="H23" s="244">
        <v>1.0</v>
      </c>
      <c r="I23" s="241">
        <f>mround('WEEK 39'!I21*0.35,5)</f>
        <v>0</v>
      </c>
      <c r="J23" s="63">
        <v>6.0</v>
      </c>
      <c r="K23" s="83" t="s">
        <v>57</v>
      </c>
      <c r="L23" s="84" t="str">
        <f>IF('WEEK 36'!I23='WEEK 39'!I23,'WEEK 36'!M23,"")</f>
        <v/>
      </c>
      <c r="M23" s="85"/>
    </row>
    <row r="24">
      <c r="A24" s="240">
        <v>2.0</v>
      </c>
      <c r="B24" s="241">
        <f>mround('WEEK 39'!B21*0.65,5)</f>
        <v>60</v>
      </c>
      <c r="C24" s="241">
        <v>1.0</v>
      </c>
      <c r="D24" s="83" t="s">
        <v>57</v>
      </c>
      <c r="E24" s="84">
        <f>IF('WEEK 36'!B24='WEEK 39'!B24,'WEEK 36'!F24,"")</f>
        <v>1</v>
      </c>
      <c r="F24" s="85"/>
      <c r="H24" s="240">
        <v>2.0</v>
      </c>
      <c r="I24" s="241">
        <f>mround('WEEK 39'!I21*0.65,5)</f>
        <v>0</v>
      </c>
      <c r="J24" s="241">
        <v>1.0</v>
      </c>
      <c r="K24" s="83" t="s">
        <v>57</v>
      </c>
      <c r="L24" s="84" t="str">
        <f>IF('WEEK 36'!I24='WEEK 39'!I24,'WEEK 36'!M24,"")</f>
        <v/>
      </c>
      <c r="M24" s="85"/>
    </row>
    <row r="25">
      <c r="A25" s="240">
        <v>3.0</v>
      </c>
      <c r="B25" s="241">
        <f>mround('WEEK 39'!B21*0.85,5)</f>
        <v>75</v>
      </c>
      <c r="C25" s="63">
        <v>1.0</v>
      </c>
      <c r="D25" s="83" t="s">
        <v>57</v>
      </c>
      <c r="E25" s="84">
        <f>IF('WEEK 36'!B25='WEEK 39'!B25,'WEEK 36'!F25,"")</f>
        <v>1</v>
      </c>
      <c r="F25" s="85"/>
      <c r="H25" s="240">
        <v>3.0</v>
      </c>
      <c r="I25" s="241">
        <f>mround('WEEK 39'!I21*0.85,5)</f>
        <v>0</v>
      </c>
      <c r="J25" s="241">
        <v>1.0</v>
      </c>
      <c r="K25" s="83" t="s">
        <v>57</v>
      </c>
      <c r="L25" s="84" t="str">
        <f>IF('WEEK 36'!I25='WEEK 39'!I25,'WEEK 36'!M25,"")</f>
        <v/>
      </c>
      <c r="M25" s="85"/>
    </row>
    <row r="26">
      <c r="A26" s="240">
        <v>4.0</v>
      </c>
      <c r="B26" s="241">
        <f>mround('WEEK 39'!B21*1,5)</f>
        <v>90</v>
      </c>
      <c r="C26" s="245" t="s">
        <v>65</v>
      </c>
      <c r="D26" s="83" t="s">
        <v>57</v>
      </c>
      <c r="E26" s="84">
        <f>IF('WEEK 36'!B26='WEEK 39'!B26,'WEEK 36'!F26,"")</f>
        <v>4</v>
      </c>
      <c r="F26" s="85"/>
      <c r="H26" s="240">
        <v>4.0</v>
      </c>
      <c r="I26" s="241">
        <f>mround('WEEK 39'!I21*1,5)</f>
        <v>0</v>
      </c>
      <c r="J26" s="245" t="s">
        <v>65</v>
      </c>
      <c r="K26" s="83" t="s">
        <v>57</v>
      </c>
      <c r="L26" s="84" t="str">
        <f>IF('WEEK 36'!I26='WEEK 39'!I26,'WEEK 36'!M26,"")</f>
        <v/>
      </c>
      <c r="M26" s="85"/>
    </row>
    <row r="27">
      <c r="A27" s="248" t="str">
        <f>IF(OR(ISBLANK('WEEK 39'!F26),ISBLANK('WEEK 39'!F25),ISBLANK('WEEK 39'!F24)),"PROCEED TO DOWNSETS",if('WEEK 39'!F26&gt;=6,"NEW 4 REP MAX ATTEMPT","PROCEED TO DOWN SETS"))</f>
        <v>PROCEED TO DOWN SETS</v>
      </c>
      <c r="F27" s="28"/>
      <c r="G27" s="247" t="s">
        <v>123</v>
      </c>
      <c r="H27" s="248" t="str">
        <f>IF(OR(ISBLANK('WEEK 39'!M26),ISBLANK('WEEK 39'!M25),ISBLANK('WEEK 39'!M24)),"PROCEED TO DOWNSETS",if('WEEK 39'!M26&gt;=6,"NEW 4 REP MAX ATTEMPT","PROCEED TO DOWN SETS"))</f>
        <v>PROCEED TO DOWNSETS</v>
      </c>
      <c r="M27" s="28"/>
    </row>
    <row r="28">
      <c r="A28" s="251" t="str">
        <f>IF(OR(ISBLANK('WEEK 39'!F26),ISBLANK('WEEK 39'!F25),ISBLANK('WEEK 39'!F24)),"",IF('WEEK 39'!F26&gt;=6,5,""))</f>
        <v/>
      </c>
      <c r="B28" s="252" t="str">
        <f>IF(OR(ISBLANK('WEEK 39'!F26),ISBLANK('WEEK 39'!F25),ISBLANK('WEEK 39'!F24)),"",IF('WEEK 39'!F26&gt;=6,'WEEK 39'!B21+5,""))</f>
        <v/>
      </c>
      <c r="C28" s="253" t="str">
        <f>IF(OR(ISBLANK('WEEK 39'!F26),ISBLANK('WEEK 39'!F25),ISBLANK('WEEK 39'!F24)),"",IF('WEEK 39'!F26&gt;=6,"REP OUT",""))</f>
        <v/>
      </c>
      <c r="D28" s="254" t="str">
        <f>IF(OR(ISBLANK('WEEK 39'!F26),ISBLANK('WEEK 39'!F25),ISBLANK('WEEK 39'!F24)),"",IF('WEEK 39'!F26&gt;5,"1 MIN",""))</f>
        <v/>
      </c>
      <c r="E28" s="84" t="str">
        <f>IF('WEEK 36'!B28='WEEK 39'!B28,'WEEK 36'!F28,"")</f>
        <v/>
      </c>
      <c r="F28" s="67"/>
      <c r="H28" s="251" t="str">
        <f>IF(OR(ISBLANK('WEEK 39'!M26),ISBLANK('WEEK 39'!M25),ISBLANK('WEEK 39'!M24)),"",IF('WEEK 39'!M26&gt;=6,5,""))</f>
        <v/>
      </c>
      <c r="I28" s="252" t="str">
        <f>IF(OR(ISBLANK('WEEK 39'!M26),ISBLANK('WEEK 39'!M25),ISBLANK('WEEK 39'!M24)),"",IF('WEEK 39'!M26&gt;=6,'WEEK 39'!I21+5,""))</f>
        <v/>
      </c>
      <c r="J28" s="253" t="str">
        <f>IF(OR(ISBLANK('WEEK 39'!M26),ISBLANK('WEEK 39'!M25),ISBLANK('WEEK 39'!M24)),"",IF('WEEK 39'!M26&gt;=6,"REP OUT",""))</f>
        <v/>
      </c>
      <c r="K28" s="254" t="str">
        <f>IF(OR(ISBLANK('WEEK 39'!M26),ISBLANK('WEEK 39'!M25),ISBLANK('WEEK 39'!M24)),"",IF('WEEK 39'!M26&gt;5,"1 MIN",""))</f>
        <v/>
      </c>
      <c r="L28" s="84" t="str">
        <f>IF('WEEK 36'!I28='WEEK 39'!I28,'WEEK 36'!M28,"")</f>
        <v/>
      </c>
      <c r="M28" s="67"/>
    </row>
    <row r="29">
      <c r="A29" s="260" t="str">
        <f>IF(OR(ISBLANK('WEEK 39'!F26),ISBLANK('WEEK 39'!F25),ISBLANK('WEEK 39'!F24)),"FILL OUT REP LOG FIRST","DOWN SETS")</f>
        <v>DOWN SETS</v>
      </c>
      <c r="B29" s="16"/>
      <c r="C29" s="16"/>
      <c r="D29" s="16"/>
      <c r="E29" s="16"/>
      <c r="F29" s="230"/>
      <c r="G29" s="141"/>
      <c r="H29" s="260" t="str">
        <f>IF(OR(ISBLANK('WEEK 39'!M26),ISBLANK('WEEK 39'!M25),ISBLANK('WEEK 39'!M24)),"FILL OUT REP LOG FIRST","DOWN SETS")</f>
        <v>FILL OUT REP LOG FIRST</v>
      </c>
      <c r="I29" s="16"/>
      <c r="J29" s="16"/>
      <c r="K29" s="16"/>
      <c r="L29" s="16"/>
      <c r="M29" s="230"/>
    </row>
    <row r="30">
      <c r="A30" s="545">
        <f>IF('WEEK 39'!F28&gt;=4,"",IF(OR(ISBLANK('WEEK 39'!F26),ISBLANK('WEEK 39'!F25),ISBLANK('WEEK 39'!F24)),"",IF('WEEK 39'!F26&gt;5,6,5)))</f>
        <v>5</v>
      </c>
      <c r="B30" s="261">
        <f>IF('WEEK 39'!F28&gt;=4,"",IF(OR(ISBLANK('WEEK 39'!F26),ISBLANK('WEEK 39'!F25),ISBLANK('WEEK 39'!F24)),"",IF('WEEK 39'!F26&lt;6,mround('WEEK 39'!B21*0.8,5),IF('WEEK 39'!F26&lt;10,mround('WEEK 39'!B21*0.93,5),mround('WEEK 39'!B21*0.7,5)))))</f>
        <v>70</v>
      </c>
      <c r="C30" s="262" t="str">
        <f>IF('WEEK 39'!F28&gt;=4,"",IF(OR(ISBLANK('WEEK 39'!F26),ISBLANK('WEEK 39'!F25),ISBLANK('WEEK 39'!F24)),"","REP OUT"))</f>
        <v>REP OUT</v>
      </c>
      <c r="D30" s="65" t="str">
        <f>IF('WEEK 39'!F28&gt;=4,"",IF(OR(ISBLANK('WEEK 39'!F26),ISBLANK('WEEK 39'!F25),ISBLANK('WEEK 39'!F24)),"","1 MIN"))</f>
        <v>1 MIN</v>
      </c>
      <c r="E30" s="84">
        <f>IF('WEEK 36'!B30='WEEK 39'!B30,'WEEK 36'!F30,"")</f>
        <v>8</v>
      </c>
      <c r="F30" s="263"/>
      <c r="H30" s="91" t="str">
        <f>IF('WEEK 39'!M28&gt;=4,"",IF(OR(ISBLANK('WEEK 39'!M26),ISBLANK('WEEK 39'!M25),ISBLANK('WEEK 39'!M24)),"",IF('WEEK 39'!M26&gt;5,6,5)))</f>
        <v/>
      </c>
      <c r="I30" s="261" t="str">
        <f>IF('WEEK 39'!M28&gt;=4,"",IF(OR(ISBLANK('WEEK 39'!M26),ISBLANK('WEEK 39'!M25),ISBLANK('WEEK 39'!M24)),"",IF('WEEK 39'!M26&lt;6,mround('WEEK 39'!I21*0.8,5),IF('WEEK 39'!M26&lt;10,mround('WEEK 39'!I21*0.93,5),mround('WEEK 39'!I21*0.7,5)))))</f>
        <v/>
      </c>
      <c r="J30" s="262" t="str">
        <f>IF('WEEK 39'!M28&gt;=4,"",IF(OR(ISBLANK('WEEK 39'!M26),ISBLANK('WEEK 39'!M25),ISBLANK('WEEK 39'!M24)),"","REP OUT"))</f>
        <v/>
      </c>
      <c r="K30" s="65" t="str">
        <f>IF('WEEK 39'!M28&gt;=4,"",IF(OR(ISBLANK('WEEK 39'!M26),ISBLANK('WEEK 39'!M25),ISBLANK('WEEK 39'!M24)),"","1 MIN"))</f>
        <v/>
      </c>
      <c r="L30" s="84" t="str">
        <f>IF('WEEK 36'!I30='WEEK 39'!I30,'WEEK 36'!M30,"")</f>
        <v/>
      </c>
      <c r="M30" s="263"/>
    </row>
    <row r="31">
      <c r="A31" s="546">
        <f>IF('WEEK 39'!F28&gt;=4,"",IF(OR(ISBLANK('WEEK 39'!F26),ISBLANK('WEEK 39'!F25),ISBLANK('WEEK 39'!F24)),"",IF('WEEK 39'!F26&gt;5,7,6)))</f>
        <v>6</v>
      </c>
      <c r="B31" s="254">
        <f>IF('WEEK 39'!F28&gt;=4,"",IF(OR(ISBLANK('WEEK 39'!F26),ISBLANK('WEEK 39'!F25),ISBLANK('WEEK 39'!F24)),"",IF('WEEK 39'!F26&lt;6,mround('WEEK 39'!B21*0.65,5),IF('WEEK 39'!F26&lt;10,mround('WEEK 39'!B21*0.7,5),mround('WEEK 39'!B21*0.65,5)))))</f>
        <v>60</v>
      </c>
      <c r="C31" s="253" t="str">
        <f>IF('WEEK 39'!F28&gt;=4,"",IF(OR(ISBLANK('WEEK 39'!F26),ISBLANK('WEEK 39'!F25),ISBLANK('WEEK 39'!F24)),"","REP OUT"))</f>
        <v>REP OUT</v>
      </c>
      <c r="D31" s="65" t="str">
        <f>IF('WEEK 39'!F28&gt;=4,"",IF(OR(ISBLANK('WEEK 39'!F26),ISBLANK('WEEK 39'!F25),ISBLANK('WEEK 39'!F24)),"","1 MIN"))</f>
        <v>1 MIN</v>
      </c>
      <c r="E31" s="84">
        <f>IF('WEEK 36'!B31='WEEK 39'!B31,'WEEK 36'!F31,"")</f>
        <v>12</v>
      </c>
      <c r="F31" s="270"/>
      <c r="H31" s="269" t="str">
        <f>IF('WEEK 39'!M28&gt;=4,"",IF(OR(ISBLANK('WEEK 39'!M26),ISBLANK('WEEK 39'!M25),ISBLANK('WEEK 39'!M24)),"",IF('WEEK 39'!M26&gt;5,7,6)))</f>
        <v/>
      </c>
      <c r="I31" s="254" t="str">
        <f>IF('WEEK 39'!M28&gt;=4,"",IF(OR(ISBLANK('WEEK 39'!M26),ISBLANK('WEEK 39'!M25),ISBLANK('WEEK 39'!M24)),"",IF('WEEK 39'!M26&lt;6,mround('WEEK 39'!I21*0.65,5),IF('WEEK 39'!M26&lt;10,mround('WEEK 39'!I21*0.7,5),mround('WEEK 39'!I21*0.65,5)))))</f>
        <v/>
      </c>
      <c r="J31" s="253" t="str">
        <f>IF('WEEK 39'!M28&gt;=4,"",IF(OR(ISBLANK('WEEK 39'!M26),ISBLANK('WEEK 39'!M25),ISBLANK('WEEK 39'!M24)),"","REP OUT"))</f>
        <v/>
      </c>
      <c r="K31" s="65" t="str">
        <f>IF('WEEK 39'!M28&gt;=4,"",IF(OR(ISBLANK('WEEK 39'!M26),ISBLANK('WEEK 39'!M25),ISBLANK('WEEK 39'!M24)),"","1 MIN"))</f>
        <v/>
      </c>
      <c r="L31" s="84" t="str">
        <f>IF('WEEK 36'!I31='WEEK 39'!I31,'WEEK 36'!M31,"")</f>
        <v/>
      </c>
      <c r="M31" s="270"/>
    </row>
    <row r="32">
      <c r="A32" s="546" t="str">
        <f>IF('WEEK 39'!F28&lt;4,"",IF(OR(ISBLANK('WEEK 39'!F26),ISBLANK('WEEK 39'!F25),ISBLANK('WEEK 39'!F24)),"",IF('WEEK 39'!F28&gt;3,6,5)))</f>
        <v/>
      </c>
      <c r="B32" s="254" t="str">
        <f>IF('WEEK 39'!F28&lt;4,"",IF(OR(ISBLANK('WEEK 39'!F26),ISBLANK('WEEK 39'!F25),ISBLANK('WEEK 39'!F24)),"",IF('WEEK 39'!F28&lt;6,mround('WEEK 39'!B34*0.8,5),IF('WEEK 39'!F28&lt;10,mround('WEEK 39'!B34*0.93,5),mround(B34*0.7,5)))))</f>
        <v/>
      </c>
      <c r="C32" s="253" t="str">
        <f>IF('WEEK 39'!F28&lt;4,"",IF(OR(ISBLANK('WEEK 39'!F26),ISBLANK('WEEK 39'!F25),ISBLANK('WEEK 39'!F24)),"","REP OUT"))</f>
        <v/>
      </c>
      <c r="D32" s="65" t="str">
        <f>IF('WEEK 39'!F28&lt;4,"",IF(OR(ISBLANK('WEEK 39'!F26),ISBLANK('WEEK 39'!F25),ISBLANK('WEEK 39'!F24)),"","1 MIN"))</f>
        <v/>
      </c>
      <c r="E32" s="84" t="str">
        <f>IF('WEEK 36'!B32='WEEK 39'!B32,'WEEK 36'!F32,"")</f>
        <v/>
      </c>
      <c r="F32" s="270"/>
      <c r="G32" s="141"/>
      <c r="H32" s="269" t="str">
        <f>IF('WEEK 39'!M28&lt;4,"",IF(OR(ISBLANK('WEEK 39'!M26),ISBLANK('WEEK 39'!M25),ISBLANK('WEEK 39'!M24)),"",IF('WEEK 39'!M28&gt;3,6,5)))</f>
        <v/>
      </c>
      <c r="I32" s="254" t="str">
        <f>IF('WEEK 39'!M28&lt;4,"",IF(OR(ISBLANK('WEEK 39'!M26),ISBLANK('WEEK 39'!M25),ISBLANK('WEEK 39'!M24)),"",IF('WEEK 39'!M28&lt;6,mround('WEEK 39'!I34*0.7,5),IF('WEEK 39'!M28&lt;10,mround('WEEK 39'!I34*0.8,5),mround(I34*0.93,5)))))</f>
        <v/>
      </c>
      <c r="J32" s="253" t="str">
        <f>IF('WEEK 39'!M28&lt;4,"",IF(OR(ISBLANK('WEEK 39'!M26),ISBLANK('WEEK 39'!M25),ISBLANK('WEEK 39'!M24)),"","REP OUT"))</f>
        <v/>
      </c>
      <c r="K32" s="65" t="str">
        <f>IF('WEEK 39'!M28&lt;4,"",IF(OR(ISBLANK('WEEK 39'!M26),ISBLANK('WEEK 39'!M25),ISBLANK('WEEK 39'!M24)),"","1 MIN"))</f>
        <v/>
      </c>
      <c r="L32" s="84" t="str">
        <f>IF('WEEK 36'!I32='WEEK 39'!I32,'WEEK 36'!M32,"")</f>
        <v/>
      </c>
      <c r="M32" s="270"/>
      <c r="N32" s="141"/>
    </row>
    <row r="33">
      <c r="A33" s="546" t="str">
        <f>IF('WEEK 39'!F28&lt;4,"",IF(OR(ISBLANK('WEEK 39'!F26),ISBLANK('WEEK 39'!F25),ISBLANK('WEEK 39'!F24)),"",IF('WEEK 39'!F28&gt;3,7,"")))</f>
        <v/>
      </c>
      <c r="B33" s="254" t="str">
        <f>IF('WEEK 39'!F28&lt;4,"",IF(OR(ISBLANK('WEEK 39'!F26),ISBLANK('WEEK 39'!F25),ISBLANK('WEEK 39'!F24)),"",IF('WEEK 39'!F28&lt;6,mround('WEEK 39'!B34*0.65,5),IF('WEEK 39'!F28&lt;10,mround('WEEK 39'!B34*0.7,5),mround(B34*0.65,5)))))</f>
        <v/>
      </c>
      <c r="C33" s="253" t="str">
        <f>IF('WEEK 39'!F28&lt;4,"",IF(OR(ISBLANK('WEEK 39'!F26),ISBLANK('WEEK 39'!F25),ISBLANK('WEEK 39'!F24)),"","REP OUT"))</f>
        <v/>
      </c>
      <c r="D33" s="65" t="str">
        <f>IF('WEEK 39'!F28&lt;4,"",IF(OR(ISBLANK('WEEK 39'!F26),ISBLANK('WEEK 39'!F25),ISBLANK('WEEK 39'!F24)),"","1 MIN"))</f>
        <v/>
      </c>
      <c r="E33" s="84" t="str">
        <f>IF('WEEK 36'!B33='WEEK 39'!B33,'WEEK 36'!F33,"")</f>
        <v/>
      </c>
      <c r="F33" s="270"/>
      <c r="G33" s="141"/>
      <c r="H33" s="269" t="str">
        <f>IF('WEEK 39'!M28&lt;4,"",IF(OR(ISBLANK('WEEK 39'!M26),ISBLANK('WEEK 39'!M25),ISBLANK('WEEK 39'!M24)),"",IF('WEEK 39'!M28&gt;3,7,"")))</f>
        <v/>
      </c>
      <c r="I33" s="254" t="str">
        <f>IF('WEEK 39'!M28&lt;4,"",IF(OR(ISBLANK('WEEK 39'!M26),ISBLANK('WEEK 39'!M25),ISBLANK('WEEK 39'!M24)),"",IF('WEEK 39'!M28&lt;6,mround('WEEK 39'!I34*0.65,5),IF('WEEK 39'!M28&lt;10,mround('WEEK 39'!I34*0.7,5),mround(I34*0.75,5)))))</f>
        <v/>
      </c>
      <c r="J33" s="253" t="str">
        <f>IF('WEEK 39'!M28&lt;4,"",IF(OR(ISBLANK('WEEK 39'!M26),ISBLANK('WEEK 39'!M25),ISBLANK('WEEK 39'!M24)),"","REP OUT"))</f>
        <v/>
      </c>
      <c r="K33" s="65" t="str">
        <f>IF('WEEK 39'!M28&lt;4,"",IF(OR(ISBLANK('WEEK 39'!M26),ISBLANK('WEEK 39'!M25),ISBLANK('WEEK 39'!M24)),"","1 MIN"))</f>
        <v/>
      </c>
      <c r="L33" s="84" t="str">
        <f>IF('WEEK 36'!I33='WEEK 39'!I33,'WEEK 36'!M33,"")</f>
        <v/>
      </c>
      <c r="M33" s="270"/>
      <c r="N33" s="141"/>
    </row>
    <row r="34">
      <c r="A34" s="280" t="s">
        <v>124</v>
      </c>
      <c r="B34" s="273">
        <f>IF(OR(ISBLANK('WEEK 39'!F24),ISBLANK('WEEK 39'!F25),ISBLANK('WEEK 39'!F26)),"",IF('WEEK 39'!F28&gt;=4,'WEEK 39'!B28,IF('WEEK 39'!F26&lt;=3,'WEEK 39'!B26-5,'WEEK 39'!B26)))</f>
        <v>90</v>
      </c>
      <c r="C34" s="11"/>
      <c r="D34" s="11"/>
      <c r="E34" s="11"/>
      <c r="F34" s="46"/>
      <c r="G34" s="141"/>
      <c r="H34" s="280" t="s">
        <v>124</v>
      </c>
      <c r="I34" s="273" t="str">
        <f>IF(OR(ISBLANK('WEEK 36'!M24),ISBLANK('WEEK 36'!M25),ISBLANK('WEEK 36'!M26)),"",IF('WEEK 36'!M28&gt;=4,'WEEK 36'!I28,IF('WEEK 36'!M26&lt;=3,'WEEK 36'!I26-5,'WEEK 36'!I26)))</f>
        <v/>
      </c>
      <c r="J34" s="11"/>
      <c r="K34" s="11"/>
      <c r="L34" s="11"/>
      <c r="M34" s="46"/>
      <c r="N34" s="141"/>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228</v>
      </c>
      <c r="B38" s="548">
        <f>if('WEEK 39'!B34="",'WEEK 36'!B34,'WEEK 39'!B34)</f>
        <v>90</v>
      </c>
      <c r="C38" s="13"/>
      <c r="D38" s="13"/>
      <c r="E38" s="13"/>
      <c r="F38" s="57"/>
      <c r="G38" s="247" t="s">
        <v>123</v>
      </c>
      <c r="H38" s="226" t="s">
        <v>228</v>
      </c>
      <c r="I38" s="548">
        <f>'WEEK 39'!B38</f>
        <v>90</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39'!B38*0.29,2.5)</f>
        <v>25</v>
      </c>
      <c r="C40" s="241">
        <v>15.0</v>
      </c>
      <c r="D40" s="83" t="s">
        <v>57</v>
      </c>
      <c r="E40" s="84" t="str">
        <f>IF('WEEK 36'!B40='WEEK 39'!B40,'WEEK 36'!F40,"")</f>
        <v/>
      </c>
      <c r="F40" s="85"/>
      <c r="G40" s="659"/>
      <c r="H40" s="240">
        <v>1.0</v>
      </c>
      <c r="I40" s="254">
        <f>mround('WEEK 39'!I38*2*0.75,10)</f>
        <v>140</v>
      </c>
      <c r="J40" s="241">
        <v>15.0</v>
      </c>
      <c r="K40" s="83" t="s">
        <v>57</v>
      </c>
      <c r="L40" s="84" t="str">
        <f>IF('WEEK 36'!I40='WEEK 39'!I40,'WEEK 36'!M40,"")</f>
        <v/>
      </c>
      <c r="M40" s="85"/>
    </row>
    <row r="41">
      <c r="A41" s="661">
        <v>2.0</v>
      </c>
      <c r="B41" s="662">
        <f>mround('WEEK 39'!B38*0.29,2.5)</f>
        <v>25</v>
      </c>
      <c r="C41" s="69">
        <v>15.0</v>
      </c>
      <c r="D41" s="88" t="s">
        <v>57</v>
      </c>
      <c r="E41" s="84" t="str">
        <f>IF('WEEK 36'!B41='WEEK 39'!B41,'WEEK 36'!F41,"")</f>
        <v/>
      </c>
      <c r="F41" s="85"/>
      <c r="H41" s="661">
        <v>2.0</v>
      </c>
      <c r="I41" s="662">
        <f>mround('WEEK 39'!I38*2*0.75,10)</f>
        <v>140</v>
      </c>
      <c r="J41" s="662">
        <v>15.0</v>
      </c>
      <c r="K41" s="88" t="s">
        <v>57</v>
      </c>
      <c r="L41" s="84" t="str">
        <f>IF('WEEK 36'!I41='WEEK 39'!I41,'WEEK 36'!M41,"")</f>
        <v/>
      </c>
      <c r="M41" s="85"/>
    </row>
    <row r="44">
      <c r="A44" s="73" t="str">
        <f>HYPERLINK("https://youtu.be/hMUUvL3FlkE","3. MACHINE HIGH ROW")</f>
        <v>3. MACHINE HIGH ROW</v>
      </c>
      <c r="B44" s="53"/>
      <c r="C44" s="53"/>
      <c r="D44" s="53"/>
      <c r="E44" s="53"/>
      <c r="F44" s="54"/>
    </row>
    <row r="45">
      <c r="A45" s="226" t="s">
        <v>119</v>
      </c>
      <c r="B45" s="227">
        <f>'WEEK 35'!B57</f>
        <v>205</v>
      </c>
      <c r="C45" s="20"/>
      <c r="D45" s="20"/>
      <c r="E45" s="20"/>
      <c r="F45" s="95"/>
    </row>
    <row r="46">
      <c r="A46" s="231" t="s">
        <v>50</v>
      </c>
      <c r="B46" s="232" t="s">
        <v>51</v>
      </c>
      <c r="C46" s="232" t="s">
        <v>52</v>
      </c>
      <c r="D46" s="232" t="s">
        <v>53</v>
      </c>
      <c r="E46" s="233" t="s">
        <v>54</v>
      </c>
      <c r="F46" s="61" t="s">
        <v>55</v>
      </c>
    </row>
    <row r="47">
      <c r="A47" s="236">
        <v>1.0</v>
      </c>
      <c r="B47" s="237">
        <f>mround('WEEK 39'!B45*0.35,5)</f>
        <v>70</v>
      </c>
      <c r="C47" s="237">
        <v>6.0</v>
      </c>
      <c r="D47" s="238" t="s">
        <v>120</v>
      </c>
      <c r="E47" s="89" t="str">
        <f>IF('WEEK 35'!B47='WEEK 39'!B47,'WEEK 35'!F47,"")</f>
        <v/>
      </c>
      <c r="F47" s="67"/>
    </row>
    <row r="48">
      <c r="A48" s="236">
        <v>2.0</v>
      </c>
      <c r="B48" s="237">
        <f>mround('WEEK 39'!B45*0.65,5)</f>
        <v>135</v>
      </c>
      <c r="C48" s="238">
        <v>3.0</v>
      </c>
      <c r="D48" s="238" t="s">
        <v>121</v>
      </c>
      <c r="E48" s="89" t="str">
        <f>IF('WEEK 35'!B48='WEEK 39'!B48,'WEEK 35'!F48,"")</f>
        <v/>
      </c>
      <c r="F48" s="67"/>
    </row>
    <row r="49">
      <c r="A49" s="242">
        <v>3.0</v>
      </c>
      <c r="B49" s="237">
        <f>mround('WEEK 39'!B45*0.9,5)</f>
        <v>185</v>
      </c>
      <c r="C49" s="63">
        <v>2.0</v>
      </c>
      <c r="D49" s="238" t="s">
        <v>121</v>
      </c>
      <c r="E49" s="89" t="str">
        <f>IF('WEEK 35'!B49='WEEK 39'!B49,'WEEK 35'!F49,"")</f>
        <v/>
      </c>
      <c r="F49" s="67"/>
    </row>
    <row r="50">
      <c r="A50" s="243">
        <v>4.0</v>
      </c>
      <c r="B50" s="237">
        <f>'WEEK 39'!B45</f>
        <v>205</v>
      </c>
      <c r="C50" s="257">
        <v>3.0</v>
      </c>
      <c r="D50" s="238" t="s">
        <v>122</v>
      </c>
      <c r="E50" s="89" t="str">
        <f>IF('WEEK 35'!B50='WEEK 39'!B50,'WEEK 35'!F50,"")</f>
        <v/>
      </c>
      <c r="F50" s="67"/>
    </row>
    <row r="51">
      <c r="A51" s="246" t="str">
        <f>IF('WEEK 39'!F50&lt;3,"PROCEED TO DOWN SETS","NEW 4 REP MAX ATTEMPT")</f>
        <v>NEW 4 REP MAX ATTEMPT</v>
      </c>
      <c r="B51" s="20"/>
      <c r="C51" s="20"/>
      <c r="D51" s="20"/>
      <c r="E51" s="20"/>
      <c r="F51" s="95"/>
    </row>
    <row r="52">
      <c r="A52" s="249">
        <f>if('WEEK 39'!F50&lt;=2,"",5)</f>
        <v>5</v>
      </c>
      <c r="B52" s="175">
        <f>IF('WEEK 39'!F50&lt;=2,"",'WEEK 39'!B50+5)</f>
        <v>210</v>
      </c>
      <c r="C52" s="238">
        <f>if('WEEK 39'!F50&lt;=2,"",4)</f>
        <v>4</v>
      </c>
      <c r="D52" s="238" t="str">
        <f>if('WEEK 39'!F50&lt;=2,"","1-5 MIN")</f>
        <v>1-5 MIN</v>
      </c>
      <c r="E52" s="89" t="str">
        <f>IF('WEEK 35'!B52='WEEK 39'!B52,'WEEK 35'!F52,"")</f>
        <v/>
      </c>
      <c r="F52" s="67"/>
    </row>
    <row r="53">
      <c r="A53" s="259" t="str">
        <f>IF('WEEK 39'!F52&lt;4,"","6")</f>
        <v>6</v>
      </c>
      <c r="B53" s="237">
        <f>IF('WEEK 39'!F52&lt;4,"",'WEEK 39'!B52+5)</f>
        <v>215</v>
      </c>
      <c r="C53" s="257" t="str">
        <f>IF('WEEK 39'!F52&lt;4,"","4")</f>
        <v>4</v>
      </c>
      <c r="D53" s="257" t="str">
        <f>IF('WEEK 39'!F52&lt;4,"","1-5 MIN")</f>
        <v>1-5 MIN</v>
      </c>
      <c r="E53" s="89" t="str">
        <f>IF('WEEK 35'!B53='WEEK 39'!B53,'WEEK 35'!F53,"")</f>
        <v/>
      </c>
      <c r="F53" s="67"/>
    </row>
    <row r="54">
      <c r="A54" s="246" t="s">
        <v>133</v>
      </c>
      <c r="B54" s="20"/>
      <c r="C54" s="20"/>
      <c r="D54" s="20"/>
      <c r="E54" s="20"/>
      <c r="F54" s="95"/>
    </row>
    <row r="55">
      <c r="A55" s="264">
        <f>IF('WEEK 39'!F52&gt;=1,7,IF('WEEK 39'!F50&lt;1,5,6))</f>
        <v>7</v>
      </c>
      <c r="B55" s="265">
        <f>MROUND('WEEK 39'!B57*0.8,5)</f>
        <v>170</v>
      </c>
      <c r="C55" s="266" t="s">
        <v>65</v>
      </c>
      <c r="D55" s="267" t="s">
        <v>127</v>
      </c>
      <c r="E55" s="89" t="str">
        <f>IF('WEEK 35'!B55='WEEK 39'!B55,'WEEK 35'!F55,"")</f>
        <v/>
      </c>
      <c r="F55" s="67"/>
    </row>
    <row r="56">
      <c r="A56" s="243">
        <f>IF('WEEK 39'!F52&gt;=1,8,IF('WEEK 39'!F50&lt;1,6,7))</f>
        <v>8</v>
      </c>
      <c r="B56" s="237">
        <f>mround('WEEK 39'!B57*0.7,5)</f>
        <v>145</v>
      </c>
      <c r="C56" s="245" t="s">
        <v>65</v>
      </c>
      <c r="D56" s="65" t="s">
        <v>127</v>
      </c>
      <c r="E56" s="89">
        <f>IF('WEEK 35'!B56='WEEK 39'!B56,'WEEK 35'!F56,"")</f>
        <v>14</v>
      </c>
      <c r="F56" s="271"/>
    </row>
    <row r="57">
      <c r="A57" s="228" t="s">
        <v>124</v>
      </c>
      <c r="B57" s="549">
        <f>IF(OR(ISBLANK('WEEK 39'!F50),ISBLANK('WEEK 39'!F49),ISBLANK('WEEK 39'!F48)),"",IF('WEEK 39'!F53&gt;=4,'WEEK 39'!B53,IF('WEEK 39'!F52&gt;=1,'WEEK 39'!B52,IF('WEEK 39'!F50&lt;3,'WEEK 39'!B50-5,'WEEK 39'!B50))))</f>
        <v>210</v>
      </c>
      <c r="F57" s="28"/>
    </row>
    <row r="58">
      <c r="A58" s="750"/>
      <c r="B58" s="750"/>
      <c r="C58" s="750"/>
      <c r="D58" s="750"/>
      <c r="E58" s="750"/>
      <c r="F58" s="750"/>
    </row>
    <row r="59">
      <c r="A59" s="751" t="str">
        <f>HYPERLINK("https://www.youtube.com/watch?v=PnaDzYh2axA","4. LAT PULL DOWN")</f>
        <v>4. LAT PULL DOWN</v>
      </c>
      <c r="B59" s="13"/>
      <c r="C59" s="13"/>
      <c r="D59" s="13"/>
      <c r="E59" s="13"/>
      <c r="F59" s="57"/>
    </row>
    <row r="60">
      <c r="A60" s="226" t="s">
        <v>119</v>
      </c>
      <c r="B60" s="691">
        <f>'WEEK 35'!B60</f>
        <v>235</v>
      </c>
      <c r="C60" s="13"/>
      <c r="D60" s="13"/>
      <c r="E60" s="13"/>
      <c r="F60" s="57"/>
    </row>
    <row r="61">
      <c r="A61" s="96" t="s">
        <v>50</v>
      </c>
      <c r="B61" s="97" t="s">
        <v>51</v>
      </c>
      <c r="C61" s="97" t="s">
        <v>52</v>
      </c>
      <c r="D61" s="97" t="s">
        <v>53</v>
      </c>
      <c r="E61" s="341" t="s">
        <v>54</v>
      </c>
      <c r="F61" s="235" t="s">
        <v>55</v>
      </c>
    </row>
    <row r="62">
      <c r="A62" s="725">
        <v>1.0</v>
      </c>
      <c r="B62" s="344">
        <f> mround('WEEK 39'!B60*0.9,5)</f>
        <v>210</v>
      </c>
      <c r="C62" s="437" t="s">
        <v>65</v>
      </c>
      <c r="D62" s="343" t="s">
        <v>57</v>
      </c>
      <c r="E62" s="89">
        <f>IF('WEEK 35'!B62='WEEK 39'!B62,'WEEK 35'!F62,"")</f>
        <v>4</v>
      </c>
      <c r="F62" s="85"/>
    </row>
    <row r="63">
      <c r="A63" s="725">
        <v>2.0</v>
      </c>
      <c r="B63" s="344">
        <f>IF('WEEK 39'!F62&lt;6,MROUND('WEEK 39'!B60*0.75,5),IF('WEEK 39'!F62&lt;=11,MROUND('WEEK 39'!B60*0.85,5),'WEEK 39'!B62))</f>
        <v>175</v>
      </c>
      <c r="C63" s="437" t="s">
        <v>65</v>
      </c>
      <c r="D63" s="343" t="s">
        <v>57</v>
      </c>
      <c r="E63" s="89" t="str">
        <f>IF('WEEK 35'!B63='WEEK 39'!B63,'WEEK 35'!F63,"")</f>
        <v/>
      </c>
      <c r="F63" s="85"/>
    </row>
    <row r="64">
      <c r="A64" s="753">
        <v>3.0</v>
      </c>
      <c r="B64" s="754">
        <f>IF('WEEK 39'!F63&lt;6,MROUND('WEEK 39'!B60*0.75,5),IF('WEEK 39'!F63&lt;=11,MROUND('WEEK 39'!B60*0.85,5),'WEEK 39'!B63))</f>
        <v>175</v>
      </c>
      <c r="C64" s="733" t="s">
        <v>65</v>
      </c>
      <c r="D64" s="486" t="s">
        <v>57</v>
      </c>
      <c r="E64" s="89" t="str">
        <f>IF('WEEK 35'!B64='WEEK 39'!B64,'WEEK 35'!F64,"")</f>
        <v/>
      </c>
      <c r="F64" s="85"/>
    </row>
    <row r="65">
      <c r="A65" s="756"/>
      <c r="B65" s="756"/>
      <c r="C65" s="756"/>
      <c r="D65" s="756"/>
      <c r="E65" s="757"/>
      <c r="F65" s="419"/>
    </row>
    <row r="66">
      <c r="A66" s="756"/>
      <c r="B66" s="756"/>
      <c r="C66" s="756"/>
      <c r="D66" s="756"/>
      <c r="E66" s="757"/>
      <c r="F66" s="419"/>
    </row>
    <row r="67">
      <c r="A67" s="73" t="str">
        <f>HYPERLINK("https://youtu.be/9YH1YvZbiY0","5. LOW ROW ")</f>
        <v>5. LOW ROW </v>
      </c>
      <c r="B67" s="53"/>
      <c r="C67" s="53"/>
      <c r="D67" s="53"/>
      <c r="E67" s="53"/>
      <c r="F67" s="54"/>
    </row>
    <row r="68">
      <c r="A68" s="226" t="s">
        <v>119</v>
      </c>
      <c r="B68" s="691">
        <f>'WEEK 35'!B68</f>
        <v>220</v>
      </c>
      <c r="C68" s="13"/>
      <c r="D68" s="13"/>
      <c r="E68" s="13"/>
      <c r="F68" s="57"/>
    </row>
    <row r="69">
      <c r="A69" s="96" t="s">
        <v>50</v>
      </c>
      <c r="B69" s="97" t="s">
        <v>51</v>
      </c>
      <c r="C69" s="97" t="s">
        <v>52</v>
      </c>
      <c r="D69" s="97" t="s">
        <v>53</v>
      </c>
      <c r="E69" s="341" t="s">
        <v>54</v>
      </c>
      <c r="F69" s="235" t="s">
        <v>55</v>
      </c>
    </row>
    <row r="70">
      <c r="A70" s="725">
        <v>1.0</v>
      </c>
      <c r="B70" s="344">
        <f>mround('WEEK 39'!B68*0.85,5)</f>
        <v>185</v>
      </c>
      <c r="C70" s="437" t="s">
        <v>65</v>
      </c>
      <c r="D70" s="343" t="s">
        <v>127</v>
      </c>
      <c r="E70" s="89">
        <f>IF('WEEK 35'!B70='WEEK 39'!B70,'WEEK 35'!F70,"")</f>
        <v>5</v>
      </c>
      <c r="F70" s="85"/>
    </row>
    <row r="71">
      <c r="A71" s="725">
        <v>2.0</v>
      </c>
      <c r="B71" s="344">
        <f>IF('WEEK 39'!F70&lt;6,MROUND('WEEK 39'!B68*0.75,5),IF('WEEK 39'!F70&lt;=11,MROUND('WEEK 39'!B68*0.75,5),'WEEK 39'!B70))</f>
        <v>165</v>
      </c>
      <c r="C71" s="437" t="s">
        <v>65</v>
      </c>
      <c r="D71" s="343" t="s">
        <v>127</v>
      </c>
      <c r="E71" s="89" t="str">
        <f>IF('WEEK 35'!B71='WEEK 39'!B71,'WEEK 35'!F71,"")</f>
        <v/>
      </c>
      <c r="F71" s="85"/>
    </row>
    <row r="72">
      <c r="A72" s="753">
        <v>3.0</v>
      </c>
      <c r="B72" s="754">
        <f>IF('WEEK 39'!F71&lt;6,MROUND('WEEK 39'!B71*0.8,5),IF('WEEK 39'!F71&lt;=11,MROUND('WEEK 39'!B68*0.75,5),'WEEK 39'!B71))</f>
        <v>130</v>
      </c>
      <c r="C72" s="733" t="s">
        <v>65</v>
      </c>
      <c r="D72" s="486" t="s">
        <v>127</v>
      </c>
      <c r="E72" s="89" t="str">
        <f>IF('WEEK 35'!B72='WEEK 39'!B72,'WEEK 35'!F72,"")</f>
        <v/>
      </c>
      <c r="F72" s="85"/>
    </row>
    <row r="73">
      <c r="A73" s="758"/>
      <c r="B73" s="736"/>
      <c r="C73" s="759"/>
      <c r="D73" s="760"/>
      <c r="E73" s="761"/>
      <c r="F73" s="762"/>
    </row>
    <row r="74">
      <c r="A74" s="310" t="str">
        <f>HYPERLINK("https://docs.google.com/a/fitnessresults.com/forms/d/e/1FAIpQLSd7MoczESe8Yjv6BKpmwAZGn9Aiymrs9-UdgfYIUpbr9t5NXg/viewform?usp=pp_url&amp;entry.93370101","CLICK TO COMPLETE WORKOUT")</f>
        <v>CLICK TO COMPLETE WORKOUT</v>
      </c>
      <c r="B74" s="36"/>
      <c r="C74" s="36"/>
      <c r="D74" s="36"/>
      <c r="E74" s="36"/>
      <c r="F74" s="37"/>
    </row>
    <row r="75">
      <c r="A75" s="763"/>
      <c r="B75" s="764"/>
      <c r="C75" s="764"/>
      <c r="D75" s="764"/>
      <c r="E75" s="764"/>
      <c r="F75" s="764"/>
    </row>
    <row r="76">
      <c r="A76" s="50" t="s">
        <v>128</v>
      </c>
      <c r="B76" s="36"/>
      <c r="C76" s="36"/>
      <c r="D76" s="36"/>
      <c r="E76" s="36"/>
      <c r="F76" s="37"/>
    </row>
    <row r="79">
      <c r="A79" s="1176" t="str">
        <f>HYPERLINK("https://www.youtube.com/watch?v=JDPkRuVBZ90","2. SUPER SET")</f>
        <v>2. SUPER SET</v>
      </c>
      <c r="B79" s="36"/>
      <c r="C79" s="36"/>
      <c r="D79" s="36"/>
      <c r="E79" s="36"/>
      <c r="F79" s="37"/>
    </row>
    <row r="80">
      <c r="A80" s="1177" t="s">
        <v>119</v>
      </c>
      <c r="B80" s="1178">
        <f>'WEEK 38'!B97</f>
        <v>130</v>
      </c>
      <c r="C80" s="46"/>
      <c r="D80" s="1178">
        <f>'WEEK 35'!B79</f>
        <v>300</v>
      </c>
      <c r="E80" s="11"/>
      <c r="F80" s="46"/>
    </row>
    <row r="81">
      <c r="A81" s="1179" t="s">
        <v>50</v>
      </c>
      <c r="B81" s="1180" t="s">
        <v>200</v>
      </c>
      <c r="C81" s="1181" t="s">
        <v>51</v>
      </c>
      <c r="D81" s="1181" t="s">
        <v>52</v>
      </c>
      <c r="E81" s="1182" t="s">
        <v>54</v>
      </c>
      <c r="F81" s="1006" t="s">
        <v>55</v>
      </c>
    </row>
    <row r="82">
      <c r="A82" s="1183">
        <v>1.0</v>
      </c>
      <c r="B82" s="1345" t="str">
        <f>HYPERLINK("https://www.youtube.com/watch?v=NZ9KiFtbiMs","LEG EXTENSION")</f>
        <v>LEG EXTENSION</v>
      </c>
      <c r="C82" s="1346">
        <f>MROUND('WEEK 39'!B80*0.45,5)</f>
        <v>60</v>
      </c>
      <c r="D82" s="1347">
        <v>15.0</v>
      </c>
      <c r="E82" s="1187"/>
      <c r="F82" s="1188"/>
      <c r="I82" s="1578"/>
      <c r="J82" s="1578"/>
      <c r="K82" s="1578"/>
      <c r="L82" s="1578"/>
      <c r="M82" s="1578"/>
      <c r="N82" s="1578"/>
    </row>
    <row r="83">
      <c r="A83" s="1189"/>
      <c r="B83" s="1190" t="str">
        <f>HYPERLINK("https://www.youtube.com/watch?v=dVterVQksD4","LEG PRESS")</f>
        <v>LEG PRESS</v>
      </c>
      <c r="C83" s="1191">
        <f>MROUND('WEEK 39'!D80*0.45,5)</f>
        <v>135</v>
      </c>
      <c r="D83" s="1192">
        <v>30.0</v>
      </c>
      <c r="E83" s="1193"/>
      <c r="F83" s="1188"/>
    </row>
    <row r="84">
      <c r="A84" s="1194" t="s">
        <v>201</v>
      </c>
      <c r="B84" s="11"/>
      <c r="C84" s="11"/>
      <c r="D84" s="11"/>
      <c r="E84" s="11"/>
      <c r="F84" s="46"/>
    </row>
    <row r="85">
      <c r="A85" s="1195">
        <v>2.0</v>
      </c>
      <c r="B85" s="1345" t="str">
        <f>HYPERLINK("https://www.youtube.com/watch?v=NZ9KiFtbiMs","LEG EXTENSION")</f>
        <v>LEG EXTENSION</v>
      </c>
      <c r="C85" s="1346">
        <f>IF('WEEK 39'!F82&gt;=10,'WEEK 39'!C82,MROUND('WEEK 39'!C82*0.9,5))</f>
        <v>55</v>
      </c>
      <c r="D85" s="1347">
        <v>12.0</v>
      </c>
      <c r="E85" s="1187"/>
      <c r="F85" s="1188"/>
    </row>
    <row r="86">
      <c r="A86" s="1196"/>
      <c r="B86" s="1190" t="str">
        <f>HYPERLINK("https://www.youtube.com/watch?v=dVterVQksD4","LEG PRESS")</f>
        <v>LEG PRESS</v>
      </c>
      <c r="C86" s="1191">
        <f>IF('WEEK 39'!F83&gt;=10,'WEEK 39'!C83,MROUND('WEEK 39'!C83*0.9,5))</f>
        <v>120</v>
      </c>
      <c r="D86" s="1192">
        <v>30.0</v>
      </c>
      <c r="E86" s="1193"/>
      <c r="F86" s="1188"/>
    </row>
    <row r="87">
      <c r="A87" s="1194" t="s">
        <v>201</v>
      </c>
      <c r="B87" s="11"/>
      <c r="C87" s="11"/>
      <c r="D87" s="11"/>
      <c r="E87" s="11"/>
      <c r="F87" s="46"/>
    </row>
    <row r="88">
      <c r="A88" s="1195">
        <v>3.0</v>
      </c>
      <c r="B88" s="1345" t="str">
        <f>HYPERLINK("https://www.youtube.com/watch?v=NZ9KiFtbiMs","LEG EXTENSION")</f>
        <v>LEG EXTENSION</v>
      </c>
      <c r="C88" s="1346">
        <f>IF('WEEK 39'!F85&gt;=10,'WEEK 39'!C85,MROUND('WEEK 39'!C85*0.9,5))</f>
        <v>50</v>
      </c>
      <c r="D88" s="1347">
        <v>10.0</v>
      </c>
      <c r="E88" s="1187"/>
      <c r="F88" s="1133"/>
    </row>
    <row r="89">
      <c r="A89" s="1196"/>
      <c r="B89" s="1190" t="str">
        <f>HYPERLINK("https://www.youtube.com/watch?v=dVterVQksD4","LEG PRESS")</f>
        <v>LEG PRESS</v>
      </c>
      <c r="C89" s="1191">
        <f>IF('WEEK 39'!F86&gt;=10,'WEEK 39'!C86,MROUND('WEEK 39'!C86*0.9,5))</f>
        <v>110</v>
      </c>
      <c r="D89" s="1192">
        <v>30.0</v>
      </c>
      <c r="E89" s="1193"/>
      <c r="F89" s="1133"/>
    </row>
    <row r="90">
      <c r="A90" s="1194" t="s">
        <v>201</v>
      </c>
      <c r="B90" s="11"/>
      <c r="C90" s="11"/>
      <c r="D90" s="11"/>
      <c r="E90" s="11"/>
      <c r="F90" s="46"/>
    </row>
    <row r="91">
      <c r="A91" s="1197">
        <v>4.0</v>
      </c>
      <c r="B91" s="1345" t="str">
        <f>HYPERLINK("https://www.youtube.com/watch?v=NZ9KiFtbiMs","LEG EXTENSION")</f>
        <v>LEG EXTENSION</v>
      </c>
      <c r="C91" s="1346">
        <f>IF('WEEK 39'!F88&gt;=10,'WEEK 39'!C88,MROUND('WEEK 39'!C88*0.9,5))</f>
        <v>45</v>
      </c>
      <c r="D91" s="1347">
        <v>10.0</v>
      </c>
      <c r="E91" s="1187"/>
      <c r="F91" s="1133"/>
    </row>
    <row r="92">
      <c r="A92" s="1196"/>
      <c r="B92" s="1190" t="str">
        <f>HYPERLINK("https://www.youtube.com/watch?v=dVterVQksD4","LEG PRESS")</f>
        <v>LEG PRESS</v>
      </c>
      <c r="C92" s="1191">
        <f>IF('WEEK 39'!F89&gt;=10,'WEEK 39'!C89,MROUND('WEEK 39'!C89*0.9,5))</f>
        <v>100</v>
      </c>
      <c r="D92" s="1192">
        <v>30.0</v>
      </c>
      <c r="E92" s="1193"/>
      <c r="F92" s="1133"/>
    </row>
    <row r="93">
      <c r="A93" s="1194" t="s">
        <v>201</v>
      </c>
      <c r="B93" s="11"/>
      <c r="C93" s="11"/>
      <c r="D93" s="11"/>
      <c r="E93" s="11"/>
      <c r="F93" s="46"/>
    </row>
    <row r="94">
      <c r="A94" s="1383">
        <v>5.0</v>
      </c>
      <c r="B94" s="1345" t="str">
        <f>HYPERLINK("https://www.youtube.com/watch?v=NZ9KiFtbiMs","LEG EXTENSION")</f>
        <v>LEG EXTENSION</v>
      </c>
      <c r="C94" s="1346">
        <f>IF('WEEK 39'!F91&gt;=10,'WEEK 39'!C91,MROUND('WEEK 39'!C91*0.9,5))</f>
        <v>40</v>
      </c>
      <c r="D94" s="1347">
        <v>10.0</v>
      </c>
      <c r="E94" s="1187"/>
      <c r="F94" s="1133"/>
    </row>
    <row r="95">
      <c r="A95" s="1196"/>
      <c r="B95" s="1190" t="str">
        <f>HYPERLINK("https://www.youtube.com/watch?v=dVterVQksD4","LEG PRESS")</f>
        <v>LEG PRESS</v>
      </c>
      <c r="C95" s="1191">
        <f>IF('WEEK 39'!F92&gt;=10,'WEEK 39'!C92,MROUND('WEEK 39'!C92*0.9,5))</f>
        <v>90</v>
      </c>
      <c r="D95" s="1192">
        <v>30.0</v>
      </c>
      <c r="E95" s="1193"/>
      <c r="F95" s="1133"/>
    </row>
    <row r="96">
      <c r="A96" s="1194" t="s">
        <v>201</v>
      </c>
      <c r="B96" s="11"/>
      <c r="C96" s="11"/>
      <c r="D96" s="11"/>
      <c r="E96" s="11"/>
      <c r="F96" s="46"/>
    </row>
    <row r="97">
      <c r="A97" s="1383">
        <v>6.0</v>
      </c>
      <c r="B97" s="1345" t="str">
        <f>HYPERLINK("https://www.youtube.com/watch?v=NZ9KiFtbiMs","LEG EXTENSION")</f>
        <v>LEG EXTENSION</v>
      </c>
      <c r="C97" s="1346">
        <f>IF('WEEK 39'!F94&gt;=10,'WEEK 39'!C94,MROUND('WEEK 39'!C94*0.9,5))</f>
        <v>35</v>
      </c>
      <c r="D97" s="1347">
        <v>10.0</v>
      </c>
      <c r="E97" s="1187"/>
      <c r="F97" s="1133"/>
    </row>
    <row r="98">
      <c r="A98" s="985"/>
      <c r="B98" s="1190" t="str">
        <f>HYPERLINK("https://www.youtube.com/watch?v=dVterVQksD4","LEG PRESS")</f>
        <v>LEG PRESS</v>
      </c>
      <c r="C98" s="1191">
        <f>IF('WEEK 39'!F95&gt;=10,'WEEK 39'!C95,MROUND('WEEK 39'!C95*0.9,5))</f>
        <v>80</v>
      </c>
      <c r="D98" s="1192">
        <v>30.0</v>
      </c>
      <c r="E98" s="1193"/>
      <c r="F98" s="1133"/>
    </row>
    <row r="99">
      <c r="A99" s="1194" t="s">
        <v>201</v>
      </c>
      <c r="B99" s="11"/>
      <c r="C99" s="11"/>
      <c r="D99" s="11"/>
      <c r="E99" s="11"/>
      <c r="F99" s="46"/>
    </row>
    <row r="100">
      <c r="A100" s="1383">
        <v>7.0</v>
      </c>
      <c r="B100" s="1345" t="str">
        <f>HYPERLINK("https://www.youtube.com/watch?v=NZ9KiFtbiMs","LEG EXTENSION")</f>
        <v>LEG EXTENSION</v>
      </c>
      <c r="C100" s="1346">
        <f>IF('WEEK 39'!F97&gt;=10,'WEEK 39'!C97,MROUND('WEEK 39'!C97*0.9,5))</f>
        <v>30</v>
      </c>
      <c r="D100" s="1347">
        <v>10.0</v>
      </c>
      <c r="E100" s="1187"/>
      <c r="F100" s="1133"/>
    </row>
    <row r="101">
      <c r="A101" s="1196"/>
      <c r="B101" s="1190" t="str">
        <f>HYPERLINK("https://www.youtube.com/watch?v=dVterVQksD4","LEG PRESS")</f>
        <v>LEG PRESS</v>
      </c>
      <c r="C101" s="1191">
        <f>IF('WEEK 39'!F98&gt;=10,'WEEK 39'!C98,MROUND('WEEK 39'!C98*0.9,5))</f>
        <v>70</v>
      </c>
      <c r="D101" s="1192">
        <v>30.0</v>
      </c>
      <c r="E101" s="1193"/>
      <c r="F101" s="1133"/>
    </row>
    <row r="102">
      <c r="A102" s="1194" t="s">
        <v>201</v>
      </c>
      <c r="B102" s="11"/>
      <c r="C102" s="11"/>
      <c r="D102" s="11"/>
      <c r="E102" s="11"/>
      <c r="F102" s="46"/>
    </row>
    <row r="103">
      <c r="A103" s="1383">
        <v>8.0</v>
      </c>
      <c r="B103" s="1345" t="str">
        <f>HYPERLINK("https://www.youtube.com/watch?v=NZ9KiFtbiMs","LEG EXTENSION")</f>
        <v>LEG EXTENSION</v>
      </c>
      <c r="C103" s="1346">
        <f>IF('WEEK 39'!F100&gt;=10,'WEEK 39'!C100,MROUND('WEEK 39'!C100*0.9,5))</f>
        <v>25</v>
      </c>
      <c r="D103" s="1347">
        <v>10.0</v>
      </c>
      <c r="E103" s="1187"/>
      <c r="F103" s="1133"/>
    </row>
    <row r="104">
      <c r="A104" s="1196"/>
      <c r="B104" s="1190" t="str">
        <f>HYPERLINK("https://www.youtube.com/watch?v=dVterVQksD4","LEG PRESS")</f>
        <v>LEG PRESS</v>
      </c>
      <c r="C104" s="1191">
        <f>IF('WEEK 39'!F101&gt;=10,'WEEK 39'!C101,MROUND('WEEK 39'!C101*0.9,5))</f>
        <v>65</v>
      </c>
      <c r="D104" s="1192">
        <v>30.0</v>
      </c>
      <c r="E104" s="1193"/>
      <c r="F104" s="1133"/>
    </row>
    <row r="105">
      <c r="A105" s="1194" t="s">
        <v>201</v>
      </c>
      <c r="B105" s="11"/>
      <c r="C105" s="11"/>
      <c r="D105" s="11"/>
      <c r="E105" s="11"/>
      <c r="F105" s="46"/>
    </row>
    <row r="106">
      <c r="A106" s="1383">
        <v>9.0</v>
      </c>
      <c r="B106" s="1345" t="str">
        <f>HYPERLINK("https://www.youtube.com/watch?v=NZ9KiFtbiMs","LEG EXTENSION")</f>
        <v>LEG EXTENSION</v>
      </c>
      <c r="C106" s="1346">
        <f>IF('WEEK 39'!F103&gt;=10,'WEEK 39'!C103,MROUND('WEEK 39'!C103*0.9,5))</f>
        <v>25</v>
      </c>
      <c r="D106" s="1347">
        <v>10.0</v>
      </c>
      <c r="E106" s="1187"/>
      <c r="F106" s="1133"/>
    </row>
    <row r="107">
      <c r="A107" s="1196"/>
      <c r="B107" s="1190" t="str">
        <f>HYPERLINK("https://www.youtube.com/watch?v=dVterVQksD4","LEG PRESS")</f>
        <v>LEG PRESS</v>
      </c>
      <c r="C107" s="1191">
        <f>IF('WEEK 39'!F104&gt;=10,'WEEK 39'!C104,MROUND('WEEK 39'!C104*0.9,5))</f>
        <v>60</v>
      </c>
      <c r="D107" s="1192">
        <v>30.0</v>
      </c>
      <c r="E107" s="1193"/>
      <c r="F107" s="1133"/>
    </row>
    <row r="108">
      <c r="A108" s="1194" t="s">
        <v>201</v>
      </c>
      <c r="B108" s="11"/>
      <c r="C108" s="11"/>
      <c r="D108" s="11"/>
      <c r="E108" s="11"/>
      <c r="F108" s="46"/>
    </row>
    <row r="109">
      <c r="A109" s="1383">
        <v>10.0</v>
      </c>
      <c r="B109" s="1345" t="str">
        <f>HYPERLINK("https://www.youtube.com/watch?v=NZ9KiFtbiMs","LEG EXTENSION")</f>
        <v>LEG EXTENSION</v>
      </c>
      <c r="C109" s="1346">
        <f>IF('WEEK 39'!F106&gt;=10,'WEEK 39'!C106,MROUND('WEEK 39'!C106*0.9,5))</f>
        <v>25</v>
      </c>
      <c r="D109" s="1347">
        <v>10.0</v>
      </c>
      <c r="E109" s="1187"/>
      <c r="F109" s="1133"/>
    </row>
    <row r="110">
      <c r="A110" s="1196"/>
      <c r="B110" s="1190" t="str">
        <f>HYPERLINK("https://www.youtube.com/watch?v=dVterVQksD4","LEG PRESS")</f>
        <v>LEG PRESS</v>
      </c>
      <c r="C110" s="1191">
        <f>IF('WEEK 39'!F107&gt;=10,'WEEK 39'!C107,MROUND('WEEK 39'!C107*0.9,5))</f>
        <v>55</v>
      </c>
      <c r="D110" s="1192">
        <v>30.0</v>
      </c>
      <c r="E110" s="1193"/>
      <c r="F110" s="1133"/>
    </row>
    <row r="113">
      <c r="A113" s="581" t="str">
        <f>HYPERLINK("https://docs.google.com/a/fitnessresults.com/forms/d/e/1FAIpQLSd7MoczESe8Yjv6BKpmwAZGn9Aiymrs9-UdgfYIUpbr9t5NXg/viewform?usp=pp_url&amp;entry.93370101","CLICK TO COMPLETE WORKOUT")</f>
        <v>CLICK TO COMPLETE WORKOUT</v>
      </c>
      <c r="B113" s="25"/>
      <c r="C113" s="25"/>
      <c r="D113" s="25"/>
      <c r="E113" s="25"/>
      <c r="F113" s="26"/>
    </row>
    <row r="114">
      <c r="A114" s="336"/>
      <c r="B114" s="11"/>
      <c r="C114" s="11"/>
      <c r="D114" s="11"/>
      <c r="E114" s="11"/>
      <c r="F114" s="46"/>
    </row>
    <row r="117">
      <c r="A117" s="1120" t="s">
        <v>62</v>
      </c>
      <c r="B117" s="36"/>
      <c r="C117" s="36"/>
      <c r="D117" s="36"/>
      <c r="E117" s="36"/>
      <c r="F117" s="37"/>
    </row>
    <row r="120">
      <c r="A120" s="51" t="s">
        <v>131</v>
      </c>
      <c r="B120" s="36"/>
      <c r="C120" s="36"/>
      <c r="D120" s="36"/>
      <c r="E120" s="36"/>
      <c r="F120" s="37"/>
      <c r="G120" s="419"/>
      <c r="H120" s="51" t="s">
        <v>131</v>
      </c>
      <c r="I120" s="36"/>
      <c r="J120" s="36"/>
      <c r="K120" s="36"/>
      <c r="L120" s="36"/>
      <c r="M120" s="37"/>
    </row>
    <row r="121">
      <c r="A121" s="504" t="str">
        <f>HYPERLINK("https://youtu.be/rmxOkkd2hUk","1. SHOULDER PRESS")</f>
        <v>1. SHOULDER PRESS</v>
      </c>
      <c r="B121" s="53"/>
      <c r="C121" s="53"/>
      <c r="D121" s="53"/>
      <c r="E121" s="53"/>
      <c r="F121" s="54"/>
      <c r="G121" s="419"/>
      <c r="H121" s="778" t="str">
        <f>HYPERLINK("https://www.youtube.com/watch?v=-cSBPE-y38M","1. MACHINE SHOULDER PRESS")</f>
        <v>1. MACHINE SHOULDER PRESS</v>
      </c>
      <c r="I121" s="53"/>
      <c r="J121" s="53"/>
      <c r="K121" s="53"/>
      <c r="L121" s="53"/>
      <c r="M121" s="54"/>
    </row>
    <row r="122">
      <c r="A122" s="589" t="s">
        <v>119</v>
      </c>
      <c r="B122" s="227">
        <f>IF('WEEK 37'!B124="",'WEEK 36'!B100,'WEEK 37'!B124)</f>
        <v>80</v>
      </c>
      <c r="C122" s="20"/>
      <c r="D122" s="20"/>
      <c r="E122" s="20"/>
      <c r="F122" s="95"/>
      <c r="G122" s="419"/>
      <c r="H122" s="589" t="s">
        <v>119</v>
      </c>
      <c r="I122" s="227">
        <f>IF('WEEK 37'!I124="",'WEEK 36'!I100,'WEEK 37'!I124)</f>
        <v>228</v>
      </c>
      <c r="J122" s="20"/>
      <c r="K122" s="20"/>
      <c r="L122" s="20"/>
      <c r="M122" s="95"/>
    </row>
    <row r="123">
      <c r="A123" s="364" t="s">
        <v>50</v>
      </c>
      <c r="B123" s="365" t="s">
        <v>51</v>
      </c>
      <c r="C123" s="365" t="s">
        <v>52</v>
      </c>
      <c r="D123" s="365" t="s">
        <v>53</v>
      </c>
      <c r="E123" s="609" t="s">
        <v>54</v>
      </c>
      <c r="F123" s="61" t="s">
        <v>55</v>
      </c>
      <c r="G123" s="724"/>
      <c r="H123" s="364" t="s">
        <v>50</v>
      </c>
      <c r="I123" s="365" t="s">
        <v>51</v>
      </c>
      <c r="J123" s="365" t="s">
        <v>52</v>
      </c>
      <c r="K123" s="365" t="s">
        <v>53</v>
      </c>
      <c r="L123" s="609" t="s">
        <v>54</v>
      </c>
      <c r="M123" s="61" t="s">
        <v>55</v>
      </c>
    </row>
    <row r="124">
      <c r="A124" s="236">
        <v>1.0</v>
      </c>
      <c r="B124" s="237">
        <f>mround('WEEK 39'!B122*0.35,5)</f>
        <v>30</v>
      </c>
      <c r="C124" s="237">
        <v>6.0</v>
      </c>
      <c r="D124" s="238" t="s">
        <v>120</v>
      </c>
      <c r="E124" s="66">
        <f>IF('WEEK 39'!B124='WEEK 36'!B102,'WEEK 36'!F102,"")</f>
        <v>6</v>
      </c>
      <c r="F124" s="67"/>
      <c r="G124" s="728"/>
      <c r="H124" s="236">
        <v>1.0</v>
      </c>
      <c r="I124" s="237">
        <f>mround('WEEK 39'!I122*0.35,5)</f>
        <v>80</v>
      </c>
      <c r="J124" s="237">
        <v>6.0</v>
      </c>
      <c r="K124" s="238" t="s">
        <v>120</v>
      </c>
      <c r="L124" s="66" t="str">
        <f>IF('WEEK 39'!I124='WEEK 36'!I102,'WEEK 36'!M102,"")</f>
        <v/>
      </c>
      <c r="M124" s="67"/>
    </row>
    <row r="125">
      <c r="A125" s="236">
        <v>2.0</v>
      </c>
      <c r="B125" s="237">
        <f>mround('WEEK 39'!B122*0.65,5)</f>
        <v>50</v>
      </c>
      <c r="C125" s="237">
        <v>1.0</v>
      </c>
      <c r="D125" s="238" t="s">
        <v>57</v>
      </c>
      <c r="E125" s="66">
        <f>IF('WEEK 39'!B125='WEEK 36'!B103,'WEEK 36'!F103,"")</f>
        <v>1</v>
      </c>
      <c r="F125" s="67"/>
      <c r="G125" s="728"/>
      <c r="H125" s="236">
        <v>2.0</v>
      </c>
      <c r="I125" s="237">
        <f>mround('WEEK 39'!I122*0.65,5)</f>
        <v>150</v>
      </c>
      <c r="J125" s="237">
        <v>1.0</v>
      </c>
      <c r="K125" s="238" t="s">
        <v>57</v>
      </c>
      <c r="L125" s="66" t="str">
        <f>IF('WEEK 39'!I125='WEEK 36'!I103,'WEEK 36'!M103,"")</f>
        <v/>
      </c>
      <c r="M125" s="67"/>
    </row>
    <row r="126">
      <c r="A126" s="779">
        <v>3.0</v>
      </c>
      <c r="B126" s="780">
        <f> mround('WEEK 39'!B122*0.9,5)</f>
        <v>70</v>
      </c>
      <c r="C126" s="781" t="s">
        <v>65</v>
      </c>
      <c r="D126" s="782" t="s">
        <v>57</v>
      </c>
      <c r="E126" s="66">
        <f>IF('WEEK 39'!B126='WEEK 36'!B104,'WEEK 36'!F104,"")</f>
        <v>6</v>
      </c>
      <c r="F126" s="784"/>
      <c r="G126" s="728"/>
      <c r="H126" s="779">
        <v>3.0</v>
      </c>
      <c r="I126" s="780">
        <f> mround('WEEK 39'!I122*0.9,5)</f>
        <v>205</v>
      </c>
      <c r="J126" s="781" t="s">
        <v>65</v>
      </c>
      <c r="K126" s="782" t="s">
        <v>57</v>
      </c>
      <c r="L126" s="66" t="str">
        <f>IF('WEEK 39'!I126='WEEK 36'!I104,'WEEK 36'!M104,"")</f>
        <v/>
      </c>
      <c r="M126" s="784"/>
    </row>
    <row r="127">
      <c r="A127" s="785">
        <v>4.0</v>
      </c>
      <c r="B127" s="388">
        <f>if('WEEK 39'!F126&lt;20,mround('WEEK 39'!B126*0.85,5),'WEEK 39'!B126)</f>
        <v>60</v>
      </c>
      <c r="C127" s="781" t="s">
        <v>65</v>
      </c>
      <c r="D127" s="390" t="s">
        <v>57</v>
      </c>
      <c r="E127" s="66">
        <f>IF('WEEK 39'!B127='WEEK 36'!B105,'WEEK 36'!F105,"")</f>
        <v>8</v>
      </c>
      <c r="F127" s="392"/>
      <c r="G127" s="728"/>
      <c r="H127" s="785">
        <v>4.0</v>
      </c>
      <c r="I127" s="388">
        <f>if('WEEK 39'!M126&lt;20,mround('WEEK 39'!I126*0.85,5),'WEEK 39'!I126)</f>
        <v>175</v>
      </c>
      <c r="J127" s="781" t="s">
        <v>65</v>
      </c>
      <c r="K127" s="390" t="s">
        <v>57</v>
      </c>
      <c r="L127" s="66" t="str">
        <f>IF('WEEK 39'!I127='WEEK 36'!I105,'WEEK 36'!M105,"")</f>
        <v/>
      </c>
      <c r="M127" s="392"/>
    </row>
    <row r="128">
      <c r="A128" s="787">
        <v>5.0</v>
      </c>
      <c r="B128" s="788">
        <f>if('WEEK 39'!F127&lt;20,mround('WEEK 39'!B127*0.85,2.5),'WEEK 39'!B127)</f>
        <v>60</v>
      </c>
      <c r="C128" s="789" t="s">
        <v>65</v>
      </c>
      <c r="D128" s="397" t="s">
        <v>57</v>
      </c>
      <c r="E128" s="66" t="str">
        <f>IF('WEEK 39'!B128='WEEK 36'!B106,'WEEK 36'!F106,"")</f>
        <v/>
      </c>
      <c r="F128" s="392"/>
      <c r="G128" s="724"/>
      <c r="H128" s="787">
        <v>5.0</v>
      </c>
      <c r="I128" s="788">
        <f>if('WEEK 39'!M127&lt;20,mround('WEEK 39'!I127*0.85,10),'WEEK 39'!I127)</f>
        <v>175</v>
      </c>
      <c r="J128" s="789" t="s">
        <v>65</v>
      </c>
      <c r="K128" s="397" t="s">
        <v>57</v>
      </c>
      <c r="L128" s="66" t="str">
        <f>IF('WEEK 39'!I128='WEEK 36'!I106,'WEEK 36'!M106,"")</f>
        <v/>
      </c>
      <c r="M128" s="392"/>
    </row>
    <row r="131">
      <c r="A131" s="1217" t="str">
        <f>HYPERLINK("https://www.youtube.com/watch?v=XDLQt1j3qUU","2. DUMBBELL REAR DELT FLY ")</f>
        <v>2. DUMBBELL REAR DELT FLY </v>
      </c>
      <c r="B131" s="53"/>
      <c r="C131" s="53"/>
      <c r="D131" s="53"/>
      <c r="E131" s="53"/>
      <c r="F131" s="54"/>
    </row>
    <row r="132">
      <c r="A132" s="1268" t="s">
        <v>134</v>
      </c>
      <c r="B132" s="76">
        <f>mround('WEEK 38'!B124,2.5)</f>
        <v>0</v>
      </c>
      <c r="C132" s="13"/>
      <c r="D132" s="13"/>
      <c r="E132" s="13"/>
      <c r="F132" s="57"/>
    </row>
    <row r="133">
      <c r="A133" s="962" t="s">
        <v>50</v>
      </c>
      <c r="B133" s="963" t="s">
        <v>51</v>
      </c>
      <c r="C133" s="963" t="s">
        <v>52</v>
      </c>
      <c r="D133" s="963" t="s">
        <v>53</v>
      </c>
      <c r="E133" s="1005" t="s">
        <v>54</v>
      </c>
      <c r="F133" s="1006" t="s">
        <v>55</v>
      </c>
    </row>
    <row r="134">
      <c r="A134" s="967">
        <v>1.0</v>
      </c>
      <c r="B134" s="1028">
        <f>MROUND('WEEK 39'!B132*0.2*0.9,2.5)</f>
        <v>0</v>
      </c>
      <c r="C134" s="1067" t="s">
        <v>249</v>
      </c>
      <c r="D134" s="1384" t="s">
        <v>127</v>
      </c>
      <c r="E134" s="66" t="str">
        <f>IF('WEEK 39'!B134='WEEK 38'!B126,'WEEK 38'!F126,"")</f>
        <v/>
      </c>
      <c r="F134" s="1017"/>
    </row>
    <row r="135">
      <c r="A135" s="967">
        <v>2.0</v>
      </c>
      <c r="B135" s="1028">
        <f>if('WEEK 39'!F134&lt;10,mround('WEEK 39'!B134*0.8,2.5),IF('WEEK 39'!F134&lt;15,MROUND('WEEK 39'!B134*0.95,2.5),'WEEK 39'!B134))</f>
        <v>0</v>
      </c>
      <c r="C135" s="1067" t="s">
        <v>249</v>
      </c>
      <c r="D135" s="1384" t="s">
        <v>127</v>
      </c>
      <c r="E135" s="66" t="str">
        <f>IF('WEEK 39'!B135='WEEK 38'!B127,'WEEK 38'!F127,"")</f>
        <v/>
      </c>
      <c r="F135" s="1017"/>
    </row>
    <row r="136">
      <c r="A136" s="971">
        <v>3.0</v>
      </c>
      <c r="B136" s="1123">
        <f>if('WEEK 39'!F135&lt;10,mround('WEEK 39'!B135*0.8,2.5),IF('WEEK 39'!F135&lt;15,MROUND('WEEK 39'!B135*0.95,2.5),'WEEK 39'!B135))</f>
        <v>0</v>
      </c>
      <c r="C136" s="1067" t="s">
        <v>249</v>
      </c>
      <c r="D136" s="1384" t="s">
        <v>127</v>
      </c>
      <c r="E136" s="66" t="str">
        <f>IF('WEEK 39'!B136='WEEK 38'!B128,'WEEK 38'!F128,"")</f>
        <v/>
      </c>
      <c r="F136" s="1017"/>
    </row>
    <row r="139">
      <c r="A139" s="1217" t="str">
        <f>HYPERLINK("https://youtu.be/QUNZvtb6mnY","3. DUMBBELL SIDE LATERAL RAISE")</f>
        <v>3. DUMBBELL SIDE LATERAL RAISE</v>
      </c>
      <c r="B139" s="53"/>
      <c r="C139" s="53"/>
      <c r="D139" s="53"/>
      <c r="E139" s="53"/>
      <c r="F139" s="54"/>
    </row>
    <row r="140">
      <c r="A140" s="1268" t="s">
        <v>134</v>
      </c>
      <c r="B140" s="76">
        <f>'WEEK 39'!B122</f>
        <v>80</v>
      </c>
      <c r="C140" s="13"/>
      <c r="D140" s="13"/>
      <c r="E140" s="13"/>
      <c r="F140" s="57"/>
    </row>
    <row r="141">
      <c r="A141" s="1071" t="s">
        <v>50</v>
      </c>
      <c r="B141" s="1072" t="s">
        <v>51</v>
      </c>
      <c r="C141" s="1072" t="s">
        <v>52</v>
      </c>
      <c r="D141" s="1072" t="s">
        <v>53</v>
      </c>
      <c r="E141" s="1073" t="s">
        <v>54</v>
      </c>
      <c r="F141" s="1006" t="s">
        <v>55</v>
      </c>
    </row>
    <row r="142">
      <c r="A142" s="1074">
        <v>1.0</v>
      </c>
      <c r="B142" s="968">
        <f> mround('WEEK 39'!B140*0.2*0.9,5)</f>
        <v>15</v>
      </c>
      <c r="C142" s="1075" t="s">
        <v>61</v>
      </c>
      <c r="D142" s="1384" t="s">
        <v>127</v>
      </c>
      <c r="E142" s="84" t="str">
        <f>IF('WEEK 38'!B134='WEEK 39'!B142,'WEEK 38'!F134,"")</f>
        <v/>
      </c>
      <c r="F142" s="1017"/>
    </row>
    <row r="143">
      <c r="A143" s="1074">
        <v>2.0</v>
      </c>
      <c r="B143" s="968">
        <f>if('WEEK 39'!F142&lt;15,mround('WEEK 39'!B140*0.15,2.5),'WEEK 39'!B142)</f>
        <v>15</v>
      </c>
      <c r="C143" s="1075" t="s">
        <v>61</v>
      </c>
      <c r="D143" s="1384" t="s">
        <v>127</v>
      </c>
      <c r="E143" s="84" t="str">
        <f>IF('WEEK 38'!B135='WEEK 39'!B143,'WEEK 38'!F135,"")</f>
        <v/>
      </c>
      <c r="F143" s="1017"/>
    </row>
    <row r="144">
      <c r="A144" s="1078">
        <v>3.0</v>
      </c>
      <c r="B144" s="972">
        <f>if('WEEK 39'!F143&lt;15,mround('WEEK 39'!B140*0.1,2.5),'WEEK 39'!B143)</f>
        <v>15</v>
      </c>
      <c r="C144" s="1079" t="s">
        <v>61</v>
      </c>
      <c r="D144" s="1384" t="s">
        <v>127</v>
      </c>
      <c r="E144" s="84" t="str">
        <f>IF('WEEK 38'!B136='WEEK 39'!B144,'WEEK 38'!F136,"")</f>
        <v/>
      </c>
      <c r="F144" s="1017"/>
    </row>
    <row r="147">
      <c r="A147" s="361" t="str">
        <f>HYPERLINK("https://www.youtube.com/watch?v=Zt0LwrUdpNs","4.  TRICEP OVERHEAD ROPE EXTENSION")</f>
        <v>4.  TRICEP OVERHEAD ROPE EXTENSION</v>
      </c>
      <c r="B147" s="53"/>
      <c r="C147" s="53"/>
      <c r="D147" s="53"/>
      <c r="E147" s="53"/>
      <c r="F147" s="54"/>
    </row>
    <row r="148">
      <c r="A148" s="226" t="s">
        <v>119</v>
      </c>
      <c r="B148" s="839">
        <f>IF('WEEK 37'!B146='WEEK 37'!B148,'WEEK 37'!B146,IF('WEEK 37'!F146&lt;=15,MROUND('WEEK 37'!B144*0.9,5),'WEEK 37'!B146))</f>
        <v>35</v>
      </c>
      <c r="F148" s="28"/>
    </row>
    <row r="149">
      <c r="A149" s="77" t="s">
        <v>50</v>
      </c>
      <c r="B149" s="78" t="s">
        <v>51</v>
      </c>
      <c r="C149" s="78" t="s">
        <v>52</v>
      </c>
      <c r="D149" s="78" t="s">
        <v>53</v>
      </c>
      <c r="E149" s="80" t="s">
        <v>54</v>
      </c>
      <c r="F149" s="1003" t="s">
        <v>55</v>
      </c>
    </row>
    <row r="150">
      <c r="A150" s="81">
        <v>1.0</v>
      </c>
      <c r="B150" s="82">
        <f>'WEEK 39'!B148</f>
        <v>35</v>
      </c>
      <c r="C150" s="65" t="s">
        <v>61</v>
      </c>
      <c r="D150" s="1384" t="s">
        <v>127</v>
      </c>
      <c r="E150" s="84" t="str">
        <f>IF('WEEK 39'!B150='WEEK 37'!B146,'WEEK 37'!F146,"")</f>
        <v/>
      </c>
      <c r="F150" s="85"/>
    </row>
    <row r="151">
      <c r="A151" s="81">
        <v>2.0</v>
      </c>
      <c r="B151" s="82">
        <f>if('WEEK 39'!F150&lt;6,mround('WEEK 39'!B150*0.8,5),IF('WEEK 39'!F150&lt;=14,MROUND('WEEK 39'!B150*0.95,5),'WEEK 39'!B150))</f>
        <v>35</v>
      </c>
      <c r="C151" s="65" t="s">
        <v>61</v>
      </c>
      <c r="D151" s="1384" t="s">
        <v>127</v>
      </c>
      <c r="E151" s="84" t="str">
        <f>IF('WEEK 39'!B151='WEEK 37'!B147,'WEEK 37'!F147,"")</f>
        <v/>
      </c>
      <c r="F151" s="85"/>
    </row>
    <row r="152">
      <c r="A152" s="86">
        <v>3.0</v>
      </c>
      <c r="B152" s="87">
        <f>if('WEEK 39'!F151&lt;6,mround('WEEK 39'!B151*0.8,5),IF('WEEK 39'!F151&lt;=14,MROUND('WEEK 39'!B151*0.95,5),'WEEK 39'!B151))</f>
        <v>35</v>
      </c>
      <c r="C152" s="65" t="s">
        <v>61</v>
      </c>
      <c r="D152" s="1384" t="s">
        <v>127</v>
      </c>
      <c r="E152" s="84" t="str">
        <f>IF('WEEK 39'!B152='WEEK 37'!B148,'WEEK 37'!F148,"")</f>
        <v/>
      </c>
      <c r="F152" s="85"/>
    </row>
    <row r="155">
      <c r="A155" s="1217" t="str">
        <f>HYPERLINK("https://youtu.be/TorWpKwLCSg","5. ALTERNATING DUMBBELL BICEP CURLS")</f>
        <v>5. ALTERNATING DUMBBELL BICEP CURLS</v>
      </c>
      <c r="B155" s="53"/>
      <c r="C155" s="53"/>
      <c r="D155" s="53"/>
      <c r="E155" s="53"/>
      <c r="F155" s="54"/>
    </row>
    <row r="156">
      <c r="A156" s="961" t="s">
        <v>119</v>
      </c>
      <c r="B156" s="839">
        <f>IF('WEEK 36'!B136='WEEK 36'!B138,'WEEK 36'!B136,IF('WEEK 36'!F136&lt;=15,MROUND('WEEK 36'!B134*0.9,5),'WEEK 36'!B136))</f>
        <v>50</v>
      </c>
      <c r="F156" s="28"/>
    </row>
    <row r="157">
      <c r="A157" s="962" t="s">
        <v>50</v>
      </c>
      <c r="B157" s="963" t="s">
        <v>51</v>
      </c>
      <c r="C157" s="963" t="s">
        <v>52</v>
      </c>
      <c r="D157" s="963" t="s">
        <v>53</v>
      </c>
      <c r="E157" s="1073" t="s">
        <v>54</v>
      </c>
      <c r="F157" s="1006" t="s">
        <v>55</v>
      </c>
    </row>
    <row r="158">
      <c r="A158" s="967">
        <v>1.0</v>
      </c>
      <c r="B158" s="968">
        <f> mround('WEEK 39'!B156*0.9,5)</f>
        <v>45</v>
      </c>
      <c r="C158" s="1067" t="s">
        <v>61</v>
      </c>
      <c r="D158" s="1076" t="s">
        <v>57</v>
      </c>
      <c r="E158" s="1235" t="str">
        <f>if('WEEK 39'!B158='WEEK 36'!B136,'WEEK 36'!F136,"")</f>
        <v/>
      </c>
      <c r="F158" s="984">
        <v>10.0</v>
      </c>
    </row>
    <row r="159">
      <c r="A159" s="967">
        <v>2.0</v>
      </c>
      <c r="B159" s="968">
        <f>if('WEEK 39'!F158&lt;10,mround('WEEK 39'!B156*0.35,5),'WEEK 39'!B158)</f>
        <v>45</v>
      </c>
      <c r="C159" s="1067" t="s">
        <v>61</v>
      </c>
      <c r="D159" s="1076" t="s">
        <v>57</v>
      </c>
      <c r="E159" s="1235" t="str">
        <f>if('WEEK 39'!B159='WEEK 36'!B137,'WEEK 36'!F137,"")</f>
        <v/>
      </c>
      <c r="F159" s="984">
        <v>10.0</v>
      </c>
    </row>
    <row r="160">
      <c r="A160" s="971">
        <v>3.0</v>
      </c>
      <c r="B160" s="972">
        <f>if('WEEK 39'!F159&lt;10,mround('WEEK 39'!B159*0.75,5),'WEEK 39'!B159)</f>
        <v>45</v>
      </c>
      <c r="C160" s="1220" t="s">
        <v>61</v>
      </c>
      <c r="D160" s="1080" t="s">
        <v>57</v>
      </c>
      <c r="E160" s="1235" t="str">
        <f>if('WEEK 39'!B160='WEEK 36'!B138,'WEEK 36'!F138,"")</f>
        <v/>
      </c>
      <c r="F160" s="984">
        <v>5.0</v>
      </c>
    </row>
    <row r="163">
      <c r="A163" s="1149" t="s">
        <v>135</v>
      </c>
      <c r="B163" s="36"/>
      <c r="C163" s="36"/>
      <c r="D163" s="36"/>
      <c r="E163" s="36"/>
      <c r="F163" s="37"/>
    </row>
    <row r="164">
      <c r="A164" s="623"/>
      <c r="B164" s="623"/>
      <c r="C164" s="623"/>
      <c r="D164" s="623"/>
      <c r="E164" s="1274"/>
      <c r="F164" s="623"/>
    </row>
    <row r="165">
      <c r="A165" s="1275" t="str">
        <f>HYPERLINK("https://www.amazon.com/30-Minute-Body-Investment-Champion/dp/0692791892/ref=sr_1_1?ie=UTF8&amp;qid=1490447969&amp;sr=8-1&amp;keywords=30+minute+body","WANT TO LEARN MORE?")</f>
        <v>WANT TO LEARN MORE?</v>
      </c>
      <c r="B165" s="25"/>
      <c r="C165" s="25"/>
      <c r="D165" s="25"/>
      <c r="E165" s="25"/>
      <c r="F165" s="26"/>
    </row>
    <row r="166">
      <c r="A166" s="529"/>
      <c r="F166" s="28"/>
    </row>
    <row r="167">
      <c r="A167" s="1276"/>
      <c r="B167" s="999"/>
      <c r="C167" s="1150" t="s">
        <v>67</v>
      </c>
      <c r="F167" s="28"/>
    </row>
    <row r="168">
      <c r="A168" s="1276"/>
      <c r="B168" s="999"/>
      <c r="F168" s="28"/>
    </row>
    <row r="169">
      <c r="A169" s="1276"/>
      <c r="B169" s="999"/>
      <c r="F169" s="28"/>
    </row>
    <row r="170">
      <c r="A170" s="1276"/>
      <c r="B170" s="999"/>
      <c r="F170" s="28"/>
    </row>
    <row r="171">
      <c r="A171" s="1276"/>
      <c r="B171" s="999"/>
      <c r="F171" s="28"/>
    </row>
    <row r="172">
      <c r="A172" s="1276"/>
      <c r="B172" s="999"/>
      <c r="F172" s="28"/>
    </row>
    <row r="173">
      <c r="A173" s="1277"/>
      <c r="B173" s="999"/>
      <c r="F173" s="28"/>
    </row>
    <row r="174">
      <c r="A174" s="1276"/>
      <c r="B174" s="999"/>
      <c r="F174" s="28"/>
    </row>
    <row r="175">
      <c r="A175" s="1276"/>
      <c r="B175" s="999"/>
      <c r="F175" s="28"/>
    </row>
    <row r="176">
      <c r="A176" s="1278"/>
      <c r="B176" s="999"/>
      <c r="F176" s="28"/>
    </row>
    <row r="177">
      <c r="A177" s="1276"/>
      <c r="B177" s="999"/>
      <c r="F177" s="28"/>
    </row>
    <row r="178">
      <c r="A178" s="1276"/>
      <c r="B178" s="999"/>
      <c r="F178" s="28"/>
    </row>
    <row r="179">
      <c r="A179" s="1276"/>
      <c r="B179" s="999"/>
      <c r="F179" s="28"/>
    </row>
    <row r="180">
      <c r="A180" s="1276"/>
      <c r="B180" s="999"/>
      <c r="F180" s="28"/>
    </row>
    <row r="181">
      <c r="A181" s="1279"/>
      <c r="B181" s="1280"/>
      <c r="C181" s="11"/>
      <c r="D181" s="11"/>
      <c r="E181" s="11"/>
      <c r="F181" s="46"/>
    </row>
  </sheetData>
  <mergeCells count="87">
    <mergeCell ref="H16:M16"/>
    <mergeCell ref="A17:N18"/>
    <mergeCell ref="A19:F19"/>
    <mergeCell ref="H19:M19"/>
    <mergeCell ref="A9:F9"/>
    <mergeCell ref="H9:M9"/>
    <mergeCell ref="A10:F11"/>
    <mergeCell ref="H10:M10"/>
    <mergeCell ref="A12:F12"/>
    <mergeCell ref="A13:F13"/>
    <mergeCell ref="H15:M15"/>
    <mergeCell ref="B21:F21"/>
    <mergeCell ref="A27:F27"/>
    <mergeCell ref="G27:G28"/>
    <mergeCell ref="H27:M27"/>
    <mergeCell ref="G19:G26"/>
    <mergeCell ref="G29:G31"/>
    <mergeCell ref="G38:G39"/>
    <mergeCell ref="A29:F29"/>
    <mergeCell ref="B34:F34"/>
    <mergeCell ref="A15:F15"/>
    <mergeCell ref="A16:F16"/>
    <mergeCell ref="N19:N31"/>
    <mergeCell ref="A20:F20"/>
    <mergeCell ref="H20:M20"/>
    <mergeCell ref="I21:M21"/>
    <mergeCell ref="H29:M29"/>
    <mergeCell ref="B148:F148"/>
    <mergeCell ref="A155:F155"/>
    <mergeCell ref="B156:F156"/>
    <mergeCell ref="A163:F163"/>
    <mergeCell ref="A165:F166"/>
    <mergeCell ref="C167:F181"/>
    <mergeCell ref="A121:F121"/>
    <mergeCell ref="B122:F122"/>
    <mergeCell ref="A131:F131"/>
    <mergeCell ref="B132:F132"/>
    <mergeCell ref="A139:F139"/>
    <mergeCell ref="B140:F140"/>
    <mergeCell ref="A147:F147"/>
    <mergeCell ref="I34:M34"/>
    <mergeCell ref="A35:N36"/>
    <mergeCell ref="A37:F37"/>
    <mergeCell ref="H37:M37"/>
    <mergeCell ref="B38:F38"/>
    <mergeCell ref="I38:M38"/>
    <mergeCell ref="N38:N41"/>
    <mergeCell ref="G40:G41"/>
    <mergeCell ref="A44:F44"/>
    <mergeCell ref="B45:F45"/>
    <mergeCell ref="A51:F51"/>
    <mergeCell ref="A54:F54"/>
    <mergeCell ref="B57:F57"/>
    <mergeCell ref="A59:F59"/>
    <mergeCell ref="B60:F60"/>
    <mergeCell ref="A67:F67"/>
    <mergeCell ref="B68:F68"/>
    <mergeCell ref="A74:F74"/>
    <mergeCell ref="A76:F76"/>
    <mergeCell ref="A79:F79"/>
    <mergeCell ref="D80:F80"/>
    <mergeCell ref="B80:C80"/>
    <mergeCell ref="A82:A83"/>
    <mergeCell ref="A84:F84"/>
    <mergeCell ref="A85:A86"/>
    <mergeCell ref="A87:F87"/>
    <mergeCell ref="A88:A89"/>
    <mergeCell ref="A90:F90"/>
    <mergeCell ref="A100:A101"/>
    <mergeCell ref="A103:A104"/>
    <mergeCell ref="A106:A107"/>
    <mergeCell ref="A109:A110"/>
    <mergeCell ref="A91:A92"/>
    <mergeCell ref="A93:F93"/>
    <mergeCell ref="A94:A95"/>
    <mergeCell ref="A96:F96"/>
    <mergeCell ref="A97:A98"/>
    <mergeCell ref="A99:F99"/>
    <mergeCell ref="A102:F102"/>
    <mergeCell ref="A105:F105"/>
    <mergeCell ref="A108:F108"/>
    <mergeCell ref="A113:F114"/>
    <mergeCell ref="A117:F117"/>
    <mergeCell ref="A120:F120"/>
    <mergeCell ref="H120:M120"/>
    <mergeCell ref="H121:M121"/>
    <mergeCell ref="I122:M122"/>
  </mergeCells>
  <dataValidations>
    <dataValidation type="decimal" operator="greaterThanOrEqual" allowBlank="1" showDropDown="1" showErrorMessage="1" sqref="M12:M14 F22:F26 F39:F41">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14">
      <formula1>0.0</formula1>
    </dataValidation>
  </dataValidations>
  <drawing r:id="rId2"/>
  <legacyDrawing r:id="rId3"/>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'MSW39'!A1</f>
        <v/>
      </c>
    </row>
    <row r="8">
      <c r="A8" s="11"/>
      <c r="B8" s="11"/>
      <c r="C8" s="11"/>
      <c r="D8" s="11"/>
      <c r="E8" s="11"/>
      <c r="F8" s="11"/>
      <c r="G8" s="11"/>
      <c r="H8" s="11"/>
      <c r="I8" s="11"/>
      <c r="J8" s="11"/>
      <c r="K8" s="11"/>
      <c r="L8" s="11"/>
      <c r="M8" s="11"/>
    </row>
    <row r="9">
      <c r="A9" s="12" t="str">
        <f>'MSW39'!A9</f>
        <v>Week 39</v>
      </c>
      <c r="B9" s="13"/>
      <c r="C9" s="13"/>
      <c r="D9" s="13"/>
      <c r="E9" s="13"/>
      <c r="F9" s="14"/>
      <c r="G9" s="103" t="str">
        <f>'MSW39'!G9</f>
        <v/>
      </c>
      <c r="H9" s="24" t="s">
        <v>35</v>
      </c>
      <c r="I9" s="25"/>
      <c r="J9" s="25"/>
      <c r="K9" s="25"/>
      <c r="L9" s="25"/>
      <c r="M9" s="26"/>
    </row>
    <row r="10">
      <c r="A10" s="15" t="str">
        <f>'MSW39'!A10</f>
        <v>PRESS TO RECORD BODY WEIGHT</v>
      </c>
      <c r="B10" s="16"/>
      <c r="C10" s="16"/>
      <c r="D10" s="16"/>
      <c r="E10" s="16"/>
      <c r="F10" s="17"/>
      <c r="H10" s="27" t="s">
        <v>365</v>
      </c>
      <c r="M10" s="28"/>
    </row>
    <row r="11">
      <c r="A11" s="18"/>
      <c r="B11" s="13"/>
      <c r="C11" s="13"/>
      <c r="D11" s="13"/>
      <c r="E11" s="13"/>
      <c r="F11" s="14"/>
      <c r="H11" s="29" t="s">
        <v>366</v>
      </c>
      <c r="I11" s="30"/>
      <c r="J11" s="30"/>
      <c r="K11" s="30"/>
      <c r="L11" s="30"/>
      <c r="M11" s="31"/>
    </row>
    <row r="12">
      <c r="A12" s="19" t="str">
        <f>'MSW39'!A12</f>
        <v>This Weeks Goals</v>
      </c>
      <c r="B12" s="20"/>
      <c r="C12" s="20"/>
      <c r="D12" s="20"/>
      <c r="E12" s="20"/>
      <c r="F12" s="21"/>
      <c r="H12" s="219" t="str">
        <f>'MSW39'!H12</f>
        <v/>
      </c>
    </row>
    <row r="13">
      <c r="A13" s="22" t="str">
        <f>'MSW39'!A13</f>
        <v>Working hard this week establishing new maxes in a few areas. Give it everything you've got. Pay close attention to rest times and rep counts. </v>
      </c>
      <c r="B13" s="20"/>
      <c r="C13" s="20"/>
      <c r="D13" s="20"/>
      <c r="E13" s="20"/>
      <c r="F13" s="21"/>
    </row>
    <row r="14">
      <c r="A14" s="219" t="str">
        <f>'MSW39'!A14</f>
        <v/>
      </c>
    </row>
    <row r="16">
      <c r="A16" s="50" t="str">
        <f>'MSW39'!A16</f>
        <v>DAY 1</v>
      </c>
      <c r="B16" s="36"/>
      <c r="C16" s="36"/>
      <c r="D16" s="36"/>
      <c r="E16" s="36"/>
      <c r="F16" s="37"/>
      <c r="H16" s="50" t="str">
        <f>'MSW39'!H16</f>
        <v>ALTERNATE WORKOUTS</v>
      </c>
      <c r="I16" s="36"/>
      <c r="J16" s="36"/>
      <c r="K16" s="36"/>
      <c r="L16" s="36"/>
      <c r="M16" s="37"/>
    </row>
    <row r="17">
      <c r="A17" s="657" t="str">
        <f>'MSW39'!A17</f>
        <v/>
      </c>
    </row>
    <row r="19">
      <c r="A19" s="1344" t="str">
        <f>'MSW39'!A19</f>
        <v>CHEST &amp; BACK </v>
      </c>
      <c r="B19" s="36"/>
      <c r="C19" s="36"/>
      <c r="D19" s="36"/>
      <c r="E19" s="36"/>
      <c r="F19" s="37"/>
      <c r="G19" s="141" t="str">
        <f>'MSW39'!G19</f>
        <v/>
      </c>
      <c r="H19" s="51" t="str">
        <f>'MSW39'!H19</f>
        <v>CHEST &amp; BACK </v>
      </c>
      <c r="I19" s="36"/>
      <c r="J19" s="36"/>
      <c r="K19" s="36"/>
      <c r="L19" s="36"/>
      <c r="M19" s="37"/>
    </row>
    <row r="20">
      <c r="A20" s="52" t="str">
        <f>'MSW39'!A20</f>
        <v>1. DUMBBELL INCLINE PRESS</v>
      </c>
      <c r="B20" s="53"/>
      <c r="C20" s="53"/>
      <c r="D20" s="53"/>
      <c r="E20" s="53"/>
      <c r="F20" s="54"/>
      <c r="H20" s="52" t="str">
        <f>'MSW39'!H20</f>
        <v>1. MACHINE PRESS</v>
      </c>
      <c r="I20" s="53"/>
      <c r="J20" s="53"/>
      <c r="K20" s="53"/>
      <c r="L20" s="53"/>
      <c r="M20" s="54"/>
    </row>
    <row r="21">
      <c r="A21" s="228" t="str">
        <f>'MSW39'!A21</f>
        <v>CURRENT MAX</v>
      </c>
      <c r="B21" s="229">
        <v>90.0</v>
      </c>
      <c r="C21" s="16"/>
      <c r="D21" s="16"/>
      <c r="E21" s="16"/>
      <c r="F21" s="230"/>
      <c r="H21" s="228" t="str">
        <f>'MSW39'!H21</f>
        <v>CURRENT MAX</v>
      </c>
      <c r="I21" s="229" t="str">
        <f>'MSW39'!I21</f>
        <v/>
      </c>
      <c r="J21" s="16"/>
      <c r="K21" s="16"/>
      <c r="L21" s="16"/>
      <c r="M21" s="230"/>
    </row>
    <row r="22">
      <c r="A22" s="96" t="str">
        <f>'MSW39'!A22</f>
        <v>SET</v>
      </c>
      <c r="B22" s="97" t="str">
        <f>'MSW39'!B22</f>
        <v>WEIGHT</v>
      </c>
      <c r="C22" s="97" t="str">
        <f>'MSW39'!C22</f>
        <v>REPS</v>
      </c>
      <c r="D22" s="97" t="str">
        <f>'MSW39'!D22</f>
        <v>REST</v>
      </c>
      <c r="E22" s="1385" t="str">
        <f>'MSW39'!E22</f>
        <v>PREVIOUS</v>
      </c>
      <c r="F22" s="235" t="str">
        <f>'MSW39'!F22</f>
        <v>REP LOG</v>
      </c>
      <c r="H22" s="96" t="str">
        <f>'MSW39'!H22</f>
        <v>SET</v>
      </c>
      <c r="I22" s="97" t="str">
        <f>'MSW39'!I22</f>
        <v>WEIGHT</v>
      </c>
      <c r="J22" s="97" t="str">
        <f>'MSW39'!J22</f>
        <v>REPS</v>
      </c>
      <c r="K22" s="97" t="str">
        <f>'MSW39'!K22</f>
        <v>REST</v>
      </c>
      <c r="L22" s="98" t="str">
        <f>'MSW39'!L22</f>
        <v>PREVIOUS</v>
      </c>
      <c r="M22" s="235" t="str">
        <f>'MSW39'!M22</f>
        <v>REP LOG</v>
      </c>
    </row>
    <row r="23">
      <c r="A23" s="244">
        <f>'MSW39'!A23</f>
        <v>1</v>
      </c>
      <c r="B23" s="241">
        <f>'MSW39'!B23</f>
        <v>30</v>
      </c>
      <c r="C23" s="63">
        <f>'MSW39'!C23</f>
        <v>6</v>
      </c>
      <c r="D23" s="83" t="str">
        <f>'MSW39'!D23</f>
        <v>1 MIN</v>
      </c>
      <c r="E23" s="84">
        <f>'MSW39'!E23</f>
        <v>6</v>
      </c>
      <c r="F23" s="85">
        <v>6.0</v>
      </c>
      <c r="H23" s="244">
        <f>'MSW39'!H23</f>
        <v>1</v>
      </c>
      <c r="I23" s="241">
        <f>'MSW39'!I23</f>
        <v>0</v>
      </c>
      <c r="J23" s="63">
        <f>'MSW39'!J23</f>
        <v>6</v>
      </c>
      <c r="K23" s="83" t="str">
        <f>'MSW39'!K23</f>
        <v>1 MIN</v>
      </c>
      <c r="L23" s="84" t="str">
        <f>'MSW39'!L23</f>
        <v/>
      </c>
      <c r="M23" s="85" t="str">
        <f>'MSW39'!M23</f>
        <v/>
      </c>
    </row>
    <row r="24">
      <c r="A24" s="240">
        <f>'MSW39'!A24</f>
        <v>2</v>
      </c>
      <c r="B24" s="241">
        <f>'MSW39'!B24</f>
        <v>60</v>
      </c>
      <c r="C24" s="241">
        <f>'MSW39'!C24</f>
        <v>1</v>
      </c>
      <c r="D24" s="83" t="str">
        <f>'MSW39'!D24</f>
        <v>1 MIN</v>
      </c>
      <c r="E24" s="84">
        <f>'MSW39'!E24</f>
        <v>1</v>
      </c>
      <c r="F24" s="85">
        <v>1.0</v>
      </c>
      <c r="H24" s="240">
        <f>'MSW39'!H24</f>
        <v>2</v>
      </c>
      <c r="I24" s="241">
        <f>'MSW39'!I24</f>
        <v>0</v>
      </c>
      <c r="J24" s="241">
        <f>'MSW39'!J24</f>
        <v>1</v>
      </c>
      <c r="K24" s="83" t="str">
        <f>'MSW39'!K24</f>
        <v>1 MIN</v>
      </c>
      <c r="L24" s="84" t="str">
        <f>'MSW39'!L24</f>
        <v/>
      </c>
      <c r="M24" s="85" t="str">
        <f>'MSW39'!M24</f>
        <v/>
      </c>
    </row>
    <row r="25">
      <c r="A25" s="240">
        <f>'MSW39'!A25</f>
        <v>3</v>
      </c>
      <c r="B25" s="241">
        <f>'MSW39'!B25</f>
        <v>75</v>
      </c>
      <c r="C25" s="63">
        <f>'MSW39'!C25</f>
        <v>1</v>
      </c>
      <c r="D25" s="83" t="str">
        <f>'MSW39'!D25</f>
        <v>1 MIN</v>
      </c>
      <c r="E25" s="84">
        <f>'MSW39'!E25</f>
        <v>1</v>
      </c>
      <c r="F25" s="85">
        <v>1.0</v>
      </c>
      <c r="H25" s="240">
        <f>'MSW39'!H25</f>
        <v>3</v>
      </c>
      <c r="I25" s="241">
        <f>'MSW39'!I25</f>
        <v>0</v>
      </c>
      <c r="J25" s="241">
        <f>'MSW39'!J25</f>
        <v>1</v>
      </c>
      <c r="K25" s="83" t="str">
        <f>'MSW39'!K25</f>
        <v>1 MIN</v>
      </c>
      <c r="L25" s="84" t="str">
        <f>'MSW39'!L25</f>
        <v/>
      </c>
      <c r="M25" s="85" t="str">
        <f>'MSW39'!M25</f>
        <v/>
      </c>
    </row>
    <row r="26">
      <c r="A26" s="240">
        <f>'MSW39'!A26</f>
        <v>4</v>
      </c>
      <c r="B26" s="241">
        <f>'MSW39'!B26</f>
        <v>90</v>
      </c>
      <c r="C26" s="245" t="str">
        <f>'MSW39'!C26</f>
        <v>REP OUT</v>
      </c>
      <c r="D26" s="83" t="str">
        <f>'MSW39'!D26</f>
        <v>1 MIN</v>
      </c>
      <c r="E26" s="84">
        <f>'MSW39'!E26</f>
        <v>4</v>
      </c>
      <c r="F26" s="85">
        <v>4.0</v>
      </c>
      <c r="H26" s="240">
        <f>'MSW39'!H26</f>
        <v>4</v>
      </c>
      <c r="I26" s="241">
        <f>'MSW39'!I26</f>
        <v>0</v>
      </c>
      <c r="J26" s="245" t="str">
        <f>'MSW39'!J26</f>
        <v>REP OUT</v>
      </c>
      <c r="K26" s="83" t="str">
        <f>'MSW39'!K26</f>
        <v>1 MIN</v>
      </c>
      <c r="L26" s="84" t="str">
        <f>'MSW39'!L26</f>
        <v/>
      </c>
      <c r="M26" s="85" t="str">
        <f>'MSW39'!M26</f>
        <v/>
      </c>
    </row>
    <row r="27">
      <c r="A27" s="248" t="str">
        <f>'MSW39'!A27</f>
        <v>PROCEED TO DOWN SETS</v>
      </c>
      <c r="F27" s="28"/>
      <c r="G27" s="247" t="str">
        <f>'MSW39'!G27</f>
        <v>ALTERNATE</v>
      </c>
      <c r="H27" s="248" t="str">
        <f>'MSW39'!H27</f>
        <v>PROCEED TO DOWNSETS</v>
      </c>
      <c r="M27" s="28"/>
    </row>
    <row r="28">
      <c r="A28" s="251" t="str">
        <f>'MSW39'!A28</f>
        <v/>
      </c>
      <c r="B28" s="252" t="str">
        <f>'MSW39'!B28</f>
        <v/>
      </c>
      <c r="C28" s="253" t="str">
        <f>'MSW39'!C28</f>
        <v/>
      </c>
      <c r="D28" s="254" t="str">
        <f>'MSW39'!D28</f>
        <v/>
      </c>
      <c r="E28" s="84" t="str">
        <f>'MSW39'!E28</f>
        <v/>
      </c>
      <c r="F28" s="67"/>
      <c r="H28" s="251" t="str">
        <f>'MSW39'!H28</f>
        <v/>
      </c>
      <c r="I28" s="252" t="str">
        <f>'MSW39'!I28</f>
        <v/>
      </c>
      <c r="J28" s="253" t="str">
        <f>'MSW39'!J28</f>
        <v/>
      </c>
      <c r="K28" s="254" t="str">
        <f>'MSW39'!K28</f>
        <v/>
      </c>
      <c r="L28" s="84" t="str">
        <f>'MSW39'!L28</f>
        <v/>
      </c>
      <c r="M28" s="67" t="str">
        <f>'MSW39'!M28</f>
        <v/>
      </c>
    </row>
    <row r="29">
      <c r="A29" s="260" t="str">
        <f>'MSW39'!A29</f>
        <v>DOWN SETS</v>
      </c>
      <c r="B29" s="16"/>
      <c r="C29" s="16"/>
      <c r="D29" s="16"/>
      <c r="E29" s="16"/>
      <c r="F29" s="230"/>
      <c r="G29" s="141" t="str">
        <f>'MSW39'!G29</f>
        <v/>
      </c>
      <c r="H29" s="260" t="str">
        <f>'MSW39'!H29</f>
        <v>FILL OUT REP LOG FIRST</v>
      </c>
      <c r="I29" s="16"/>
      <c r="J29" s="16"/>
      <c r="K29" s="16"/>
      <c r="L29" s="16"/>
      <c r="M29" s="230"/>
    </row>
    <row r="30">
      <c r="A30" s="545">
        <f>'MSW39'!A30</f>
        <v>5</v>
      </c>
      <c r="B30" s="261">
        <f>'MSW39'!B30</f>
        <v>70</v>
      </c>
      <c r="C30" s="262" t="str">
        <f>'MSW39'!C30</f>
        <v>REP OUT</v>
      </c>
      <c r="D30" s="65" t="str">
        <f>'MSW39'!D30</f>
        <v>1 MIN</v>
      </c>
      <c r="E30" s="84">
        <f>'MSW39'!E30</f>
        <v>8</v>
      </c>
      <c r="F30" s="263">
        <v>11.0</v>
      </c>
      <c r="H30" s="91" t="str">
        <f>'MSW39'!H30</f>
        <v/>
      </c>
      <c r="I30" s="261" t="str">
        <f>'MSW39'!I30</f>
        <v/>
      </c>
      <c r="J30" s="262" t="str">
        <f>'MSW39'!J30</f>
        <v/>
      </c>
      <c r="K30" s="65" t="str">
        <f>'MSW39'!K30</f>
        <v/>
      </c>
      <c r="L30" s="84" t="str">
        <f>'MSW39'!L30</f>
        <v/>
      </c>
      <c r="M30" s="263" t="str">
        <f>'MSW39'!M30</f>
        <v/>
      </c>
    </row>
    <row r="31">
      <c r="A31" s="546">
        <f>'MSW39'!A31</f>
        <v>6</v>
      </c>
      <c r="B31" s="254">
        <f>'MSW39'!B31</f>
        <v>60</v>
      </c>
      <c r="C31" s="253" t="str">
        <f>'MSW39'!C31</f>
        <v>REP OUT</v>
      </c>
      <c r="D31" s="65" t="str">
        <f>'MSW39'!D31</f>
        <v>1 MIN</v>
      </c>
      <c r="E31" s="84">
        <f>'MSW39'!E31</f>
        <v>12</v>
      </c>
      <c r="F31" s="270" t="str">
        <f>'MSW39'!F31</f>
        <v/>
      </c>
      <c r="H31" s="269" t="str">
        <f>'MSW39'!H31</f>
        <v/>
      </c>
      <c r="I31" s="254" t="str">
        <f>'MSW39'!I31</f>
        <v/>
      </c>
      <c r="J31" s="253" t="str">
        <f>'MSW39'!J31</f>
        <v/>
      </c>
      <c r="K31" s="65" t="str">
        <f>'MSW39'!K31</f>
        <v/>
      </c>
      <c r="L31" s="84" t="str">
        <f>'MSW39'!L31</f>
        <v/>
      </c>
      <c r="M31" s="270" t="str">
        <f>'MSW39'!M31</f>
        <v/>
      </c>
    </row>
    <row r="32">
      <c r="A32" s="546" t="str">
        <f>'MSW39'!A32</f>
        <v/>
      </c>
      <c r="B32" s="254" t="str">
        <f>'MSW39'!B32</f>
        <v/>
      </c>
      <c r="C32" s="253" t="str">
        <f>'MSW39'!C32</f>
        <v/>
      </c>
      <c r="D32" s="65" t="str">
        <f>'MSW39'!D32</f>
        <v/>
      </c>
      <c r="E32" s="84" t="str">
        <f>'MSW39'!E32</f>
        <v/>
      </c>
      <c r="F32" s="263"/>
      <c r="H32" s="269" t="str">
        <f>'MSW39'!H32</f>
        <v/>
      </c>
      <c r="I32" s="254" t="str">
        <f>'MSW39'!I32</f>
        <v/>
      </c>
      <c r="J32" s="253" t="str">
        <f>'MSW39'!J32</f>
        <v/>
      </c>
      <c r="K32" s="65" t="str">
        <f>'MSW39'!K32</f>
        <v/>
      </c>
      <c r="L32" s="84" t="str">
        <f>'MSW39'!L32</f>
        <v/>
      </c>
      <c r="M32" s="270" t="str">
        <f>'MSW39'!M32</f>
        <v/>
      </c>
    </row>
    <row r="33">
      <c r="A33" s="546" t="str">
        <f>'MSW39'!A33</f>
        <v/>
      </c>
      <c r="B33" s="254" t="str">
        <f>'MSW39'!B33</f>
        <v/>
      </c>
      <c r="C33" s="253" t="str">
        <f>'MSW39'!C33</f>
        <v/>
      </c>
      <c r="D33" s="65" t="str">
        <f>'MSW39'!D33</f>
        <v/>
      </c>
      <c r="E33" s="84" t="str">
        <f>'MSW39'!E33</f>
        <v/>
      </c>
      <c r="F33" s="263"/>
      <c r="H33" s="269" t="str">
        <f>'MSW39'!H33</f>
        <v/>
      </c>
      <c r="I33" s="254" t="str">
        <f>'MSW39'!I33</f>
        <v/>
      </c>
      <c r="J33" s="253" t="str">
        <f>'MSW39'!J33</f>
        <v/>
      </c>
      <c r="K33" s="65" t="str">
        <f>'MSW39'!K33</f>
        <v/>
      </c>
      <c r="L33" s="84" t="str">
        <f>'MSW39'!L33</f>
        <v/>
      </c>
      <c r="M33" s="270" t="str">
        <f>'MSW39'!M33</f>
        <v/>
      </c>
    </row>
    <row r="34">
      <c r="A34" s="280" t="str">
        <f>'MSW39'!A34</f>
        <v>FINAL MAX</v>
      </c>
      <c r="B34" s="273">
        <f>'MSW39'!B34</f>
        <v>90</v>
      </c>
      <c r="C34" s="11"/>
      <c r="D34" s="11"/>
      <c r="E34" s="11"/>
      <c r="F34" s="46"/>
      <c r="H34" s="280" t="str">
        <f>'MSW39'!H34</f>
        <v>FINAL MAX</v>
      </c>
      <c r="I34" s="273" t="str">
        <f>'MSW39'!I34</f>
        <v/>
      </c>
      <c r="J34" s="11"/>
      <c r="K34" s="11"/>
      <c r="L34" s="11"/>
      <c r="M34" s="46"/>
    </row>
    <row r="35">
      <c r="A35" s="658" t="str">
        <f>'MSW39'!A35</f>
        <v/>
      </c>
    </row>
    <row r="37">
      <c r="A37" s="440" t="str">
        <f>'MSW39'!A37</f>
        <v>2. DUMBBELL CHEST FLY</v>
      </c>
      <c r="B37" s="53"/>
      <c r="C37" s="53"/>
      <c r="D37" s="53"/>
      <c r="E37" s="53"/>
      <c r="F37" s="54"/>
      <c r="G37" s="659" t="str">
        <f>'MSW39'!G37</f>
        <v/>
      </c>
      <c r="H37" s="504" t="str">
        <f>'MSW39'!H37</f>
        <v>2. MACHINE CHEST FLY</v>
      </c>
      <c r="I37" s="53"/>
      <c r="J37" s="53"/>
      <c r="K37" s="53"/>
      <c r="L37" s="53"/>
      <c r="M37" s="54"/>
    </row>
    <row r="38">
      <c r="A38" s="226" t="str">
        <f>'MSW39'!A38</f>
        <v>DB INCL PRSS MAX</v>
      </c>
      <c r="B38" s="548">
        <f>'MSW39'!B38</f>
        <v>90</v>
      </c>
      <c r="C38" s="13"/>
      <c r="D38" s="13"/>
      <c r="E38" s="13"/>
      <c r="F38" s="57"/>
      <c r="G38" s="247" t="str">
        <f>'MSW39'!G38</f>
        <v>ALTERNATE</v>
      </c>
      <c r="H38" s="226" t="str">
        <f>'MSW39'!H38</f>
        <v>DB INCL PRSS MAX</v>
      </c>
      <c r="I38" s="548">
        <f>'MSW39'!I38</f>
        <v>90</v>
      </c>
      <c r="J38" s="13"/>
      <c r="K38" s="13"/>
      <c r="L38" s="13"/>
      <c r="M38" s="57"/>
    </row>
    <row r="39">
      <c r="A39" s="96" t="str">
        <f>'MSW39'!A39</f>
        <v>SET</v>
      </c>
      <c r="B39" s="97" t="str">
        <f>'MSW39'!B39</f>
        <v>WEIGHT</v>
      </c>
      <c r="C39" s="97" t="str">
        <f>'MSW39'!C39</f>
        <v>REPS</v>
      </c>
      <c r="D39" s="97" t="str">
        <f>'MSW39'!D39</f>
        <v>REST</v>
      </c>
      <c r="E39" s="1385" t="str">
        <f>'MSW39'!E39</f>
        <v>PREVIOUS</v>
      </c>
      <c r="F39" s="235" t="str">
        <f>'MSW39'!F39</f>
        <v>REP LOG</v>
      </c>
      <c r="H39" s="96" t="str">
        <f>'MSW39'!H39</f>
        <v>SET</v>
      </c>
      <c r="I39" s="97" t="str">
        <f>'MSW39'!I39</f>
        <v>WEIGHT</v>
      </c>
      <c r="J39" s="97" t="str">
        <f>'MSW39'!J39</f>
        <v>REPS</v>
      </c>
      <c r="K39" s="97" t="str">
        <f>'MSW39'!K39</f>
        <v>REST</v>
      </c>
      <c r="L39" s="98" t="str">
        <f>'MSW39'!L39</f>
        <v>PREVIOUS</v>
      </c>
      <c r="M39" s="235" t="str">
        <f>'MSW39'!M39</f>
        <v>REP LOG</v>
      </c>
    </row>
    <row r="40">
      <c r="A40" s="240">
        <f>'MSW39'!A40</f>
        <v>1</v>
      </c>
      <c r="B40" s="254">
        <f>'MSW39'!B40</f>
        <v>25</v>
      </c>
      <c r="C40" s="241">
        <f>'MSW39'!C40</f>
        <v>15</v>
      </c>
      <c r="D40" s="83" t="str">
        <f>'MSW39'!D40</f>
        <v>1 MIN</v>
      </c>
      <c r="E40" s="84" t="str">
        <f>'MSW39'!E40</f>
        <v/>
      </c>
      <c r="F40" s="85"/>
      <c r="G40" s="659" t="str">
        <f>'MSW39'!G40</f>
        <v/>
      </c>
      <c r="H40" s="240">
        <f>'MSW39'!H40</f>
        <v>1</v>
      </c>
      <c r="I40" s="254">
        <f>'MSW39'!I40</f>
        <v>140</v>
      </c>
      <c r="J40" s="241">
        <f>'MSW39'!J40</f>
        <v>15</v>
      </c>
      <c r="K40" s="83" t="str">
        <f>'MSW39'!K40</f>
        <v>1 MIN</v>
      </c>
      <c r="L40" s="84" t="str">
        <f>'MSW39'!L40</f>
        <v/>
      </c>
      <c r="M40" s="85" t="str">
        <f>'MSW39'!M40</f>
        <v/>
      </c>
    </row>
    <row r="41">
      <c r="A41" s="661">
        <f>'MSW39'!A41</f>
        <v>2</v>
      </c>
      <c r="B41" s="662">
        <f>'MSW39'!B41</f>
        <v>25</v>
      </c>
      <c r="C41" s="69">
        <f>'MSW39'!C41</f>
        <v>15</v>
      </c>
      <c r="D41" s="88" t="str">
        <f>'MSW39'!D41</f>
        <v>1 MIN</v>
      </c>
      <c r="E41" s="89" t="str">
        <f>'MSW39'!E41</f>
        <v/>
      </c>
      <c r="F41" s="85"/>
      <c r="H41" s="661">
        <f>'MSW39'!H41</f>
        <v>2</v>
      </c>
      <c r="I41" s="662">
        <f>'MSW39'!I41</f>
        <v>140</v>
      </c>
      <c r="J41" s="662">
        <f>'MSW39'!J41</f>
        <v>15</v>
      </c>
      <c r="K41" s="88" t="str">
        <f>'MSW39'!K41</f>
        <v>1 MIN</v>
      </c>
      <c r="L41" s="89" t="str">
        <f>'MSW39'!L41</f>
        <v/>
      </c>
      <c r="M41" s="85" t="str">
        <f>'MSW39'!M41</f>
        <v/>
      </c>
    </row>
    <row r="42">
      <c r="A42" t="str">
        <f>'MSW39'!A42</f>
        <v/>
      </c>
      <c r="G42" t="str">
        <f>'MSW39'!G42</f>
        <v/>
      </c>
    </row>
    <row r="44">
      <c r="A44" s="73" t="str">
        <f>'MSW39'!A44</f>
        <v>3. MACHINE HIGH ROW</v>
      </c>
      <c r="B44" s="53"/>
      <c r="C44" s="53"/>
      <c r="D44" s="53"/>
      <c r="E44" s="53"/>
      <c r="F44" s="54"/>
    </row>
    <row r="45">
      <c r="A45" s="226" t="str">
        <f>'MSW39'!A45</f>
        <v>CURRENT MAX</v>
      </c>
      <c r="B45" s="227">
        <f>'MSW39'!B45</f>
        <v>205</v>
      </c>
      <c r="C45" s="20"/>
      <c r="D45" s="20"/>
      <c r="E45" s="20"/>
      <c r="F45" s="95"/>
    </row>
    <row r="46">
      <c r="A46" s="231" t="str">
        <f>'MSW39'!A46</f>
        <v>SET</v>
      </c>
      <c r="B46" s="232" t="str">
        <f>'MSW39'!B46</f>
        <v>WEIGHT</v>
      </c>
      <c r="C46" s="232" t="str">
        <f>'MSW39'!C46</f>
        <v>REPS</v>
      </c>
      <c r="D46" s="232" t="str">
        <f>'MSW39'!D46</f>
        <v>REST</v>
      </c>
      <c r="E46" s="1386" t="str">
        <f>'MSW39'!E46</f>
        <v>PREVIOUS</v>
      </c>
      <c r="F46" s="61" t="str">
        <f>'MSW39'!F46</f>
        <v>REP LOG</v>
      </c>
    </row>
    <row r="47">
      <c r="A47" s="236">
        <f>'MSW39'!A47</f>
        <v>1</v>
      </c>
      <c r="B47" s="237">
        <f>'MSW39'!B47</f>
        <v>70</v>
      </c>
      <c r="C47" s="237">
        <f>'MSW39'!C47</f>
        <v>6</v>
      </c>
      <c r="D47" s="238" t="str">
        <f>'MSW39'!D47</f>
        <v>30s</v>
      </c>
      <c r="E47" s="632" t="str">
        <f>'MSW39'!E47</f>
        <v/>
      </c>
      <c r="F47" s="67">
        <v>6.0</v>
      </c>
    </row>
    <row r="48">
      <c r="A48" s="236">
        <f>'MSW39'!A48</f>
        <v>2</v>
      </c>
      <c r="B48" s="237">
        <f>'MSW39'!B48</f>
        <v>135</v>
      </c>
      <c r="C48" s="238">
        <f>'MSW39'!C48</f>
        <v>3</v>
      </c>
      <c r="D48" s="1387" t="str">
        <f>'MSW39'!D48</f>
        <v>1-2 MIN</v>
      </c>
      <c r="E48" s="1388" t="str">
        <f>'MSW39'!E48</f>
        <v/>
      </c>
      <c r="F48" s="1389">
        <v>3.0</v>
      </c>
    </row>
    <row r="49">
      <c r="A49" s="242">
        <f>'MSW39'!A49</f>
        <v>3</v>
      </c>
      <c r="B49" s="237">
        <f>'MSW39'!B49</f>
        <v>185</v>
      </c>
      <c r="C49" s="63">
        <f>'MSW39'!C49</f>
        <v>2</v>
      </c>
      <c r="D49" s="1387" t="str">
        <f>'MSW39'!D49</f>
        <v>1-2 MIN</v>
      </c>
      <c r="E49" s="1388" t="str">
        <f>'MSW39'!E49</f>
        <v/>
      </c>
      <c r="F49" s="1389">
        <v>2.0</v>
      </c>
    </row>
    <row r="50">
      <c r="A50" s="243">
        <f>'MSW39'!A50</f>
        <v>4</v>
      </c>
      <c r="B50" s="237">
        <f>'MSW39'!B50</f>
        <v>205</v>
      </c>
      <c r="C50" s="257">
        <f>'MSW39'!C50</f>
        <v>3</v>
      </c>
      <c r="D50" s="1387" t="str">
        <f>'MSW39'!D50</f>
        <v>1-5 MIN</v>
      </c>
      <c r="E50" s="1390" t="str">
        <f>'MSW39'!E50</f>
        <v/>
      </c>
      <c r="F50" s="1389">
        <v>3.0</v>
      </c>
    </row>
    <row r="51">
      <c r="A51" s="246" t="str">
        <f>'MSW39'!A51</f>
        <v>NEW 4 REP MAX ATTEMPT</v>
      </c>
      <c r="B51" s="20"/>
      <c r="C51" s="20"/>
      <c r="D51" s="20"/>
      <c r="E51" s="20"/>
      <c r="F51" s="95"/>
    </row>
    <row r="52">
      <c r="A52" s="249">
        <f>'MSW39'!A52</f>
        <v>5</v>
      </c>
      <c r="B52" s="175">
        <f>'MSW39'!B52</f>
        <v>210</v>
      </c>
      <c r="C52" s="238">
        <f>'MSW39'!C52</f>
        <v>4</v>
      </c>
      <c r="D52" s="1387" t="str">
        <f>'MSW39'!D52</f>
        <v>1-5 MIN</v>
      </c>
      <c r="E52" s="1388" t="str">
        <f>'MSW39'!E52</f>
        <v/>
      </c>
      <c r="F52" s="1389">
        <v>4.0</v>
      </c>
    </row>
    <row r="53">
      <c r="A53" s="259" t="str">
        <f>'MSW39'!A53</f>
        <v>6</v>
      </c>
      <c r="B53" s="237">
        <f>'MSW39'!B53</f>
        <v>215</v>
      </c>
      <c r="C53" s="257" t="str">
        <f>'MSW39'!C53</f>
        <v>4</v>
      </c>
      <c r="D53" s="1391" t="str">
        <f>'MSW39'!D53</f>
        <v>1-5 MIN</v>
      </c>
      <c r="E53" s="1388" t="str">
        <f>'MSW39'!E53</f>
        <v/>
      </c>
      <c r="F53" s="1389"/>
    </row>
    <row r="54">
      <c r="A54" s="246" t="str">
        <f>'MSW39'!A54</f>
        <v>DOWN SETS</v>
      </c>
      <c r="B54" s="20"/>
      <c r="C54" s="20"/>
      <c r="D54" s="20"/>
      <c r="E54" s="20"/>
      <c r="F54" s="95"/>
    </row>
    <row r="55">
      <c r="A55" s="264">
        <f>'MSW39'!A55</f>
        <v>7</v>
      </c>
      <c r="B55" s="265">
        <f>'MSW39'!B55</f>
        <v>170</v>
      </c>
      <c r="C55" s="266" t="str">
        <f>'MSW39'!C55</f>
        <v>REP OUT</v>
      </c>
      <c r="D55" s="267" t="str">
        <f>'MSW39'!D55</f>
        <v>1-3 MIN</v>
      </c>
      <c r="E55" s="1388" t="str">
        <f>'MSW39'!E55</f>
        <v/>
      </c>
      <c r="F55" s="1389"/>
    </row>
    <row r="56">
      <c r="A56" s="243">
        <f>'MSW39'!A56</f>
        <v>8</v>
      </c>
      <c r="B56" s="237">
        <f>'MSW39'!B56</f>
        <v>145</v>
      </c>
      <c r="C56" s="245" t="str">
        <f>'MSW39'!C56</f>
        <v>REP OUT</v>
      </c>
      <c r="D56" s="1392" t="str">
        <f>'MSW39'!D56</f>
        <v>1-3 MIN</v>
      </c>
      <c r="E56" s="1388">
        <f>'MSW39'!E56</f>
        <v>14</v>
      </c>
      <c r="F56" s="843"/>
    </row>
    <row r="57">
      <c r="A57" s="228" t="str">
        <f>'MSW39'!A57</f>
        <v>FINAL MAX</v>
      </c>
      <c r="B57" s="549">
        <f>'MSW39'!B57</f>
        <v>210</v>
      </c>
      <c r="F57" s="28"/>
    </row>
    <row r="58">
      <c r="A58" s="750" t="str">
        <f>'MSW39'!A58</f>
        <v/>
      </c>
      <c r="B58" s="36"/>
      <c r="C58" s="36"/>
      <c r="D58" s="36"/>
      <c r="E58" s="36"/>
      <c r="F58" s="36"/>
    </row>
    <row r="59">
      <c r="A59" s="751" t="str">
        <f>'MSW39'!A59</f>
        <v>4. LAT PULL DOWN</v>
      </c>
      <c r="B59" s="13"/>
      <c r="C59" s="13"/>
      <c r="D59" s="13"/>
      <c r="E59" s="13"/>
      <c r="F59" s="57"/>
    </row>
    <row r="60">
      <c r="A60" s="226" t="str">
        <f>'MSW39'!A60</f>
        <v>CURRENT MAX</v>
      </c>
      <c r="B60" s="691">
        <f>'MSW39'!B60</f>
        <v>235</v>
      </c>
      <c r="C60" s="13"/>
      <c r="D60" s="13"/>
      <c r="E60" s="13"/>
      <c r="F60" s="57"/>
    </row>
    <row r="61">
      <c r="A61" s="96" t="str">
        <f>'MSW39'!A61</f>
        <v>SET</v>
      </c>
      <c r="B61" s="97" t="str">
        <f>'MSW39'!B61</f>
        <v>WEIGHT</v>
      </c>
      <c r="C61" s="97" t="str">
        <f>'MSW39'!C61</f>
        <v>REPS</v>
      </c>
      <c r="D61" s="97" t="str">
        <f>'MSW39'!D61</f>
        <v>REST</v>
      </c>
      <c r="E61" s="1385" t="str">
        <f>'MSW39'!E61</f>
        <v>PREVIOUS</v>
      </c>
      <c r="F61" s="235" t="str">
        <f>'MSW39'!F61</f>
        <v>REP LOG</v>
      </c>
    </row>
    <row r="62">
      <c r="A62" s="725">
        <f>'MSW39'!A62</f>
        <v>1</v>
      </c>
      <c r="B62" s="344">
        <f>'MSW39'!B62</f>
        <v>210</v>
      </c>
      <c r="C62" s="437" t="str">
        <f>'MSW39'!C62</f>
        <v>REP OUT</v>
      </c>
      <c r="D62" s="343" t="str">
        <f>'MSW39'!D62</f>
        <v>1 MIN</v>
      </c>
      <c r="E62" s="84">
        <f>'MSW39'!E62</f>
        <v>4</v>
      </c>
      <c r="F62" s="85"/>
    </row>
    <row r="63">
      <c r="A63" s="725">
        <f>'MSW39'!A63</f>
        <v>2</v>
      </c>
      <c r="B63" s="344">
        <f>'MSW39'!B63</f>
        <v>175</v>
      </c>
      <c r="C63" s="437" t="str">
        <f>'MSW39'!C63</f>
        <v>REP OUT</v>
      </c>
      <c r="D63" s="343" t="str">
        <f>'MSW39'!D63</f>
        <v>1 MIN</v>
      </c>
      <c r="E63" s="84" t="str">
        <f>'MSW39'!E63</f>
        <v/>
      </c>
      <c r="F63" s="85"/>
    </row>
    <row r="64">
      <c r="A64" s="753">
        <f>'MSW39'!A64</f>
        <v>3</v>
      </c>
      <c r="B64" s="754">
        <f>'MSW39'!B64</f>
        <v>175</v>
      </c>
      <c r="C64" s="733" t="str">
        <f>'MSW39'!C64</f>
        <v>REP OUT</v>
      </c>
      <c r="D64" s="486" t="str">
        <f>'MSW39'!D64</f>
        <v>1 MIN</v>
      </c>
      <c r="E64" s="89" t="str">
        <f>'MSW39'!E64</f>
        <v/>
      </c>
      <c r="F64" s="85" t="str">
        <f>'MSW39'!F64</f>
        <v/>
      </c>
    </row>
    <row r="65">
      <c r="A65" s="756" t="str">
        <f>'MSW39'!A65</f>
        <v/>
      </c>
    </row>
    <row r="67">
      <c r="A67" s="73" t="str">
        <f>'MSW39'!A67</f>
        <v>5. LOW ROW </v>
      </c>
      <c r="B67" s="53"/>
      <c r="C67" s="53"/>
      <c r="D67" s="53"/>
      <c r="E67" s="53"/>
      <c r="F67" s="54"/>
    </row>
    <row r="68">
      <c r="A68" s="226" t="str">
        <f>'MSW39'!A68</f>
        <v>CURRENT MAX</v>
      </c>
      <c r="B68" s="691">
        <f>'MSW39'!B68</f>
        <v>220</v>
      </c>
      <c r="C68" s="13"/>
      <c r="D68" s="13"/>
      <c r="E68" s="13"/>
      <c r="F68" s="57"/>
    </row>
    <row r="69">
      <c r="A69" s="96" t="str">
        <f>'MSW39'!A69</f>
        <v>SET</v>
      </c>
      <c r="B69" s="97" t="str">
        <f>'MSW39'!B69</f>
        <v>WEIGHT</v>
      </c>
      <c r="C69" s="97" t="str">
        <f>'MSW39'!C69</f>
        <v>REPS</v>
      </c>
      <c r="D69" s="97" t="str">
        <f>'MSW39'!D69</f>
        <v>REST</v>
      </c>
      <c r="E69" s="1385" t="str">
        <f>'MSW39'!E69</f>
        <v>PREVIOUS</v>
      </c>
      <c r="F69" s="235" t="str">
        <f>'MSW39'!F69</f>
        <v>REP LOG</v>
      </c>
    </row>
    <row r="70">
      <c r="A70" s="725">
        <f>'MSW39'!A70</f>
        <v>1</v>
      </c>
      <c r="B70" s="344">
        <f>'MSW39'!B70</f>
        <v>185</v>
      </c>
      <c r="C70" s="437" t="str">
        <f>'MSW39'!C70</f>
        <v>REP OUT</v>
      </c>
      <c r="D70" s="343" t="str">
        <f>'MSW39'!D70</f>
        <v>1-3 MIN</v>
      </c>
      <c r="E70" s="84">
        <f>'MSW39'!E70</f>
        <v>5</v>
      </c>
      <c r="F70" s="85"/>
    </row>
    <row r="71">
      <c r="A71" s="725">
        <f>'MSW39'!A71</f>
        <v>2</v>
      </c>
      <c r="B71" s="344">
        <f>'MSW39'!B71</f>
        <v>165</v>
      </c>
      <c r="C71" s="437" t="str">
        <f>'MSW39'!C71</f>
        <v>REP OUT</v>
      </c>
      <c r="D71" s="343" t="str">
        <f>'MSW39'!D71</f>
        <v>1-3 MIN</v>
      </c>
      <c r="E71" s="84" t="str">
        <f>'MSW39'!E71</f>
        <v/>
      </c>
      <c r="F71" s="85"/>
    </row>
    <row r="72">
      <c r="A72" s="753">
        <f>'MSW39'!A72</f>
        <v>3</v>
      </c>
      <c r="B72" s="754">
        <f>'MSW39'!B72</f>
        <v>130</v>
      </c>
      <c r="C72" s="733" t="str">
        <f>'MSW39'!C72</f>
        <v>REP OUT</v>
      </c>
      <c r="D72" s="486" t="str">
        <f>'MSW39'!D72</f>
        <v>1-3 MIN</v>
      </c>
      <c r="E72" s="89" t="str">
        <f>'MSW39'!E72</f>
        <v/>
      </c>
      <c r="F72" s="85"/>
    </row>
    <row r="73">
      <c r="A73" s="1157" t="str">
        <f>'MSW39'!A73</f>
        <v/>
      </c>
      <c r="F73" s="39"/>
    </row>
    <row r="74">
      <c r="A74" s="310" t="str">
        <f>'MSW39'!A74</f>
        <v>CLICK TO COMPLETE WORKOUT</v>
      </c>
      <c r="B74" s="36"/>
      <c r="C74" s="36"/>
      <c r="D74" s="36"/>
      <c r="E74" s="36"/>
      <c r="F74" s="37"/>
    </row>
    <row r="75">
      <c r="A75" s="763" t="str">
        <f>'MSW39'!A75</f>
        <v/>
      </c>
      <c r="B75" s="11"/>
      <c r="C75" s="11"/>
      <c r="D75" s="11"/>
      <c r="E75" s="11"/>
      <c r="F75" s="11"/>
    </row>
    <row r="76">
      <c r="A76" s="50" t="str">
        <f>'MSW39'!A76</f>
        <v>DAY 2 </v>
      </c>
      <c r="B76" s="36"/>
      <c r="C76" s="36"/>
      <c r="D76" s="36"/>
      <c r="E76" s="36"/>
      <c r="F76" s="37"/>
    </row>
    <row r="77">
      <c r="A77" t="str">
        <f>'MSW39'!A77</f>
        <v/>
      </c>
    </row>
    <row r="79">
      <c r="A79" s="1176" t="str">
        <f>'MSW39'!A79</f>
        <v>2. SUPER SET</v>
      </c>
      <c r="B79" s="36"/>
      <c r="C79" s="36"/>
      <c r="D79" s="36"/>
      <c r="E79" s="36"/>
      <c r="F79" s="37"/>
    </row>
    <row r="80">
      <c r="A80" s="1177" t="str">
        <f>'MSW39'!A80</f>
        <v>CURRENT MAX</v>
      </c>
      <c r="B80" s="1178">
        <f>'MSW39'!B80</f>
        <v>130</v>
      </c>
      <c r="C80" s="46"/>
      <c r="D80" s="1178">
        <f>'MSW39'!D80</f>
        <v>300</v>
      </c>
      <c r="E80" s="11"/>
      <c r="F80" s="46"/>
    </row>
    <row r="81">
      <c r="A81" s="1179" t="str">
        <f>'MSW39'!A81</f>
        <v>SET</v>
      </c>
      <c r="B81" s="1180" t="str">
        <f>'MSW39'!B81</f>
        <v>EXERCISE</v>
      </c>
      <c r="C81" s="1181" t="str">
        <f>'MSW39'!C81</f>
        <v>WEIGHT</v>
      </c>
      <c r="D81" s="1181" t="str">
        <f>'MSW39'!D81</f>
        <v>REPS</v>
      </c>
      <c r="E81" s="1182" t="str">
        <f>'MSW39'!E81</f>
        <v>PREVIOUS</v>
      </c>
      <c r="F81" s="1006" t="str">
        <f>'MSW39'!F81</f>
        <v>REP LOG</v>
      </c>
    </row>
    <row r="82">
      <c r="A82" s="1183">
        <f>'MSW39'!A82</f>
        <v>1</v>
      </c>
      <c r="B82" s="1393" t="str">
        <f>'MSW39'!B82</f>
        <v>LEG EXTENSION</v>
      </c>
      <c r="C82" s="1185">
        <f>'MSW39'!C82</f>
        <v>60</v>
      </c>
      <c r="D82" s="1186">
        <f>'MSW39'!D82</f>
        <v>15</v>
      </c>
      <c r="E82" s="1394" t="str">
        <f>'MSW39'!E82</f>
        <v/>
      </c>
      <c r="F82" s="1223"/>
    </row>
    <row r="83">
      <c r="A83" s="1189"/>
      <c r="B83" s="1190" t="str">
        <f>'MSW39'!B83</f>
        <v>LEG PRESS</v>
      </c>
      <c r="C83" s="1191">
        <f>'MSW39'!C83</f>
        <v>135</v>
      </c>
      <c r="D83" s="1192">
        <f>'MSW39'!D83</f>
        <v>30</v>
      </c>
      <c r="E83" s="1395" t="str">
        <f>'MSW39'!E83</f>
        <v/>
      </c>
      <c r="F83" s="1223"/>
    </row>
    <row r="84">
      <c r="A84" s="1194" t="str">
        <f>'MSW39'!A84</f>
        <v>REST 1 MIN</v>
      </c>
      <c r="B84" s="11"/>
      <c r="C84" s="11"/>
      <c r="D84" s="11"/>
      <c r="E84" s="11"/>
      <c r="F84" s="46"/>
    </row>
    <row r="85">
      <c r="A85" s="1195">
        <f>'MSW39'!A85</f>
        <v>2</v>
      </c>
      <c r="B85" s="1393" t="str">
        <f>'MSW39'!B85</f>
        <v>LEG EXTENSION</v>
      </c>
      <c r="C85" s="1185">
        <f>'MSW39'!C85</f>
        <v>55</v>
      </c>
      <c r="D85" s="1186">
        <f>'MSW39'!D85</f>
        <v>12</v>
      </c>
      <c r="E85" s="1394" t="str">
        <f>'MSW39'!E85</f>
        <v/>
      </c>
      <c r="F85" s="1223"/>
    </row>
    <row r="86">
      <c r="A86" s="1196"/>
      <c r="B86" s="1190" t="str">
        <f>'MSW39'!B86</f>
        <v>LEG PRESS</v>
      </c>
      <c r="C86" s="1191">
        <f>'MSW39'!C86</f>
        <v>120</v>
      </c>
      <c r="D86" s="1192">
        <f>'MSW39'!D86</f>
        <v>30</v>
      </c>
      <c r="E86" s="1395" t="str">
        <f>'MSW39'!E86</f>
        <v/>
      </c>
      <c r="F86" s="1223"/>
    </row>
    <row r="87">
      <c r="A87" s="1194" t="str">
        <f>'MSW39'!A87</f>
        <v>REST 1 MIN</v>
      </c>
      <c r="B87" s="11"/>
      <c r="C87" s="11"/>
      <c r="D87" s="11"/>
      <c r="E87" s="11"/>
      <c r="F87" s="46"/>
    </row>
    <row r="88">
      <c r="A88" s="1195">
        <f>'MSW39'!A88</f>
        <v>3</v>
      </c>
      <c r="B88" s="1393" t="str">
        <f>'MSW39'!B88</f>
        <v>LEG EXTENSION</v>
      </c>
      <c r="C88" s="1185">
        <f>'MSW39'!C88</f>
        <v>50</v>
      </c>
      <c r="D88" s="1186">
        <f>'MSW39'!D88</f>
        <v>10</v>
      </c>
      <c r="E88" s="1396" t="str">
        <f>'MSW39'!E88</f>
        <v/>
      </c>
      <c r="F88" s="1226"/>
    </row>
    <row r="89">
      <c r="A89" s="1196"/>
      <c r="B89" s="1190" t="str">
        <f>'MSW39'!B89</f>
        <v>LEG PRESS</v>
      </c>
      <c r="C89" s="1191">
        <f>'MSW39'!C89</f>
        <v>110</v>
      </c>
      <c r="D89" s="1192">
        <f>'MSW39'!D89</f>
        <v>30</v>
      </c>
      <c r="E89" s="1397" t="str">
        <f>'MSW39'!E89</f>
        <v/>
      </c>
      <c r="F89" s="1226"/>
    </row>
    <row r="90">
      <c r="A90" s="1194" t="str">
        <f>'MSW39'!A90</f>
        <v>REST 1 MIN</v>
      </c>
      <c r="B90" s="11"/>
      <c r="C90" s="11"/>
      <c r="D90" s="11"/>
      <c r="E90" s="11"/>
      <c r="F90" s="46"/>
    </row>
    <row r="91">
      <c r="A91" s="1197">
        <f>'MSW39'!A91</f>
        <v>4</v>
      </c>
      <c r="B91" s="1393" t="str">
        <f>'MSW39'!B91</f>
        <v>LEG EXTENSION</v>
      </c>
      <c r="C91" s="1185">
        <f>'MSW39'!C91</f>
        <v>45</v>
      </c>
      <c r="D91" s="1186">
        <f>'MSW39'!D91</f>
        <v>10</v>
      </c>
      <c r="E91" s="1396" t="str">
        <f>'MSW39'!E91</f>
        <v/>
      </c>
      <c r="F91" s="1226"/>
    </row>
    <row r="92">
      <c r="A92" s="1196"/>
      <c r="B92" s="1190" t="str">
        <f>'MSW39'!B92</f>
        <v>LEG PRESS</v>
      </c>
      <c r="C92" s="1191">
        <f>'MSW39'!C92</f>
        <v>100</v>
      </c>
      <c r="D92" s="1192">
        <f>'MSW39'!D92</f>
        <v>30</v>
      </c>
      <c r="E92" s="1397" t="str">
        <f>'MSW39'!E92</f>
        <v/>
      </c>
      <c r="F92" s="1226"/>
    </row>
    <row r="93">
      <c r="A93" s="1194" t="str">
        <f>'MSW39'!A93</f>
        <v>REST 1 MIN</v>
      </c>
      <c r="B93" s="11"/>
      <c r="C93" s="11"/>
      <c r="D93" s="11"/>
      <c r="E93" s="11"/>
      <c r="F93" s="46"/>
    </row>
    <row r="94">
      <c r="A94" s="1383">
        <f>'MSW39'!A94</f>
        <v>5</v>
      </c>
      <c r="B94" s="1393" t="str">
        <f>'MSW39'!B94</f>
        <v>LEG EXTENSION</v>
      </c>
      <c r="C94" s="1185">
        <f>'MSW39'!C94</f>
        <v>40</v>
      </c>
      <c r="D94" s="1186">
        <f>'MSW39'!D94</f>
        <v>10</v>
      </c>
      <c r="E94" s="1396" t="str">
        <f>'MSW39'!E94</f>
        <v/>
      </c>
      <c r="F94" s="1226"/>
    </row>
    <row r="95">
      <c r="A95" s="1196"/>
      <c r="B95" s="1190" t="str">
        <f>'MSW39'!B95</f>
        <v>LEG PRESS</v>
      </c>
      <c r="C95" s="1191">
        <f>'MSW39'!C95</f>
        <v>90</v>
      </c>
      <c r="D95" s="1192">
        <f>'MSW39'!D95</f>
        <v>30</v>
      </c>
      <c r="E95" s="1397" t="str">
        <f>'MSW39'!E95</f>
        <v/>
      </c>
      <c r="F95" s="1226"/>
    </row>
    <row r="96">
      <c r="A96" s="1194" t="str">
        <f>'MSW39'!A96</f>
        <v>REST 1 MIN</v>
      </c>
      <c r="B96" s="11"/>
      <c r="C96" s="11"/>
      <c r="D96" s="11"/>
      <c r="E96" s="11"/>
      <c r="F96" s="46"/>
    </row>
    <row r="97">
      <c r="A97" s="1383">
        <f>'MSW39'!A97</f>
        <v>6</v>
      </c>
      <c r="B97" s="1393" t="str">
        <f>'MSW39'!B97</f>
        <v>LEG EXTENSION</v>
      </c>
      <c r="C97" s="1185">
        <f>'MSW39'!C97</f>
        <v>35</v>
      </c>
      <c r="D97" s="1186">
        <f>'MSW39'!D97</f>
        <v>10</v>
      </c>
      <c r="E97" s="1396" t="str">
        <f>'MSW39'!E97</f>
        <v/>
      </c>
      <c r="F97" s="1357" t="str">
        <f>'MSW39'!F97</f>
        <v/>
      </c>
    </row>
    <row r="98">
      <c r="A98" s="1196"/>
      <c r="B98" s="1190" t="str">
        <f>'MSW39'!B98</f>
        <v>LEG PRESS</v>
      </c>
      <c r="C98" s="1191">
        <f>'MSW39'!C98</f>
        <v>80</v>
      </c>
      <c r="D98" s="1192">
        <f>'MSW39'!D98</f>
        <v>30</v>
      </c>
      <c r="E98" s="1397" t="str">
        <f>'MSW39'!E98</f>
        <v/>
      </c>
      <c r="F98" s="1357" t="str">
        <f>'MSW39'!F98</f>
        <v/>
      </c>
    </row>
    <row r="99">
      <c r="A99" s="1194" t="str">
        <f>'MSW39'!A99</f>
        <v>REST 1 MIN</v>
      </c>
      <c r="B99" s="11"/>
      <c r="C99" s="11"/>
      <c r="D99" s="11"/>
      <c r="E99" s="11"/>
      <c r="F99" s="46"/>
    </row>
    <row r="100">
      <c r="A100" s="1383">
        <f>'MSW39'!A100</f>
        <v>7</v>
      </c>
      <c r="B100" s="1393" t="str">
        <f>'MSW39'!B100</f>
        <v>LEG EXTENSION</v>
      </c>
      <c r="C100" s="1185">
        <f>'MSW39'!C100</f>
        <v>30</v>
      </c>
      <c r="D100" s="1186">
        <f>'MSW39'!D100</f>
        <v>10</v>
      </c>
      <c r="E100" s="1396" t="str">
        <f>'MSW39'!E100</f>
        <v/>
      </c>
      <c r="F100" s="1357" t="str">
        <f>'MSW39'!F100</f>
        <v/>
      </c>
    </row>
    <row r="101">
      <c r="A101" s="1196"/>
      <c r="B101" s="1190" t="str">
        <f>'MSW39'!B101</f>
        <v>LEG PRESS</v>
      </c>
      <c r="C101" s="1191">
        <f>'MSW39'!C101</f>
        <v>70</v>
      </c>
      <c r="D101" s="1192">
        <f>'MSW39'!D101</f>
        <v>30</v>
      </c>
      <c r="E101" s="1397" t="str">
        <f>'MSW39'!E101</f>
        <v/>
      </c>
      <c r="F101" s="1357" t="str">
        <f>'MSW39'!F101</f>
        <v/>
      </c>
    </row>
    <row r="102">
      <c r="A102" s="1194" t="str">
        <f>'MSW39'!A102</f>
        <v>REST 1 MIN</v>
      </c>
      <c r="B102" s="11"/>
      <c r="C102" s="11"/>
      <c r="D102" s="11"/>
      <c r="E102" s="11"/>
      <c r="F102" s="46"/>
    </row>
    <row r="103">
      <c r="A103" s="1383">
        <f>'MSW39'!A103</f>
        <v>8</v>
      </c>
      <c r="B103" s="1393" t="str">
        <f>'MSW39'!B103</f>
        <v>LEG EXTENSION</v>
      </c>
      <c r="C103" s="1185">
        <f>'MSW39'!C103</f>
        <v>25</v>
      </c>
      <c r="D103" s="1186">
        <f>'MSW39'!D103</f>
        <v>10</v>
      </c>
      <c r="E103" s="1396" t="str">
        <f>'MSW39'!E103</f>
        <v/>
      </c>
      <c r="F103" s="1357" t="str">
        <f>'MSW39'!F103</f>
        <v/>
      </c>
    </row>
    <row r="104">
      <c r="A104" s="1196"/>
      <c r="B104" s="1190" t="str">
        <f>'MSW39'!B104</f>
        <v>LEG PRESS</v>
      </c>
      <c r="C104" s="1191">
        <f>'MSW39'!C104</f>
        <v>65</v>
      </c>
      <c r="D104" s="1192">
        <f>'MSW39'!D104</f>
        <v>30</v>
      </c>
      <c r="E104" s="1397" t="str">
        <f>'MSW39'!E104</f>
        <v/>
      </c>
      <c r="F104" s="1357" t="str">
        <f>'MSW39'!F104</f>
        <v/>
      </c>
    </row>
    <row r="105">
      <c r="A105" s="1194" t="str">
        <f>'MSW39'!A105</f>
        <v>REST 1 MIN</v>
      </c>
      <c r="B105" s="11"/>
      <c r="C105" s="11"/>
      <c r="D105" s="11"/>
      <c r="E105" s="11"/>
      <c r="F105" s="46"/>
    </row>
    <row r="106">
      <c r="A106" s="1383">
        <f>'MSW39'!A106</f>
        <v>9</v>
      </c>
      <c r="B106" s="1393" t="str">
        <f>'MSW39'!B106</f>
        <v>LEG EXTENSION</v>
      </c>
      <c r="C106" s="1185">
        <f>'MSW39'!C106</f>
        <v>25</v>
      </c>
      <c r="D106" s="1186">
        <f>'MSW39'!D106</f>
        <v>10</v>
      </c>
      <c r="E106" s="1396" t="str">
        <f>'MSW39'!E106</f>
        <v/>
      </c>
      <c r="F106" s="1357" t="str">
        <f>'MSW39'!F106</f>
        <v/>
      </c>
    </row>
    <row r="107">
      <c r="A107" s="1196"/>
      <c r="B107" s="1190" t="str">
        <f>'MSW39'!B107</f>
        <v>LEG PRESS</v>
      </c>
      <c r="C107" s="1191">
        <f>'MSW39'!C107</f>
        <v>60</v>
      </c>
      <c r="D107" s="1192">
        <f>'MSW39'!D107</f>
        <v>30</v>
      </c>
      <c r="E107" s="1397" t="str">
        <f>'MSW39'!E107</f>
        <v/>
      </c>
      <c r="F107" s="1357" t="str">
        <f>'MSW39'!F107</f>
        <v/>
      </c>
    </row>
    <row r="108">
      <c r="A108" s="1194" t="str">
        <f>'MSW39'!A108</f>
        <v>REST 1 MIN</v>
      </c>
      <c r="B108" s="11"/>
      <c r="C108" s="11"/>
      <c r="D108" s="11"/>
      <c r="E108" s="11"/>
      <c r="F108" s="46"/>
    </row>
    <row r="109">
      <c r="A109" s="1383">
        <f>'MSW39'!A109</f>
        <v>10</v>
      </c>
      <c r="B109" s="1393" t="str">
        <f>'MSW39'!B109</f>
        <v>LEG EXTENSION</v>
      </c>
      <c r="C109" s="1185">
        <f>'MSW39'!C109</f>
        <v>25</v>
      </c>
      <c r="D109" s="1186">
        <f>'MSW39'!D109</f>
        <v>10</v>
      </c>
      <c r="E109" s="1396" t="str">
        <f>'MSW39'!E109</f>
        <v/>
      </c>
      <c r="F109" s="1357" t="str">
        <f>'MSW39'!F109</f>
        <v/>
      </c>
    </row>
    <row r="110">
      <c r="A110" s="1196"/>
      <c r="B110" s="1190" t="str">
        <f>'MSW39'!B110</f>
        <v>LEG PRESS</v>
      </c>
      <c r="C110" s="1191">
        <f>'MSW39'!C110</f>
        <v>55</v>
      </c>
      <c r="D110" s="1192">
        <f>'MSW39'!D110</f>
        <v>30</v>
      </c>
      <c r="E110" s="1397" t="str">
        <f>'MSW39'!E110</f>
        <v/>
      </c>
      <c r="F110" s="1357" t="str">
        <f>'MSW39'!F110</f>
        <v/>
      </c>
    </row>
    <row r="111">
      <c r="A111" t="str">
        <f>'MSW39'!A111</f>
        <v/>
      </c>
    </row>
    <row r="113">
      <c r="A113" s="581" t="str">
        <f>'MSW39'!A113</f>
        <v>CLICK TO COMPLETE WORKOUT</v>
      </c>
      <c r="B113" s="25"/>
      <c r="C113" s="25"/>
      <c r="D113" s="25"/>
      <c r="E113" s="25"/>
      <c r="F113" s="26"/>
    </row>
    <row r="114">
      <c r="A114" s="336"/>
      <c r="B114" s="11"/>
      <c r="C114" s="11"/>
      <c r="D114" s="11"/>
      <c r="E114" s="11"/>
      <c r="F114" s="46"/>
    </row>
    <row r="115">
      <c r="A115" t="str">
        <f>'MSW39'!A115</f>
        <v/>
      </c>
    </row>
    <row r="117">
      <c r="A117" s="1398" t="str">
        <f>'MSW39'!A117</f>
        <v>DAY 3</v>
      </c>
      <c r="B117" s="25"/>
      <c r="C117" s="25"/>
      <c r="D117" s="25"/>
      <c r="E117" s="25"/>
      <c r="F117" s="26"/>
    </row>
    <row r="118">
      <c r="A118" s="1107" t="str">
        <f>'MSW39'!A118</f>
        <v/>
      </c>
      <c r="B118" s="25"/>
      <c r="C118" s="25"/>
      <c r="D118" s="25"/>
      <c r="E118" s="25"/>
      <c r="F118" s="25"/>
    </row>
    <row r="120">
      <c r="A120" s="51" t="str">
        <f>'MSW39'!A120</f>
        <v>SHOULDERS &amp; ARMS</v>
      </c>
      <c r="B120" s="36"/>
      <c r="C120" s="36"/>
      <c r="D120" s="36"/>
      <c r="E120" s="36"/>
      <c r="F120" s="37"/>
      <c r="G120" s="419" t="str">
        <f>'MSW39'!G120</f>
        <v/>
      </c>
      <c r="H120" s="51" t="str">
        <f>'MSW39'!H120</f>
        <v>SHOULDERS &amp; ARMS</v>
      </c>
      <c r="I120" s="36"/>
      <c r="J120" s="36"/>
      <c r="K120" s="36"/>
      <c r="L120" s="36"/>
      <c r="M120" s="37"/>
    </row>
    <row r="121">
      <c r="A121" s="504" t="str">
        <f>'MSW39'!A121</f>
        <v>1. SHOULDER PRESS</v>
      </c>
      <c r="B121" s="53"/>
      <c r="C121" s="53"/>
      <c r="D121" s="53"/>
      <c r="E121" s="53"/>
      <c r="F121" s="54"/>
      <c r="H121" s="778" t="str">
        <f>'MSW39'!H121</f>
        <v>1. MACHINE SHOULDER PRESS</v>
      </c>
      <c r="I121" s="53"/>
      <c r="J121" s="53"/>
      <c r="K121" s="53"/>
      <c r="L121" s="53"/>
      <c r="M121" s="54"/>
    </row>
    <row r="122">
      <c r="A122" s="589" t="str">
        <f>'MSW39'!A122</f>
        <v>CURRENT MAX</v>
      </c>
      <c r="B122" s="227">
        <f>'MSW39'!B122</f>
        <v>80</v>
      </c>
      <c r="C122" s="20"/>
      <c r="D122" s="20"/>
      <c r="E122" s="20"/>
      <c r="F122" s="95"/>
      <c r="H122" s="589" t="str">
        <f>'MSW39'!H122</f>
        <v>CURRENT MAX</v>
      </c>
      <c r="I122" s="227">
        <f>'MSW39'!I122</f>
        <v>228</v>
      </c>
      <c r="J122" s="20"/>
      <c r="K122" s="20"/>
      <c r="L122" s="20"/>
      <c r="M122" s="95"/>
    </row>
    <row r="123">
      <c r="A123" s="364" t="str">
        <f>'MSW39'!A123</f>
        <v>SET</v>
      </c>
      <c r="B123" s="365" t="str">
        <f>'MSW39'!B123</f>
        <v>WEIGHT</v>
      </c>
      <c r="C123" s="365" t="str">
        <f>'MSW39'!C123</f>
        <v>REPS</v>
      </c>
      <c r="D123" s="365" t="str">
        <f>'MSW39'!D123</f>
        <v>REST</v>
      </c>
      <c r="E123" s="609" t="str">
        <f>'MSW39'!E123</f>
        <v>PREVIOUS</v>
      </c>
      <c r="F123" s="61" t="str">
        <f>'MSW39'!F123</f>
        <v>REP LOG</v>
      </c>
      <c r="H123" s="364" t="str">
        <f>'MSW39'!H123</f>
        <v>SET</v>
      </c>
      <c r="I123" s="365" t="str">
        <f>'MSW39'!I123</f>
        <v>WEIGHT</v>
      </c>
      <c r="J123" s="365" t="str">
        <f>'MSW39'!J123</f>
        <v>REPS</v>
      </c>
      <c r="K123" s="365" t="str">
        <f>'MSW39'!K123</f>
        <v>REST</v>
      </c>
      <c r="L123" s="609" t="str">
        <f>'MSW39'!L123</f>
        <v>PREVIOUS</v>
      </c>
      <c r="M123" s="61" t="str">
        <f>'MSW39'!M123</f>
        <v>REP LOG</v>
      </c>
    </row>
    <row r="124">
      <c r="A124" s="236">
        <f>'MSW39'!A124</f>
        <v>1</v>
      </c>
      <c r="B124" s="237">
        <f>'MSW39'!B124</f>
        <v>30</v>
      </c>
      <c r="C124" s="237">
        <f>'MSW39'!C124</f>
        <v>6</v>
      </c>
      <c r="D124" s="238" t="str">
        <f>'MSW39'!D124</f>
        <v>30s</v>
      </c>
      <c r="E124" s="66">
        <f>'MSW39'!E124</f>
        <v>6</v>
      </c>
      <c r="F124" s="67">
        <v>6.0</v>
      </c>
      <c r="H124" s="236">
        <f>'MSW39'!H124</f>
        <v>1</v>
      </c>
      <c r="I124" s="237">
        <f>'MSW39'!I124</f>
        <v>80</v>
      </c>
      <c r="J124" s="237">
        <f>'MSW39'!J124</f>
        <v>6</v>
      </c>
      <c r="K124" s="238" t="str">
        <f>'MSW39'!K124</f>
        <v>30s</v>
      </c>
      <c r="L124" s="66" t="str">
        <f>'MSW39'!L124</f>
        <v/>
      </c>
      <c r="M124" s="67">
        <v>6.0</v>
      </c>
    </row>
    <row r="125">
      <c r="A125" s="236">
        <f>'MSW39'!A125</f>
        <v>2</v>
      </c>
      <c r="B125" s="237">
        <f>'MSW39'!B125</f>
        <v>50</v>
      </c>
      <c r="C125" s="237">
        <f>'MSW39'!C125</f>
        <v>1</v>
      </c>
      <c r="D125" s="238" t="str">
        <f>'MSW39'!D125</f>
        <v>1 MIN</v>
      </c>
      <c r="E125" s="66">
        <f>'MSW39'!E125</f>
        <v>1</v>
      </c>
      <c r="F125" s="67">
        <v>1.0</v>
      </c>
      <c r="H125" s="236">
        <f>'MSW39'!H125</f>
        <v>2</v>
      </c>
      <c r="I125" s="237">
        <f>'MSW39'!I125</f>
        <v>150</v>
      </c>
      <c r="J125" s="237">
        <f>'MSW39'!J125</f>
        <v>1</v>
      </c>
      <c r="K125" s="238" t="str">
        <f>'MSW39'!K125</f>
        <v>1 MIN</v>
      </c>
      <c r="L125" s="66" t="str">
        <f>'MSW39'!L125</f>
        <v/>
      </c>
      <c r="M125" s="67">
        <v>1.0</v>
      </c>
    </row>
    <row r="126">
      <c r="A126" s="779">
        <f>'MSW39'!A126</f>
        <v>3</v>
      </c>
      <c r="B126" s="780">
        <f>'MSW39'!B126</f>
        <v>70</v>
      </c>
      <c r="C126" s="781" t="str">
        <f>'MSW39'!C126</f>
        <v>REP OUT</v>
      </c>
      <c r="D126" s="782" t="str">
        <f>'MSW39'!D126</f>
        <v>1 MIN</v>
      </c>
      <c r="E126" s="66">
        <f>'MSW39'!E126</f>
        <v>6</v>
      </c>
      <c r="F126" s="1467">
        <v>10.0</v>
      </c>
      <c r="H126" s="779">
        <f>'MSW39'!H126</f>
        <v>3</v>
      </c>
      <c r="I126" s="780">
        <f>'MSW39'!I126</f>
        <v>205</v>
      </c>
      <c r="J126" s="781" t="str">
        <f>'MSW39'!J126</f>
        <v>REP OUT</v>
      </c>
      <c r="K126" s="782" t="str">
        <f>'MSW39'!K126</f>
        <v>1 MIN</v>
      </c>
      <c r="L126" s="66" t="str">
        <f>'MSW39'!L126</f>
        <v/>
      </c>
      <c r="M126" s="1467">
        <v>10.0</v>
      </c>
    </row>
    <row r="127">
      <c r="A127" s="785">
        <f>'MSW39'!A127</f>
        <v>4</v>
      </c>
      <c r="B127" s="388">
        <f>'MSW39'!B127</f>
        <v>60</v>
      </c>
      <c r="C127" s="781" t="str">
        <f>'MSW39'!C127</f>
        <v>REP OUT</v>
      </c>
      <c r="D127" s="390" t="str">
        <f>'MSW39'!D127</f>
        <v>1 MIN</v>
      </c>
      <c r="E127" s="66">
        <f>'MSW39'!E127</f>
        <v>8</v>
      </c>
      <c r="F127" s="1468">
        <v>20.0</v>
      </c>
      <c r="H127" s="785">
        <f>'MSW39'!H127</f>
        <v>4</v>
      </c>
      <c r="I127" s="388">
        <f>'MSW39'!I127</f>
        <v>175</v>
      </c>
      <c r="J127" s="781" t="str">
        <f>'MSW39'!J127</f>
        <v>REP OUT</v>
      </c>
      <c r="K127" s="390" t="str">
        <f>'MSW39'!K127</f>
        <v>1 MIN</v>
      </c>
      <c r="L127" s="66" t="str">
        <f>'MSW39'!L127</f>
        <v/>
      </c>
      <c r="M127" s="1468">
        <v>20.0</v>
      </c>
    </row>
    <row r="128">
      <c r="A128" s="787">
        <f>'MSW39'!A128</f>
        <v>5</v>
      </c>
      <c r="B128" s="788">
        <f>'MSW39'!B128</f>
        <v>60</v>
      </c>
      <c r="C128" s="789" t="str">
        <f>'MSW39'!C128</f>
        <v>REP OUT</v>
      </c>
      <c r="D128" s="397" t="str">
        <f>'MSW39'!D128</f>
        <v>1 MIN</v>
      </c>
      <c r="E128" s="72" t="str">
        <f>'MSW39'!E128</f>
        <v/>
      </c>
      <c r="F128" s="1400" t="str">
        <f>'MSW39'!F128</f>
        <v/>
      </c>
      <c r="H128" s="787">
        <f>'MSW39'!H128</f>
        <v>5</v>
      </c>
      <c r="I128" s="788">
        <f>'MSW39'!I128</f>
        <v>175</v>
      </c>
      <c r="J128" s="789" t="str">
        <f>'MSW39'!J128</f>
        <v>REP OUT</v>
      </c>
      <c r="K128" s="397" t="str">
        <f>'MSW39'!K128</f>
        <v>1 MIN</v>
      </c>
      <c r="L128" s="72" t="str">
        <f>'MSW39'!L128</f>
        <v/>
      </c>
      <c r="M128" s="1400" t="str">
        <f>'MSW39'!M128</f>
        <v/>
      </c>
    </row>
    <row r="129">
      <c r="A129" t="str">
        <f>'MSW39'!A129</f>
        <v/>
      </c>
      <c r="H129" t="str">
        <f>'MSW39'!H129</f>
        <v/>
      </c>
    </row>
    <row r="131">
      <c r="A131" s="1217" t="str">
        <f>'MSW39'!A131</f>
        <v>2. DUMBBELL REAR DELT FLY </v>
      </c>
      <c r="B131" s="53"/>
      <c r="C131" s="53"/>
      <c r="D131" s="53"/>
      <c r="E131" s="53"/>
      <c r="F131" s="54"/>
      <c r="G131" t="str">
        <f>'MSW39'!G131</f>
        <v/>
      </c>
    </row>
    <row r="132">
      <c r="A132" s="961" t="str">
        <f>'MSW39'!A132</f>
        <v>SHLDR PRSS MAX</v>
      </c>
      <c r="B132" s="76">
        <f>'MSW39'!B132</f>
        <v>0</v>
      </c>
      <c r="C132" s="13"/>
      <c r="D132" s="13"/>
      <c r="E132" s="13"/>
      <c r="F132" s="57"/>
    </row>
    <row r="133">
      <c r="A133" s="962" t="str">
        <f>'MSW39'!A133</f>
        <v>SET</v>
      </c>
      <c r="B133" s="963" t="str">
        <f>'MSW39'!B133</f>
        <v>WEIGHT</v>
      </c>
      <c r="C133" s="963" t="str">
        <f>'MSW39'!C133</f>
        <v>REPS</v>
      </c>
      <c r="D133" s="963" t="str">
        <f>'MSW39'!D133</f>
        <v>REST</v>
      </c>
      <c r="E133" s="1073" t="str">
        <f>'MSW39'!E133</f>
        <v>PREVIOUS</v>
      </c>
      <c r="F133" s="1006" t="str">
        <f>'MSW39'!F133</f>
        <v>REP LOG</v>
      </c>
    </row>
    <row r="134">
      <c r="A134" s="967">
        <f>'MSW39'!A134</f>
        <v>1</v>
      </c>
      <c r="B134" s="1028">
        <f>'MSW39'!B134</f>
        <v>0</v>
      </c>
      <c r="C134" s="1067" t="str">
        <f>'MSW39'!C134</f>
        <v>10 -15</v>
      </c>
      <c r="D134" s="1384" t="str">
        <f>'MSW39'!D134</f>
        <v>1-3 MIN</v>
      </c>
      <c r="E134" s="1401" t="str">
        <f>'MSW39'!E134</f>
        <v/>
      </c>
      <c r="F134" s="1011">
        <v>5.0</v>
      </c>
    </row>
    <row r="135">
      <c r="A135" s="967">
        <f>'MSW39'!A135</f>
        <v>2</v>
      </c>
      <c r="B135" s="1028">
        <f>'MSW39'!B135</f>
        <v>0</v>
      </c>
      <c r="C135" s="1067" t="str">
        <f>'MSW39'!C135</f>
        <v>10 -15</v>
      </c>
      <c r="D135" s="1384" t="str">
        <f>'MSW39'!D135</f>
        <v>1-3 MIN</v>
      </c>
      <c r="E135" s="1401" t="str">
        <f>'MSW39'!E135</f>
        <v/>
      </c>
      <c r="F135" s="1011">
        <v>10.0</v>
      </c>
    </row>
    <row r="136">
      <c r="A136" s="971">
        <f>'MSW39'!A136</f>
        <v>3</v>
      </c>
      <c r="B136" s="1123">
        <f>'MSW39'!B136</f>
        <v>0</v>
      </c>
      <c r="C136" s="1220" t="str">
        <f>'MSW39'!C136</f>
        <v>10 -15</v>
      </c>
      <c r="D136" s="1402" t="str">
        <f>'MSW39'!D136</f>
        <v>1-3 MIN</v>
      </c>
      <c r="E136" s="1403" t="str">
        <f>'MSW39'!E136</f>
        <v/>
      </c>
      <c r="F136" s="1017" t="str">
        <f>'MSW39'!F136</f>
        <v/>
      </c>
    </row>
    <row r="137">
      <c r="A137" t="str">
        <f>'MSW39'!A137</f>
        <v/>
      </c>
    </row>
    <row r="139">
      <c r="A139" s="1217" t="str">
        <f>'MSW39'!A139</f>
        <v>3. DUMBBELL SIDE LATERAL RAISE</v>
      </c>
      <c r="B139" s="53"/>
      <c r="C139" s="53"/>
      <c r="D139" s="53"/>
      <c r="E139" s="53"/>
      <c r="F139" s="54"/>
    </row>
    <row r="140">
      <c r="A140" s="1268" t="str">
        <f>'MSW39'!A140</f>
        <v>SHLDR PRSS MAX</v>
      </c>
      <c r="B140" s="76">
        <f>'MSW39'!B140</f>
        <v>80</v>
      </c>
      <c r="C140" s="13"/>
      <c r="D140" s="13"/>
      <c r="E140" s="13"/>
      <c r="F140" s="57"/>
    </row>
    <row r="141">
      <c r="A141" s="1071" t="str">
        <f>'MSW39'!A141</f>
        <v>SET</v>
      </c>
      <c r="B141" s="1072" t="str">
        <f>'MSW39'!B141</f>
        <v>WEIGHT</v>
      </c>
      <c r="C141" s="1072" t="str">
        <f>'MSW39'!C141</f>
        <v>REPS</v>
      </c>
      <c r="D141" s="1072" t="str">
        <f>'MSW39'!D141</f>
        <v>REST</v>
      </c>
      <c r="E141" s="1073" t="str">
        <f>'MSW39'!E141</f>
        <v>PREVIOUS</v>
      </c>
      <c r="F141" s="1404" t="str">
        <f>'MSW39'!F141</f>
        <v>REP LOG</v>
      </c>
    </row>
    <row r="142">
      <c r="A142" s="1074">
        <f>'MSW39'!A142</f>
        <v>1</v>
      </c>
      <c r="B142" s="968">
        <f>'MSW39'!B142</f>
        <v>15</v>
      </c>
      <c r="C142" s="1075" t="str">
        <f>'MSW39'!C142</f>
        <v>10 - 15</v>
      </c>
      <c r="D142" s="1384" t="str">
        <f>'MSW39'!D142</f>
        <v>1-3 MIN</v>
      </c>
      <c r="E142" s="84" t="str">
        <f>'MSW39'!E142</f>
        <v/>
      </c>
      <c r="F142" s="1340">
        <v>20.0</v>
      </c>
    </row>
    <row r="143">
      <c r="A143" s="1074">
        <f>'MSW39'!A143</f>
        <v>2</v>
      </c>
      <c r="B143" s="968">
        <f>'MSW39'!B143</f>
        <v>15</v>
      </c>
      <c r="C143" s="1075" t="str">
        <f>'MSW39'!C143</f>
        <v>10 - 15</v>
      </c>
      <c r="D143" s="1384" t="str">
        <f>'MSW39'!D143</f>
        <v>1-3 MIN</v>
      </c>
      <c r="E143" s="84" t="str">
        <f>'MSW39'!E143</f>
        <v/>
      </c>
      <c r="F143" s="1340">
        <v>20.0</v>
      </c>
    </row>
    <row r="144">
      <c r="A144" s="1078">
        <f>'MSW39'!A144</f>
        <v>3</v>
      </c>
      <c r="B144" s="972">
        <f>'MSW39'!B144</f>
        <v>15</v>
      </c>
      <c r="C144" s="1079" t="str">
        <f>'MSW39'!C144</f>
        <v>10 - 15</v>
      </c>
      <c r="D144" s="1402" t="str">
        <f>'MSW39'!D144</f>
        <v>1-3 MIN</v>
      </c>
      <c r="E144" s="89" t="str">
        <f>'MSW39'!E144</f>
        <v/>
      </c>
      <c r="F144" s="1133" t="str">
        <f>'MSW39'!F144</f>
        <v/>
      </c>
    </row>
    <row r="145">
      <c r="A145" t="str">
        <f>'MSW39'!A145</f>
        <v/>
      </c>
    </row>
    <row r="147">
      <c r="A147" s="361" t="str">
        <f>'MSW39'!A147</f>
        <v>4.  TRICEP OVERHEAD ROPE EXTENSION</v>
      </c>
      <c r="B147" s="53"/>
      <c r="C147" s="53"/>
      <c r="D147" s="53"/>
      <c r="E147" s="53"/>
      <c r="F147" s="54"/>
    </row>
    <row r="148">
      <c r="A148" s="226" t="str">
        <f>'MSW39'!A148</f>
        <v>CURRENT MAX</v>
      </c>
      <c r="B148" s="839">
        <f>'MSW39'!B148</f>
        <v>35</v>
      </c>
      <c r="F148" s="28"/>
    </row>
    <row r="149">
      <c r="A149" s="77" t="str">
        <f>'MSW39'!A149</f>
        <v>SET</v>
      </c>
      <c r="B149" s="78" t="str">
        <f>'MSW39'!B149</f>
        <v>WEIGHT</v>
      </c>
      <c r="C149" s="78" t="str">
        <f>'MSW39'!C149</f>
        <v>REPS</v>
      </c>
      <c r="D149" s="79" t="str">
        <f>'MSW39'!D149</f>
        <v>REST</v>
      </c>
      <c r="E149" s="80" t="str">
        <f>'MSW39'!E149</f>
        <v>PREVIOUS</v>
      </c>
      <c r="F149" s="1003" t="str">
        <f>'MSW39'!F149</f>
        <v>REP LOG</v>
      </c>
    </row>
    <row r="150">
      <c r="A150" s="81">
        <f>'MSW39'!A150</f>
        <v>1</v>
      </c>
      <c r="B150" s="82">
        <f>'MSW39'!B150</f>
        <v>35</v>
      </c>
      <c r="C150" s="65" t="str">
        <f>'MSW39'!C150</f>
        <v>10 - 15</v>
      </c>
      <c r="D150" s="1384" t="str">
        <f>'MSW39'!D150</f>
        <v>1-3 MIN</v>
      </c>
      <c r="E150" s="84" t="str">
        <f>'MSW39'!E150</f>
        <v/>
      </c>
      <c r="F150" s="85">
        <v>15.0</v>
      </c>
    </row>
    <row r="151">
      <c r="A151" s="81">
        <f>'MSW39'!A151</f>
        <v>2</v>
      </c>
      <c r="B151" s="82">
        <f>'MSW39'!B151</f>
        <v>35</v>
      </c>
      <c r="C151" s="65" t="str">
        <f>'MSW39'!C151</f>
        <v>10 - 15</v>
      </c>
      <c r="D151" s="1384" t="str">
        <f>'MSW39'!D151</f>
        <v>1-3 MIN</v>
      </c>
      <c r="E151" s="84" t="str">
        <f>'MSW39'!E151</f>
        <v/>
      </c>
      <c r="F151" s="85">
        <v>15.0</v>
      </c>
    </row>
    <row r="152">
      <c r="A152" s="86">
        <f>'MSW39'!A152</f>
        <v>3</v>
      </c>
      <c r="B152" s="87">
        <f>'MSW39'!B152</f>
        <v>35</v>
      </c>
      <c r="C152" s="71" t="str">
        <f>'MSW39'!C152</f>
        <v>10 - 15</v>
      </c>
      <c r="D152" s="1402" t="str">
        <f>'MSW39'!D152</f>
        <v>1-3 MIN</v>
      </c>
      <c r="E152" s="89" t="str">
        <f>'MSW39'!E152</f>
        <v/>
      </c>
      <c r="F152" s="85">
        <v>10.0</v>
      </c>
    </row>
    <row r="153">
      <c r="A153" t="str">
        <f>'MSW39'!A153</f>
        <v/>
      </c>
    </row>
    <row r="155">
      <c r="A155" s="1217" t="str">
        <f>'MSW39'!A155</f>
        <v>5. ALTERNATING DUMBBELL BICEP CURLS</v>
      </c>
      <c r="B155" s="53"/>
      <c r="C155" s="53"/>
      <c r="D155" s="53"/>
      <c r="E155" s="53"/>
      <c r="F155" s="54"/>
    </row>
    <row r="156">
      <c r="A156" s="961" t="str">
        <f>'MSW39'!A156</f>
        <v>CURRENT MAX</v>
      </c>
      <c r="B156" s="839">
        <f>'MSW39'!B156</f>
        <v>50</v>
      </c>
      <c r="F156" s="28"/>
    </row>
    <row r="157">
      <c r="A157" s="962" t="str">
        <f>'MSW39'!A157</f>
        <v>SET</v>
      </c>
      <c r="B157" s="963" t="str">
        <f>'MSW39'!B157</f>
        <v>WEIGHT</v>
      </c>
      <c r="C157" s="963" t="str">
        <f>'MSW39'!C157</f>
        <v>REPS</v>
      </c>
      <c r="D157" s="963" t="str">
        <f>'MSW39'!D157</f>
        <v>REST</v>
      </c>
      <c r="E157" s="1073" t="str">
        <f>'MSW39'!E157</f>
        <v>PREVIOUS</v>
      </c>
      <c r="F157" s="1006" t="str">
        <f>'MSW39'!F157</f>
        <v>REP LOG</v>
      </c>
    </row>
    <row r="158">
      <c r="A158" s="967">
        <f>'MSW39'!A158</f>
        <v>1</v>
      </c>
      <c r="B158" s="968">
        <f>'MSW39'!B158</f>
        <v>45</v>
      </c>
      <c r="C158" s="1067" t="str">
        <f>'MSW39'!C158</f>
        <v>10 - 15</v>
      </c>
      <c r="D158" s="1076" t="str">
        <f>'MSW39'!D158</f>
        <v>1 MIN</v>
      </c>
      <c r="E158" s="1235" t="str">
        <f>'MSW39'!E158</f>
        <v/>
      </c>
      <c r="F158" s="984">
        <f>'MSW39'!F158</f>
        <v>10</v>
      </c>
    </row>
    <row r="159">
      <c r="A159" s="967">
        <f>'MSW39'!A159</f>
        <v>2</v>
      </c>
      <c r="B159" s="968">
        <f>'MSW39'!B159</f>
        <v>45</v>
      </c>
      <c r="C159" s="1067" t="str">
        <f>'MSW39'!C159</f>
        <v>10 - 15</v>
      </c>
      <c r="D159" s="1076" t="str">
        <f>'MSW39'!D159</f>
        <v>1 MIN</v>
      </c>
      <c r="E159" s="1235" t="str">
        <f>'MSW39'!E159</f>
        <v/>
      </c>
      <c r="F159" s="984">
        <f>'MSW39'!F159</f>
        <v>10</v>
      </c>
    </row>
    <row r="160">
      <c r="A160" s="971">
        <f>'MSW39'!A160</f>
        <v>3</v>
      </c>
      <c r="B160" s="972">
        <f>'MSW39'!B160</f>
        <v>45</v>
      </c>
      <c r="C160" s="1220" t="str">
        <f>'MSW39'!C160</f>
        <v>10 - 15</v>
      </c>
      <c r="D160" s="1080" t="str">
        <f>'MSW39'!D160</f>
        <v>1 MIN</v>
      </c>
      <c r="E160" s="1271" t="str">
        <f>'MSW39'!E160</f>
        <v/>
      </c>
      <c r="F160" s="984">
        <f>'MSW39'!F160</f>
        <v>5</v>
      </c>
    </row>
    <row r="161">
      <c r="A161" t="str">
        <f>'MSW39'!A161</f>
        <v/>
      </c>
    </row>
    <row r="163">
      <c r="A163" s="1149" t="str">
        <f>'MSW39'!A163</f>
        <v>WORKOUT COMPLETE!</v>
      </c>
      <c r="B163" s="36"/>
      <c r="C163" s="36"/>
      <c r="D163" s="36"/>
      <c r="E163" s="36"/>
      <c r="F163" s="37"/>
    </row>
    <row r="164">
      <c r="A164" s="623" t="str">
        <f>'MSW39'!A164</f>
        <v/>
      </c>
    </row>
    <row r="165">
      <c r="A165" s="1275" t="str">
        <f>'MSW39'!A165</f>
        <v>WANT TO LEARN MORE?</v>
      </c>
      <c r="B165" s="25"/>
      <c r="C165" s="25"/>
      <c r="D165" s="25"/>
      <c r="E165" s="25"/>
      <c r="F165" s="26"/>
    </row>
    <row r="166">
      <c r="A166" s="529"/>
      <c r="F166" s="28"/>
    </row>
    <row r="167">
      <c r="A167" s="1276" t="str">
        <f>'MSW39'!A167</f>
        <v/>
      </c>
      <c r="B167" s="999" t="str">
        <f>'MSW39'!B167</f>
        <v/>
      </c>
      <c r="C167" s="1150" t="str">
        <f>'MSW39'!C167</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67" s="28"/>
    </row>
    <row r="168">
      <c r="A168" s="1276" t="str">
        <f>'MSW39'!A168</f>
        <v/>
      </c>
      <c r="B168" s="999" t="str">
        <f>'MSW39'!B168</f>
        <v/>
      </c>
      <c r="F168" s="28"/>
    </row>
    <row r="169">
      <c r="A169" s="1276" t="str">
        <f>'MSW39'!A169</f>
        <v/>
      </c>
      <c r="B169" s="999" t="str">
        <f>'MSW39'!B169</f>
        <v/>
      </c>
      <c r="F169" s="28"/>
    </row>
    <row r="170">
      <c r="A170" s="1276" t="str">
        <f>'MSW39'!A170</f>
        <v/>
      </c>
      <c r="B170" s="999" t="str">
        <f>'MSW39'!B170</f>
        <v/>
      </c>
      <c r="F170" s="28"/>
    </row>
    <row r="171">
      <c r="A171" s="1276" t="str">
        <f>'MSW39'!A171</f>
        <v/>
      </c>
      <c r="B171" s="999" t="str">
        <f>'MSW39'!B171</f>
        <v/>
      </c>
      <c r="F171" s="28"/>
    </row>
    <row r="172">
      <c r="A172" s="1276" t="str">
        <f>'MSW39'!A172</f>
        <v/>
      </c>
      <c r="B172" s="999" t="str">
        <f>'MSW39'!B172</f>
        <v/>
      </c>
      <c r="F172" s="28"/>
    </row>
    <row r="173">
      <c r="A173" s="1277" t="str">
        <f>'MSW39'!A173</f>
        <v/>
      </c>
      <c r="B173" s="999" t="str">
        <f>'MSW39'!B173</f>
        <v/>
      </c>
      <c r="F173" s="28"/>
    </row>
    <row r="174">
      <c r="A174" s="1276" t="str">
        <f>'MSW39'!A174</f>
        <v/>
      </c>
      <c r="B174" s="999" t="str">
        <f>'MSW39'!B174</f>
        <v/>
      </c>
      <c r="F174" s="28"/>
    </row>
    <row r="175">
      <c r="A175" s="1276" t="str">
        <f>'MSW39'!A175</f>
        <v/>
      </c>
      <c r="B175" s="999" t="str">
        <f>'MSW39'!B175</f>
        <v/>
      </c>
      <c r="F175" s="28"/>
    </row>
    <row r="176">
      <c r="A176" s="1278" t="str">
        <f>'MSW39'!A176</f>
        <v/>
      </c>
      <c r="B176" s="999" t="str">
        <f>'MSW39'!B176</f>
        <v/>
      </c>
      <c r="F176" s="28"/>
    </row>
    <row r="177">
      <c r="A177" s="1276" t="str">
        <f>'MSW39'!A177</f>
        <v/>
      </c>
      <c r="B177" s="999" t="str">
        <f>'MSW39'!B177</f>
        <v/>
      </c>
      <c r="F177" s="28"/>
    </row>
    <row r="178">
      <c r="A178" s="1276" t="str">
        <f>'MSW39'!A178</f>
        <v/>
      </c>
      <c r="B178" s="999" t="str">
        <f>'MSW39'!B178</f>
        <v/>
      </c>
      <c r="F178" s="28"/>
    </row>
    <row r="179">
      <c r="A179" s="1276" t="str">
        <f>'MSW39'!A179</f>
        <v/>
      </c>
      <c r="B179" s="999" t="str">
        <f>'MSW39'!B179</f>
        <v/>
      </c>
      <c r="F179" s="28"/>
    </row>
    <row r="180">
      <c r="A180" s="1276" t="str">
        <f>'MSW39'!A180</f>
        <v/>
      </c>
      <c r="B180" s="999" t="str">
        <f>'MSW39'!B180</f>
        <v/>
      </c>
      <c r="F180" s="28"/>
    </row>
    <row r="181">
      <c r="A181" s="1279" t="str">
        <f>'MSW39'!A181</f>
        <v/>
      </c>
      <c r="B181" s="1280" t="str">
        <f>'MSW39'!B181</f>
        <v/>
      </c>
      <c r="C181" s="11"/>
      <c r="D181" s="11"/>
      <c r="E181" s="11"/>
      <c r="F181" s="46"/>
    </row>
  </sheetData>
  <mergeCells count="106">
    <mergeCell ref="A75:F75"/>
    <mergeCell ref="A76:F76"/>
    <mergeCell ref="A59:F59"/>
    <mergeCell ref="B60:F60"/>
    <mergeCell ref="A65:F66"/>
    <mergeCell ref="A67:F67"/>
    <mergeCell ref="B68:F68"/>
    <mergeCell ref="A73:F73"/>
    <mergeCell ref="A74:F74"/>
    <mergeCell ref="A85:A86"/>
    <mergeCell ref="A88:A89"/>
    <mergeCell ref="A77:F78"/>
    <mergeCell ref="A79:F79"/>
    <mergeCell ref="B80:C80"/>
    <mergeCell ref="D80:F80"/>
    <mergeCell ref="A82:A83"/>
    <mergeCell ref="A84:F84"/>
    <mergeCell ref="A87:F87"/>
    <mergeCell ref="A100:A101"/>
    <mergeCell ref="A102:F102"/>
    <mergeCell ref="A90:F90"/>
    <mergeCell ref="A91:A92"/>
    <mergeCell ref="A93:F93"/>
    <mergeCell ref="A94:A95"/>
    <mergeCell ref="A96:F96"/>
    <mergeCell ref="A97:A98"/>
    <mergeCell ref="A99:F99"/>
    <mergeCell ref="A103:A104"/>
    <mergeCell ref="A105:F105"/>
    <mergeCell ref="A106:A107"/>
    <mergeCell ref="A108:F108"/>
    <mergeCell ref="A109:A110"/>
    <mergeCell ref="A111:F112"/>
    <mergeCell ref="A113:F114"/>
    <mergeCell ref="A115:F116"/>
    <mergeCell ref="A117:F117"/>
    <mergeCell ref="G120:G130"/>
    <mergeCell ref="A121:F121"/>
    <mergeCell ref="B122:F122"/>
    <mergeCell ref="A129:F130"/>
    <mergeCell ref="A131:F131"/>
    <mergeCell ref="A153:F154"/>
    <mergeCell ref="A155:F155"/>
    <mergeCell ref="B156:F156"/>
    <mergeCell ref="A161:F162"/>
    <mergeCell ref="A163:F163"/>
    <mergeCell ref="A164:F164"/>
    <mergeCell ref="A165:F166"/>
    <mergeCell ref="C167:F181"/>
    <mergeCell ref="B132:F132"/>
    <mergeCell ref="A137:F138"/>
    <mergeCell ref="A139:F139"/>
    <mergeCell ref="B140:F140"/>
    <mergeCell ref="A145:F146"/>
    <mergeCell ref="A147:F147"/>
    <mergeCell ref="B148:F148"/>
    <mergeCell ref="H129:M130"/>
    <mergeCell ref="G131:M181"/>
    <mergeCell ref="H37:M37"/>
    <mergeCell ref="I38:M38"/>
    <mergeCell ref="G40:G41"/>
    <mergeCell ref="G42:M119"/>
    <mergeCell ref="H120:M120"/>
    <mergeCell ref="H121:M121"/>
    <mergeCell ref="I122:M122"/>
    <mergeCell ref="A12:F12"/>
    <mergeCell ref="A13:F13"/>
    <mergeCell ref="H16:M16"/>
    <mergeCell ref="A17:M18"/>
    <mergeCell ref="A19:F19"/>
    <mergeCell ref="H19:M19"/>
    <mergeCell ref="H20:M20"/>
    <mergeCell ref="I21:M21"/>
    <mergeCell ref="H27:M27"/>
    <mergeCell ref="H29:M29"/>
    <mergeCell ref="A1:M8"/>
    <mergeCell ref="A9:F9"/>
    <mergeCell ref="G9:G16"/>
    <mergeCell ref="H9:M9"/>
    <mergeCell ref="A10:F11"/>
    <mergeCell ref="H10:M10"/>
    <mergeCell ref="H12:M15"/>
    <mergeCell ref="A14:F15"/>
    <mergeCell ref="A16:F16"/>
    <mergeCell ref="G19:G26"/>
    <mergeCell ref="A20:F20"/>
    <mergeCell ref="B21:F21"/>
    <mergeCell ref="A27:F27"/>
    <mergeCell ref="A29:F29"/>
    <mergeCell ref="B34:F34"/>
    <mergeCell ref="G27:G28"/>
    <mergeCell ref="G29:G34"/>
    <mergeCell ref="I34:M34"/>
    <mergeCell ref="A35:M36"/>
    <mergeCell ref="A37:F37"/>
    <mergeCell ref="B38:F38"/>
    <mergeCell ref="G38:G39"/>
    <mergeCell ref="A118:F119"/>
    <mergeCell ref="A120:F120"/>
    <mergeCell ref="A42:F43"/>
    <mergeCell ref="A44:F44"/>
    <mergeCell ref="B45:F45"/>
    <mergeCell ref="A51:F51"/>
    <mergeCell ref="A54:F54"/>
    <mergeCell ref="B57:F57"/>
    <mergeCell ref="A58:F58"/>
  </mergeCells>
  <dataValidations>
    <dataValidation type="decimal" allowBlank="1" showDropDown="1" showInputMessage="1" showErrorMessage="1" prompt="Enter a number between 0 and 30" sqref="F22:F26 M22:M26 F28 M28 F30:F33 M30:M33 F39:F41 M39:M41 F46:F50 F52:F53 F55:F56 F61:F64 F69:F72 F81:F83 F85:F86 F88:F89 F91:F92 F94:F95 F97:F98 F100:F101 F103:F104 F106:F107 F109:F110 F123:F128 M123:M128 F133:F136 F141:F144 F149:F152 F157:F160">
      <formula1>0.0</formula1>
      <formula2>30.0</formula2>
    </dataValidation>
    <dataValidation type="decimal" operator="greaterThan" allowBlank="1" showDropDown="1" showErrorMessage="1" sqref="M11">
      <formula1>0.0</formula1>
    </dataValidation>
  </dataValidations>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293" t="s">
        <v>367</v>
      </c>
      <c r="B9" s="36"/>
      <c r="C9" s="36"/>
      <c r="D9" s="36"/>
      <c r="E9" s="36"/>
      <c r="F9" s="37"/>
      <c r="H9" s="24" t="s">
        <v>35</v>
      </c>
      <c r="I9" s="25"/>
      <c r="J9" s="25"/>
      <c r="K9" s="25"/>
      <c r="L9" s="25"/>
      <c r="M9" s="26"/>
    </row>
    <row r="10">
      <c r="A10" s="719" t="str">
        <f>HYPERLINK("https://goo.gl/forms/3ibooB993Hi7SS2d2","PRESS TO RECORD BODY WEIGHT")</f>
        <v>PRESS TO RECORD BODY WEIGHT</v>
      </c>
      <c r="B10" s="25"/>
      <c r="C10" s="25"/>
      <c r="D10" s="25"/>
      <c r="E10" s="25"/>
      <c r="F10" s="26"/>
      <c r="H10" s="147" t="s">
        <v>368</v>
      </c>
      <c r="M10" s="28"/>
    </row>
    <row r="11">
      <c r="A11" s="336"/>
      <c r="B11" s="11"/>
      <c r="C11" s="11"/>
      <c r="D11" s="11"/>
      <c r="E11" s="11"/>
      <c r="F11" s="46"/>
      <c r="H11" s="29" t="s">
        <v>369</v>
      </c>
      <c r="I11" s="30"/>
      <c r="J11" s="30"/>
      <c r="K11" s="30"/>
      <c r="L11" s="30"/>
      <c r="M11" s="31"/>
    </row>
    <row r="12">
      <c r="A12" s="720" t="s">
        <v>69</v>
      </c>
      <c r="B12" s="36"/>
      <c r="C12" s="36"/>
      <c r="D12" s="36"/>
      <c r="E12" s="36"/>
      <c r="F12" s="37"/>
    </row>
    <row r="13">
      <c r="A13" s="721" t="s">
        <v>149</v>
      </c>
      <c r="B13" s="36"/>
      <c r="C13" s="36"/>
      <c r="D13" s="36"/>
      <c r="E13" s="36"/>
      <c r="F13" s="37"/>
    </row>
    <row r="14">
      <c r="A14" s="653"/>
    </row>
    <row r="15">
      <c r="A15" s="50" t="s">
        <v>47</v>
      </c>
      <c r="B15" s="36"/>
      <c r="C15" s="36"/>
      <c r="D15" s="36"/>
      <c r="E15" s="36"/>
      <c r="F15" s="37"/>
      <c r="G15" s="722"/>
      <c r="H15" s="429" t="s">
        <v>118</v>
      </c>
      <c r="I15" s="36"/>
      <c r="J15" s="36"/>
      <c r="K15" s="36"/>
      <c r="L15" s="36"/>
      <c r="M15" s="37"/>
    </row>
    <row r="16">
      <c r="A16" s="657"/>
      <c r="H16" s="657"/>
    </row>
    <row r="18">
      <c r="A18" s="51" t="s">
        <v>48</v>
      </c>
      <c r="B18" s="36"/>
      <c r="C18" s="36"/>
      <c r="D18" s="36"/>
      <c r="E18" s="36"/>
      <c r="F18" s="37"/>
      <c r="H18" s="51" t="s">
        <v>48</v>
      </c>
      <c r="I18" s="36"/>
      <c r="J18" s="36"/>
      <c r="K18" s="36"/>
      <c r="L18" s="36"/>
      <c r="M18" s="37"/>
    </row>
    <row r="19">
      <c r="A19" s="93" t="str">
        <f>HYPERLINK("https://youtu.be/iLgUDezDMbU","1. BENCH PRESS")</f>
        <v>1. BENCH PRESS</v>
      </c>
      <c r="B19" s="53"/>
      <c r="C19" s="53"/>
      <c r="D19" s="53"/>
      <c r="E19" s="53"/>
      <c r="F19" s="54"/>
      <c r="H19" s="93" t="str">
        <f>HYPERLINK("https://youtu.be/75e_H9Vq_Lw","1. MACHINE PRESS")</f>
        <v>1. MACHINE PRESS</v>
      </c>
      <c r="I19" s="53"/>
      <c r="J19" s="53"/>
      <c r="K19" s="53"/>
      <c r="L19" s="53"/>
      <c r="M19" s="54"/>
    </row>
    <row r="20">
      <c r="A20" s="226" t="s">
        <v>119</v>
      </c>
      <c r="B20" s="691">
        <f>'WEEK 38'!B33</f>
        <v>260</v>
      </c>
      <c r="C20" s="13"/>
      <c r="D20" s="13"/>
      <c r="E20" s="13"/>
      <c r="F20" s="57"/>
      <c r="H20" s="226" t="s">
        <v>119</v>
      </c>
      <c r="I20" s="691" t="str">
        <f>if('WEEK 36'!I34="",'WEEK 10'!I20)</f>
        <v/>
      </c>
      <c r="J20" s="13"/>
      <c r="K20" s="13"/>
      <c r="L20" s="13"/>
      <c r="M20" s="57"/>
    </row>
    <row r="21">
      <c r="A21" s="96" t="s">
        <v>50</v>
      </c>
      <c r="B21" s="97" t="s">
        <v>51</v>
      </c>
      <c r="C21" s="97" t="s">
        <v>52</v>
      </c>
      <c r="D21" s="97" t="s">
        <v>53</v>
      </c>
      <c r="E21" s="341" t="s">
        <v>54</v>
      </c>
      <c r="F21" s="235" t="s">
        <v>55</v>
      </c>
      <c r="H21" s="96" t="s">
        <v>50</v>
      </c>
      <c r="I21" s="97" t="s">
        <v>51</v>
      </c>
      <c r="J21" s="97" t="s">
        <v>52</v>
      </c>
      <c r="K21" s="97" t="s">
        <v>53</v>
      </c>
      <c r="L21" s="341" t="s">
        <v>54</v>
      </c>
      <c r="M21" s="235" t="s">
        <v>55</v>
      </c>
    </row>
    <row r="22">
      <c r="A22" s="725">
        <v>1.0</v>
      </c>
      <c r="B22" s="1473">
        <f>IF( 'WEEK 40'!B20&lt;125,45, mround('WEEK 40'!B20*0.9*0.35,5))</f>
        <v>80</v>
      </c>
      <c r="C22" s="344">
        <v>6.0</v>
      </c>
      <c r="D22" s="343" t="s">
        <v>150</v>
      </c>
      <c r="E22" s="66">
        <f>IF('WEEK 40'!B22='WEEK 37'!B22,'WEEK 37'!F22,"")</f>
        <v>6</v>
      </c>
      <c r="F22" s="85"/>
      <c r="H22" s="725">
        <v>1.0</v>
      </c>
      <c r="I22" s="344">
        <f>mround('WEEK 40'!I20*0.9*0.35,5)</f>
        <v>0</v>
      </c>
      <c r="J22" s="344">
        <v>6.0</v>
      </c>
      <c r="K22" s="343" t="s">
        <v>150</v>
      </c>
      <c r="L22" s="66" t="str">
        <f>IF('WEEK 40'!I22='WEEK 37'!I22,'WEEK 37'!M22,"")</f>
        <v/>
      </c>
      <c r="M22" s="85"/>
    </row>
    <row r="23">
      <c r="A23" s="725">
        <v>2.0</v>
      </c>
      <c r="B23" s="1474">
        <f>IF( 'WEEK 40'!B20&lt;70,MROUND('WEEK 40'!B20*0.78,5),MROUND('WEEK 40'!B20*0.9*0.72,5))</f>
        <v>170</v>
      </c>
      <c r="C23" s="344">
        <v>1.0</v>
      </c>
      <c r="D23" s="343" t="s">
        <v>151</v>
      </c>
      <c r="E23" s="66">
        <f>IF('WEEK 40'!B23='WEEK 37'!B23,'WEEK 37'!F23,"")</f>
        <v>1</v>
      </c>
      <c r="F23" s="85"/>
      <c r="H23" s="725">
        <v>2.0</v>
      </c>
      <c r="I23" s="344">
        <f>mround('WEEK 40'!I20*0.9*0.72,5)</f>
        <v>0</v>
      </c>
      <c r="J23" s="344">
        <v>1.0</v>
      </c>
      <c r="K23" s="343" t="s">
        <v>151</v>
      </c>
      <c r="L23" s="66" t="str">
        <f>IF('WEEK 40'!I23='WEEK 37'!I23,'WEEK 37'!M23,"")</f>
        <v/>
      </c>
      <c r="M23" s="85"/>
    </row>
    <row r="24">
      <c r="A24" s="725">
        <v>3.0</v>
      </c>
      <c r="B24" s="344">
        <f>mround('WEEK 40'!B20*0.9*0.9,5)</f>
        <v>210</v>
      </c>
      <c r="C24" s="344">
        <v>1.0</v>
      </c>
      <c r="D24" s="343" t="s">
        <v>57</v>
      </c>
      <c r="E24" s="66">
        <f>IF('WEEK 40'!B24='WEEK 37'!B24,'WEEK 37'!F24,"")</f>
        <v>1</v>
      </c>
      <c r="F24" s="85"/>
      <c r="H24" s="725">
        <v>3.0</v>
      </c>
      <c r="I24" s="344">
        <f>mround('WEEK 40'!I20*0.9*0.9,5)</f>
        <v>0</v>
      </c>
      <c r="J24" s="344">
        <v>1.0</v>
      </c>
      <c r="K24" s="343" t="s">
        <v>57</v>
      </c>
      <c r="L24" s="66" t="str">
        <f>IF('WEEK 40'!I24='WEEK 37'!I24,'WEEK 37'!M24,"")</f>
        <v/>
      </c>
      <c r="M24" s="85"/>
    </row>
    <row r="25">
      <c r="A25" s="730" t="s">
        <v>152</v>
      </c>
      <c r="B25" s="13"/>
      <c r="C25" s="13"/>
      <c r="D25" s="13"/>
      <c r="E25" s="13"/>
      <c r="F25" s="57"/>
      <c r="G25" s="731" t="s">
        <v>123</v>
      </c>
      <c r="H25" s="730" t="s">
        <v>152</v>
      </c>
      <c r="I25" s="13"/>
      <c r="J25" s="13"/>
      <c r="K25" s="13"/>
      <c r="L25" s="13"/>
      <c r="M25" s="57"/>
    </row>
    <row r="26">
      <c r="A26" s="96" t="s">
        <v>50</v>
      </c>
      <c r="B26" s="97" t="s">
        <v>51</v>
      </c>
      <c r="C26" s="97" t="s">
        <v>52</v>
      </c>
      <c r="D26" s="97" t="s">
        <v>53</v>
      </c>
      <c r="E26" s="341" t="s">
        <v>54</v>
      </c>
      <c r="F26" s="235" t="s">
        <v>55</v>
      </c>
      <c r="H26" s="96" t="s">
        <v>50</v>
      </c>
      <c r="I26" s="97" t="s">
        <v>51</v>
      </c>
      <c r="J26" s="97" t="s">
        <v>52</v>
      </c>
      <c r="K26" s="97" t="s">
        <v>53</v>
      </c>
      <c r="L26" s="341" t="s">
        <v>54</v>
      </c>
      <c r="M26" s="235" t="s">
        <v>55</v>
      </c>
    </row>
    <row r="27">
      <c r="A27" s="342">
        <v>1.0</v>
      </c>
      <c r="B27" s="348">
        <f>mround('WEEK 40'!B20*1*0.9,5)</f>
        <v>235</v>
      </c>
      <c r="C27" s="437" t="s">
        <v>65</v>
      </c>
      <c r="D27" s="343" t="s">
        <v>122</v>
      </c>
      <c r="E27" s="66">
        <f>IF('WEEK 40'!B27='WEEK 37'!B27,'WEEK 37'!F27,"")</f>
        <v>3</v>
      </c>
      <c r="F27" s="85"/>
      <c r="G27" s="423"/>
      <c r="H27" s="725">
        <v>1.0</v>
      </c>
      <c r="I27" s="348">
        <f>mround('WEEK 40'!I20*1*0.9,5)</f>
        <v>0</v>
      </c>
      <c r="J27" s="437" t="s">
        <v>65</v>
      </c>
      <c r="K27" s="343" t="s">
        <v>122</v>
      </c>
      <c r="L27" s="66" t="str">
        <f>IF('WEEK 40'!I27='WEEK 37'!I27,'WEEK 37'!M27,"")</f>
        <v/>
      </c>
      <c r="M27" s="85"/>
    </row>
    <row r="28">
      <c r="A28" s="725">
        <v>2.0</v>
      </c>
      <c r="B28" s="348">
        <f>IF('WEEK 40'!F27&lt;3,MROUND('WEEK 40'!B27*0.75,5),IF('WEEK 40'!F27&lt;6,MROUND('WEEK 40'!B27*0.85,5),mround('WEEK 40'!B27*0.9,5)))</f>
        <v>200</v>
      </c>
      <c r="C28" s="437" t="s">
        <v>65</v>
      </c>
      <c r="D28" s="343" t="s">
        <v>122</v>
      </c>
      <c r="E28" s="66">
        <f>IF('WEEK 40'!B28='WEEK 37'!B28,'WEEK 37'!F28,"")</f>
        <v>8</v>
      </c>
      <c r="F28" s="85"/>
      <c r="G28" s="722"/>
      <c r="H28" s="725">
        <v>2.0</v>
      </c>
      <c r="I28" s="348">
        <f>IF('WEEK 40'!M27&lt;3,MROUND('WEEK 40'!I27*0.75,5),IF('WEEK 40'!M27&lt;6,MROUND('WEEK 40'!I27*0.85,5),mround('WEEK 40'!I27*0.9,5)))</f>
        <v>0</v>
      </c>
      <c r="J28" s="437" t="s">
        <v>65</v>
      </c>
      <c r="K28" s="343" t="s">
        <v>122</v>
      </c>
      <c r="L28" s="66" t="str">
        <f>IF('WEEK 40'!I28='WEEK 37'!I28,'WEEK 37'!M28,"")</f>
        <v/>
      </c>
      <c r="M28" s="85"/>
    </row>
    <row r="29">
      <c r="A29" s="485">
        <v>3.0</v>
      </c>
      <c r="B29" s="732">
        <f>IF('WEEK 40'!F28&lt;3,MROUND('WEEK 40'!B28*0.75,5),IF('WEEK 40'!F28&lt;6,MROUND('WEEK 40'!B28*0.85,5),mround('WEEK 40'!B28*0.9,5)))</f>
        <v>180</v>
      </c>
      <c r="C29" s="733" t="s">
        <v>65</v>
      </c>
      <c r="D29" s="486" t="s">
        <v>122</v>
      </c>
      <c r="E29" s="66" t="str">
        <f>IF('WEEK 40'!B29='WEEK 37'!B29,'WEEK 37'!F29,"")</f>
        <v/>
      </c>
      <c r="F29" s="85"/>
      <c r="G29" s="722"/>
      <c r="H29" s="735">
        <v>3.0</v>
      </c>
      <c r="I29" s="736">
        <f>IF('WEEK 40'!M28&lt;3,MROUND('WEEK 40'!I28*0.75,5),IF('WEEK 40'!M28&lt;6,MROUND('WEEK 40'!I28*0.85,5),mround('WEEK 40'!I28*0.9,5)))</f>
        <v>0</v>
      </c>
      <c r="J29" s="737" t="s">
        <v>65</v>
      </c>
      <c r="K29" s="738" t="s">
        <v>122</v>
      </c>
      <c r="L29" s="66" t="str">
        <f>IF('WEEK 40'!I29='WEEK 37'!I29,'WEEK 37'!M29,"")</f>
        <v/>
      </c>
      <c r="M29" s="330"/>
    </row>
    <row r="30">
      <c r="A30" s="740"/>
      <c r="B30" s="740"/>
      <c r="C30" s="740"/>
      <c r="D30" s="740"/>
      <c r="E30" s="741"/>
      <c r="F30" s="419"/>
      <c r="G30" s="722"/>
      <c r="H30" s="742"/>
      <c r="I30" s="742"/>
      <c r="J30" s="742"/>
      <c r="K30" s="742"/>
      <c r="L30" s="742"/>
      <c r="M30" s="742"/>
    </row>
    <row r="31">
      <c r="A31" s="740"/>
      <c r="B31" s="740"/>
      <c r="C31" s="740"/>
      <c r="D31" s="740"/>
      <c r="E31" s="741"/>
      <c r="F31" s="419"/>
      <c r="G31" s="419"/>
      <c r="H31" s="657"/>
      <c r="I31" s="657"/>
      <c r="J31" s="657"/>
      <c r="K31" s="657"/>
      <c r="L31" s="657"/>
      <c r="M31" s="657"/>
    </row>
    <row r="32">
      <c r="A32" s="440" t="str">
        <f>HYPERLINK("https://www.youtube.com/watch?v=mGv8D2DGyNQ","2. DB CHEST FLY")</f>
        <v>2. DB CHEST FLY</v>
      </c>
      <c r="B32" s="53"/>
      <c r="C32" s="53"/>
      <c r="D32" s="53"/>
      <c r="E32" s="53"/>
      <c r="F32" s="54"/>
      <c r="G32" s="419"/>
      <c r="H32" s="504" t="str">
        <f>HYPERLINK("https://www.youtube.com/watch?v=THb0dhfIu1k","2. MACHINE CHEST FLY")</f>
        <v>2. MACHINE CHEST FLY</v>
      </c>
      <c r="I32" s="53"/>
      <c r="J32" s="53"/>
      <c r="K32" s="53"/>
      <c r="L32" s="53"/>
      <c r="M32" s="54"/>
    </row>
    <row r="33">
      <c r="A33" s="226" t="s">
        <v>228</v>
      </c>
      <c r="B33" s="691">
        <f>if('WEEK 39'!B34="",'WEEK 39'!B21,'WEEK 39'!B34)</f>
        <v>90</v>
      </c>
      <c r="C33" s="13"/>
      <c r="D33" s="13"/>
      <c r="E33" s="13"/>
      <c r="F33" s="57"/>
      <c r="G33" s="419"/>
      <c r="H33" s="226" t="s">
        <v>228</v>
      </c>
      <c r="I33" s="548">
        <f>'WEEK 40'!B33</f>
        <v>90</v>
      </c>
      <c r="J33" s="13"/>
      <c r="K33" s="13"/>
      <c r="L33" s="13"/>
      <c r="M33" s="57"/>
    </row>
    <row r="34">
      <c r="A34" s="743" t="s">
        <v>50</v>
      </c>
      <c r="B34" s="744" t="s">
        <v>51</v>
      </c>
      <c r="C34" s="744" t="s">
        <v>52</v>
      </c>
      <c r="D34" s="744" t="s">
        <v>53</v>
      </c>
      <c r="E34" s="745" t="s">
        <v>54</v>
      </c>
      <c r="F34" s="746" t="s">
        <v>55</v>
      </c>
      <c r="G34" s="724"/>
      <c r="H34" s="96" t="s">
        <v>50</v>
      </c>
      <c r="I34" s="97" t="s">
        <v>51</v>
      </c>
      <c r="J34" s="97" t="s">
        <v>52</v>
      </c>
      <c r="K34" s="97" t="s">
        <v>53</v>
      </c>
      <c r="L34" s="341" t="s">
        <v>54</v>
      </c>
      <c r="M34" s="235" t="s">
        <v>55</v>
      </c>
    </row>
    <row r="35">
      <c r="A35" s="725">
        <v>1.0</v>
      </c>
      <c r="B35" s="254">
        <f>mround('WEEK 40'!B33*0.29,2.5)</f>
        <v>25</v>
      </c>
      <c r="C35" s="344">
        <v>15.0</v>
      </c>
      <c r="D35" s="343" t="s">
        <v>57</v>
      </c>
      <c r="E35" s="66" t="str">
        <f>IF('WEEK 40'!B35='WEEK 39'!B40,'WEEK 39'!F40,"")</f>
        <v/>
      </c>
      <c r="F35" s="85"/>
      <c r="G35" s="728"/>
      <c r="H35" s="240">
        <v>1.0</v>
      </c>
      <c r="I35" s="254">
        <f>mround('WEEK 40'!I33*2*0.75,10)</f>
        <v>140</v>
      </c>
      <c r="J35" s="241">
        <v>15.0</v>
      </c>
      <c r="K35" s="83" t="s">
        <v>57</v>
      </c>
      <c r="L35" s="66" t="str">
        <f>IF('WEEK 40'!I35='WEEK 37'!I35,'WEEK 37'!M35,"")</f>
        <v/>
      </c>
      <c r="M35" s="85"/>
    </row>
    <row r="36">
      <c r="A36" s="747">
        <v>2.0</v>
      </c>
      <c r="B36" s="254">
        <f>mround('WEEK 40'!B33*0.29,2.5)</f>
        <v>25</v>
      </c>
      <c r="C36" s="813">
        <v>15.0</v>
      </c>
      <c r="D36" s="486" t="s">
        <v>57</v>
      </c>
      <c r="E36" s="66" t="str">
        <f>IF('WEEK 40'!B35='WEEK 39'!B41,'WEEK 39'!F41,"")</f>
        <v/>
      </c>
      <c r="F36" s="85"/>
      <c r="G36" s="728"/>
      <c r="H36" s="661">
        <v>2.0</v>
      </c>
      <c r="I36" s="662">
        <f>mround('WEEK 40'!I33*2*0.75,10)</f>
        <v>140</v>
      </c>
      <c r="J36" s="662">
        <v>15.0</v>
      </c>
      <c r="K36" s="88" t="s">
        <v>57</v>
      </c>
      <c r="L36" s="66" t="str">
        <f>IF('WEEK 40'!I36='WEEK 37'!I36,'WEEK 37'!M36,"")</f>
        <v/>
      </c>
      <c r="M36" s="85"/>
    </row>
    <row r="39">
      <c r="A39" s="73" t="str">
        <f>HYPERLINK("https://www.youtube.com/watch?v=PnaDzYh2axA","3. LAT PULL DOWN")</f>
        <v>3. LAT PULL DOWN</v>
      </c>
      <c r="B39" s="53"/>
      <c r="C39" s="53"/>
      <c r="D39" s="53"/>
      <c r="E39" s="53"/>
      <c r="F39" s="54"/>
    </row>
    <row r="40">
      <c r="A40" s="282" t="s">
        <v>119</v>
      </c>
      <c r="B40" s="852">
        <f>'WEEK 39'!B60</f>
        <v>235</v>
      </c>
      <c r="C40" s="16"/>
      <c r="D40" s="16"/>
      <c r="E40" s="16"/>
      <c r="F40" s="230"/>
    </row>
    <row r="41">
      <c r="A41" s="58" t="s">
        <v>50</v>
      </c>
      <c r="B41" s="365" t="s">
        <v>51</v>
      </c>
      <c r="C41" s="365" t="s">
        <v>52</v>
      </c>
      <c r="D41" s="365" t="s">
        <v>53</v>
      </c>
      <c r="E41" s="853" t="s">
        <v>54</v>
      </c>
      <c r="F41" s="854" t="s">
        <v>55</v>
      </c>
    </row>
    <row r="42">
      <c r="A42" s="242">
        <v>1.0</v>
      </c>
      <c r="B42" s="237">
        <f>mround('WEEK 40'!B40*0.5,5)</f>
        <v>120</v>
      </c>
      <c r="C42" s="104" t="s">
        <v>165</v>
      </c>
      <c r="D42" s="65" t="s">
        <v>166</v>
      </c>
      <c r="E42" s="66" t="str">
        <f>IF('WEEK 28'!B45='WEEK 37'!B42,'WEEK 28'!F45,"")</f>
        <v/>
      </c>
      <c r="F42" s="67"/>
    </row>
    <row r="43">
      <c r="A43" s="242">
        <v>2.0</v>
      </c>
      <c r="B43" s="237">
        <f>mround('WEEK 40'!B40*0.5,5)</f>
        <v>120</v>
      </c>
      <c r="C43" s="104" t="s">
        <v>165</v>
      </c>
      <c r="D43" s="65" t="s">
        <v>166</v>
      </c>
      <c r="E43" s="66" t="str">
        <f>IF('WEEK 28'!B46='WEEK 37'!B43,'WEEK 28'!F46,"")</f>
        <v/>
      </c>
      <c r="F43" s="67"/>
    </row>
    <row r="44">
      <c r="A44" s="289">
        <v>3.0</v>
      </c>
      <c r="B44" s="87">
        <f>mround('WEEK 40'!B40*0.5,5)</f>
        <v>120</v>
      </c>
      <c r="C44" s="105" t="s">
        <v>165</v>
      </c>
      <c r="D44" s="71" t="s">
        <v>166</v>
      </c>
      <c r="E44" s="66" t="str">
        <f>IF('WEEK 28'!B47='WEEK 37'!B44,'WEEK 28'!F47,"")</f>
        <v/>
      </c>
      <c r="F44" s="67"/>
    </row>
    <row r="45">
      <c r="A45" s="302"/>
      <c r="B45" s="302"/>
      <c r="C45" s="302"/>
      <c r="D45" s="302"/>
      <c r="E45" s="303"/>
      <c r="F45" s="103"/>
    </row>
    <row r="46">
      <c r="A46" s="302"/>
      <c r="B46" s="302"/>
      <c r="C46" s="302"/>
      <c r="D46" s="302"/>
      <c r="E46" s="303"/>
      <c r="F46" s="103"/>
    </row>
    <row r="47">
      <c r="A47" s="73" t="str">
        <f>HYPERLINK("https://www.youtube.com/watch?v=9YH1YvZbiY0","4. MACHINE LOW ROW")</f>
        <v>4. MACHINE LOW ROW</v>
      </c>
      <c r="B47" s="53"/>
      <c r="C47" s="53"/>
      <c r="D47" s="53"/>
      <c r="E47" s="53"/>
      <c r="F47" s="54"/>
    </row>
    <row r="48">
      <c r="A48" s="458" t="s">
        <v>119</v>
      </c>
      <c r="B48" s="56">
        <f>'WEEK 39'!B68</f>
        <v>220</v>
      </c>
      <c r="C48" s="13"/>
      <c r="D48" s="13"/>
      <c r="E48" s="13"/>
      <c r="F48" s="57"/>
    </row>
    <row r="49">
      <c r="A49" s="58" t="s">
        <v>50</v>
      </c>
      <c r="B49" s="59" t="s">
        <v>51</v>
      </c>
      <c r="C49" s="59" t="s">
        <v>52</v>
      </c>
      <c r="D49" s="59" t="s">
        <v>53</v>
      </c>
      <c r="E49" s="584" t="s">
        <v>54</v>
      </c>
      <c r="F49" s="61" t="s">
        <v>55</v>
      </c>
    </row>
    <row r="50">
      <c r="A50" s="62">
        <v>1.0</v>
      </c>
      <c r="B50" s="855">
        <f>mround('WEEK 40'!B48*0.5,5)</f>
        <v>110</v>
      </c>
      <c r="C50" s="104" t="s">
        <v>165</v>
      </c>
      <c r="D50" s="65" t="s">
        <v>166</v>
      </c>
      <c r="E50" s="66" t="str">
        <f>IF('WEEK 28'!B53='WEEK 37'!B50,'WEEK 28'!F53,"")</f>
        <v/>
      </c>
      <c r="F50" s="67"/>
    </row>
    <row r="51">
      <c r="A51" s="68">
        <v>2.0</v>
      </c>
      <c r="B51" s="856">
        <f>mround('WEEK 40'!B48*0.5,5)</f>
        <v>110</v>
      </c>
      <c r="C51" s="105" t="s">
        <v>165</v>
      </c>
      <c r="D51" s="71" t="s">
        <v>166</v>
      </c>
      <c r="E51" s="66" t="str">
        <f>IF('WEEK 28'!B54='WEEK 37'!B51,'WEEK 28'!F54,"")</f>
        <v/>
      </c>
      <c r="F51" s="67"/>
    </row>
    <row r="52">
      <c r="A52" s="103"/>
      <c r="B52" s="103"/>
      <c r="C52" s="103"/>
      <c r="D52" s="103"/>
      <c r="E52" s="222"/>
      <c r="F52" s="103"/>
    </row>
    <row r="53">
      <c r="A53" s="103"/>
      <c r="B53" s="103"/>
      <c r="C53" s="103"/>
      <c r="D53" s="103"/>
      <c r="E53" s="222"/>
      <c r="F53" s="103"/>
    </row>
    <row r="54">
      <c r="A54" s="73" t="str">
        <f>HYPERLINK("https://www.youtube.com/watch?v=hMUUvL3FlkE","5. MACHINE HIGH ROW")</f>
        <v>5. MACHINE HIGH ROW</v>
      </c>
      <c r="B54" s="53"/>
      <c r="C54" s="53"/>
      <c r="D54" s="53"/>
      <c r="E54" s="53"/>
      <c r="F54" s="54"/>
    </row>
    <row r="55">
      <c r="A55" s="458" t="s">
        <v>119</v>
      </c>
      <c r="B55" s="56">
        <f>'WEEK 39'!B57</f>
        <v>210</v>
      </c>
      <c r="C55" s="13"/>
      <c r="D55" s="13"/>
      <c r="E55" s="13"/>
      <c r="F55" s="57"/>
    </row>
    <row r="56">
      <c r="A56" s="58" t="s">
        <v>50</v>
      </c>
      <c r="B56" s="59" t="s">
        <v>51</v>
      </c>
      <c r="C56" s="59" t="s">
        <v>52</v>
      </c>
      <c r="D56" s="59" t="s">
        <v>53</v>
      </c>
      <c r="E56" s="584" t="s">
        <v>54</v>
      </c>
      <c r="F56" s="61" t="s">
        <v>55</v>
      </c>
    </row>
    <row r="57">
      <c r="A57" s="62">
        <v>1.0</v>
      </c>
      <c r="B57" s="855">
        <f>mround('WEEK 40'!B55*0.5,5)</f>
        <v>105</v>
      </c>
      <c r="C57" s="104" t="s">
        <v>165</v>
      </c>
      <c r="D57" s="65" t="s">
        <v>166</v>
      </c>
      <c r="E57" s="66" t="str">
        <f>IF('WEEK 28'!B60='WEEK 37'!B57,'WEEK 28'!F60,"")</f>
        <v/>
      </c>
      <c r="F57" s="67"/>
    </row>
    <row r="58">
      <c r="A58" s="68">
        <v>2.0</v>
      </c>
      <c r="B58" s="856">
        <f>mround('WEEK 40'!B55*0.5,5)</f>
        <v>105</v>
      </c>
      <c r="C58" s="105" t="s">
        <v>165</v>
      </c>
      <c r="D58" s="71" t="s">
        <v>166</v>
      </c>
      <c r="E58" s="66" t="str">
        <f>IF('WEEK 28'!B61='WEEK 37'!B58,'WEEK 28'!F61,"")</f>
        <v/>
      </c>
      <c r="F58" s="67"/>
    </row>
    <row r="59">
      <c r="A59" s="598"/>
      <c r="B59" s="598"/>
      <c r="C59" s="598"/>
      <c r="D59" s="598"/>
      <c r="E59" s="857"/>
      <c r="F59" s="598"/>
    </row>
    <row r="60">
      <c r="A60" s="310" t="str">
        <f>HYPERLINK("https://docs.google.com/a/fitnessresults.com/forms/d/e/1FAIpQLSd7MoczESe8Yjv6BKpmwAZGn9Aiymrs9-UdgfYIUpbr9t5NXg/viewform?usp=pp_url&amp;entry.93370101","CLICK TO COMPLETE WORKOUT")</f>
        <v>CLICK TO COMPLETE WORKOUT</v>
      </c>
      <c r="B60" s="36"/>
      <c r="C60" s="36"/>
      <c r="D60" s="36"/>
      <c r="E60" s="36"/>
      <c r="F60" s="37"/>
    </row>
    <row r="61">
      <c r="A61" s="858"/>
      <c r="B61" s="858"/>
      <c r="C61" s="858"/>
      <c r="D61" s="858"/>
      <c r="E61" s="859"/>
      <c r="F61" s="598"/>
    </row>
    <row r="62">
      <c r="A62" s="602" t="s">
        <v>128</v>
      </c>
      <c r="B62" s="36"/>
      <c r="C62" s="36"/>
      <c r="D62" s="36"/>
      <c r="E62" s="36"/>
      <c r="F62" s="37"/>
    </row>
    <row r="65">
      <c r="A65" s="1355" t="str">
        <f>HYPERLINK("https://www.youtube.com/watch?v=5UOeRbRoFOI","1. MACHINE SQUAT")</f>
        <v>1. MACHINE SQUAT</v>
      </c>
      <c r="B65" s="53"/>
      <c r="C65" s="53"/>
      <c r="D65" s="53"/>
      <c r="E65" s="53"/>
      <c r="F65" s="54"/>
    </row>
    <row r="66">
      <c r="A66" s="1262" t="s">
        <v>192</v>
      </c>
      <c r="B66" s="1035">
        <f>'WEEK 36'!B76</f>
        <v>35</v>
      </c>
      <c r="C66" s="13"/>
      <c r="D66" s="13"/>
      <c r="E66" s="13"/>
      <c r="F66" s="57"/>
    </row>
    <row r="67">
      <c r="A67" s="231" t="s">
        <v>50</v>
      </c>
      <c r="B67" s="232" t="s">
        <v>51</v>
      </c>
      <c r="C67" s="232" t="s">
        <v>52</v>
      </c>
      <c r="D67" s="232" t="s">
        <v>53</v>
      </c>
      <c r="E67" s="233" t="s">
        <v>54</v>
      </c>
      <c r="F67" s="61" t="s">
        <v>55</v>
      </c>
    </row>
    <row r="68">
      <c r="A68" s="236">
        <v>1.0</v>
      </c>
      <c r="B68" s="237">
        <f>mround('WEEK 40'!B66*0.35,5)</f>
        <v>10</v>
      </c>
      <c r="C68" s="238">
        <v>10.0</v>
      </c>
      <c r="D68" s="238" t="s">
        <v>120</v>
      </c>
      <c r="E68" s="66" t="str">
        <f>IF('WEEK 40'!B68='WEEK 36'!B68,'WEEK 36'!F68,"")</f>
        <v/>
      </c>
      <c r="F68" s="67"/>
    </row>
    <row r="69">
      <c r="A69" s="236">
        <v>2.0</v>
      </c>
      <c r="B69" s="237">
        <f>mround('WEEK 40'!B66*0.65,5)</f>
        <v>25</v>
      </c>
      <c r="C69" s="238">
        <v>10.0</v>
      </c>
      <c r="D69" s="238" t="s">
        <v>121</v>
      </c>
      <c r="E69" s="66" t="str">
        <f>IF('WEEK 40'!B69='WEEK 36'!B69,'WEEK 36'!F69,"")</f>
        <v/>
      </c>
      <c r="F69" s="67"/>
    </row>
    <row r="70">
      <c r="A70" s="242">
        <v>3.0</v>
      </c>
      <c r="B70" s="237">
        <f>mround('WEEK 40'!B66*0.9,5)</f>
        <v>30</v>
      </c>
      <c r="C70" s="238">
        <v>10.0</v>
      </c>
      <c r="D70" s="238" t="s">
        <v>121</v>
      </c>
      <c r="E70" s="66" t="str">
        <f>IF('WEEK 40'!B70='WEEK 36'!B70,'WEEK 36'!F70,"")</f>
        <v/>
      </c>
      <c r="F70" s="67"/>
    </row>
    <row r="71">
      <c r="A71" s="249">
        <v>4.0</v>
      </c>
      <c r="B71" s="175">
        <f>if('WEEK 40'!F70&lt;10,MROUND('WEEK 40'!B70-('WEEK 40'!B70*20%),5),'WEEK 40'!B66)</f>
        <v>25</v>
      </c>
      <c r="C71" s="238">
        <v>10.0</v>
      </c>
      <c r="D71" s="238" t="s">
        <v>122</v>
      </c>
      <c r="E71" s="66" t="str">
        <f>IF('WEEK 40'!B71='WEEK 36'!B71,'WEEK 36'!F71,"")</f>
        <v/>
      </c>
      <c r="F71" s="67"/>
    </row>
    <row r="72">
      <c r="A72" s="249">
        <v>5.0</v>
      </c>
      <c r="B72" s="175">
        <f>IF((AND('WEEK 40'!B71&lt;='WEEK 40'!B70,'WEEK 40'!F71&gt;=10)),'WEEK 40'!B71,IF('WEEK 40'!F71&lt;10,MROUND('WEEK 40'!B71-('WEEK 40'!B71*20%),5),if( 'WEEK 40'!F71&lt;10,MROUND('WEEK 40'!B71-('WEEK 40'!B71*10%),5),MROUND('WEEK 40'!B71+('WEEK 40'!B71*10%),5))))</f>
        <v>20</v>
      </c>
      <c r="C72" s="238">
        <v>10.0</v>
      </c>
      <c r="D72" s="238" t="s">
        <v>122</v>
      </c>
      <c r="E72" s="66" t="str">
        <f>IF('WEEK 40'!B72='WEEK 36'!B72,'WEEK 36'!F72,"")</f>
        <v/>
      </c>
      <c r="F72" s="1037"/>
    </row>
    <row r="73">
      <c r="A73" s="249">
        <f>if('WEEK 40'!F71&lt;10,6,6)</f>
        <v>6</v>
      </c>
      <c r="B73" s="175">
        <f>IF((AND('WEEK 40'!B72&lt;='WEEK 40'!B71,'WEEK 40'!F72&gt;=10)),'WEEK 40'!B72,IF('WEEK 40'!F72&lt;10,MROUND('WEEK 40'!B72-('WEEK 40'!B72*20%),5),if( 'WEEK 40'!F72&lt;10,MROUND('WEEK 40'!B72-('WEEK 40'!B72*10%),5),MROUND('WEEK 40'!B72+('WEEK 40'!B72*10%),5))))</f>
        <v>15</v>
      </c>
      <c r="C73" s="238">
        <v>10.0</v>
      </c>
      <c r="D73" s="238" t="s">
        <v>122</v>
      </c>
      <c r="E73" s="66" t="str">
        <f>IF('WEEK 40'!B73='WEEK 36'!B73,'WEEK 36'!F73,"")</f>
        <v/>
      </c>
      <c r="F73" s="67"/>
    </row>
    <row r="74">
      <c r="A74" s="1038">
        <f>IF('WEEK 40'!F73&lt;10,7,"7")</f>
        <v>7</v>
      </c>
      <c r="B74" s="175">
        <f>IF((AND('WEEK 40'!B73&lt;='WEEK 40'!B72,'WEEK 40'!F73&gt;=10)),'WEEK 40'!B73,IF('WEEK 40'!F73&lt;10,MROUND('WEEK 40'!B73-('WEEK 40'!B73*20%),5),if( 'WEEK 40'!F73&lt;10,MROUND('WEEK 40'!B73-('WEEK 40'!B73*10%),5),MROUND('WEEK 40'!B73+('WEEK 40'!B73*10%),5))))</f>
        <v>10</v>
      </c>
      <c r="C74" s="238">
        <v>10.0</v>
      </c>
      <c r="D74" s="238" t="s">
        <v>122</v>
      </c>
      <c r="E74" s="66" t="str">
        <f>IF('WEEK 40'!B74='WEEK 36'!B74,'WEEK 36'!F74,"")</f>
        <v/>
      </c>
      <c r="F74" s="67"/>
    </row>
    <row r="75">
      <c r="A75" s="249">
        <f>IF('WEEK 40'!F74&lt;10,8,"8")</f>
        <v>8</v>
      </c>
      <c r="B75" s="175">
        <f>IF((AND('WEEK 40'!B74&lt;='WEEK 40'!B73,'WEEK 40'!F74&gt;=10)),'WEEK 40'!B74,IF('WEEK 40'!F74&lt;10,MROUND('WEEK 40'!B74-('WEEK 40'!B74*20%),5),if( 'WEEK 40'!F74&lt;10,MROUND('WEEK 40'!B74-('WEEK 40'!B74*10%),5),MROUND('WEEK 40'!B74+('WEEK 40'!B74*10%),5))))</f>
        <v>10</v>
      </c>
      <c r="C75" s="238">
        <v>10.0</v>
      </c>
      <c r="D75" s="238" t="s">
        <v>122</v>
      </c>
      <c r="E75" s="66" t="str">
        <f>IF('WEEK 40'!B75='WEEK 36'!B75,'WEEK 36'!F75,"")</f>
        <v/>
      </c>
      <c r="F75" s="67"/>
    </row>
    <row r="76">
      <c r="A76" s="1038">
        <f>IF('WEEK 40'!F75&lt;10,9,"9")</f>
        <v>9</v>
      </c>
      <c r="B76" s="175">
        <f>IF((AND('WEEK 40'!B75&lt;='WEEK 40'!B74,'WEEK 40'!F75&gt;=10)),'WEEK 40'!B75,IF('WEEK 40'!F75&lt;10,MROUND('WEEK 40'!B75-('WEEK 40'!B75*20%),5),if( 'WEEK 40'!F75&lt;10,MROUND('WEEK 40'!B75-('WEEK 40'!B75*10%),5),MROUND('WEEK 40'!B75+('WEEK 40'!B75*10%),5))))</f>
        <v>10</v>
      </c>
      <c r="C76" s="238">
        <v>10.0</v>
      </c>
      <c r="D76" s="238" t="s">
        <v>122</v>
      </c>
      <c r="E76" s="1108" t="str">
        <f>IF('WEEK 40'!B76='WEEK 11'!I46,'WEEK 11'!M46,"")</f>
        <v/>
      </c>
      <c r="F76" s="67"/>
    </row>
    <row r="77">
      <c r="A77" s="1038" t="str">
        <f>IF('WEEK 40'!F76&lt;10,"10","10")</f>
        <v>10</v>
      </c>
      <c r="B77" s="175">
        <f>IF((AND('WEEK 40'!B76&lt;='WEEK 40'!B75,'WEEK 40'!F76&gt;=10)),'WEEK 40'!B76,IF('WEEK 40'!F76&lt;10,MROUND('WEEK 40'!B76-('WEEK 40'!B76*20%),5),if( 'WEEK 40'!F76&lt;10,MROUND('WEEK 40'!B76-('WEEK 40'!B76*10%),5),MROUND('WEEK 40'!B76+('WEEK 40'!B76*10%),5))))</f>
        <v>10</v>
      </c>
      <c r="C77" s="238">
        <v>10.0</v>
      </c>
      <c r="D77" s="238" t="s">
        <v>122</v>
      </c>
      <c r="E77" s="1108" t="str">
        <f>IF('WEEK 40'!B77='WEEK 11'!I47,'WEEK 11'!M47,"")</f>
        <v/>
      </c>
      <c r="F77" s="67"/>
    </row>
    <row r="78">
      <c r="A78" s="272" t="s">
        <v>192</v>
      </c>
      <c r="B78" s="1109">
        <f>IF(OR(ISBLANK('WEEK 40'!F68),ISBLANK('WEEK 40'!F69)),'WEEK 40'!B66,IF((AND('WEEK 40'!F77&gt;=10,'WEEK 40'!B77&gt;'WEEK 40'!B76)),'WEEK 40'!B77,IF((AND('WEEK 40'!F76&gt;=10,'WEEK 40'!B76&gt;'WEEK 40'!B75)),'WEEK 40'!B76,IF((AND('WEEK 40'!F75&gt;=10,'WEEK 40'!B75&gt;'WEEK 40'!B74)),'WEEK 40'!B75,IF((AND('WEEK 40'!F74&gt;=10,'WEEK 40'!B74&gt;'WEEK 40'!B73)),'WEEK 40'!B74,IF((AND('WEEK 40'!F73&gt;=10,'WEEK 40'!B73&gt;'WEEK 40'!B72)),'WEEK 40'!B73,IF((AND('WEEK 40'!F72&gt;=10,'WEEK 40'!B72&gt;'WEEK 40'!B71)),'WEEK 40'!B72,IF((AND('WEEK 40'!F71&gt;=10,'WEEK 40'!B71&gt;'WEEK 40'!B70)),'WEEK 40'!B71,IF((AND('WEEK 40'!F70&gt;=10,'WEEK 40'!B70&gt;'WEEK 40'!B69)),'WEEK 40'!B70,IF((AND('WEEK 40'!F69&gt;=10,'WEEK 40'!B69&gt;'WEEK 40'!B68)),'WEEK 40'!B69))))))))))</f>
        <v>35</v>
      </c>
      <c r="C78" s="11"/>
      <c r="D78" s="11"/>
      <c r="E78" s="11"/>
      <c r="F78" s="46"/>
    </row>
    <row r="81">
      <c r="A81" s="1285" t="str">
        <f>HYPERLINK("https://www.youtube.com/watch?v=NZ9KiFtbiMs","2. LEG EXTENSION")</f>
        <v>2. LEG EXTENSION</v>
      </c>
      <c r="B81" s="53"/>
      <c r="C81" s="53"/>
      <c r="D81" s="53"/>
      <c r="E81" s="53"/>
      <c r="F81" s="54"/>
    </row>
    <row r="82">
      <c r="A82" s="1045" t="s">
        <v>119</v>
      </c>
      <c r="B82" s="1367">
        <f>IF('WEEK 38'!B99='WEEK 38'!B101,'WEEK 38'!B99+5,IF('WEEK 38'!F99&lt;=9,MROUND('WEEK 38'!B97*0.95,5),'WEEK 38'!B99))</f>
        <v>125</v>
      </c>
      <c r="C82" s="20"/>
      <c r="D82" s="20"/>
      <c r="E82" s="20"/>
      <c r="F82" s="95"/>
    </row>
    <row r="83">
      <c r="A83" s="567" t="s">
        <v>50</v>
      </c>
      <c r="B83" s="568" t="s">
        <v>51</v>
      </c>
      <c r="C83" s="568" t="s">
        <v>52</v>
      </c>
      <c r="D83" s="568" t="s">
        <v>53</v>
      </c>
      <c r="E83" s="1047" t="s">
        <v>54</v>
      </c>
      <c r="F83" s="1048" t="s">
        <v>55</v>
      </c>
    </row>
    <row r="84">
      <c r="A84" s="1049">
        <v>1.0</v>
      </c>
      <c r="B84" s="1050">
        <f>'WEEK 40'!B82</f>
        <v>125</v>
      </c>
      <c r="C84" s="1051" t="s">
        <v>61</v>
      </c>
      <c r="D84" s="1430" t="s">
        <v>121</v>
      </c>
      <c r="E84" s="1130" t="str">
        <f>IF('WEEK 38'!B99='WEEK 40'!B84,'WEEK 38'!F99,"")</f>
        <v/>
      </c>
      <c r="F84" s="1017"/>
    </row>
    <row r="85">
      <c r="A85" s="1049">
        <v>2.0</v>
      </c>
      <c r="B85" s="1050">
        <f>if('WEEK 40'!F84&lt;12,mround('WEEK 40'!B84*0.8,5),IF('WEEK 40'!F84&lt;=14,MROUND('WEEK 40'!B84*0.95,5),'WEEK 40'!B84))</f>
        <v>100</v>
      </c>
      <c r="C85" s="1051" t="s">
        <v>61</v>
      </c>
      <c r="D85" s="1430" t="s">
        <v>121</v>
      </c>
      <c r="E85" s="1130" t="str">
        <f>IF('WEEK 38'!B100='WEEK 40'!B85,'WEEK 38'!F100,"")</f>
        <v/>
      </c>
      <c r="F85" s="1017"/>
    </row>
    <row r="86">
      <c r="A86" s="1053">
        <v>3.0</v>
      </c>
      <c r="B86" s="1054">
        <f>if('WEEK 40'!F85&lt;12,mround('WEEK 40'!B85*0.8,5),IF('WEEK 40'!F85&lt;=14,MROUND('WEEK 40'!B85*0.95,5),'WEEK 40'!B85))</f>
        <v>80</v>
      </c>
      <c r="C86" s="1055" t="s">
        <v>61</v>
      </c>
      <c r="D86" s="1430" t="s">
        <v>121</v>
      </c>
      <c r="E86" s="1130" t="str">
        <f>IF('WEEK 38'!B101='WEEK 40'!B86,'WEEK 38'!F101,"")</f>
        <v/>
      </c>
      <c r="F86" s="1017"/>
    </row>
    <row r="89">
      <c r="A89" s="323" t="str">
        <f>HYPERLINK("https://www.youtube.com/watch?v=XepOfsnGFJg","3. MACHINE LEG CURL")</f>
        <v>3. MACHINE LEG CURL</v>
      </c>
      <c r="B89" s="53"/>
      <c r="C89" s="53"/>
      <c r="D89" s="53"/>
      <c r="E89" s="53"/>
      <c r="F89" s="54"/>
      <c r="G89" s="141"/>
      <c r="H89" s="323" t="str">
        <f>HYPERLINK("https://youtu.be/kmN9cJ79PDE","3. PRONE LEG CURL")</f>
        <v>3. PRONE LEG CURL</v>
      </c>
      <c r="I89" s="53"/>
      <c r="J89" s="53"/>
      <c r="K89" s="53"/>
      <c r="L89" s="53"/>
      <c r="M89" s="54"/>
    </row>
    <row r="90">
      <c r="A90" s="1045" t="s">
        <v>119</v>
      </c>
      <c r="B90" s="1367">
        <f>IF('WEEK 38'!B107='WEEK 38'!B109,'WEEK 38'!B107+5,IF('WEEK 38'!F107&lt;=9,MROUND('WEEK 38'!B105*0.95,5),'WEEK 38'!B107))</f>
        <v>120</v>
      </c>
      <c r="C90" s="20"/>
      <c r="D90" s="20"/>
      <c r="E90" s="20"/>
      <c r="F90" s="95"/>
      <c r="H90" s="1045" t="s">
        <v>119</v>
      </c>
      <c r="I90" s="1046">
        <f>'WEEK 40'!B90</f>
        <v>120</v>
      </c>
      <c r="J90" s="13"/>
      <c r="K90" s="13"/>
      <c r="L90" s="13"/>
      <c r="M90" s="57"/>
    </row>
    <row r="91">
      <c r="A91" s="567" t="s">
        <v>50</v>
      </c>
      <c r="B91" s="568" t="s">
        <v>51</v>
      </c>
      <c r="C91" s="568" t="s">
        <v>52</v>
      </c>
      <c r="D91" s="568" t="s">
        <v>53</v>
      </c>
      <c r="E91" s="1047" t="s">
        <v>54</v>
      </c>
      <c r="F91" s="1048" t="s">
        <v>55</v>
      </c>
      <c r="H91" s="567" t="s">
        <v>50</v>
      </c>
      <c r="I91" s="568" t="s">
        <v>51</v>
      </c>
      <c r="J91" s="568" t="s">
        <v>52</v>
      </c>
      <c r="K91" s="568" t="s">
        <v>53</v>
      </c>
      <c r="L91" s="1047" t="s">
        <v>54</v>
      </c>
      <c r="M91" s="1048" t="s">
        <v>55</v>
      </c>
    </row>
    <row r="92">
      <c r="A92" s="1049">
        <v>1.0</v>
      </c>
      <c r="B92" s="1050">
        <f>'WEEK 40'!B90</f>
        <v>120</v>
      </c>
      <c r="C92" s="1051" t="s">
        <v>61</v>
      </c>
      <c r="D92" s="1430" t="s">
        <v>121</v>
      </c>
      <c r="E92" s="1130" t="str">
        <f>IF('WEEK 38'!B107='WEEK 40'!B92,'WEEK 38'!F107,"")</f>
        <v/>
      </c>
      <c r="F92" s="1017"/>
      <c r="G92" s="434" t="s">
        <v>123</v>
      </c>
      <c r="H92" s="1049">
        <v>1.0</v>
      </c>
      <c r="I92" s="1050">
        <f>'WEEK 40'!I90</f>
        <v>120</v>
      </c>
      <c r="J92" s="1051" t="s">
        <v>61</v>
      </c>
      <c r="K92" s="1430" t="s">
        <v>121</v>
      </c>
      <c r="L92" s="1130" t="str">
        <f>IF('WEEK 38'!I107='WEEK 40'!I92,'WEEK 38'!M107,"")</f>
        <v/>
      </c>
      <c r="M92" s="1017"/>
    </row>
    <row r="93">
      <c r="A93" s="1049">
        <v>2.0</v>
      </c>
      <c r="B93" s="1050">
        <f>if('WEEK 40'!F92&lt;12,mround('WEEK 40'!B92*0.8,5),IF('WEEK 40'!F92&lt;=14,MROUND('WEEK 40'!B92*0.95,5),'WEEK 40'!B92))</f>
        <v>95</v>
      </c>
      <c r="C93" s="1051" t="s">
        <v>61</v>
      </c>
      <c r="D93" s="1430" t="s">
        <v>121</v>
      </c>
      <c r="E93" s="1130" t="str">
        <f>IF('WEEK 38'!B108='WEEK 40'!B93,'WEEK 38'!F108,"")</f>
        <v/>
      </c>
      <c r="F93" s="1017"/>
      <c r="H93" s="1049">
        <v>2.0</v>
      </c>
      <c r="I93" s="1050">
        <f>if('WEEK 40'!M92&lt;12,mround('WEEK 40'!I92*0.8,5),IF('WEEK 40'!M92&lt;=14,MROUND('WEEK 40'!I92*0.95,5),'WEEK 40'!I92))</f>
        <v>95</v>
      </c>
      <c r="J93" s="1051" t="s">
        <v>61</v>
      </c>
      <c r="K93" s="1430" t="s">
        <v>121</v>
      </c>
      <c r="L93" s="1130" t="str">
        <f>IF('WEEK 38'!I108='WEEK 40'!I93,'WEEK 38'!M108,"")</f>
        <v/>
      </c>
      <c r="M93" s="1017"/>
    </row>
    <row r="94">
      <c r="A94" s="1053">
        <v>3.0</v>
      </c>
      <c r="B94" s="1054">
        <f>if('WEEK 40'!F93&lt;12,mround('WEEK 40'!B93*0.8,5),IF('WEEK 40'!F93&lt;=14,MROUND('WEEK 40'!B93*0.95,5),'WEEK 40'!B93))</f>
        <v>75</v>
      </c>
      <c r="C94" s="1055" t="s">
        <v>61</v>
      </c>
      <c r="D94" s="1430" t="s">
        <v>121</v>
      </c>
      <c r="E94" s="1130" t="str">
        <f>IF('WEEK 38'!B109='WEEK 40'!B94,'WEEK 38'!F109,"")</f>
        <v/>
      </c>
      <c r="F94" s="1017"/>
      <c r="G94" s="682"/>
      <c r="H94" s="1053">
        <v>3.0</v>
      </c>
      <c r="I94" s="1054">
        <f>if('WEEK 40'!M93&lt;12,mround('WEEK 40'!I93*0.8,5),IF('WEEK 40'!M93&lt;=14,MROUND('WEEK 40'!I93*0.95,5),'WEEK 40'!I93))</f>
        <v>75</v>
      </c>
      <c r="J94" s="1055" t="s">
        <v>61</v>
      </c>
      <c r="K94" s="1430" t="s">
        <v>121</v>
      </c>
      <c r="L94" s="1130" t="str">
        <f>IF('WEEK 38'!I109='WEEK 40'!I94,'WEEK 38'!M109,"")</f>
        <v/>
      </c>
      <c r="M94" s="1017"/>
    </row>
    <row r="95">
      <c r="A95" s="849"/>
      <c r="B95" s="849"/>
      <c r="C95" s="849"/>
      <c r="D95" s="849"/>
      <c r="E95" s="849"/>
      <c r="F95" s="849"/>
      <c r="H95" s="849"/>
      <c r="I95" s="850"/>
      <c r="J95" s="850"/>
      <c r="K95" s="850"/>
      <c r="L95" s="850"/>
      <c r="M95" s="850"/>
    </row>
    <row r="97">
      <c r="A97" s="1120" t="s">
        <v>62</v>
      </c>
      <c r="B97" s="36"/>
      <c r="C97" s="36"/>
      <c r="D97" s="36"/>
      <c r="E97" s="36"/>
      <c r="F97" s="37"/>
    </row>
    <row r="100">
      <c r="A100" s="44" t="s">
        <v>131</v>
      </c>
      <c r="B100" s="36"/>
      <c r="C100" s="36"/>
      <c r="D100" s="36"/>
      <c r="E100" s="36"/>
      <c r="F100" s="37"/>
      <c r="H100" s="44" t="s">
        <v>131</v>
      </c>
      <c r="I100" s="36"/>
      <c r="J100" s="36"/>
      <c r="K100" s="36"/>
      <c r="L100" s="36"/>
      <c r="M100" s="37"/>
    </row>
    <row r="101">
      <c r="A101" s="112" t="str">
        <f>HYPERLINK("https://www.youtube.com/watch?v=rmxOkkd2hUk","1. SHOULDER PRESS")</f>
        <v>1. SHOULDER PRESS</v>
      </c>
      <c r="B101" s="13"/>
      <c r="C101" s="13"/>
      <c r="D101" s="13"/>
      <c r="E101" s="13"/>
      <c r="F101" s="57"/>
      <c r="H101" s="1139" t="str">
        <f>HYPERLINK("https://www.youtube.com/watch?v=-cSBPE-y38M","1. MACHINE SHOULDER PRESS")</f>
        <v>1. MACHINE SHOULDER PRESS</v>
      </c>
      <c r="I101" s="13"/>
      <c r="J101" s="13"/>
      <c r="K101" s="13"/>
      <c r="L101" s="13"/>
      <c r="M101" s="57"/>
    </row>
    <row r="102">
      <c r="A102" s="226" t="s">
        <v>119</v>
      </c>
      <c r="B102" s="227">
        <f>'WEEK 39'!B122</f>
        <v>80</v>
      </c>
      <c r="C102" s="20"/>
      <c r="D102" s="20"/>
      <c r="E102" s="20"/>
      <c r="F102" s="95"/>
      <c r="H102" s="226" t="s">
        <v>119</v>
      </c>
      <c r="I102" s="227">
        <f>'WEEK 39'!I122</f>
        <v>228</v>
      </c>
      <c r="J102" s="20"/>
      <c r="K102" s="20"/>
      <c r="L102" s="20"/>
      <c r="M102" s="95"/>
    </row>
    <row r="103">
      <c r="A103" s="231" t="s">
        <v>50</v>
      </c>
      <c r="B103" s="232" t="s">
        <v>51</v>
      </c>
      <c r="C103" s="232" t="s">
        <v>52</v>
      </c>
      <c r="D103" s="232" t="s">
        <v>53</v>
      </c>
      <c r="E103" s="233" t="s">
        <v>54</v>
      </c>
      <c r="F103" s="61" t="s">
        <v>55</v>
      </c>
      <c r="H103" s="231" t="s">
        <v>50</v>
      </c>
      <c r="I103" s="232" t="s">
        <v>51</v>
      </c>
      <c r="J103" s="232" t="s">
        <v>52</v>
      </c>
      <c r="K103" s="232" t="s">
        <v>53</v>
      </c>
      <c r="L103" s="233" t="s">
        <v>54</v>
      </c>
      <c r="M103" s="61" t="s">
        <v>55</v>
      </c>
    </row>
    <row r="104">
      <c r="A104" s="1140">
        <v>1.0</v>
      </c>
      <c r="B104" s="237">
        <f>mround('WEEK 40'!B102*0.35,5)</f>
        <v>30</v>
      </c>
      <c r="C104" s="237">
        <v>6.0</v>
      </c>
      <c r="D104" s="238" t="s">
        <v>120</v>
      </c>
      <c r="E104" s="84" t="str">
        <f>IF('WEEK 37'!B114='WEEK 40'!B104,'WEEK 37'!F114,"")</f>
        <v/>
      </c>
      <c r="F104" s="67"/>
      <c r="H104" s="1140">
        <v>1.0</v>
      </c>
      <c r="I104" s="237">
        <f>mround('WEEK 40'!I102*0.35,5)</f>
        <v>80</v>
      </c>
      <c r="J104" s="237">
        <v>6.0</v>
      </c>
      <c r="K104" s="238" t="s">
        <v>120</v>
      </c>
      <c r="L104" s="84" t="str">
        <f>IF('WEEK 37'!I114='WEEK 40'!I104,'WEEK 37'!M114,"")</f>
        <v/>
      </c>
      <c r="M104" s="67"/>
    </row>
    <row r="105">
      <c r="A105" s="236">
        <v>2.0</v>
      </c>
      <c r="B105" s="237">
        <f>mround('WEEK 40'!B102*0.65,5)</f>
        <v>50</v>
      </c>
      <c r="C105" s="237">
        <v>1.0</v>
      </c>
      <c r="D105" s="238" t="s">
        <v>121</v>
      </c>
      <c r="E105" s="84" t="str">
        <f>IF('WEEK 37'!B115='WEEK 40'!B105,'WEEK 37'!F115,"")</f>
        <v/>
      </c>
      <c r="F105" s="67"/>
      <c r="H105" s="236">
        <v>2.0</v>
      </c>
      <c r="I105" s="237">
        <f>mround('WEEK 40'!I102*0.65,5)</f>
        <v>150</v>
      </c>
      <c r="J105" s="237">
        <v>1.0</v>
      </c>
      <c r="K105" s="238" t="s">
        <v>121</v>
      </c>
      <c r="L105" s="84" t="str">
        <f>IF('WEEK 37'!I115='WEEK 40'!I105,'WEEK 37'!M115,"")</f>
        <v/>
      </c>
      <c r="M105" s="67"/>
    </row>
    <row r="106">
      <c r="A106" s="242">
        <v>3.0</v>
      </c>
      <c r="B106" s="237">
        <f>mround('WEEK 7'!B106*0.9,5)</f>
        <v>65</v>
      </c>
      <c r="C106" s="82">
        <v>1.0</v>
      </c>
      <c r="D106" s="238" t="s">
        <v>121</v>
      </c>
      <c r="E106" s="84" t="str">
        <f>IF('WEEK 37'!B116='WEEK 40'!B106,'WEEK 37'!F116,"")</f>
        <v/>
      </c>
      <c r="F106" s="67"/>
      <c r="H106" s="242">
        <v>3.0</v>
      </c>
      <c r="I106" s="237">
        <f>mround('WEEK 40'!I102*0.9,5)</f>
        <v>205</v>
      </c>
      <c r="J106" s="82">
        <v>1.0</v>
      </c>
      <c r="K106" s="238" t="s">
        <v>121</v>
      </c>
      <c r="L106" s="84" t="str">
        <f>IF('WEEK 37'!I116='WEEK 40'!I106,'WEEK 37'!M116,"")</f>
        <v/>
      </c>
      <c r="M106" s="67"/>
    </row>
    <row r="107">
      <c r="A107" s="243">
        <v>4.0</v>
      </c>
      <c r="B107" s="237">
        <f>'WEEK 40'!B102</f>
        <v>80</v>
      </c>
      <c r="C107" s="257">
        <v>1.0</v>
      </c>
      <c r="D107" s="238" t="s">
        <v>122</v>
      </c>
      <c r="E107" s="84" t="str">
        <f>IF('WEEK 37'!B117='WEEK 40'!B107,'WEEK 37'!F117,"")</f>
        <v/>
      </c>
      <c r="F107" s="67"/>
      <c r="H107" s="243">
        <v>4.0</v>
      </c>
      <c r="I107" s="237">
        <f>'WEEK 40'!I102</f>
        <v>228</v>
      </c>
      <c r="J107" s="257">
        <v>1.0</v>
      </c>
      <c r="K107" s="238" t="s">
        <v>122</v>
      </c>
      <c r="L107" s="84" t="str">
        <f>IF('WEEK 37'!I117='WEEK 40'!I107,'WEEK 37'!M117,"")</f>
        <v/>
      </c>
      <c r="M107" s="67"/>
    </row>
    <row r="108">
      <c r="A108" s="246" t="str">
        <f>IF('WEEK 40'!F107&lt;1,"PROCEED TO DOWN SETS","NEW 4 REP MAX ATTEMPT")</f>
        <v>NEW 4 REP MAX ATTEMPT</v>
      </c>
      <c r="B108" s="20"/>
      <c r="C108" s="20"/>
      <c r="D108" s="20"/>
      <c r="E108" s="20"/>
      <c r="F108" s="95"/>
      <c r="H108" s="246" t="str">
        <f>IF('WEEK 40'!M107&lt;1,"PROCEED TO DOWN SETS","NEW 4 REP MAX ATTEMPT")</f>
        <v>PROCEED TO DOWN SETS</v>
      </c>
      <c r="I108" s="20"/>
      <c r="J108" s="20"/>
      <c r="K108" s="20"/>
      <c r="L108" s="20"/>
      <c r="M108" s="95"/>
    </row>
    <row r="109">
      <c r="A109" s="249">
        <f>IF(OR(ISBLANK('WEEK 40'!F107),ISBLANK('WEEK 40'!F106),ISBLANK('WEEK 40'!F105)), "",if('WEEK 40'!F107&lt;1,"",5))</f>
        <v>5</v>
      </c>
      <c r="B109" s="175">
        <f>IF('WEEK 40'!F107&lt;1,"",'WEEK 40'!B107+5)</f>
        <v>85</v>
      </c>
      <c r="C109" s="238">
        <f>if('WEEK 40'!F107&lt;1,"",4)</f>
        <v>4</v>
      </c>
      <c r="D109" s="238" t="str">
        <f>if('WEEK 40'!F107&lt;1,"","1-5 MIN")</f>
        <v>1-5 MIN</v>
      </c>
      <c r="E109" s="84" t="str">
        <f>IF('WEEK 37'!B119='WEEK 40'!B109,'WEEK 37'!F119,"")</f>
        <v/>
      </c>
      <c r="F109" s="67"/>
      <c r="H109" s="249" t="str">
        <f>IF(OR(ISBLANK('WEEK 40'!M107),ISBLANK('WEEK 40'!M106),ISBLANK('WEEK 40'!M105)), "",if('WEEK 40'!M107&lt;1,"",5))</f>
        <v/>
      </c>
      <c r="I109" s="175" t="str">
        <f>IF('WEEK 40'!M107&lt;1,"",'WEEK 40'!I107+5)</f>
        <v/>
      </c>
      <c r="J109" s="238" t="str">
        <f>if('WEEK 40'!M107&lt;1,"",4)</f>
        <v/>
      </c>
      <c r="K109" s="238" t="str">
        <f>if('WEEK 40'!M107&lt;1,"","1-5 MIN")</f>
        <v/>
      </c>
      <c r="L109" s="84" t="str">
        <f>IF('WEEK 37'!I119='WEEK 40'!I109,'WEEK 37'!M119,"")</f>
        <v/>
      </c>
      <c r="M109" s="67"/>
    </row>
    <row r="110">
      <c r="A110" s="259" t="str">
        <f>IF(OR(ISBLANK('WEEK 40'!F106),ISBLANK('WEEK 40'!F107),ISBLANK('WEEK 40'!F109)), "",IF('WEEK 40'!F109&lt;4,"","6"))</f>
        <v/>
      </c>
      <c r="B110" s="237" t="str">
        <f>IF(OR(ISBLANK('WEEK 40'!F106),ISBLANK('WEEK 40'!F107),ISBLANK('WEEK 40'!F109)), "",IF('WEEK 40'!F109&lt;4,"",'WEEK 40'!B109+5))</f>
        <v/>
      </c>
      <c r="C110" s="257" t="str">
        <f>IF(OR(ISBLANK('WEEK 40'!F106),ISBLANK('WEEK 40'!F107),ISBLANK('WEEK 40'!F109)), "",IF('WEEK 40'!F109&lt;4,"","4"))</f>
        <v/>
      </c>
      <c r="D110" s="257" t="str">
        <f>IF(OR(ISBLANK('WEEK 40'!F106),ISBLANK('WEEK 40'!F107),ISBLANK('WEEK 40'!F109)), "",IF('WEEK 40'!F109&lt;4,"","1-5 MIN"))</f>
        <v/>
      </c>
      <c r="E110" s="84" t="str">
        <f>IF('WEEK 37'!B120='WEEK 40'!B110,'WEEK 37'!F120,"")</f>
        <v/>
      </c>
      <c r="F110" s="67"/>
      <c r="H110" s="259" t="str">
        <f>IF(OR(ISBLANK('WEEK 40'!M106),ISBLANK('WEEK 40'!M107),ISBLANK('WEEK 40'!M109)), "",IF('WEEK 40'!M109&lt;4,"","6"))</f>
        <v/>
      </c>
      <c r="I110" s="237" t="str">
        <f>IF(OR(ISBLANK('WEEK 40'!M106),ISBLANK('WEEK 40'!M107),ISBLANK('WEEK 40'!M109)), "",IF('WEEK 40'!M109&lt;4,"",'WEEK 40'!I109+5))</f>
        <v/>
      </c>
      <c r="J110" s="257" t="str">
        <f>IF(OR(ISBLANK('WEEK 40'!M106),ISBLANK('WEEK 40'!M107),ISBLANK('WEEK 40'!M109)), "",IF('WEEK 40'!M109&lt;4,"","4"))</f>
        <v/>
      </c>
      <c r="K110" s="257" t="str">
        <f>IF(OR(ISBLANK('WEEK 40'!M106),ISBLANK('WEEK 40'!M107),ISBLANK('WEEK 40'!M109)), "",IF('WEEK 40'!M109&lt;4,"","1-5 MIN"))</f>
        <v/>
      </c>
      <c r="L110" s="84" t="str">
        <f>IF('WEEK 37'!I120='WEEK 40'!I110,'WEEK 37'!M120,"")</f>
        <v/>
      </c>
      <c r="M110" s="67"/>
    </row>
    <row r="111">
      <c r="A111" s="246" t="s">
        <v>133</v>
      </c>
      <c r="B111" s="20"/>
      <c r="C111" s="20"/>
      <c r="D111" s="20"/>
      <c r="E111" s="20"/>
      <c r="F111" s="95"/>
      <c r="H111" s="246" t="s">
        <v>133</v>
      </c>
      <c r="I111" s="20"/>
      <c r="J111" s="20"/>
      <c r="K111" s="20"/>
      <c r="L111" s="20"/>
      <c r="M111" s="95"/>
    </row>
    <row r="112">
      <c r="A112" s="264">
        <f>IF(OR(ISBLANK('WEEK 40'!F107),ISBLANK('WEEK 40'!F106),ISBLANK('WEEK 40'!F105)),"",IF((AND(A109="",A110="")),5,IF((AND(A109&gt;1,A110="")),6,7)))</f>
        <v>6</v>
      </c>
      <c r="B112" s="265">
        <f>MROUND('WEEK 40'!B114*0.9,5)</f>
        <v>70</v>
      </c>
      <c r="C112" s="266" t="s">
        <v>65</v>
      </c>
      <c r="D112" s="267" t="s">
        <v>127</v>
      </c>
      <c r="E112" s="84" t="str">
        <f>IF('WEEK 37'!B122='WEEK 40'!B112,'WEEK 37'!F122,"")</f>
        <v/>
      </c>
      <c r="F112" s="67"/>
      <c r="H112" s="264" t="str">
        <f>IF(OR(ISBLANK('WEEK 40'!M107),ISBLANK('WEEK 40'!M106),ISBLANK('WEEK 40'!M105)),"",IF((AND(H109="",H110="")),5,IF((AND(H109&gt;1,H110="")),6,7)))</f>
        <v/>
      </c>
      <c r="I112" s="265">
        <f>MROUND('WEEK 40'!I114*0.9,5)</f>
        <v>0</v>
      </c>
      <c r="J112" s="266" t="s">
        <v>65</v>
      </c>
      <c r="K112" s="267" t="s">
        <v>127</v>
      </c>
      <c r="L112" s="84" t="str">
        <f>IF('WEEK 37'!I122='WEEK 40'!I112,'WEEK 37'!M122,"")</f>
        <v/>
      </c>
      <c r="M112" s="67"/>
    </row>
    <row r="113">
      <c r="A113" s="243">
        <f>IF(OR(ISBLANK('WEEK 40'!F107),ISBLANK('WEEK 40'!F106),ISBLANK('WEEK 40'!F105)),"",IF((AND(A109="",A110="")),6,IF((AND(A109&gt;1,A110="")),7,8)))</f>
        <v>7</v>
      </c>
      <c r="B113" s="237">
        <f>mround('WEEK 40'!B114*0.78,5)</f>
        <v>60</v>
      </c>
      <c r="C113" s="245" t="s">
        <v>65</v>
      </c>
      <c r="D113" s="65" t="s">
        <v>127</v>
      </c>
      <c r="E113" s="84" t="str">
        <f>IF('WEEK 37'!B123='WEEK 40'!B113,'WEEK 37'!F123,"")</f>
        <v/>
      </c>
      <c r="F113" s="271"/>
      <c r="H113" s="243" t="str">
        <f>IF(OR(ISBLANK('WEEK 40'!M107),ISBLANK('WEEK 40'!M106),ISBLANK('WEEK 40'!M105)),"",IF((AND(H109="",H110="")),6,IF((AND(H109&gt;1,H110="")),7,8)))</f>
        <v/>
      </c>
      <c r="I113" s="237">
        <f>mround('WEEK 40'!I114*0.78,5)</f>
        <v>0</v>
      </c>
      <c r="J113" s="245" t="s">
        <v>65</v>
      </c>
      <c r="K113" s="65" t="s">
        <v>127</v>
      </c>
      <c r="L113" s="84" t="str">
        <f>IF('WEEK 37'!I123='WEEK 40'!I113,'WEEK 37'!M123,"")</f>
        <v/>
      </c>
      <c r="M113" s="271"/>
    </row>
    <row r="114">
      <c r="A114" s="272" t="s">
        <v>124</v>
      </c>
      <c r="B114" s="273">
        <f>IF(OR(ISBLANK('WEEK 40'!F107),ISBLANK('WEEK 40'!F106),ISBLANK('WEEK 40'!F105)),"",IF('WEEK 40'!F110&gt;=1,'WEEK 40'!B110,IF('WEEK 40'!F109&gt;=4,'WEEK 40'!B109,IF('WEEK 40'!F107&lt;1,'WEEK 40'!B107-5,'WEEK 40'!B107))))</f>
        <v>80</v>
      </c>
      <c r="C114" s="11"/>
      <c r="D114" s="11"/>
      <c r="E114" s="11"/>
      <c r="F114" s="46"/>
      <c r="H114" s="272" t="s">
        <v>124</v>
      </c>
      <c r="I114" s="273" t="str">
        <f>IF(OR(ISBLANK('WEEK 40'!M107),ISBLANK('WEEK 40'!M106),ISBLANK('WEEK 40'!M105)),"",IF('WEEK 40'!M110&gt;=1,'WEEK 40'!I110,IF('WEEK 40'!M109&gt;=4,'WEEK 40'!I109,IF('WEEK 40'!M107&lt;1,'WEEK 40'!I107-5,'WEEK 40'!I107))))</f>
        <v/>
      </c>
      <c r="J114" s="11"/>
      <c r="K114" s="11"/>
      <c r="L114" s="11"/>
      <c r="M114" s="46"/>
    </row>
    <row r="117">
      <c r="A117" s="1431" t="str">
        <f>HYPERLINK("https://www.youtube.com/watch?v=XDLQt1j3qUU","2. Dumbbell REAR DELT FLY ")</f>
        <v>2. Dumbbell REAR DELT FLY </v>
      </c>
      <c r="B117" s="53"/>
      <c r="C117" s="53"/>
      <c r="D117" s="53"/>
      <c r="E117" s="53"/>
      <c r="F117" s="54"/>
    </row>
    <row r="118">
      <c r="A118" s="1268" t="s">
        <v>134</v>
      </c>
      <c r="B118" s="1035">
        <f>'WEEK 40'!B114</f>
        <v>80</v>
      </c>
      <c r="C118" s="13"/>
      <c r="D118" s="13"/>
      <c r="E118" s="13"/>
      <c r="F118" s="57"/>
    </row>
    <row r="119">
      <c r="A119" s="567" t="s">
        <v>50</v>
      </c>
      <c r="B119" s="568" t="s">
        <v>51</v>
      </c>
      <c r="C119" s="568" t="s">
        <v>52</v>
      </c>
      <c r="D119" s="568" t="s">
        <v>53</v>
      </c>
      <c r="E119" s="1432" t="s">
        <v>54</v>
      </c>
      <c r="F119" s="1048" t="s">
        <v>55</v>
      </c>
    </row>
    <row r="120">
      <c r="A120" s="1049">
        <v>1.0</v>
      </c>
      <c r="B120" s="1311">
        <f>MROUND('WEEK 40'!B118*0.2*0.9,2.5)</f>
        <v>15</v>
      </c>
      <c r="C120" s="1050" t="s">
        <v>249</v>
      </c>
      <c r="D120" s="1433" t="s">
        <v>127</v>
      </c>
      <c r="E120" s="1434" t="str">
        <f>IF('WEEK 40'!B120='WEEK 39'!B134,'WEEK 39'!F134,"")</f>
        <v/>
      </c>
      <c r="F120" s="1435"/>
    </row>
    <row r="121">
      <c r="A121" s="1049">
        <v>2.0</v>
      </c>
      <c r="B121" s="1311">
        <f>if('WEEK 40'!F120&lt;10,mround('WEEK 40'!B120*0.8,2.5),IF('WEEK 40'!F120&lt;15,MROUND('WEEK 40'!B120*0.95,2.5),'WEEK 40'!B120))</f>
        <v>15</v>
      </c>
      <c r="C121" s="1050" t="s">
        <v>249</v>
      </c>
      <c r="D121" s="1433" t="s">
        <v>127</v>
      </c>
      <c r="E121" s="1434" t="str">
        <f>IF('WEEK 40'!B121='WEEK 39'!B135,'WEEK 39'!F135,"")</f>
        <v/>
      </c>
      <c r="F121" s="1435"/>
    </row>
    <row r="122">
      <c r="A122" s="1053">
        <v>3.0</v>
      </c>
      <c r="B122" s="1436">
        <f>if('WEEK 40'!F121&lt;10,mround('WEEK 40'!B121*0.8,2.5),IF('WEEK 40'!F121&lt;15,MROUND('WEEK 40'!B121*0.95,2.5),'WEEK 40'!B121))</f>
        <v>15</v>
      </c>
      <c r="C122" s="1050" t="s">
        <v>249</v>
      </c>
      <c r="D122" s="1433" t="s">
        <v>127</v>
      </c>
      <c r="E122" s="1434" t="str">
        <f>IF('WEEK 40'!B122='WEEK 39'!B136,'WEEK 39'!F136,"")</f>
        <v/>
      </c>
      <c r="F122" s="1435"/>
    </row>
    <row r="123">
      <c r="A123" s="623"/>
      <c r="B123" s="623"/>
      <c r="C123" s="623"/>
      <c r="D123" s="623"/>
      <c r="E123" s="623"/>
      <c r="F123" s="623"/>
    </row>
    <row r="124">
      <c r="A124" s="995"/>
      <c r="B124" s="995"/>
      <c r="C124" s="995"/>
      <c r="D124" s="995"/>
      <c r="E124" s="995"/>
      <c r="F124" s="995"/>
    </row>
    <row r="125">
      <c r="A125" s="1437" t="str">
        <f>HYPERLINK("https://youtu.be/QUNZvtb6mnY","3. DUMBBELL SIDE LATERAL RAISE")</f>
        <v>3. DUMBBELL SIDE LATERAL RAISE</v>
      </c>
      <c r="B125" s="13"/>
      <c r="C125" s="13"/>
      <c r="D125" s="13"/>
      <c r="E125" s="13"/>
      <c r="F125" s="57"/>
    </row>
    <row r="126">
      <c r="A126" s="1045" t="s">
        <v>134</v>
      </c>
      <c r="B126" s="1035">
        <f>'WEEK 40'!B114</f>
        <v>80</v>
      </c>
      <c r="C126" s="13"/>
      <c r="D126" s="13"/>
      <c r="E126" s="13"/>
      <c r="F126" s="57"/>
    </row>
    <row r="127">
      <c r="A127" s="1438" t="s">
        <v>50</v>
      </c>
      <c r="B127" s="1439" t="s">
        <v>51</v>
      </c>
      <c r="C127" s="1439" t="s">
        <v>52</v>
      </c>
      <c r="D127" s="1439" t="s">
        <v>53</v>
      </c>
      <c r="E127" s="1047" t="s">
        <v>54</v>
      </c>
      <c r="F127" s="1048" t="s">
        <v>55</v>
      </c>
    </row>
    <row r="128">
      <c r="A128" s="1440">
        <v>1.0</v>
      </c>
      <c r="B128" s="1050">
        <f> mround('WEEK 40'!B126*0.2*0.9,5)</f>
        <v>15</v>
      </c>
      <c r="C128" s="1052" t="s">
        <v>61</v>
      </c>
      <c r="D128" s="1433" t="s">
        <v>127</v>
      </c>
      <c r="E128" s="1434">
        <f>IF('WEEK 40'!B128='WEEK 39'!B142,'WEEK 39'!F142,"")</f>
        <v>20</v>
      </c>
      <c r="F128" s="1435"/>
    </row>
    <row r="129">
      <c r="A129" s="1440">
        <v>2.0</v>
      </c>
      <c r="B129" s="1050">
        <f>if('WEEK 40'!F128&lt;15,mround('WEEK 40'!B126*0.15,2.5),'WEEK 40'!B128)</f>
        <v>12.5</v>
      </c>
      <c r="C129" s="1052" t="s">
        <v>61</v>
      </c>
      <c r="D129" s="1433" t="s">
        <v>127</v>
      </c>
      <c r="E129" s="1434" t="str">
        <f>IF('WEEK 40'!B129='WEEK 39'!B143,'WEEK 39'!F143,"")</f>
        <v/>
      </c>
      <c r="F129" s="1435"/>
    </row>
    <row r="130">
      <c r="A130" s="1441">
        <v>3.0</v>
      </c>
      <c r="B130" s="1054">
        <f>if('WEEK 40'!F129&lt;15,mround('WEEK 40'!B126*0.1,2.5),'WEEK 40'!B129)</f>
        <v>7.5</v>
      </c>
      <c r="C130" s="1056" t="s">
        <v>61</v>
      </c>
      <c r="D130" s="1433" t="s">
        <v>127</v>
      </c>
      <c r="E130" s="1434" t="str">
        <f>IF('WEEK 40'!B130='WEEK 39'!B144,'WEEK 39'!F144,"")</f>
        <v/>
      </c>
      <c r="F130" s="1435"/>
    </row>
    <row r="131">
      <c r="A131" s="623"/>
      <c r="B131" s="623"/>
      <c r="C131" s="623"/>
      <c r="D131" s="623"/>
      <c r="E131" s="623"/>
      <c r="F131" s="623"/>
    </row>
    <row r="132">
      <c r="A132" s="995"/>
      <c r="B132" s="995"/>
      <c r="C132" s="995"/>
      <c r="D132" s="995"/>
      <c r="E132" s="995"/>
      <c r="F132" s="995"/>
    </row>
    <row r="133">
      <c r="A133" s="1442" t="str">
        <f>HYPERLINK("https://www.youtube.com/watch?v=Zt0LwrUdpNs","4.  TRICEP OVERHEAD ROPE EXTENSION")</f>
        <v>4.  TRICEP OVERHEAD ROPE EXTENSION</v>
      </c>
      <c r="B133" s="13"/>
      <c r="C133" s="13"/>
      <c r="D133" s="13"/>
      <c r="E133" s="13"/>
      <c r="F133" s="57"/>
    </row>
    <row r="134">
      <c r="A134" s="961" t="s">
        <v>119</v>
      </c>
      <c r="B134" s="1443">
        <f>IF('WEEK 39'!B150='WEEK 39'!B152,'WEEK 39'!B150+5,IF('WEEK 39'!B150&lt;=15,MROUND('WEEK 39'!F148*0.9,5),'WEEK 39'!B150))</f>
        <v>40</v>
      </c>
      <c r="C134" s="13"/>
      <c r="D134" s="13"/>
      <c r="E134" s="13"/>
      <c r="F134" s="57"/>
    </row>
    <row r="135">
      <c r="A135" s="1444" t="s">
        <v>50</v>
      </c>
      <c r="B135" s="1445" t="s">
        <v>51</v>
      </c>
      <c r="C135" s="1445" t="s">
        <v>52</v>
      </c>
      <c r="D135" s="1446" t="s">
        <v>53</v>
      </c>
      <c r="E135" s="1447" t="s">
        <v>54</v>
      </c>
      <c r="F135" s="1448" t="s">
        <v>55</v>
      </c>
    </row>
    <row r="136">
      <c r="A136" s="387">
        <v>1.0</v>
      </c>
      <c r="B136" s="388">
        <f>'WEEK 40'!B134</f>
        <v>100</v>
      </c>
      <c r="C136" s="1449" t="s">
        <v>61</v>
      </c>
      <c r="D136" s="1433" t="s">
        <v>127</v>
      </c>
      <c r="E136" s="1450" t="str">
        <f>IF('WEEK 40'!B136='WEEK 39'!B150,'WEEK 39'!F150,"")</f>
        <v/>
      </c>
      <c r="F136" s="1451"/>
    </row>
    <row r="137">
      <c r="A137" s="387">
        <v>2.0</v>
      </c>
      <c r="B137" s="388">
        <f>if('WEEK 40'!F136&lt;6,mround('WEEK 40'!B136*0.8,5),IF('WEEK 40'!F136&lt;=14,MROUND('WEEK 40'!B136*0.95,5),'WEEK 40'!B136))</f>
        <v>100</v>
      </c>
      <c r="C137" s="1449" t="s">
        <v>61</v>
      </c>
      <c r="D137" s="1433" t="s">
        <v>127</v>
      </c>
      <c r="E137" s="1450" t="str">
        <f>IF('WEEK 40'!B137='WEEK 39'!B151,'WEEK 39'!F151,"")</f>
        <v/>
      </c>
      <c r="F137" s="1451"/>
    </row>
    <row r="138">
      <c r="A138" s="394">
        <v>3.0</v>
      </c>
      <c r="B138" s="395">
        <f>if('WEEK 40'!F137&lt;6,mround('WEEK 40'!B137*0.8,5),IF('WEEK 40'!F137&lt;=14,MROUND('WEEK 40'!B137*0.95,5),'WEEK 40'!B137))</f>
        <v>100</v>
      </c>
      <c r="C138" s="1449" t="s">
        <v>61</v>
      </c>
      <c r="D138" s="1433" t="s">
        <v>127</v>
      </c>
      <c r="E138" s="1450" t="str">
        <f>IF('WEEK 40'!B138='WEEK 39'!B152,'WEEK 39'!F152,"")</f>
        <v/>
      </c>
      <c r="F138" s="1451"/>
    </row>
    <row r="141">
      <c r="A141" s="75" t="str">
        <f>HYPERLINK("https://www.youtube.com/watch?v=Bi6Do6QIlpQ","5. BICEP EZ BAR CURL")</f>
        <v>5. BICEP EZ BAR CURL</v>
      </c>
      <c r="B141" s="53"/>
      <c r="C141" s="53"/>
      <c r="D141" s="53"/>
      <c r="E141" s="53"/>
      <c r="F141" s="54"/>
    </row>
    <row r="142">
      <c r="A142" s="961" t="s">
        <v>119</v>
      </c>
      <c r="B142" s="1046">
        <f>IF('WEEK 37'!B154='WEEK 37'!B156,'WEEK 37'!B154+5,IF('WEEK 37'!F154&lt;=9,MROUND('WEEK 37'!B152*0.95,5),'WEEK 37'!B154))</f>
        <v>90</v>
      </c>
      <c r="C142" s="13"/>
      <c r="D142" s="13"/>
      <c r="E142" s="13"/>
      <c r="F142" s="57"/>
    </row>
    <row r="143">
      <c r="A143" s="962" t="s">
        <v>50</v>
      </c>
      <c r="B143" s="963" t="s">
        <v>51</v>
      </c>
      <c r="C143" s="963" t="s">
        <v>52</v>
      </c>
      <c r="D143" s="963" t="s">
        <v>53</v>
      </c>
      <c r="E143" s="1073" t="s">
        <v>54</v>
      </c>
      <c r="F143" s="1006" t="s">
        <v>55</v>
      </c>
    </row>
    <row r="144">
      <c r="A144" s="967">
        <v>1.0</v>
      </c>
      <c r="B144" s="968" t="str">
        <f> mround('MSW40'!B146,5)</f>
        <v>#ERROR!</v>
      </c>
      <c r="C144" s="937" t="s">
        <v>234</v>
      </c>
      <c r="D144" s="1296" t="s">
        <v>127</v>
      </c>
      <c r="E144" s="1235" t="str">
        <f>if('WEEK 39'!B158='WEEK 40'!B144,'WEEK 39'!F158,"")</f>
        <v>#ERROR!</v>
      </c>
      <c r="F144" s="984">
        <v>10.0</v>
      </c>
    </row>
    <row r="145">
      <c r="A145" s="967">
        <v>2.0</v>
      </c>
      <c r="B145" s="968" t="str">
        <f>if('WEEK 40'!F144&lt;6,mround('WEEK 40'!B144*0.75,5),if('WEEK 40'!F144&lt;12,mround('WEEK 40'!B144*0.85,5),'WEEK 40'B142:F142)!B144))</f>
        <v>#ERROR!</v>
      </c>
      <c r="C145" s="937" t="s">
        <v>234</v>
      </c>
      <c r="D145" s="1296" t="s">
        <v>127</v>
      </c>
      <c r="E145" s="1235" t="str">
        <f>if('WEEK 39'!B159='WEEK 40'!B145,'WEEK 39'!F159,"")</f>
        <v>#ERROR!</v>
      </c>
      <c r="F145" s="1131">
        <v>15.0</v>
      </c>
    </row>
    <row r="146">
      <c r="A146" s="971">
        <v>3.0</v>
      </c>
      <c r="B146" s="968" t="str">
        <f>if('WEEK 40'!F145&lt;6,mround('WEEK 40'!B145*0.75,5),if('WEEK 40'!F145&lt;12,mround('WEEK 40'!B145*0.85,5),'WEEK 40'!B145))</f>
        <v>#ERROR!</v>
      </c>
      <c r="C146" s="937" t="s">
        <v>234</v>
      </c>
      <c r="D146" s="1296" t="s">
        <v>127</v>
      </c>
      <c r="E146" s="1235" t="str">
        <f>if('WEEK 39'!B160='WEEK 40'!B146,'WEEK 39'!F160,"")</f>
        <v>#ERROR!</v>
      </c>
      <c r="F146" s="984">
        <v>5.0</v>
      </c>
    </row>
    <row r="149">
      <c r="A149" s="1149" t="s">
        <v>135</v>
      </c>
      <c r="B149" s="36"/>
      <c r="C149" s="36"/>
      <c r="D149" s="36"/>
      <c r="E149" s="36"/>
      <c r="F149" s="37"/>
    </row>
    <row r="150">
      <c r="A150" s="623"/>
      <c r="B150" s="623"/>
      <c r="C150" s="623"/>
      <c r="D150" s="623"/>
      <c r="E150" s="1274"/>
      <c r="F150" s="623"/>
    </row>
    <row r="151">
      <c r="A151" s="1275" t="str">
        <f>HYPERLINK("https://www.amazon.com/30-Minute-Body-Investment-Champion/dp/0692791892/ref=sr_1_1?ie=UTF8&amp;qid=1490447969&amp;sr=8-1&amp;keywords=30+minute+body","WANT TO LEARN MORE?")</f>
        <v>WANT TO LEARN MORE?</v>
      </c>
      <c r="B151" s="25"/>
      <c r="C151" s="25"/>
      <c r="D151" s="25"/>
      <c r="E151" s="25"/>
      <c r="F151" s="26"/>
    </row>
    <row r="152">
      <c r="A152" s="529"/>
      <c r="F152" s="28"/>
    </row>
    <row r="153">
      <c r="A153" s="1276"/>
      <c r="B153" s="999"/>
      <c r="C153" s="1150" t="s">
        <v>67</v>
      </c>
      <c r="F153" s="28"/>
    </row>
    <row r="154">
      <c r="A154" s="1276"/>
      <c r="B154" s="999"/>
      <c r="F154" s="28"/>
    </row>
    <row r="155">
      <c r="A155" s="1276"/>
      <c r="B155" s="999"/>
      <c r="F155" s="28"/>
    </row>
    <row r="156">
      <c r="A156" s="1276"/>
      <c r="B156" s="999"/>
      <c r="F156" s="28"/>
    </row>
    <row r="157">
      <c r="A157" s="1276"/>
      <c r="B157" s="999"/>
      <c r="F157" s="28"/>
    </row>
    <row r="158">
      <c r="A158" s="1276"/>
      <c r="B158" s="999"/>
      <c r="F158" s="28"/>
    </row>
    <row r="159">
      <c r="A159" s="1277"/>
      <c r="B159" s="999"/>
      <c r="F159" s="28"/>
    </row>
    <row r="160">
      <c r="A160" s="1276"/>
      <c r="B160" s="999"/>
      <c r="F160" s="28"/>
    </row>
    <row r="161">
      <c r="A161" s="1276"/>
      <c r="B161" s="999"/>
      <c r="F161" s="28"/>
    </row>
    <row r="162">
      <c r="A162" s="1278"/>
      <c r="B162" s="999"/>
      <c r="F162" s="28"/>
    </row>
    <row r="163">
      <c r="A163" s="1276"/>
      <c r="B163" s="999"/>
      <c r="F163" s="28"/>
    </row>
    <row r="164">
      <c r="A164" s="1276"/>
      <c r="B164" s="999"/>
      <c r="F164" s="28"/>
    </row>
    <row r="165">
      <c r="A165" s="1276"/>
      <c r="B165" s="999"/>
      <c r="F165" s="28"/>
    </row>
    <row r="166">
      <c r="A166" s="1276"/>
      <c r="B166" s="999"/>
      <c r="F166" s="28"/>
    </row>
    <row r="167">
      <c r="A167" s="1279"/>
      <c r="B167" s="1280"/>
      <c r="C167" s="11"/>
      <c r="D167" s="11"/>
      <c r="E167" s="11"/>
      <c r="F167" s="46"/>
    </row>
  </sheetData>
  <mergeCells count="69">
    <mergeCell ref="H101:M101"/>
    <mergeCell ref="I102:M102"/>
    <mergeCell ref="G92:G93"/>
    <mergeCell ref="G94:G95"/>
    <mergeCell ref="A97:F97"/>
    <mergeCell ref="A100:F100"/>
    <mergeCell ref="H100:M100"/>
    <mergeCell ref="A101:F101"/>
    <mergeCell ref="B102:F102"/>
    <mergeCell ref="A149:F149"/>
    <mergeCell ref="A151:F152"/>
    <mergeCell ref="C153:F167"/>
    <mergeCell ref="B118:F118"/>
    <mergeCell ref="A125:F125"/>
    <mergeCell ref="B126:F126"/>
    <mergeCell ref="A133:F133"/>
    <mergeCell ref="B134:F134"/>
    <mergeCell ref="A141:F141"/>
    <mergeCell ref="B142:F142"/>
    <mergeCell ref="H15:M15"/>
    <mergeCell ref="H16:M17"/>
    <mergeCell ref="H18:M18"/>
    <mergeCell ref="H19:M19"/>
    <mergeCell ref="I20:M20"/>
    <mergeCell ref="H25:M25"/>
    <mergeCell ref="H32:M32"/>
    <mergeCell ref="I33:M33"/>
    <mergeCell ref="A9:F9"/>
    <mergeCell ref="H9:M9"/>
    <mergeCell ref="A10:F11"/>
    <mergeCell ref="H10:M10"/>
    <mergeCell ref="A12:F12"/>
    <mergeCell ref="A13:F13"/>
    <mergeCell ref="A14:F14"/>
    <mergeCell ref="A15:F15"/>
    <mergeCell ref="G15:G24"/>
    <mergeCell ref="A16:F17"/>
    <mergeCell ref="A18:F18"/>
    <mergeCell ref="A19:F19"/>
    <mergeCell ref="B20:F20"/>
    <mergeCell ref="G25:G26"/>
    <mergeCell ref="A25:F25"/>
    <mergeCell ref="A32:F32"/>
    <mergeCell ref="B33:F33"/>
    <mergeCell ref="A39:F39"/>
    <mergeCell ref="B40:F40"/>
    <mergeCell ref="A47:F47"/>
    <mergeCell ref="B48:F48"/>
    <mergeCell ref="A54:F54"/>
    <mergeCell ref="B55:F55"/>
    <mergeCell ref="A60:F60"/>
    <mergeCell ref="A62:F62"/>
    <mergeCell ref="A65:F65"/>
    <mergeCell ref="B66:F66"/>
    <mergeCell ref="B78:F78"/>
    <mergeCell ref="A81:F81"/>
    <mergeCell ref="B82:F82"/>
    <mergeCell ref="A89:F89"/>
    <mergeCell ref="G89:G91"/>
    <mergeCell ref="H89:M89"/>
    <mergeCell ref="B90:F90"/>
    <mergeCell ref="I90:M90"/>
    <mergeCell ref="A108:F108"/>
    <mergeCell ref="H108:M108"/>
    <mergeCell ref="A111:F111"/>
    <mergeCell ref="H111:M111"/>
    <mergeCell ref="B114:F114"/>
    <mergeCell ref="I114:M114"/>
    <mergeCell ref="A117:F117"/>
  </mergeCells>
  <dataValidations>
    <dataValidation type="decimal" operator="greaterThanOrEqual" allowBlank="1" showDropDown="1" sqref="F67:F71 F73">
      <formula1>0.0</formula1>
    </dataValidation>
  </dataValidations>
  <drawing r:id="rId2"/>
  <legacyDrawing r:id="rId3"/>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51" t="str">
        <f>'MSW40'!A1</f>
        <v/>
      </c>
    </row>
    <row r="8">
      <c r="A8" s="11"/>
      <c r="B8" s="11"/>
      <c r="C8" s="11"/>
      <c r="D8" s="11"/>
      <c r="E8" s="11"/>
      <c r="F8" s="11"/>
      <c r="G8" s="11"/>
      <c r="H8" s="11"/>
      <c r="I8" s="11"/>
      <c r="J8" s="11"/>
      <c r="K8" s="11"/>
      <c r="L8" s="11"/>
      <c r="M8" s="11"/>
    </row>
    <row r="9">
      <c r="A9" s="1293" t="str">
        <f>'MSW40'!A9</f>
        <v>Week 40</v>
      </c>
      <c r="B9" s="36"/>
      <c r="C9" s="36"/>
      <c r="D9" s="36"/>
      <c r="E9" s="36"/>
      <c r="F9" s="37"/>
      <c r="G9" s="419" t="str">
        <f>'MSW40'!G9</f>
        <v/>
      </c>
      <c r="H9" s="24" t="s">
        <v>35</v>
      </c>
      <c r="I9" s="25"/>
      <c r="J9" s="25"/>
      <c r="K9" s="25"/>
      <c r="L9" s="25"/>
      <c r="M9" s="26"/>
    </row>
    <row r="10">
      <c r="A10" s="719" t="str">
        <f>'MSW40'!A10</f>
        <v>PRESS TO RECORD BODY WEIGHT</v>
      </c>
      <c r="B10" s="25"/>
      <c r="C10" s="25"/>
      <c r="D10" s="25"/>
      <c r="E10" s="25"/>
      <c r="F10" s="26"/>
      <c r="H10" s="27" t="s">
        <v>370</v>
      </c>
      <c r="M10" s="28"/>
    </row>
    <row r="11">
      <c r="A11" s="336"/>
      <c r="B11" s="11"/>
      <c r="C11" s="11"/>
      <c r="D11" s="11"/>
      <c r="E11" s="11"/>
      <c r="F11" s="46"/>
      <c r="H11" s="29" t="s">
        <v>371</v>
      </c>
      <c r="I11" s="30"/>
      <c r="J11" s="30"/>
      <c r="K11" s="30"/>
      <c r="L11" s="30"/>
      <c r="M11" s="31"/>
    </row>
    <row r="12">
      <c r="A12" s="720" t="str">
        <f>'MSW40'!A12</f>
        <v>This Weeks Goals</v>
      </c>
      <c r="B12" s="36"/>
      <c r="C12" s="36"/>
      <c r="D12" s="36"/>
      <c r="E12" s="36"/>
      <c r="F12" s="37"/>
      <c r="G12" s="419"/>
    </row>
    <row r="13">
      <c r="A13" s="1452" t="str">
        <f>'MSW40'!A13</f>
        <v>This is what we call percentage week. For the most part we are going to work your body just under it's maximum potential and go for more repititions. There are however a few areas that are excluded from this principle but the general theme of the week is working under your max. </v>
      </c>
      <c r="B13" s="36"/>
      <c r="C13" s="36"/>
      <c r="D13" s="36"/>
      <c r="E13" s="36"/>
      <c r="F13" s="37"/>
    </row>
    <row r="14">
      <c r="A14" s="653" t="str">
        <f>'MSW40'!A14</f>
        <v/>
      </c>
    </row>
    <row r="15">
      <c r="A15" s="50" t="str">
        <f>'MSW40'!A15</f>
        <v>DAY 1 </v>
      </c>
      <c r="B15" s="36"/>
      <c r="C15" s="36"/>
      <c r="D15" s="36"/>
      <c r="E15" s="36"/>
      <c r="F15" s="37"/>
      <c r="G15" s="141" t="str">
        <f>'MSW40'!G15</f>
        <v/>
      </c>
      <c r="H15" s="429" t="str">
        <f>'MSW40'!H15</f>
        <v>ALTERNATE WORKOUTS</v>
      </c>
      <c r="I15" s="36"/>
      <c r="J15" s="36"/>
      <c r="K15" s="36"/>
      <c r="L15" s="36"/>
      <c r="M15" s="37"/>
    </row>
    <row r="16">
      <c r="A16" s="657" t="str">
        <f>'MSW40'!A16</f>
        <v/>
      </c>
      <c r="H16" s="657" t="str">
        <f>'MSW40'!H16</f>
        <v/>
      </c>
    </row>
    <row r="18">
      <c r="A18" s="51" t="str">
        <f>'MSW40'!A18</f>
        <v>CHEST &amp; BACK </v>
      </c>
      <c r="B18" s="36"/>
      <c r="C18" s="36"/>
      <c r="D18" s="36"/>
      <c r="E18" s="36"/>
      <c r="F18" s="37"/>
      <c r="H18" s="51" t="str">
        <f>'MSW40'!H18</f>
        <v>CHEST &amp; BACK </v>
      </c>
      <c r="I18" s="36"/>
      <c r="J18" s="36"/>
      <c r="K18" s="36"/>
      <c r="L18" s="36"/>
      <c r="M18" s="37"/>
    </row>
    <row r="19">
      <c r="A19" s="93" t="str">
        <f>'MSW40'!A19</f>
        <v>1. BENCH PRESS</v>
      </c>
      <c r="B19" s="53"/>
      <c r="C19" s="53"/>
      <c r="D19" s="53"/>
      <c r="E19" s="53"/>
      <c r="F19" s="54"/>
      <c r="H19" s="93" t="str">
        <f>'MSW40'!H19</f>
        <v>1. MACHINE PRESS</v>
      </c>
      <c r="I19" s="53"/>
      <c r="J19" s="53"/>
      <c r="K19" s="53"/>
      <c r="L19" s="53"/>
      <c r="M19" s="54"/>
    </row>
    <row r="20">
      <c r="A20" s="226" t="str">
        <f>'MSW40'!A20</f>
        <v>CURRENT MAX</v>
      </c>
      <c r="B20" s="691">
        <f>'MSW40'!B20</f>
        <v>260</v>
      </c>
      <c r="C20" s="13"/>
      <c r="D20" s="13"/>
      <c r="E20" s="13"/>
      <c r="F20" s="57"/>
      <c r="H20" s="226" t="str">
        <f>'MSW40'!H20</f>
        <v>CURRENT MAX</v>
      </c>
      <c r="I20" s="691" t="str">
        <f>'MSW40'!I20</f>
        <v/>
      </c>
      <c r="J20" s="13"/>
      <c r="K20" s="13"/>
      <c r="L20" s="13"/>
      <c r="M20" s="57"/>
    </row>
    <row r="21">
      <c r="A21" s="96" t="str">
        <f>'MSW40'!A21</f>
        <v>SET</v>
      </c>
      <c r="B21" s="97" t="str">
        <f>'MSW40'!B21</f>
        <v>WEIGHT</v>
      </c>
      <c r="C21" s="97" t="str">
        <f>'MSW40'!C21</f>
        <v>REPS</v>
      </c>
      <c r="D21" s="97" t="str">
        <f>'MSW40'!D21</f>
        <v>REST</v>
      </c>
      <c r="E21" s="341" t="str">
        <f>'MSW40'!E21</f>
        <v>PREVIOUS</v>
      </c>
      <c r="F21" s="235" t="str">
        <f>'MSW40'!F21</f>
        <v>REP LOG</v>
      </c>
      <c r="H21" s="96" t="str">
        <f>'MSW40'!H21</f>
        <v>SET</v>
      </c>
      <c r="I21" s="97" t="str">
        <f>'MSW40'!I21</f>
        <v>WEIGHT</v>
      </c>
      <c r="J21" s="97" t="str">
        <f>'MSW40'!J21</f>
        <v>REPS</v>
      </c>
      <c r="K21" s="97" t="str">
        <f>'MSW40'!K21</f>
        <v>REST</v>
      </c>
      <c r="L21" s="341" t="str">
        <f>'MSW40'!L21</f>
        <v>PREVIOUS</v>
      </c>
      <c r="M21" s="235" t="str">
        <f>'MSW40'!M21</f>
        <v>REP LOG</v>
      </c>
    </row>
    <row r="22">
      <c r="A22" s="725">
        <f>'MSW40'!A22</f>
        <v>1</v>
      </c>
      <c r="B22" s="344">
        <f>'MSW40'!B22</f>
        <v>80</v>
      </c>
      <c r="C22" s="344">
        <f>'MSW40'!C22</f>
        <v>6</v>
      </c>
      <c r="D22" s="343" t="str">
        <f>'MSW40'!D22</f>
        <v>30 sec</v>
      </c>
      <c r="E22" s="66">
        <f>'MSW40'!E22</f>
        <v>6</v>
      </c>
      <c r="F22" s="85">
        <v>6.0</v>
      </c>
      <c r="H22" s="725">
        <f>'MSW40'!H22</f>
        <v>1</v>
      </c>
      <c r="I22" s="344">
        <f>'MSW40'!I22</f>
        <v>0</v>
      </c>
      <c r="J22" s="344">
        <f>'MSW40'!J22</f>
        <v>6</v>
      </c>
      <c r="K22" s="343" t="str">
        <f>'MSW40'!K22</f>
        <v>30 sec</v>
      </c>
      <c r="L22" s="66" t="str">
        <f>'MSW40'!L22</f>
        <v/>
      </c>
      <c r="M22" s="85" t="str">
        <f>'MSW40'!M22</f>
        <v/>
      </c>
    </row>
    <row r="23">
      <c r="A23" s="725">
        <f>'MSW40'!A23</f>
        <v>2</v>
      </c>
      <c r="B23" s="344">
        <f>'MSW40'!B23</f>
        <v>170</v>
      </c>
      <c r="C23" s="344">
        <f>'MSW40'!C23</f>
        <v>1</v>
      </c>
      <c r="D23" s="343" t="str">
        <f>'MSW40'!D23</f>
        <v>45 sec</v>
      </c>
      <c r="E23" s="66">
        <f>'MSW40'!E23</f>
        <v>1</v>
      </c>
      <c r="F23" s="85">
        <v>1.0</v>
      </c>
      <c r="H23" s="725">
        <f>'MSW40'!H23</f>
        <v>2</v>
      </c>
      <c r="I23" s="344">
        <f>'MSW40'!I23</f>
        <v>0</v>
      </c>
      <c r="J23" s="344">
        <f>'MSW40'!J23</f>
        <v>1</v>
      </c>
      <c r="K23" s="343" t="str">
        <f>'MSW40'!K23</f>
        <v>45 sec</v>
      </c>
      <c r="L23" s="66" t="str">
        <f>'MSW40'!L23</f>
        <v/>
      </c>
      <c r="M23" s="85" t="str">
        <f>'MSW40'!M23</f>
        <v/>
      </c>
    </row>
    <row r="24">
      <c r="A24" s="725">
        <f>'MSW40'!A24</f>
        <v>3</v>
      </c>
      <c r="B24" s="344">
        <f>'MSW40'!B24</f>
        <v>210</v>
      </c>
      <c r="C24" s="344">
        <f>'MSW40'!C24</f>
        <v>1</v>
      </c>
      <c r="D24" s="343" t="str">
        <f>'MSW40'!D24</f>
        <v>1 MIN</v>
      </c>
      <c r="E24" s="66">
        <f>'MSW40'!E24</f>
        <v>1</v>
      </c>
      <c r="F24" s="85">
        <v>1.0</v>
      </c>
      <c r="H24" s="725">
        <f>'MSW40'!H24</f>
        <v>3</v>
      </c>
      <c r="I24" s="344">
        <f>'MSW40'!I24</f>
        <v>0</v>
      </c>
      <c r="J24" s="344">
        <f>'MSW40'!J24</f>
        <v>1</v>
      </c>
      <c r="K24" s="343" t="str">
        <f>'MSW40'!K24</f>
        <v>1 MIN</v>
      </c>
      <c r="L24" s="66" t="str">
        <f>'MSW40'!L24</f>
        <v/>
      </c>
      <c r="M24" s="85" t="str">
        <f>'MSW40'!M24</f>
        <v/>
      </c>
    </row>
    <row r="25">
      <c r="A25" s="730" t="str">
        <f>'MSW40'!A25</f>
        <v>Working Set</v>
      </c>
      <c r="B25" s="13"/>
      <c r="C25" s="13"/>
      <c r="D25" s="13"/>
      <c r="E25" s="13"/>
      <c r="F25" s="57"/>
      <c r="G25" s="731" t="str">
        <f>'MSW40'!G25</f>
        <v>ALTERNATE</v>
      </c>
      <c r="H25" s="730" t="str">
        <f>'MSW40'!H25</f>
        <v>Working Set</v>
      </c>
      <c r="I25" s="13"/>
      <c r="J25" s="13"/>
      <c r="K25" s="13"/>
      <c r="L25" s="13"/>
      <c r="M25" s="57"/>
    </row>
    <row r="26">
      <c r="A26" s="96" t="str">
        <f>'MSW40'!A26</f>
        <v>SET</v>
      </c>
      <c r="B26" s="97" t="str">
        <f>'MSW40'!B26</f>
        <v>WEIGHT</v>
      </c>
      <c r="C26" s="97" t="str">
        <f>'MSW40'!C26</f>
        <v>REPS</v>
      </c>
      <c r="D26" s="97" t="str">
        <f>'MSW40'!D26</f>
        <v>REST</v>
      </c>
      <c r="E26" s="341" t="str">
        <f>'MSW40'!E26</f>
        <v>PREVIOUS</v>
      </c>
      <c r="F26" s="235" t="str">
        <f>'MSW40'!F26</f>
        <v>REP LOG</v>
      </c>
      <c r="H26" s="96" t="str">
        <f>'MSW40'!H26</f>
        <v>SET</v>
      </c>
      <c r="I26" s="97" t="str">
        <f>'MSW40'!I26</f>
        <v>WEIGHT</v>
      </c>
      <c r="J26" s="97" t="str">
        <f>'MSW40'!J26</f>
        <v>REPS</v>
      </c>
      <c r="K26" s="97" t="str">
        <f>'MSW40'!K26</f>
        <v>REST</v>
      </c>
      <c r="L26" s="341" t="str">
        <f>'MSW40'!L26</f>
        <v>PREVIOUS</v>
      </c>
      <c r="M26" s="235" t="str">
        <f>'MSW40'!M26</f>
        <v>REP LOG</v>
      </c>
    </row>
    <row r="27">
      <c r="A27" s="342">
        <f>'MSW40'!A27</f>
        <v>1</v>
      </c>
      <c r="B27" s="348">
        <f>'MSW40'!B27</f>
        <v>235</v>
      </c>
      <c r="C27" s="437" t="str">
        <f>'MSW40'!C27</f>
        <v>REP OUT</v>
      </c>
      <c r="D27" s="343" t="str">
        <f>'MSW40'!D27</f>
        <v>1-5 MIN</v>
      </c>
      <c r="E27" s="66">
        <f>'MSW40'!E27</f>
        <v>3</v>
      </c>
      <c r="F27" s="85">
        <v>5.0</v>
      </c>
      <c r="G27" s="682" t="str">
        <f>'MSW40'!G27</f>
        <v/>
      </c>
      <c r="H27" s="725">
        <f>'MSW40'!H27</f>
        <v>1</v>
      </c>
      <c r="I27" s="348">
        <f>'MSW40'!I27</f>
        <v>0</v>
      </c>
      <c r="J27" s="437" t="str">
        <f>'MSW40'!J27</f>
        <v>REP OUT</v>
      </c>
      <c r="K27" s="343" t="str">
        <f>'MSW40'!K27</f>
        <v>1-5 MIN</v>
      </c>
      <c r="L27" s="66" t="str">
        <f>'MSW40'!L27</f>
        <v/>
      </c>
      <c r="M27" s="85" t="str">
        <f>'MSW40'!M27</f>
        <v/>
      </c>
    </row>
    <row r="28">
      <c r="A28" s="725">
        <f>'MSW40'!A28</f>
        <v>2</v>
      </c>
      <c r="B28" s="348">
        <f>'MSW40'!B28</f>
        <v>200</v>
      </c>
      <c r="C28" s="437" t="str">
        <f>'MSW40'!C28</f>
        <v>REP OUT</v>
      </c>
      <c r="D28" s="343" t="str">
        <f>'MSW40'!D28</f>
        <v>1-5 MIN</v>
      </c>
      <c r="E28" s="66">
        <f>'MSW40'!E28</f>
        <v>8</v>
      </c>
      <c r="F28" s="85">
        <v>8.0</v>
      </c>
      <c r="H28" s="725">
        <f>'MSW40'!H28</f>
        <v>2</v>
      </c>
      <c r="I28" s="348">
        <f>'MSW40'!I28</f>
        <v>0</v>
      </c>
      <c r="J28" s="437" t="str">
        <f>'MSW40'!J28</f>
        <v>REP OUT</v>
      </c>
      <c r="K28" s="343" t="str">
        <f>'MSW40'!K28</f>
        <v>1-5 MIN</v>
      </c>
      <c r="L28" s="66" t="str">
        <f>'MSW40'!L28</f>
        <v/>
      </c>
      <c r="M28" s="85" t="str">
        <f>'MSW40'!M28</f>
        <v/>
      </c>
    </row>
    <row r="29">
      <c r="A29" s="485">
        <f>'MSW40'!A29</f>
        <v>3</v>
      </c>
      <c r="B29" s="732">
        <f>'MSW40'!B29</f>
        <v>180</v>
      </c>
      <c r="C29" s="733" t="str">
        <f>'MSW40'!C29</f>
        <v>REP OUT</v>
      </c>
      <c r="D29" s="486" t="str">
        <f>'MSW40'!D29</f>
        <v>1-5 MIN</v>
      </c>
      <c r="E29" s="72" t="str">
        <f>'MSW40'!E29</f>
        <v/>
      </c>
      <c r="F29" s="85" t="str">
        <f>'MSW40'!F29</f>
        <v/>
      </c>
      <c r="H29" s="735">
        <f>'MSW40'!H29</f>
        <v>3</v>
      </c>
      <c r="I29" s="736">
        <f>'MSW40'!I29</f>
        <v>0</v>
      </c>
      <c r="J29" s="737" t="str">
        <f>'MSW40'!J29</f>
        <v>REP OUT</v>
      </c>
      <c r="K29" s="738" t="str">
        <f>'MSW40'!K29</f>
        <v>1-5 MIN</v>
      </c>
      <c r="L29" s="66" t="str">
        <f>'MSW40'!L29</f>
        <v/>
      </c>
      <c r="M29" s="330" t="str">
        <f>'MSW40'!M29</f>
        <v/>
      </c>
    </row>
    <row r="30">
      <c r="A30" s="740" t="str">
        <f>'MSW40'!A30</f>
        <v/>
      </c>
      <c r="G30" s="141" t="str">
        <f>'MSW40'!G30</f>
        <v/>
      </c>
      <c r="H30" s="742" t="str">
        <f>'MSW40'!H30</f>
        <v/>
      </c>
      <c r="I30" s="25"/>
      <c r="J30" s="25"/>
      <c r="K30" s="25"/>
      <c r="L30" s="25"/>
      <c r="M30" s="25"/>
    </row>
    <row r="32">
      <c r="A32" s="440" t="str">
        <f>'MSW40'!A32</f>
        <v>2. DB CHEST FLY</v>
      </c>
      <c r="B32" s="53"/>
      <c r="C32" s="53"/>
      <c r="D32" s="53"/>
      <c r="E32" s="53"/>
      <c r="F32" s="54"/>
      <c r="H32" s="504" t="str">
        <f>'MSW40'!H32</f>
        <v>2. MACHINE CHEST FLY</v>
      </c>
      <c r="I32" s="53"/>
      <c r="J32" s="53"/>
      <c r="K32" s="53"/>
      <c r="L32" s="53"/>
      <c r="M32" s="54"/>
    </row>
    <row r="33">
      <c r="A33" s="226" t="str">
        <f>'MSW40'!A33</f>
        <v>DB INCL PRSS MAX</v>
      </c>
      <c r="B33" s="691">
        <f>'MSW40'!B33</f>
        <v>90</v>
      </c>
      <c r="C33" s="13"/>
      <c r="D33" s="13"/>
      <c r="E33" s="13"/>
      <c r="F33" s="57"/>
      <c r="H33" s="226" t="str">
        <f>'MSW40'!H33</f>
        <v>DB INCL PRSS MAX</v>
      </c>
      <c r="I33" s="548">
        <f>'MSW40'!I33</f>
        <v>90</v>
      </c>
      <c r="J33" s="13"/>
      <c r="K33" s="13"/>
      <c r="L33" s="13"/>
      <c r="M33" s="57"/>
    </row>
    <row r="34">
      <c r="A34" s="743" t="str">
        <f>'MSW40'!A34</f>
        <v>SET</v>
      </c>
      <c r="B34" s="744" t="str">
        <f>'MSW40'!B34</f>
        <v>WEIGHT</v>
      </c>
      <c r="C34" s="744" t="str">
        <f>'MSW40'!C34</f>
        <v>REPS</v>
      </c>
      <c r="D34" s="744" t="str">
        <f>'MSW40'!D34</f>
        <v>REST</v>
      </c>
      <c r="E34" s="745" t="str">
        <f>'MSW40'!E34</f>
        <v>PREVIOUS</v>
      </c>
      <c r="F34" s="746" t="str">
        <f>'MSW40'!F34</f>
        <v>REP LOG</v>
      </c>
      <c r="H34" s="96" t="str">
        <f>'MSW40'!H34</f>
        <v>SET</v>
      </c>
      <c r="I34" s="97" t="str">
        <f>'MSW40'!I34</f>
        <v>WEIGHT</v>
      </c>
      <c r="J34" s="97" t="str">
        <f>'MSW40'!J34</f>
        <v>REPS</v>
      </c>
      <c r="K34" s="97" t="str">
        <f>'MSW40'!K34</f>
        <v>REST</v>
      </c>
      <c r="L34" s="341" t="str">
        <f>'MSW40'!L34</f>
        <v>PREVIOUS</v>
      </c>
      <c r="M34" s="235" t="str">
        <f>'MSW40'!M34</f>
        <v>REP LOG</v>
      </c>
    </row>
    <row r="35">
      <c r="A35" s="725">
        <f>'MSW40'!A35</f>
        <v>1</v>
      </c>
      <c r="B35" s="254">
        <f>'MSW40'!B36</f>
        <v>25</v>
      </c>
      <c r="C35" s="344">
        <f>'MSW40'!C35</f>
        <v>15</v>
      </c>
      <c r="D35" s="343" t="str">
        <f>'MSW40'!D35</f>
        <v>1 MIN</v>
      </c>
      <c r="E35" s="66" t="str">
        <f>'MSW40'!E35</f>
        <v/>
      </c>
      <c r="F35" s="85" t="str">
        <f>'MSW40'!F35</f>
        <v/>
      </c>
      <c r="H35" s="240">
        <f>'MSW40'!H35</f>
        <v>1</v>
      </c>
      <c r="I35" s="254">
        <f>'MSW40'!I35</f>
        <v>140</v>
      </c>
      <c r="J35" s="241">
        <f>'MSW40'!J35</f>
        <v>15</v>
      </c>
      <c r="K35" s="83" t="str">
        <f>'MSW40'!K35</f>
        <v>1 MIN</v>
      </c>
      <c r="L35" s="66" t="str">
        <f>'MSW40'!L35</f>
        <v/>
      </c>
      <c r="M35" s="85" t="str">
        <f>'MSW40'!M35</f>
        <v/>
      </c>
    </row>
    <row r="36">
      <c r="A36" s="747">
        <f>'MSW40'!A36</f>
        <v>2</v>
      </c>
      <c r="B36" s="662">
        <f>'MSW40'!B36</f>
        <v>25</v>
      </c>
      <c r="C36" s="813">
        <f>'MSW40'!C36</f>
        <v>15</v>
      </c>
      <c r="D36" s="486" t="str">
        <f>'MSW40'!D36</f>
        <v>1 MIN</v>
      </c>
      <c r="E36" s="72" t="str">
        <f>'MSW40'!E36</f>
        <v/>
      </c>
      <c r="F36" s="85" t="str">
        <f>'MSW40'!F36</f>
        <v/>
      </c>
      <c r="H36" s="661">
        <f>'MSW40'!H36</f>
        <v>2</v>
      </c>
      <c r="I36" s="662">
        <f>'MSW40'!I36</f>
        <v>140</v>
      </c>
      <c r="J36" s="662">
        <f>'MSW40'!J36</f>
        <v>15</v>
      </c>
      <c r="K36" s="88" t="str">
        <f>'MSW40'!K36</f>
        <v>1 MIN</v>
      </c>
      <c r="L36" s="72" t="str">
        <f>'MSW40'!L36</f>
        <v/>
      </c>
      <c r="M36" s="85" t="str">
        <f>'MSW40'!M36</f>
        <v/>
      </c>
    </row>
    <row r="37">
      <c r="A37" s="1151" t="str">
        <f>'MSW40'!A37</f>
        <v/>
      </c>
      <c r="G37" s="1151" t="str">
        <f>'MSW40'!G37</f>
        <v/>
      </c>
    </row>
    <row r="39">
      <c r="A39" s="73" t="str">
        <f>'MSW40'!A39</f>
        <v>3. LAT PULL DOWN</v>
      </c>
      <c r="B39" s="53"/>
      <c r="C39" s="53"/>
      <c r="D39" s="53"/>
      <c r="E39" s="53"/>
      <c r="F39" s="54"/>
    </row>
    <row r="40">
      <c r="A40" s="282" t="str">
        <f>'MSW40'!A40</f>
        <v>CURRENT MAX</v>
      </c>
      <c r="B40" s="852">
        <f>'MSW40'!B40</f>
        <v>235</v>
      </c>
      <c r="C40" s="16"/>
      <c r="D40" s="16"/>
      <c r="E40" s="16"/>
      <c r="F40" s="230"/>
    </row>
    <row r="41">
      <c r="A41" s="58" t="str">
        <f>'MSW40'!A41</f>
        <v>SET</v>
      </c>
      <c r="B41" s="365" t="str">
        <f>'MSW40'!B41</f>
        <v>WEIGHT</v>
      </c>
      <c r="C41" s="365" t="str">
        <f>'MSW40'!C41</f>
        <v>REPS</v>
      </c>
      <c r="D41" s="365" t="str">
        <f>'MSW40'!D41</f>
        <v>REST</v>
      </c>
      <c r="E41" s="853" t="str">
        <f>'MSW40'!E41</f>
        <v>PREVIOUS</v>
      </c>
      <c r="F41" s="854" t="str">
        <f>'MSW40'!F41</f>
        <v>REP LOG</v>
      </c>
    </row>
    <row r="42">
      <c r="A42" s="242">
        <f>'MSW40'!A42</f>
        <v>1</v>
      </c>
      <c r="B42" s="237">
        <f>'MSW40'!B42</f>
        <v>120</v>
      </c>
      <c r="C42" s="104" t="str">
        <f>'MSW40'!C42</f>
        <v>Rep Out</v>
      </c>
      <c r="D42" s="65" t="str">
        <f>'MSW40'!D42</f>
        <v>1 Min</v>
      </c>
      <c r="E42" s="66" t="str">
        <f>'MSW40'!E42</f>
        <v/>
      </c>
      <c r="F42" s="67">
        <v>20.0</v>
      </c>
    </row>
    <row r="43">
      <c r="A43" s="242">
        <f>'MSW40'!A43</f>
        <v>2</v>
      </c>
      <c r="B43" s="237">
        <f>'MSW40'!B43</f>
        <v>120</v>
      </c>
      <c r="C43" s="104" t="str">
        <f>'MSW40'!C43</f>
        <v>Rep Out</v>
      </c>
      <c r="D43" s="65" t="str">
        <f>'MSW40'!D43</f>
        <v>1 Min</v>
      </c>
      <c r="E43" s="66" t="str">
        <f>'MSW40'!E43</f>
        <v/>
      </c>
      <c r="F43" s="67">
        <v>14.0</v>
      </c>
    </row>
    <row r="44">
      <c r="A44" s="289">
        <f>'MSW40'!A44</f>
        <v>3</v>
      </c>
      <c r="B44" s="87">
        <f>'MSW40'!B44</f>
        <v>120</v>
      </c>
      <c r="C44" s="105" t="str">
        <f>'MSW40'!C44</f>
        <v>Rep Out</v>
      </c>
      <c r="D44" s="71" t="str">
        <f>'MSW40'!D44</f>
        <v>1 Min</v>
      </c>
      <c r="E44" s="72" t="str">
        <f>'MSW40'!E44</f>
        <v/>
      </c>
      <c r="F44" s="67">
        <v>12.0</v>
      </c>
    </row>
    <row r="45">
      <c r="A45" s="302" t="str">
        <f>'MSW40'!A45</f>
        <v/>
      </c>
    </row>
    <row r="47">
      <c r="A47" s="73" t="str">
        <f>'MSW40'!A47</f>
        <v>4. MACHINE LOW ROW</v>
      </c>
      <c r="B47" s="53"/>
      <c r="C47" s="53"/>
      <c r="D47" s="53"/>
      <c r="E47" s="53"/>
      <c r="F47" s="54"/>
    </row>
    <row r="48">
      <c r="A48" s="458" t="str">
        <f>'MSW40'!A48</f>
        <v>CURRENT MAX</v>
      </c>
      <c r="B48" s="56">
        <f>'MSW40'!B48</f>
        <v>220</v>
      </c>
      <c r="C48" s="13"/>
      <c r="D48" s="13"/>
      <c r="E48" s="13"/>
      <c r="F48" s="57"/>
    </row>
    <row r="49">
      <c r="A49" s="58" t="str">
        <f>'MSW40'!A49</f>
        <v>SET</v>
      </c>
      <c r="B49" s="59" t="str">
        <f>'MSW40'!B49</f>
        <v>WEIGHT</v>
      </c>
      <c r="C49" s="59" t="str">
        <f>'MSW40'!C49</f>
        <v>REPS</v>
      </c>
      <c r="D49" s="59" t="str">
        <f>'MSW40'!D49</f>
        <v>REST</v>
      </c>
      <c r="E49" s="584" t="str">
        <f>'MSW40'!E49</f>
        <v>PREVIOUS</v>
      </c>
      <c r="F49" s="61" t="str">
        <f>'MSW40'!F49</f>
        <v>REP LOG</v>
      </c>
    </row>
    <row r="50">
      <c r="A50" s="62">
        <f>'MSW40'!A50</f>
        <v>1</v>
      </c>
      <c r="B50" s="855">
        <f>'MSW40'!B50</f>
        <v>110</v>
      </c>
      <c r="C50" s="104" t="str">
        <f>'MSW40'!C50</f>
        <v>Rep Out</v>
      </c>
      <c r="D50" s="65" t="str">
        <f>'MSW40'!D50</f>
        <v>1 Min</v>
      </c>
      <c r="E50" s="66" t="str">
        <f>'MSW40'!E50</f>
        <v/>
      </c>
      <c r="F50" s="67">
        <v>13.0</v>
      </c>
    </row>
    <row r="51">
      <c r="A51" s="68">
        <f>'MSW40'!A51</f>
        <v>2</v>
      </c>
      <c r="B51" s="856">
        <f>'MSW40'!B51</f>
        <v>110</v>
      </c>
      <c r="C51" s="105" t="str">
        <f>'MSW40'!C51</f>
        <v>Rep Out</v>
      </c>
      <c r="D51" s="71" t="str">
        <f>'MSW40'!D51</f>
        <v>1 Min</v>
      </c>
      <c r="E51" s="72" t="str">
        <f>'MSW40'!E51</f>
        <v/>
      </c>
      <c r="F51" s="67">
        <v>9.0</v>
      </c>
    </row>
    <row r="52">
      <c r="A52" s="103" t="str">
        <f>'MSW40'!A52</f>
        <v/>
      </c>
    </row>
    <row r="54">
      <c r="A54" s="73" t="str">
        <f>'MSW40'!A54</f>
        <v>5. MACHINE HIGH ROW</v>
      </c>
      <c r="B54" s="53"/>
      <c r="C54" s="53"/>
      <c r="D54" s="53"/>
      <c r="E54" s="53"/>
      <c r="F54" s="54"/>
    </row>
    <row r="55">
      <c r="A55" s="458" t="str">
        <f>'MSW40'!A55</f>
        <v>CURRENT MAX</v>
      </c>
      <c r="B55" s="56">
        <f>'MSW40'!B55</f>
        <v>210</v>
      </c>
      <c r="C55" s="13"/>
      <c r="D55" s="13"/>
      <c r="E55" s="13"/>
      <c r="F55" s="57"/>
    </row>
    <row r="56">
      <c r="A56" s="58" t="str">
        <f>'MSW40'!A56</f>
        <v>SET</v>
      </c>
      <c r="B56" s="59" t="str">
        <f>'MSW40'!B56</f>
        <v>WEIGHT</v>
      </c>
      <c r="C56" s="59" t="str">
        <f>'MSW40'!C56</f>
        <v>REPS</v>
      </c>
      <c r="D56" s="59" t="str">
        <f>'MSW40'!D56</f>
        <v>REST</v>
      </c>
      <c r="E56" s="584" t="str">
        <f>'MSW40'!E56</f>
        <v>PREVIOUS</v>
      </c>
      <c r="F56" s="61" t="str">
        <f>'MSW40'!F56</f>
        <v>REP LOG</v>
      </c>
    </row>
    <row r="57">
      <c r="A57" s="62">
        <f>'MSW40'!A57</f>
        <v>1</v>
      </c>
      <c r="B57" s="855">
        <f>'MSW40'!B57</f>
        <v>105</v>
      </c>
      <c r="C57" s="104" t="str">
        <f>'MSW40'!C57</f>
        <v>Rep Out</v>
      </c>
      <c r="D57" s="65" t="str">
        <f>'MSW40'!D57</f>
        <v>1 Min</v>
      </c>
      <c r="E57" s="66" t="str">
        <f>'MSW40'!E57</f>
        <v/>
      </c>
      <c r="F57" s="67" t="str">
        <f>'MSW40'!F57</f>
        <v/>
      </c>
    </row>
    <row r="58">
      <c r="A58" s="68">
        <f>'MSW40'!A58</f>
        <v>2</v>
      </c>
      <c r="B58" s="856">
        <f>'MSW40'!B58</f>
        <v>105</v>
      </c>
      <c r="C58" s="105" t="str">
        <f>'MSW40'!C58</f>
        <v>Rep Out</v>
      </c>
      <c r="D58" s="71" t="str">
        <f>'MSW40'!D58</f>
        <v>1 Min</v>
      </c>
      <c r="E58" s="72" t="str">
        <f>'MSW40'!E58</f>
        <v/>
      </c>
      <c r="F58" s="67" t="str">
        <f>'MSW40'!F58</f>
        <v/>
      </c>
    </row>
    <row r="59">
      <c r="A59" s="535" t="str">
        <f>'MSW40'!A59</f>
        <v/>
      </c>
    </row>
    <row r="60">
      <c r="A60" s="310" t="str">
        <f>'MSW40'!A60</f>
        <v>CLICK TO COMPLETE WORKOUT</v>
      </c>
      <c r="B60" s="36"/>
      <c r="C60" s="36"/>
      <c r="D60" s="36"/>
      <c r="E60" s="36"/>
      <c r="F60" s="37"/>
    </row>
    <row r="61">
      <c r="A61" s="858" t="str">
        <f>'MSW40'!A61</f>
        <v/>
      </c>
    </row>
    <row r="62">
      <c r="A62" s="602" t="str">
        <f>'MSW40'!A62</f>
        <v>DAY 2 </v>
      </c>
      <c r="B62" s="36"/>
      <c r="C62" s="36"/>
      <c r="D62" s="36"/>
      <c r="E62" s="36"/>
      <c r="F62" s="37"/>
    </row>
    <row r="63">
      <c r="A63" s="1151" t="str">
        <f>'MSW40'!A63</f>
        <v/>
      </c>
    </row>
    <row r="65">
      <c r="A65" s="1355" t="str">
        <f>'MSW40'!A65</f>
        <v>1. MACHINE SQUAT</v>
      </c>
      <c r="B65" s="53"/>
      <c r="C65" s="53"/>
      <c r="D65" s="53"/>
      <c r="E65" s="53"/>
      <c r="F65" s="54"/>
    </row>
    <row r="66">
      <c r="A66" s="961" t="str">
        <f>'MSW40'!A66</f>
        <v>10 REP MAX</v>
      </c>
      <c r="B66" s="1035">
        <f>'MSW40'!B66</f>
        <v>35</v>
      </c>
      <c r="C66" s="13"/>
      <c r="D66" s="13"/>
      <c r="E66" s="13"/>
      <c r="F66" s="57"/>
    </row>
    <row r="67">
      <c r="A67" s="231" t="str">
        <f>'MSW40'!A67</f>
        <v>SET</v>
      </c>
      <c r="B67" s="232" t="str">
        <f>'MSW40'!B67</f>
        <v>WEIGHT</v>
      </c>
      <c r="C67" s="232" t="str">
        <f>'MSW40'!C67</f>
        <v>REPS</v>
      </c>
      <c r="D67" s="232" t="str">
        <f>'MSW40'!D67</f>
        <v>REST</v>
      </c>
      <c r="E67" s="233" t="str">
        <f>'MSW40'!E67</f>
        <v>PREVIOUS</v>
      </c>
      <c r="F67" s="61" t="str">
        <f>'MSW40'!F67</f>
        <v>REP LOG</v>
      </c>
    </row>
    <row r="68">
      <c r="A68" s="236">
        <f>'MSW40'!A68</f>
        <v>1</v>
      </c>
      <c r="B68" s="237">
        <f>'MSW40'!B68</f>
        <v>10</v>
      </c>
      <c r="C68" s="238">
        <f>'MSW40'!C68</f>
        <v>10</v>
      </c>
      <c r="D68" s="238" t="str">
        <f>'MSW40'!D68</f>
        <v>30s</v>
      </c>
      <c r="E68" s="66" t="str">
        <f>'MSW40'!E68</f>
        <v/>
      </c>
      <c r="F68" s="67"/>
    </row>
    <row r="69">
      <c r="A69" s="236">
        <f>'MSW40'!A69</f>
        <v>2</v>
      </c>
      <c r="B69" s="237">
        <f>'MSW40'!B69</f>
        <v>25</v>
      </c>
      <c r="C69" s="238">
        <f>'MSW40'!C69</f>
        <v>10</v>
      </c>
      <c r="D69" s="238" t="str">
        <f>'MSW40'!D69</f>
        <v>1-2 MIN</v>
      </c>
      <c r="E69" s="66" t="str">
        <f>'MSW40'!E69</f>
        <v/>
      </c>
      <c r="F69" s="67"/>
    </row>
    <row r="70">
      <c r="A70" s="242">
        <f>'MSW40'!A70</f>
        <v>3</v>
      </c>
      <c r="B70" s="237">
        <f>'MSW40'!B70</f>
        <v>30</v>
      </c>
      <c r="C70" s="238">
        <f>'MSW40'!C70</f>
        <v>10</v>
      </c>
      <c r="D70" s="238" t="str">
        <f>'MSW40'!D70</f>
        <v>1-2 MIN</v>
      </c>
      <c r="E70" s="66" t="str">
        <f>'MSW40'!E70</f>
        <v/>
      </c>
      <c r="F70" s="67"/>
    </row>
    <row r="71">
      <c r="A71" s="249">
        <f>'MSW40'!A71</f>
        <v>4</v>
      </c>
      <c r="B71" s="175">
        <f>'MSW40'!B71</f>
        <v>25</v>
      </c>
      <c r="C71" s="238">
        <f>'MSW40'!C71</f>
        <v>10</v>
      </c>
      <c r="D71" s="238" t="str">
        <f>'MSW40'!D71</f>
        <v>1-5 MIN</v>
      </c>
      <c r="E71" s="66" t="str">
        <f>'MSW40'!E71</f>
        <v/>
      </c>
      <c r="F71" s="67"/>
    </row>
    <row r="72">
      <c r="A72" s="249">
        <f>'MSW40'!A72</f>
        <v>5</v>
      </c>
      <c r="B72" s="175">
        <f>'MSW40'!B72</f>
        <v>20</v>
      </c>
      <c r="C72" s="238">
        <f>'MSW40'!C72</f>
        <v>10</v>
      </c>
      <c r="D72" s="238" t="str">
        <f>'MSW40'!D72</f>
        <v>1-5 MIN</v>
      </c>
      <c r="E72" s="1108" t="str">
        <f>'MSW40'!E72</f>
        <v/>
      </c>
      <c r="F72" s="1037"/>
    </row>
    <row r="73">
      <c r="A73" s="249">
        <f>'MSW40'!A73</f>
        <v>6</v>
      </c>
      <c r="B73" s="175">
        <f>'MSW40'!B73</f>
        <v>15</v>
      </c>
      <c r="C73" s="238">
        <f>'MSW40'!C73</f>
        <v>10</v>
      </c>
      <c r="D73" s="238" t="str">
        <f>'MSW40'!D73</f>
        <v>1-5 MIN</v>
      </c>
      <c r="E73" s="1108" t="str">
        <f>'MSW40'!E73</f>
        <v/>
      </c>
      <c r="F73" s="67"/>
    </row>
    <row r="74">
      <c r="A74" s="1038">
        <f>'MSW40'!A74</f>
        <v>7</v>
      </c>
      <c r="B74" s="175">
        <f>'MSW40'!B74</f>
        <v>10</v>
      </c>
      <c r="C74" s="238">
        <f>'MSW40'!C74</f>
        <v>10</v>
      </c>
      <c r="D74" s="238" t="str">
        <f>'MSW40'!D74</f>
        <v>1-5 MIN</v>
      </c>
      <c r="E74" s="1108" t="str">
        <f>'MSW40'!E74</f>
        <v/>
      </c>
      <c r="F74" s="67"/>
    </row>
    <row r="75">
      <c r="A75" s="249">
        <f>'MSW40'!A75</f>
        <v>8</v>
      </c>
      <c r="B75" s="175">
        <f>'MSW40'!B75</f>
        <v>10</v>
      </c>
      <c r="C75" s="238">
        <f>'MSW40'!C75</f>
        <v>10</v>
      </c>
      <c r="D75" s="238" t="str">
        <f>'MSW40'!D75</f>
        <v>1-5 MIN</v>
      </c>
      <c r="E75" s="1108" t="str">
        <f>'MSW40'!E75</f>
        <v/>
      </c>
      <c r="F75" s="67"/>
    </row>
    <row r="76">
      <c r="A76" s="1038">
        <f>'MSW40'!A76</f>
        <v>9</v>
      </c>
      <c r="B76" s="175">
        <f>'MSW40'!B76</f>
        <v>10</v>
      </c>
      <c r="C76" s="238">
        <f>'MSW40'!C76</f>
        <v>10</v>
      </c>
      <c r="D76" s="238" t="str">
        <f>'MSW40'!D76</f>
        <v>1-5 MIN</v>
      </c>
      <c r="E76" s="1108" t="str">
        <f>'MSW40'!E76</f>
        <v/>
      </c>
      <c r="F76" s="67"/>
    </row>
    <row r="77">
      <c r="A77" s="1038" t="str">
        <f>'MSW40'!A77</f>
        <v>10</v>
      </c>
      <c r="B77" s="175">
        <f>'MSW40'!B77</f>
        <v>10</v>
      </c>
      <c r="C77" s="238">
        <f>'MSW40'!C77</f>
        <v>10</v>
      </c>
      <c r="D77" s="238" t="str">
        <f>'MSW40'!D77</f>
        <v>1-5 MIN</v>
      </c>
      <c r="E77" s="1108" t="str">
        <f>'MSW40'!E77</f>
        <v/>
      </c>
      <c r="F77" s="67"/>
    </row>
    <row r="78">
      <c r="A78" s="272" t="str">
        <f>'MSW40'!A78</f>
        <v>10 REP MAX</v>
      </c>
      <c r="B78" s="1109">
        <f>'MSW40'!B78</f>
        <v>35</v>
      </c>
      <c r="C78" s="11"/>
      <c r="D78" s="11"/>
      <c r="E78" s="11"/>
      <c r="F78" s="46"/>
    </row>
    <row r="79">
      <c r="A79" s="1151" t="str">
        <f>'MSW40'!A79</f>
        <v/>
      </c>
    </row>
    <row r="81">
      <c r="A81" s="1285" t="str">
        <f>'MSW40'!A81</f>
        <v>2. LEG EXTENSION</v>
      </c>
      <c r="B81" s="53"/>
      <c r="C81" s="53"/>
      <c r="D81" s="53"/>
      <c r="E81" s="53"/>
      <c r="F81" s="54"/>
    </row>
    <row r="82">
      <c r="A82" s="1045" t="str">
        <f>'MSW40'!A82</f>
        <v>CURRENT MAX</v>
      </c>
      <c r="B82" s="1367">
        <f>'MSW40'!B82</f>
        <v>125</v>
      </c>
      <c r="C82" s="20"/>
      <c r="D82" s="20"/>
      <c r="E82" s="20"/>
      <c r="F82" s="95"/>
    </row>
    <row r="83">
      <c r="A83" s="567" t="str">
        <f>'MSW40'!A83</f>
        <v>SET</v>
      </c>
      <c r="B83" s="568" t="str">
        <f>'MSW40'!B83</f>
        <v>WEIGHT</v>
      </c>
      <c r="C83" s="568" t="str">
        <f>'MSW40'!C83</f>
        <v>REPS</v>
      </c>
      <c r="D83" s="568" t="str">
        <f>'MSW40'!D83</f>
        <v>REST</v>
      </c>
      <c r="E83" s="1047" t="str">
        <f>'MSW40'!E83</f>
        <v>PREVIOUS</v>
      </c>
      <c r="F83" s="1048" t="str">
        <f>'MSW40'!F83</f>
        <v>REP LOG</v>
      </c>
    </row>
    <row r="84">
      <c r="A84" s="1049">
        <f>'MSW40'!A84</f>
        <v>1</v>
      </c>
      <c r="B84" s="1050">
        <f>'MSW40'!B84</f>
        <v>125</v>
      </c>
      <c r="C84" s="1051" t="str">
        <f>'MSW40'!C84</f>
        <v>10 - 15</v>
      </c>
      <c r="D84" s="1430" t="str">
        <f>'MSW40'!D84</f>
        <v>1-2 MIN</v>
      </c>
      <c r="E84" s="1130" t="str">
        <f>'MSW40'!E84</f>
        <v/>
      </c>
      <c r="F84" s="1113" t="str">
        <f>'MSW40'!F84</f>
        <v/>
      </c>
    </row>
    <row r="85">
      <c r="A85" s="1049">
        <f>'MSW40'!A85</f>
        <v>2</v>
      </c>
      <c r="B85" s="1050">
        <f>'MSW40'!B85</f>
        <v>100</v>
      </c>
      <c r="C85" s="1051" t="str">
        <f>'MSW40'!C85</f>
        <v>10 - 15</v>
      </c>
      <c r="D85" s="1430" t="str">
        <f>'MSW40'!D85</f>
        <v>1-2 MIN</v>
      </c>
      <c r="E85" s="1130" t="str">
        <f>'MSW40'!E85</f>
        <v/>
      </c>
      <c r="F85" s="1113" t="str">
        <f>'MSW40'!F85</f>
        <v/>
      </c>
    </row>
    <row r="86">
      <c r="A86" s="1053">
        <f>'MSW40'!A86</f>
        <v>3</v>
      </c>
      <c r="B86" s="1054">
        <f>'MSW40'!B86</f>
        <v>80</v>
      </c>
      <c r="C86" s="1055" t="str">
        <f>'MSW40'!C86</f>
        <v>10 - 15</v>
      </c>
      <c r="D86" s="1453" t="str">
        <f>'MSW40'!D86</f>
        <v>1-2 MIN</v>
      </c>
      <c r="E86" s="1348" t="str">
        <f>'MSW40'!E86</f>
        <v/>
      </c>
      <c r="F86" s="1113" t="str">
        <f>'MSW40'!F86</f>
        <v/>
      </c>
    </row>
    <row r="87">
      <c r="A87" s="1151" t="str">
        <f>'MSW40'!A87</f>
        <v/>
      </c>
    </row>
    <row r="89">
      <c r="A89" s="323" t="str">
        <f>'MSW40'!A89</f>
        <v>3. MACHINE LEG CURL</v>
      </c>
      <c r="B89" s="53"/>
      <c r="C89" s="53"/>
      <c r="D89" s="53"/>
      <c r="E89" s="53"/>
      <c r="F89" s="54"/>
      <c r="G89" s="141" t="str">
        <f>'MSW40'!G89</f>
        <v/>
      </c>
      <c r="H89" s="323" t="str">
        <f>'MSW40'!H89</f>
        <v>3. PRONE LEG CURL</v>
      </c>
      <c r="I89" s="53"/>
      <c r="J89" s="53"/>
      <c r="K89" s="53"/>
      <c r="L89" s="53"/>
      <c r="M89" s="54"/>
    </row>
    <row r="90">
      <c r="A90" s="1045" t="str">
        <f>'MSW40'!A90</f>
        <v>CURRENT MAX</v>
      </c>
      <c r="B90" s="1367">
        <f>'MSW40'!B90</f>
        <v>120</v>
      </c>
      <c r="C90" s="20"/>
      <c r="D90" s="20"/>
      <c r="E90" s="20"/>
      <c r="F90" s="95"/>
      <c r="H90" s="1045" t="str">
        <f>'MSW40'!H90</f>
        <v>CURRENT MAX</v>
      </c>
      <c r="I90" s="1046">
        <f>'MSW40'!I90</f>
        <v>120</v>
      </c>
      <c r="J90" s="13"/>
      <c r="K90" s="13"/>
      <c r="L90" s="13"/>
      <c r="M90" s="57"/>
    </row>
    <row r="91">
      <c r="A91" s="567" t="str">
        <f>'MSW40'!A91</f>
        <v>SET</v>
      </c>
      <c r="B91" s="568" t="str">
        <f>'MSW40'!B91</f>
        <v>WEIGHT</v>
      </c>
      <c r="C91" s="568" t="str">
        <f>'MSW40'!C91</f>
        <v>REPS</v>
      </c>
      <c r="D91" s="568" t="str">
        <f>'MSW40'!D91</f>
        <v>REST</v>
      </c>
      <c r="E91" s="1047" t="str">
        <f>'MSW40'!E91</f>
        <v>PREVIOUS</v>
      </c>
      <c r="F91" s="1048" t="str">
        <f>'MSW40'!F91</f>
        <v>REP LOG</v>
      </c>
      <c r="H91" s="567" t="str">
        <f>'MSW40'!H91</f>
        <v>SET</v>
      </c>
      <c r="I91" s="568" t="str">
        <f>'MSW40'!I91</f>
        <v>WEIGHT</v>
      </c>
      <c r="J91" s="568" t="str">
        <f>'MSW40'!J91</f>
        <v>REPS</v>
      </c>
      <c r="K91" s="568" t="str">
        <f>'MSW40'!K91</f>
        <v>REST</v>
      </c>
      <c r="L91" s="1047" t="str">
        <f>'MSW40'!L91</f>
        <v>PREVIOUS</v>
      </c>
      <c r="M91" s="1048" t="str">
        <f>'MSW40'!M91</f>
        <v>REP LOG</v>
      </c>
    </row>
    <row r="92">
      <c r="A92" s="1049">
        <f>'MSW40'!A92</f>
        <v>1</v>
      </c>
      <c r="B92" s="1050">
        <f>'MSW40'!B92</f>
        <v>120</v>
      </c>
      <c r="C92" s="1051" t="str">
        <f>'MSW40'!C92</f>
        <v>10 - 15</v>
      </c>
      <c r="D92" s="1430" t="str">
        <f>'MSW40'!D92</f>
        <v>1-2 MIN</v>
      </c>
      <c r="E92" s="1130" t="str">
        <f>'MSW40'!E92</f>
        <v/>
      </c>
      <c r="F92" s="1113" t="str">
        <f>'MSW40'!F92</f>
        <v/>
      </c>
      <c r="G92" s="434" t="str">
        <f>'MSW40'!G92</f>
        <v>ALTERNATE</v>
      </c>
      <c r="H92" s="1049">
        <f>'MSW40'!H92</f>
        <v>1</v>
      </c>
      <c r="I92" s="1050">
        <f>'MSW40'!I92</f>
        <v>120</v>
      </c>
      <c r="J92" s="1051" t="str">
        <f>'MSW40'!J92</f>
        <v>10 - 15</v>
      </c>
      <c r="K92" s="1430" t="str">
        <f>'MSW40'!K92</f>
        <v>1-2 MIN</v>
      </c>
      <c r="L92" s="1130" t="str">
        <f>'MSW40'!L92</f>
        <v/>
      </c>
      <c r="M92" s="1113" t="str">
        <f>'MSW40'!M92</f>
        <v/>
      </c>
    </row>
    <row r="93">
      <c r="A93" s="1049">
        <f>'MSW40'!A93</f>
        <v>2</v>
      </c>
      <c r="B93" s="1050">
        <f>'MSW40'!B93</f>
        <v>95</v>
      </c>
      <c r="C93" s="1051" t="str">
        <f>'MSW40'!C93</f>
        <v>10 - 15</v>
      </c>
      <c r="D93" s="1430" t="str">
        <f>'MSW40'!D93</f>
        <v>1-2 MIN</v>
      </c>
      <c r="E93" s="1130" t="str">
        <f>'MSW40'!E93</f>
        <v/>
      </c>
      <c r="F93" s="1113" t="str">
        <f>'MSW40'!F93</f>
        <v/>
      </c>
      <c r="H93" s="1049">
        <f>'MSW40'!H93</f>
        <v>2</v>
      </c>
      <c r="I93" s="1050">
        <f>'MSW40'!I93</f>
        <v>95</v>
      </c>
      <c r="J93" s="1051" t="str">
        <f>'MSW40'!J93</f>
        <v>10 - 15</v>
      </c>
      <c r="K93" s="1430" t="str">
        <f>'MSW40'!K93</f>
        <v>1-2 MIN</v>
      </c>
      <c r="L93" s="1130" t="str">
        <f>'MSW40'!L93</f>
        <v/>
      </c>
      <c r="M93" s="1113" t="str">
        <f>'MSW40'!M93</f>
        <v/>
      </c>
    </row>
    <row r="94">
      <c r="A94" s="1053">
        <f>'MSW40'!A94</f>
        <v>3</v>
      </c>
      <c r="B94" s="1054">
        <f>'MSW40'!B94</f>
        <v>75</v>
      </c>
      <c r="C94" s="1055" t="str">
        <f>'MSW40'!C94</f>
        <v>10 - 15</v>
      </c>
      <c r="D94" s="1453" t="str">
        <f>'MSW40'!D94</f>
        <v>1-2 MIN</v>
      </c>
      <c r="E94" s="1348" t="str">
        <f>'MSW40'!E94</f>
        <v/>
      </c>
      <c r="F94" s="1113" t="str">
        <f>'MSW40'!F94</f>
        <v/>
      </c>
      <c r="G94" s="682" t="str">
        <f>'MSW40'!G94</f>
        <v/>
      </c>
      <c r="H94" s="1053">
        <f>'MSW40'!H94</f>
        <v>3</v>
      </c>
      <c r="I94" s="1054">
        <f>'MSW40'!I94</f>
        <v>75</v>
      </c>
      <c r="J94" s="1055" t="str">
        <f>'MSW40'!J94</f>
        <v>10 - 15</v>
      </c>
      <c r="K94" s="1453" t="str">
        <f>'MSW40'!K94</f>
        <v>1-2 MIN</v>
      </c>
      <c r="L94" s="1348" t="str">
        <f>'MSW40'!L94</f>
        <v/>
      </c>
      <c r="M94" s="1113" t="str">
        <f>'MSW40'!M94</f>
        <v/>
      </c>
    </row>
    <row r="95">
      <c r="A95" s="849" t="str">
        <f>'MSW40'!A95</f>
        <v/>
      </c>
      <c r="H95" s="849" t="str">
        <f>'MSW40'!H95</f>
        <v/>
      </c>
    </row>
    <row r="97">
      <c r="A97" s="1120" t="str">
        <f>'MSW40'!A97</f>
        <v>DAY 3</v>
      </c>
      <c r="B97" s="36"/>
      <c r="C97" s="36"/>
      <c r="D97" s="36"/>
      <c r="E97" s="36"/>
      <c r="F97" s="37"/>
    </row>
    <row r="98">
      <c r="A98" s="1151" t="str">
        <f>'MSW40'!A98</f>
        <v/>
      </c>
    </row>
    <row r="100">
      <c r="A100" s="44" t="str">
        <f>'MSW40'!A100</f>
        <v>SHOULDERS &amp; ARMS</v>
      </c>
      <c r="B100" s="36"/>
      <c r="C100" s="36"/>
      <c r="D100" s="36"/>
      <c r="E100" s="36"/>
      <c r="F100" s="37"/>
      <c r="H100" s="44" t="str">
        <f>'MSW40'!H100</f>
        <v>SHOULDERS &amp; ARMS</v>
      </c>
      <c r="I100" s="36"/>
      <c r="J100" s="36"/>
      <c r="K100" s="36"/>
      <c r="L100" s="36"/>
      <c r="M100" s="37"/>
    </row>
    <row r="101">
      <c r="A101" s="112" t="str">
        <f>'MSW40'!A101</f>
        <v>1. SHOULDER PRESS</v>
      </c>
      <c r="B101" s="13"/>
      <c r="C101" s="13"/>
      <c r="D101" s="13"/>
      <c r="E101" s="13"/>
      <c r="F101" s="57"/>
      <c r="H101" s="1139" t="str">
        <f>'MSW40'!H101</f>
        <v>1. MACHINE SHOULDER PRESS</v>
      </c>
      <c r="I101" s="13"/>
      <c r="J101" s="13"/>
      <c r="K101" s="13"/>
      <c r="L101" s="13"/>
      <c r="M101" s="57"/>
    </row>
    <row r="102">
      <c r="A102" s="226" t="str">
        <f>'MSW40'!A102</f>
        <v>CURRENT MAX</v>
      </c>
      <c r="B102" s="227">
        <f>'MSW40'!B102</f>
        <v>80</v>
      </c>
      <c r="C102" s="20"/>
      <c r="D102" s="20"/>
      <c r="E102" s="20"/>
      <c r="F102" s="95"/>
      <c r="H102" s="226" t="str">
        <f>'MSW40'!H102</f>
        <v>CURRENT MAX</v>
      </c>
      <c r="I102" s="227">
        <f>'MSW40'!I102</f>
        <v>228</v>
      </c>
      <c r="J102" s="20"/>
      <c r="K102" s="20"/>
      <c r="L102" s="20"/>
      <c r="M102" s="95"/>
    </row>
    <row r="103">
      <c r="A103" s="231" t="str">
        <f>'MSW40'!A103</f>
        <v>SET</v>
      </c>
      <c r="B103" s="232" t="str">
        <f>'MSW40'!B103</f>
        <v>WEIGHT</v>
      </c>
      <c r="C103" s="232" t="str">
        <f>'MSW40'!C103</f>
        <v>REPS</v>
      </c>
      <c r="D103" s="232" t="str">
        <f>'MSW40'!D103</f>
        <v>REST</v>
      </c>
      <c r="E103" s="233" t="str">
        <f>'MSW40'!E103</f>
        <v>PREVIOUS</v>
      </c>
      <c r="F103" s="61" t="str">
        <f>'MSW40'!F103</f>
        <v>REP LOG</v>
      </c>
      <c r="H103" s="231" t="str">
        <f>'MSW40'!H103</f>
        <v>SET</v>
      </c>
      <c r="I103" s="232" t="str">
        <f>'MSW40'!I103</f>
        <v>WEIGHT</v>
      </c>
      <c r="J103" s="232" t="str">
        <f>'MSW40'!J103</f>
        <v>REPS</v>
      </c>
      <c r="K103" s="232" t="str">
        <f>'MSW40'!K103</f>
        <v>REST</v>
      </c>
      <c r="L103" s="233" t="str">
        <f>'MSW40'!L103</f>
        <v>PREVIOUS</v>
      </c>
      <c r="M103" s="61" t="str">
        <f>'MSW40'!M103</f>
        <v>REP LOG</v>
      </c>
    </row>
    <row r="104">
      <c r="A104" s="1140">
        <f>'MSW40'!A104</f>
        <v>1</v>
      </c>
      <c r="B104" s="237">
        <f>'MSW40'!B104</f>
        <v>30</v>
      </c>
      <c r="C104" s="237">
        <f>'MSW40'!C104</f>
        <v>6</v>
      </c>
      <c r="D104" s="238" t="str">
        <f>'MSW40'!D104</f>
        <v>30s</v>
      </c>
      <c r="E104" s="84" t="str">
        <f>'MSW40'!E104</f>
        <v/>
      </c>
      <c r="F104" s="67">
        <v>6.0</v>
      </c>
      <c r="H104" s="1140">
        <f>'MSW40'!H104</f>
        <v>1</v>
      </c>
      <c r="I104" s="237">
        <f>'MSW40'!I104</f>
        <v>80</v>
      </c>
      <c r="J104" s="237">
        <f>'MSW40'!J104</f>
        <v>6</v>
      </c>
      <c r="K104" s="238" t="str">
        <f>'MSW40'!K104</f>
        <v>30s</v>
      </c>
      <c r="L104" s="84" t="str">
        <f>'MSW40'!L104</f>
        <v/>
      </c>
      <c r="M104" s="67"/>
    </row>
    <row r="105">
      <c r="A105" s="236">
        <f>'MSW40'!A105</f>
        <v>2</v>
      </c>
      <c r="B105" s="237">
        <f>'MSW40'!B105</f>
        <v>50</v>
      </c>
      <c r="C105" s="237">
        <f>'MSW40'!C105</f>
        <v>1</v>
      </c>
      <c r="D105" s="238" t="str">
        <f>'MSW40'!D105</f>
        <v>1-2 MIN</v>
      </c>
      <c r="E105" s="84" t="str">
        <f>'MSW40'!E105</f>
        <v/>
      </c>
      <c r="F105" s="67">
        <v>1.0</v>
      </c>
      <c r="H105" s="236">
        <f>'MSW40'!H105</f>
        <v>2</v>
      </c>
      <c r="I105" s="237">
        <f>'MSW40'!I105</f>
        <v>150</v>
      </c>
      <c r="J105" s="237">
        <f>'MSW40'!J105</f>
        <v>1</v>
      </c>
      <c r="K105" s="238" t="str">
        <f>'MSW40'!K105</f>
        <v>1-2 MIN</v>
      </c>
      <c r="L105" s="84" t="str">
        <f>'MSW40'!L105</f>
        <v/>
      </c>
      <c r="M105" s="67"/>
    </row>
    <row r="106">
      <c r="A106" s="242">
        <f>'MSW40'!A106</f>
        <v>3</v>
      </c>
      <c r="B106" s="237">
        <f>'MSW40'!B106</f>
        <v>65</v>
      </c>
      <c r="C106" s="82">
        <f>'MSW40'!C106</f>
        <v>1</v>
      </c>
      <c r="D106" s="238" t="str">
        <f>'MSW40'!D106</f>
        <v>1-2 MIN</v>
      </c>
      <c r="E106" s="84" t="str">
        <f>'MSW40'!E106</f>
        <v/>
      </c>
      <c r="F106" s="67">
        <v>1.0</v>
      </c>
      <c r="H106" s="242">
        <f>'MSW40'!H106</f>
        <v>3</v>
      </c>
      <c r="I106" s="237">
        <f>'MSW40'!I106</f>
        <v>205</v>
      </c>
      <c r="J106" s="82">
        <f>'MSW40'!J106</f>
        <v>1</v>
      </c>
      <c r="K106" s="238" t="str">
        <f>'MSW40'!K106</f>
        <v>1-2 MIN</v>
      </c>
      <c r="L106" s="84" t="str">
        <f>'MSW40'!L106</f>
        <v/>
      </c>
      <c r="M106" s="67"/>
    </row>
    <row r="107">
      <c r="A107" s="243">
        <f>'MSW40'!A107</f>
        <v>4</v>
      </c>
      <c r="B107" s="237">
        <f>'MSW40'!B107</f>
        <v>80</v>
      </c>
      <c r="C107" s="257">
        <f>'MSW40'!C107</f>
        <v>1</v>
      </c>
      <c r="D107" s="238" t="str">
        <f>'MSW40'!D107</f>
        <v>1-5 MIN</v>
      </c>
      <c r="E107" s="84" t="str">
        <f>'MSW40'!E107</f>
        <v/>
      </c>
      <c r="F107" s="67">
        <v>1.0</v>
      </c>
      <c r="H107" s="243">
        <f>'MSW40'!H107</f>
        <v>4</v>
      </c>
      <c r="I107" s="237">
        <f>'MSW40'!I107</f>
        <v>228</v>
      </c>
      <c r="J107" s="257">
        <f>'MSW40'!J107</f>
        <v>1</v>
      </c>
      <c r="K107" s="238" t="str">
        <f>'MSW40'!K107</f>
        <v>1-5 MIN</v>
      </c>
      <c r="L107" s="84" t="str">
        <f>'MSW40'!L107</f>
        <v/>
      </c>
      <c r="M107" s="67"/>
    </row>
    <row r="108">
      <c r="A108" s="246" t="str">
        <f>'MSW40'!A108</f>
        <v>NEW 4 REP MAX ATTEMPT</v>
      </c>
      <c r="B108" s="20"/>
      <c r="C108" s="20"/>
      <c r="D108" s="20"/>
      <c r="E108" s="20"/>
      <c r="F108" s="95"/>
      <c r="H108" s="246" t="str">
        <f>'MSW40'!H108</f>
        <v>PROCEED TO DOWN SETS</v>
      </c>
      <c r="I108" s="20"/>
      <c r="J108" s="20"/>
      <c r="K108" s="20"/>
      <c r="L108" s="20"/>
      <c r="M108" s="95"/>
    </row>
    <row r="109">
      <c r="A109" s="249">
        <f>'MSW40'!A109</f>
        <v>5</v>
      </c>
      <c r="B109" s="175">
        <f>'MSW40'!B109</f>
        <v>85</v>
      </c>
      <c r="C109" s="238">
        <f>'MSW40'!C109</f>
        <v>4</v>
      </c>
      <c r="D109" s="238" t="str">
        <f>'MSW40'!D109</f>
        <v>1-5 MIN</v>
      </c>
      <c r="E109" s="84" t="str">
        <f>'MSW40'!E109</f>
        <v/>
      </c>
      <c r="F109" s="67">
        <v>3.0</v>
      </c>
      <c r="H109" s="249" t="str">
        <f>'MSW40'!H109</f>
        <v/>
      </c>
      <c r="I109" s="175" t="str">
        <f>'MSW40'!I109</f>
        <v/>
      </c>
      <c r="J109" s="238" t="str">
        <f>'MSW40'!J109</f>
        <v/>
      </c>
      <c r="K109" s="238" t="str">
        <f>'MSW40'!K109</f>
        <v/>
      </c>
      <c r="L109" s="84" t="str">
        <f>'MSW40'!L109</f>
        <v/>
      </c>
      <c r="M109" s="67"/>
    </row>
    <row r="110">
      <c r="A110" s="259" t="str">
        <f>'MSW40'!A110</f>
        <v/>
      </c>
      <c r="B110" s="237" t="str">
        <f>'MSW40'!B110</f>
        <v/>
      </c>
      <c r="C110" s="257" t="str">
        <f>'MSW40'!C110</f>
        <v/>
      </c>
      <c r="D110" s="257" t="str">
        <f>'MSW40'!D110</f>
        <v/>
      </c>
      <c r="E110" s="84" t="str">
        <f>'MSW40'!E110</f>
        <v/>
      </c>
      <c r="F110" s="67" t="str">
        <f>'MSW40'!F110</f>
        <v/>
      </c>
      <c r="H110" s="259" t="str">
        <f>'MSW40'!H110</f>
        <v/>
      </c>
      <c r="I110" s="237" t="str">
        <f>'MSW40'!I110</f>
        <v/>
      </c>
      <c r="J110" s="257" t="str">
        <f>'MSW40'!J110</f>
        <v/>
      </c>
      <c r="K110" s="257" t="str">
        <f>'MSW40'!K110</f>
        <v/>
      </c>
      <c r="L110" s="84" t="str">
        <f>'MSW40'!L110</f>
        <v/>
      </c>
      <c r="M110" s="67"/>
    </row>
    <row r="111">
      <c r="A111" s="246" t="str">
        <f>'MSW40'!A111</f>
        <v>DOWN SETS</v>
      </c>
      <c r="B111" s="20"/>
      <c r="C111" s="20"/>
      <c r="D111" s="20"/>
      <c r="E111" s="20"/>
      <c r="F111" s="95"/>
      <c r="H111" s="246" t="str">
        <f>'MSW40'!H111</f>
        <v>DOWN SETS</v>
      </c>
      <c r="I111" s="20"/>
      <c r="J111" s="20"/>
      <c r="K111" s="20"/>
      <c r="L111" s="20"/>
      <c r="M111" s="95"/>
    </row>
    <row r="112">
      <c r="A112" s="264">
        <f>'MSW40'!A112</f>
        <v>6</v>
      </c>
      <c r="B112" s="265">
        <f>'MSW40'!B112</f>
        <v>70</v>
      </c>
      <c r="C112" s="266" t="str">
        <f>'MSW40'!C112</f>
        <v>REP OUT</v>
      </c>
      <c r="D112" s="267" t="str">
        <f>'MSW40'!D112</f>
        <v>1-3 MIN</v>
      </c>
      <c r="E112" s="84" t="str">
        <f>'MSW40'!E112</f>
        <v/>
      </c>
      <c r="F112" s="67">
        <v>5.0</v>
      </c>
      <c r="H112" s="264" t="str">
        <f>'MSW40'!H112</f>
        <v/>
      </c>
      <c r="I112" s="265">
        <f>'MSW40'!I112</f>
        <v>0</v>
      </c>
      <c r="J112" s="266" t="str">
        <f>'MSW40'!J112</f>
        <v>REP OUT</v>
      </c>
      <c r="K112" s="267" t="str">
        <f>'MSW40'!K112</f>
        <v>1-3 MIN</v>
      </c>
      <c r="L112" s="84" t="str">
        <f>'MSW40'!L112</f>
        <v/>
      </c>
      <c r="M112" s="67" t="str">
        <f>'MSW40'!M112</f>
        <v/>
      </c>
    </row>
    <row r="113">
      <c r="A113" s="243">
        <f>'MSW40'!A113</f>
        <v>7</v>
      </c>
      <c r="B113" s="237">
        <f>'MSW40'!B113</f>
        <v>60</v>
      </c>
      <c r="C113" s="245" t="str">
        <f>'MSW40'!C113</f>
        <v>REP OUT</v>
      </c>
      <c r="D113" s="65" t="str">
        <f>'MSW40'!D113</f>
        <v>1-3 MIN</v>
      </c>
      <c r="E113" s="84" t="str">
        <f>'MSW40'!E113</f>
        <v/>
      </c>
      <c r="F113" s="271">
        <v>8.0</v>
      </c>
      <c r="H113" s="243" t="str">
        <f>'MSW40'!H113</f>
        <v/>
      </c>
      <c r="I113" s="237">
        <f>'MSW40'!I113</f>
        <v>0</v>
      </c>
      <c r="J113" s="245" t="str">
        <f>'MSW40'!J113</f>
        <v>REP OUT</v>
      </c>
      <c r="K113" s="65" t="str">
        <f>'MSW40'!K113</f>
        <v>1-3 MIN</v>
      </c>
      <c r="L113" s="84" t="str">
        <f>'MSW40'!L113</f>
        <v/>
      </c>
      <c r="M113" s="271" t="str">
        <f>'MSW40'!M113</f>
        <v/>
      </c>
    </row>
    <row r="114">
      <c r="A114" s="272" t="str">
        <f>'MSW40'!A114</f>
        <v>FINAL MAX</v>
      </c>
      <c r="B114" s="273">
        <f>'MSW40'!B114</f>
        <v>80</v>
      </c>
      <c r="C114" s="11"/>
      <c r="D114" s="11"/>
      <c r="E114" s="11"/>
      <c r="F114" s="46"/>
      <c r="H114" s="272" t="str">
        <f>'MSW40'!H114</f>
        <v>FINAL MAX</v>
      </c>
      <c r="I114" s="273" t="str">
        <f>'MSW40'!I114</f>
        <v/>
      </c>
      <c r="J114" s="11"/>
      <c r="K114" s="11"/>
      <c r="L114" s="11"/>
      <c r="M114" s="46"/>
    </row>
    <row r="115">
      <c r="A115" s="1151" t="str">
        <f>'MSW40'!A115</f>
        <v/>
      </c>
      <c r="G115" s="1151" t="str">
        <f>'MSW40'!G115</f>
        <v/>
      </c>
    </row>
    <row r="117">
      <c r="A117" s="1431" t="str">
        <f>'MSW40'!A117</f>
        <v>2. Dumbbell REAR DELT FLY </v>
      </c>
      <c r="B117" s="53"/>
      <c r="C117" s="53"/>
      <c r="D117" s="53"/>
      <c r="E117" s="53"/>
      <c r="F117" s="54"/>
    </row>
    <row r="118">
      <c r="A118" s="1268" t="str">
        <f>'MSW40'!A118</f>
        <v>SHLDR PRSS MAX</v>
      </c>
      <c r="B118" s="1035">
        <f>'MSW40'!B118</f>
        <v>80</v>
      </c>
      <c r="C118" s="13"/>
      <c r="D118" s="13"/>
      <c r="E118" s="13"/>
      <c r="F118" s="57"/>
    </row>
    <row r="119">
      <c r="A119" s="567" t="str">
        <f>'MSW40'!A119</f>
        <v>SET</v>
      </c>
      <c r="B119" s="568" t="str">
        <f>'MSW40'!B119</f>
        <v>WEIGHT</v>
      </c>
      <c r="C119" s="568" t="str">
        <f>'MSW40'!C119</f>
        <v>REPS</v>
      </c>
      <c r="D119" s="568" t="str">
        <f>'MSW40'!D119</f>
        <v>REST</v>
      </c>
      <c r="E119" s="1432" t="str">
        <f>'MSW40'!E119</f>
        <v>PREVIOUS</v>
      </c>
      <c r="F119" s="1048" t="str">
        <f>'MSW40'!F119</f>
        <v>REP LOG</v>
      </c>
    </row>
    <row r="120">
      <c r="A120" s="1049">
        <f>'MSW40'!A120</f>
        <v>1</v>
      </c>
      <c r="B120" s="1311">
        <f>'MSW40'!B120</f>
        <v>15</v>
      </c>
      <c r="C120" s="1050" t="str">
        <f>'MSW40'!C120</f>
        <v>10 -15</v>
      </c>
      <c r="D120" s="1433" t="str">
        <f>'MSW40'!D120</f>
        <v>1-3 MIN</v>
      </c>
      <c r="E120" s="1454" t="str">
        <f>'MSW40'!E120</f>
        <v/>
      </c>
      <c r="F120" s="1455">
        <v>15.0</v>
      </c>
    </row>
    <row r="121">
      <c r="A121" s="1049">
        <f>'MSW40'!A121</f>
        <v>2</v>
      </c>
      <c r="B121" s="1311">
        <f>'MSW40'!B121</f>
        <v>15</v>
      </c>
      <c r="C121" s="1050" t="str">
        <f>'MSW40'!C121</f>
        <v>10 -15</v>
      </c>
      <c r="D121" s="1433" t="str">
        <f>'MSW40'!D121</f>
        <v>1-3 MIN</v>
      </c>
      <c r="E121" s="1454" t="str">
        <f>'MSW40'!E121</f>
        <v/>
      </c>
      <c r="F121" s="1455">
        <v>15.0</v>
      </c>
    </row>
    <row r="122">
      <c r="A122" s="1053">
        <f>'MSW40'!A122</f>
        <v>3</v>
      </c>
      <c r="B122" s="1436">
        <f>'MSW40'!B122</f>
        <v>15</v>
      </c>
      <c r="C122" s="1054" t="str">
        <f>'MSW40'!C122</f>
        <v>10 -15</v>
      </c>
      <c r="D122" s="1456" t="str">
        <f>'MSW40'!D122</f>
        <v>1-3 MIN</v>
      </c>
      <c r="E122" s="1457" t="str">
        <f>'MSW40'!E122</f>
        <v/>
      </c>
      <c r="F122" s="1455">
        <v>15.0</v>
      </c>
    </row>
    <row r="123">
      <c r="A123" s="1153" t="str">
        <f>'MSW40'!A123</f>
        <v/>
      </c>
    </row>
    <row r="125">
      <c r="A125" s="1437" t="str">
        <f>'MSW40'!A125</f>
        <v>3. DUMBBELL SIDE LATERAL RAISE</v>
      </c>
      <c r="B125" s="13"/>
      <c r="C125" s="13"/>
      <c r="D125" s="13"/>
      <c r="E125" s="13"/>
      <c r="F125" s="57"/>
    </row>
    <row r="126">
      <c r="A126" s="1045" t="str">
        <f>'MSW40'!A126</f>
        <v>SHLDR PRSS MAX</v>
      </c>
      <c r="B126" s="1035">
        <f>'MSW40'!B126</f>
        <v>80</v>
      </c>
      <c r="C126" s="13"/>
      <c r="D126" s="13"/>
      <c r="E126" s="13"/>
      <c r="F126" s="57"/>
    </row>
    <row r="127">
      <c r="A127" s="1438" t="str">
        <f>'MSW40'!A127</f>
        <v>SET</v>
      </c>
      <c r="B127" s="1439" t="str">
        <f>'MSW40'!B127</f>
        <v>WEIGHT</v>
      </c>
      <c r="C127" s="1439" t="str">
        <f>'MSW40'!C127</f>
        <v>REPS</v>
      </c>
      <c r="D127" s="1439" t="str">
        <f>'MSW40'!D127</f>
        <v>REST</v>
      </c>
      <c r="E127" s="1047" t="str">
        <f>'MSW40'!E127</f>
        <v>PREVIOUS</v>
      </c>
      <c r="F127" s="1048" t="str">
        <f>'MSW40'!F127</f>
        <v>REP LOG</v>
      </c>
    </row>
    <row r="128">
      <c r="A128" s="1440">
        <f>'MSW40'!A128</f>
        <v>1</v>
      </c>
      <c r="B128" s="1050">
        <f>'MSW40'!B128</f>
        <v>15</v>
      </c>
      <c r="C128" s="1052" t="str">
        <f>'MSW40'!C128</f>
        <v>10 - 15</v>
      </c>
      <c r="D128" s="1433" t="str">
        <f>'MSW40'!D128</f>
        <v>1-3 MIN</v>
      </c>
      <c r="E128" s="1454">
        <f>'MSW40'!E128</f>
        <v>20</v>
      </c>
      <c r="F128" s="1455"/>
    </row>
    <row r="129">
      <c r="A129" s="1440">
        <f>'MSW40'!A129</f>
        <v>2</v>
      </c>
      <c r="B129" s="1050">
        <f>'MSW40'!B129</f>
        <v>12.5</v>
      </c>
      <c r="C129" s="1052" t="str">
        <f>'MSW40'!C129</f>
        <v>10 - 15</v>
      </c>
      <c r="D129" s="1433" t="str">
        <f>'MSW40'!D129</f>
        <v>1-3 MIN</v>
      </c>
      <c r="E129" s="1454" t="str">
        <f>'MSW40'!E129</f>
        <v/>
      </c>
      <c r="F129" s="1455"/>
    </row>
    <row r="130">
      <c r="A130" s="1441">
        <f>'MSW40'!A130</f>
        <v>3</v>
      </c>
      <c r="B130" s="1054">
        <f>'MSW40'!B130</f>
        <v>7.5</v>
      </c>
      <c r="C130" s="1056" t="str">
        <f>'MSW40'!C130</f>
        <v>10 - 15</v>
      </c>
      <c r="D130" s="1456" t="str">
        <f>'MSW40'!D130</f>
        <v>1-3 MIN</v>
      </c>
      <c r="E130" s="1457" t="str">
        <f>'MSW40'!E130</f>
        <v/>
      </c>
      <c r="F130" s="1458" t="str">
        <f>'MSW40'!F130</f>
        <v/>
      </c>
    </row>
    <row r="131">
      <c r="A131" s="1153" t="str">
        <f>'MSW40'!A131</f>
        <v/>
      </c>
    </row>
    <row r="133">
      <c r="A133" s="1442" t="str">
        <f>'MSW40'!A133</f>
        <v>4.  TRICEP OVERHEAD ROPE EXTENSION</v>
      </c>
      <c r="B133" s="13"/>
      <c r="C133" s="13"/>
      <c r="D133" s="13"/>
      <c r="E133" s="13"/>
      <c r="F133" s="57"/>
    </row>
    <row r="134">
      <c r="A134" s="961" t="str">
        <f>'MSW40'!A134</f>
        <v>CURRENT MAX</v>
      </c>
      <c r="B134" s="1579">
        <v>100.0</v>
      </c>
      <c r="C134" s="13"/>
      <c r="D134" s="13"/>
      <c r="E134" s="13"/>
      <c r="F134" s="57"/>
    </row>
    <row r="135">
      <c r="A135" s="1444" t="str">
        <f>'MSW40'!A135</f>
        <v>SET</v>
      </c>
      <c r="B135" s="1445" t="str">
        <f>'MSW40'!B135</f>
        <v>WEIGHT</v>
      </c>
      <c r="C135" s="1445" t="str">
        <f>'MSW40'!C135</f>
        <v>REPS</v>
      </c>
      <c r="D135" s="1446" t="str">
        <f>'MSW40'!D135</f>
        <v>REST</v>
      </c>
      <c r="E135" s="1447" t="str">
        <f>'MSW40'!E135</f>
        <v>PREVIOUS</v>
      </c>
      <c r="F135" s="1448" t="str">
        <f>'MSW40'!F135</f>
        <v>REP LOG</v>
      </c>
    </row>
    <row r="136">
      <c r="A136" s="387">
        <f>'MSW40'!A136</f>
        <v>1</v>
      </c>
      <c r="B136" s="388">
        <f>'MSW40'!B136</f>
        <v>100</v>
      </c>
      <c r="C136" s="1449" t="str">
        <f>'MSW40'!C136</f>
        <v>10 - 15</v>
      </c>
      <c r="D136" s="1433" t="str">
        <f>'MSW40'!D136</f>
        <v>1-3 MIN</v>
      </c>
      <c r="E136" s="1459" t="str">
        <f>'MSW40'!E136</f>
        <v/>
      </c>
      <c r="F136" s="1460">
        <v>15.0</v>
      </c>
    </row>
    <row r="137">
      <c r="A137" s="387">
        <f>'MSW40'!A137</f>
        <v>2</v>
      </c>
      <c r="B137" s="388">
        <f>'MSW40'!B137</f>
        <v>100</v>
      </c>
      <c r="C137" s="1449" t="str">
        <f>'MSW40'!C137</f>
        <v>10 - 15</v>
      </c>
      <c r="D137" s="1433" t="str">
        <f>'MSW40'!D137</f>
        <v>1-3 MIN</v>
      </c>
      <c r="E137" s="1459" t="str">
        <f>'MSW40'!E137</f>
        <v/>
      </c>
      <c r="F137" s="1460">
        <v>15.0</v>
      </c>
    </row>
    <row r="138">
      <c r="A138" s="394">
        <f>'MSW40'!A138</f>
        <v>3</v>
      </c>
      <c r="B138" s="395">
        <f>'MSW40'!B138</f>
        <v>100</v>
      </c>
      <c r="C138" s="1461" t="str">
        <f>'MSW40'!C138</f>
        <v>10 - 15</v>
      </c>
      <c r="D138" s="1456" t="str">
        <f>'MSW40'!D138</f>
        <v>1-3 MIN</v>
      </c>
      <c r="E138" s="1462" t="str">
        <f>'MSW40'!E138</f>
        <v/>
      </c>
      <c r="F138" s="1460">
        <v>15.0</v>
      </c>
    </row>
    <row r="139">
      <c r="A139" s="1151" t="str">
        <f>'MSW40'!A139</f>
        <v/>
      </c>
    </row>
    <row r="141">
      <c r="A141" s="75" t="str">
        <f>'MSW40'!A141</f>
        <v>5. BICEP EZ BAR CURL</v>
      </c>
      <c r="B141" s="53"/>
      <c r="C141" s="53"/>
      <c r="D141" s="53"/>
      <c r="E141" s="53"/>
      <c r="F141" s="54"/>
    </row>
    <row r="142">
      <c r="A142" s="961" t="str">
        <f>'MSW40'!A142</f>
        <v>CURRENT MAX</v>
      </c>
      <c r="B142" s="1405">
        <v>115.0</v>
      </c>
      <c r="C142" s="13"/>
      <c r="D142" s="13"/>
      <c r="E142" s="13"/>
      <c r="F142" s="57"/>
    </row>
    <row r="143">
      <c r="A143" s="962" t="str">
        <f>'MSW40'!A143</f>
        <v>SET</v>
      </c>
      <c r="B143" s="963" t="str">
        <f>'MSW40'!B143</f>
        <v>WEIGHT</v>
      </c>
      <c r="C143" s="963" t="str">
        <f>'MSW40'!C143</f>
        <v>REPS</v>
      </c>
      <c r="D143" s="963" t="str">
        <f>'MSW40'!D143</f>
        <v>REST</v>
      </c>
      <c r="E143" s="1073" t="str">
        <f>'MSW40'!E143</f>
        <v>PREVIOUS</v>
      </c>
      <c r="F143" s="1006" t="str">
        <f>'MSW40'!F143</f>
        <v>REP LOG</v>
      </c>
    </row>
    <row r="144">
      <c r="A144" s="967">
        <f>'MSW40'!A144</f>
        <v>1</v>
      </c>
      <c r="B144" s="968" t="str">
        <f>'MSW40'!B144</f>
        <v>#ERROR!</v>
      </c>
      <c r="C144" s="937" t="str">
        <f>'MSW40'!C144</f>
        <v>6 - 12</v>
      </c>
      <c r="D144" s="1296" t="str">
        <f>'MSW40'!D144</f>
        <v>1-3 MIN</v>
      </c>
      <c r="E144" s="1235" t="str">
        <f>'MSW40'!E144</f>
        <v>#ERROR!</v>
      </c>
      <c r="F144" s="984"/>
    </row>
    <row r="145">
      <c r="A145" s="967">
        <f>'MSW40'!A145</f>
        <v>2</v>
      </c>
      <c r="B145" s="968" t="str">
        <f>'MSW40'!B145</f>
        <v>#ERROR!</v>
      </c>
      <c r="C145" s="937" t="str">
        <f>'MSW40'!C145</f>
        <v>6 - 12</v>
      </c>
      <c r="D145" s="1296" t="str">
        <f>'MSW40'!D145</f>
        <v>1-3 MIN</v>
      </c>
      <c r="E145" s="1235" t="str">
        <f>'MSW40'!E145</f>
        <v>#ERROR!</v>
      </c>
      <c r="F145" s="1131"/>
    </row>
    <row r="146">
      <c r="A146" s="971">
        <f>'MSW40'!A146</f>
        <v>3</v>
      </c>
      <c r="B146" s="972" t="str">
        <f>'MSW40'!B146</f>
        <v>#ERROR!</v>
      </c>
      <c r="C146" s="942" t="str">
        <f>'MSW40'!C146</f>
        <v>6 - 12</v>
      </c>
      <c r="D146" s="1304" t="str">
        <f>'MSW40'!D146</f>
        <v>1-3 MIN</v>
      </c>
      <c r="E146" s="1271" t="str">
        <f>'MSW40'!E146</f>
        <v>#ERROR!</v>
      </c>
      <c r="F146" s="984"/>
    </row>
    <row r="147">
      <c r="A147" s="1151" t="str">
        <f>'MSW40'!A147</f>
        <v/>
      </c>
    </row>
    <row r="149">
      <c r="A149" s="1149" t="str">
        <f>'MSW40'!A149</f>
        <v>WORKOUT COMPLETE!</v>
      </c>
      <c r="B149" s="36"/>
      <c r="C149" s="36"/>
      <c r="D149" s="36"/>
      <c r="E149" s="36"/>
      <c r="F149" s="37"/>
    </row>
    <row r="150">
      <c r="A150" s="1153" t="str">
        <f>'MSW40'!A150</f>
        <v/>
      </c>
    </row>
    <row r="151">
      <c r="A151" s="1275" t="str">
        <f>'MSW40'!A151</f>
        <v>WANT TO LEARN MORE?</v>
      </c>
      <c r="B151" s="25"/>
      <c r="C151" s="25"/>
      <c r="D151" s="25"/>
      <c r="E151" s="25"/>
      <c r="F151" s="26"/>
    </row>
    <row r="152">
      <c r="A152" s="529"/>
      <c r="F152" s="28"/>
    </row>
    <row r="153">
      <c r="A153" s="1374" t="str">
        <f>'MSW40'!A153</f>
        <v/>
      </c>
      <c r="B153" s="1173" t="str">
        <f>'MSW40'!B153</f>
        <v/>
      </c>
      <c r="C153" s="1375" t="str">
        <f>'MSW40'!C153</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53" s="28"/>
    </row>
    <row r="154">
      <c r="A154" s="1374" t="str">
        <f>'MSW40'!A154</f>
        <v/>
      </c>
      <c r="B154" s="1173" t="str">
        <f>'MSW40'!B154</f>
        <v/>
      </c>
      <c r="F154" s="28"/>
    </row>
    <row r="155">
      <c r="A155" s="1374" t="str">
        <f>'MSW40'!A155</f>
        <v/>
      </c>
      <c r="B155" s="1173" t="str">
        <f>'MSW40'!B155</f>
        <v/>
      </c>
      <c r="F155" s="28"/>
    </row>
    <row r="156">
      <c r="A156" s="1374" t="str">
        <f>'MSW40'!A156</f>
        <v/>
      </c>
      <c r="B156" s="1173" t="str">
        <f>'MSW40'!B156</f>
        <v/>
      </c>
      <c r="F156" s="28"/>
    </row>
    <row r="157">
      <c r="A157" s="1374" t="str">
        <f>'MSW40'!A157</f>
        <v/>
      </c>
      <c r="B157" s="1173" t="str">
        <f>'MSW40'!B157</f>
        <v/>
      </c>
      <c r="F157" s="28"/>
    </row>
    <row r="158">
      <c r="A158" s="1374" t="str">
        <f>'MSW40'!A158</f>
        <v/>
      </c>
      <c r="B158" s="1173" t="str">
        <f>'MSW40'!B158</f>
        <v/>
      </c>
      <c r="F158" s="28"/>
    </row>
    <row r="159">
      <c r="A159" s="1376" t="str">
        <f>'MSW40'!A159</f>
        <v/>
      </c>
      <c r="B159" s="1173" t="str">
        <f>'MSW40'!B159</f>
        <v/>
      </c>
      <c r="F159" s="28"/>
    </row>
    <row r="160">
      <c r="A160" s="1374" t="str">
        <f>'MSW40'!A160</f>
        <v/>
      </c>
      <c r="B160" s="1173" t="str">
        <f>'MSW40'!B160</f>
        <v/>
      </c>
      <c r="F160" s="28"/>
    </row>
    <row r="161">
      <c r="A161" s="1374" t="str">
        <f>'MSW40'!A161</f>
        <v/>
      </c>
      <c r="B161" s="1173" t="str">
        <f>'MSW40'!B161</f>
        <v/>
      </c>
      <c r="F161" s="28"/>
    </row>
    <row r="162">
      <c r="A162" s="1377" t="str">
        <f>'MSW40'!A162</f>
        <v/>
      </c>
      <c r="B162" s="1173" t="str">
        <f>'MSW40'!B162</f>
        <v/>
      </c>
      <c r="F162" s="28"/>
    </row>
    <row r="163">
      <c r="A163" s="1374" t="str">
        <f>'MSW40'!A163</f>
        <v/>
      </c>
      <c r="B163" s="1173" t="str">
        <f>'MSW40'!B163</f>
        <v/>
      </c>
      <c r="F163" s="28"/>
    </row>
    <row r="164">
      <c r="A164" s="1374" t="str">
        <f>'MSW40'!A164</f>
        <v/>
      </c>
      <c r="B164" s="1173" t="str">
        <f>'MSW40'!B164</f>
        <v/>
      </c>
      <c r="F164" s="28"/>
    </row>
    <row r="165">
      <c r="A165" s="1374" t="str">
        <f>'MSW40'!A165</f>
        <v/>
      </c>
      <c r="B165" s="1173" t="str">
        <f>'MSW40'!B165</f>
        <v/>
      </c>
      <c r="F165" s="28"/>
    </row>
    <row r="166">
      <c r="A166" s="1374" t="str">
        <f>'MSW40'!A166</f>
        <v/>
      </c>
      <c r="B166" s="1173" t="str">
        <f>'MSW40'!B166</f>
        <v/>
      </c>
      <c r="F166" s="28"/>
    </row>
    <row r="167">
      <c r="A167" s="1378" t="str">
        <f>'MSW40'!A167</f>
        <v/>
      </c>
      <c r="B167" s="1379" t="str">
        <f>'MSW40'!B167</f>
        <v/>
      </c>
      <c r="C167" s="11"/>
      <c r="D167" s="11"/>
      <c r="E167" s="11"/>
      <c r="F167" s="46"/>
    </row>
    <row r="168">
      <c r="A168" s="1151" t="str">
        <f>'MSW40'!A168</f>
        <v/>
      </c>
      <c r="B168" s="1151" t="str">
        <f>'MSW40'!B168</f>
        <v/>
      </c>
      <c r="C168" s="1151" t="str">
        <f>'MSW40'!C168</f>
        <v/>
      </c>
      <c r="D168" s="1151" t="str">
        <f>'MSW40'!D168</f>
        <v/>
      </c>
      <c r="E168" s="1151" t="str">
        <f>'MSW40'!E168</f>
        <v/>
      </c>
      <c r="F168" s="1151" t="str">
        <f>'MSW40'!F168</f>
        <v/>
      </c>
    </row>
  </sheetData>
  <mergeCells count="95">
    <mergeCell ref="A52:F53"/>
    <mergeCell ref="A54:F54"/>
    <mergeCell ref="B55:F55"/>
    <mergeCell ref="A59:F59"/>
    <mergeCell ref="A60:F60"/>
    <mergeCell ref="A61:F61"/>
    <mergeCell ref="A62:F62"/>
    <mergeCell ref="B82:F82"/>
    <mergeCell ref="A95:F96"/>
    <mergeCell ref="A97:F97"/>
    <mergeCell ref="A98:F99"/>
    <mergeCell ref="A100:F100"/>
    <mergeCell ref="A101:F101"/>
    <mergeCell ref="B102:F102"/>
    <mergeCell ref="A108:F108"/>
    <mergeCell ref="A111:F111"/>
    <mergeCell ref="B114:F114"/>
    <mergeCell ref="A115:F116"/>
    <mergeCell ref="A63:F64"/>
    <mergeCell ref="A65:F65"/>
    <mergeCell ref="B66:F66"/>
    <mergeCell ref="B78:F78"/>
    <mergeCell ref="A79:F80"/>
    <mergeCell ref="A81:F81"/>
    <mergeCell ref="G94:G114"/>
    <mergeCell ref="A123:F124"/>
    <mergeCell ref="A125:F125"/>
    <mergeCell ref="A87:F88"/>
    <mergeCell ref="A89:F89"/>
    <mergeCell ref="G89:G91"/>
    <mergeCell ref="B90:F90"/>
    <mergeCell ref="G92:G93"/>
    <mergeCell ref="A117:F117"/>
    <mergeCell ref="B118:F118"/>
    <mergeCell ref="A147:F148"/>
    <mergeCell ref="A149:F149"/>
    <mergeCell ref="B126:F126"/>
    <mergeCell ref="A131:F132"/>
    <mergeCell ref="A133:F133"/>
    <mergeCell ref="B134:F134"/>
    <mergeCell ref="A139:F140"/>
    <mergeCell ref="A141:F141"/>
    <mergeCell ref="B142:F142"/>
    <mergeCell ref="A1:M8"/>
    <mergeCell ref="A9:F9"/>
    <mergeCell ref="G9:G11"/>
    <mergeCell ref="H9:M9"/>
    <mergeCell ref="A10:F11"/>
    <mergeCell ref="H10:M10"/>
    <mergeCell ref="A14:F14"/>
    <mergeCell ref="A12:F12"/>
    <mergeCell ref="A13:F13"/>
    <mergeCell ref="A15:F15"/>
    <mergeCell ref="G15:G24"/>
    <mergeCell ref="A16:F17"/>
    <mergeCell ref="A18:F18"/>
    <mergeCell ref="A19:F19"/>
    <mergeCell ref="G12:M14"/>
    <mergeCell ref="H15:M15"/>
    <mergeCell ref="H16:M17"/>
    <mergeCell ref="H18:M18"/>
    <mergeCell ref="H19:M19"/>
    <mergeCell ref="I20:M20"/>
    <mergeCell ref="H25:M25"/>
    <mergeCell ref="B20:F20"/>
    <mergeCell ref="A25:F25"/>
    <mergeCell ref="G25:G26"/>
    <mergeCell ref="G27:G29"/>
    <mergeCell ref="A30:F31"/>
    <mergeCell ref="G30:G36"/>
    <mergeCell ref="A32:F32"/>
    <mergeCell ref="B33:F33"/>
    <mergeCell ref="A37:F38"/>
    <mergeCell ref="A39:F39"/>
    <mergeCell ref="B40:F40"/>
    <mergeCell ref="A45:F46"/>
    <mergeCell ref="A47:F47"/>
    <mergeCell ref="B48:F48"/>
    <mergeCell ref="H30:M31"/>
    <mergeCell ref="H32:M32"/>
    <mergeCell ref="I33:M33"/>
    <mergeCell ref="G37:M88"/>
    <mergeCell ref="H89:M89"/>
    <mergeCell ref="I90:M90"/>
    <mergeCell ref="H95:M99"/>
    <mergeCell ref="A150:F150"/>
    <mergeCell ref="A151:F152"/>
    <mergeCell ref="C153:F167"/>
    <mergeCell ref="H100:M100"/>
    <mergeCell ref="H101:M101"/>
    <mergeCell ref="I102:M102"/>
    <mergeCell ref="H108:M108"/>
    <mergeCell ref="H111:M111"/>
    <mergeCell ref="I114:M114"/>
    <mergeCell ref="G115:M168"/>
  </mergeCells>
  <dataValidations>
    <dataValidation type="decimal" allowBlank="1" showDropDown="1" showInputMessage="1" showErrorMessage="1" prompt="Enter a number between 0 and 30" sqref="F21:F24 M21:M24 F26:F29 M26:M29 F34:F36 M34:M36 F41:F44 F49:F51 F56:F58 F67:F77 F83:F86 F91:F94 M91:M94 F103:F107 M103:M107 F109:F110 M109:M110 F112:F113 M112:M113 F119:F122 F127:F130 F135:F138 F143:F146 F168">
      <formula1>0.0</formula1>
      <formula2>30.0</formula2>
    </dataValidation>
    <dataValidation type="decimal" operator="greaterThan" allowBlank="1" showDropDown="1" showErrorMessage="1" sqref="M11">
      <formula1>0.0</formula1>
    </dataValidation>
  </dataValidations>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305" t="s">
        <v>372</v>
      </c>
      <c r="B9" s="36"/>
      <c r="C9" s="36"/>
      <c r="D9" s="36"/>
      <c r="E9" s="36"/>
      <c r="F9" s="37"/>
      <c r="G9" s="987"/>
      <c r="H9" s="24" t="s">
        <v>35</v>
      </c>
      <c r="I9" s="25"/>
      <c r="J9" s="25"/>
      <c r="K9" s="25"/>
      <c r="L9" s="25"/>
      <c r="M9" s="26"/>
    </row>
    <row r="10">
      <c r="A10" s="991" t="str">
        <f>HYPERLINK("https://goo.gl/forms/3ibooB993Hi7SS2d2","PRESS TO RECORD BODY WEIGHT")</f>
        <v>PRESS TO RECORD BODY WEIGHT</v>
      </c>
      <c r="F10" s="28"/>
      <c r="G10" s="987"/>
      <c r="H10" s="147" t="s">
        <v>373</v>
      </c>
      <c r="M10" s="28"/>
    </row>
    <row r="11">
      <c r="A11" s="336"/>
      <c r="B11" s="11"/>
      <c r="C11" s="11"/>
      <c r="D11" s="11"/>
      <c r="E11" s="11"/>
      <c r="F11" s="46"/>
      <c r="G11" s="987"/>
      <c r="H11" s="29" t="s">
        <v>374</v>
      </c>
      <c r="I11" s="30"/>
      <c r="J11" s="30"/>
      <c r="K11" s="30"/>
      <c r="L11" s="30"/>
      <c r="M11" s="31"/>
    </row>
    <row r="12">
      <c r="A12" s="992" t="s">
        <v>69</v>
      </c>
      <c r="B12" s="11"/>
      <c r="C12" s="11"/>
      <c r="D12" s="11"/>
      <c r="E12" s="11"/>
      <c r="F12" s="46"/>
      <c r="G12" s="987"/>
      <c r="H12" s="987"/>
      <c r="I12" s="987"/>
      <c r="J12" s="987"/>
      <c r="K12" s="987"/>
      <c r="L12" s="987"/>
      <c r="M12" s="987"/>
    </row>
    <row r="13">
      <c r="A13" s="1128" t="s">
        <v>190</v>
      </c>
      <c r="B13" s="11"/>
      <c r="C13" s="11"/>
      <c r="D13" s="11"/>
      <c r="E13" s="11"/>
      <c r="F13" s="46"/>
      <c r="G13" s="987"/>
      <c r="H13" s="987"/>
      <c r="I13" s="987"/>
      <c r="J13" s="987"/>
      <c r="K13" s="987"/>
      <c r="L13" s="987"/>
      <c r="M13" s="987"/>
    </row>
    <row r="14">
      <c r="A14" s="994"/>
      <c r="B14" s="994"/>
      <c r="C14" s="994"/>
      <c r="D14" s="994"/>
      <c r="E14" s="994"/>
      <c r="F14" s="995"/>
      <c r="G14" s="987"/>
      <c r="H14" s="989"/>
      <c r="I14" s="989"/>
      <c r="J14" s="989"/>
      <c r="K14" s="989"/>
      <c r="L14" s="989"/>
      <c r="M14" s="989"/>
    </row>
    <row r="15">
      <c r="A15" s="996" t="s">
        <v>47</v>
      </c>
      <c r="B15" s="11"/>
      <c r="C15" s="11"/>
      <c r="D15" s="11"/>
      <c r="E15" s="11"/>
      <c r="F15" s="46"/>
      <c r="G15" s="997"/>
      <c r="H15" s="998" t="s">
        <v>118</v>
      </c>
      <c r="I15" s="11"/>
      <c r="J15" s="11"/>
      <c r="K15" s="11"/>
      <c r="L15" s="11"/>
      <c r="M15" s="46"/>
    </row>
    <row r="16">
      <c r="A16" s="987"/>
      <c r="B16" s="987"/>
      <c r="C16" s="987"/>
      <c r="D16" s="987"/>
      <c r="E16" s="987"/>
      <c r="F16" s="987"/>
      <c r="G16" s="623"/>
      <c r="H16" s="987"/>
      <c r="I16" s="987"/>
      <c r="J16" s="987"/>
      <c r="K16" s="987"/>
      <c r="L16" s="987"/>
      <c r="M16" s="987"/>
    </row>
    <row r="19">
      <c r="A19" s="51" t="s">
        <v>48</v>
      </c>
      <c r="B19" s="36"/>
      <c r="C19" s="36"/>
      <c r="D19" s="36"/>
      <c r="E19" s="36"/>
      <c r="F19" s="37"/>
      <c r="H19" s="51" t="s">
        <v>48</v>
      </c>
      <c r="I19" s="36"/>
      <c r="J19" s="36"/>
      <c r="K19" s="36"/>
      <c r="L19" s="36"/>
      <c r="M19" s="37"/>
      <c r="N19" s="141"/>
      <c r="O19" s="51" t="s">
        <v>48</v>
      </c>
      <c r="P19" s="36"/>
      <c r="Q19" s="36"/>
      <c r="R19" s="36"/>
      <c r="S19" s="36"/>
      <c r="T19" s="37"/>
    </row>
    <row r="20">
      <c r="A20" s="225" t="str">
        <f>HYPERLINK("https://www.youtube.com/watch?v=iLgUDezDMbU","1. BENCH PRESS")</f>
        <v>1. BENCH PRESS</v>
      </c>
      <c r="B20" s="13"/>
      <c r="C20" s="13"/>
      <c r="D20" s="13"/>
      <c r="E20" s="13"/>
      <c r="F20" s="57"/>
      <c r="H20" s="52" t="str">
        <f>HYPERLINK("https://youtu.be/ujVN-A0Z-ic","1. DUMBBELL INCLINE PRESS")</f>
        <v>1. DUMBBELL INCLINE PRESS</v>
      </c>
      <c r="I20" s="53"/>
      <c r="J20" s="53"/>
      <c r="K20" s="53"/>
      <c r="L20" s="53"/>
      <c r="M20" s="54"/>
      <c r="O20" s="52" t="str">
        <f>HYPERLINK("https://youtu.be/75e_H9Vq_Lw","1. MACHINE PRESS")</f>
        <v>1. MACHINE PRESS</v>
      </c>
      <c r="P20" s="53"/>
      <c r="Q20" s="53"/>
      <c r="R20" s="53"/>
      <c r="S20" s="53"/>
      <c r="T20" s="54"/>
    </row>
    <row r="21">
      <c r="A21" s="226" t="s">
        <v>119</v>
      </c>
      <c r="B21" s="227">
        <f>'WEEK 37'!B20</f>
        <v>260</v>
      </c>
      <c r="C21" s="20"/>
      <c r="D21" s="20"/>
      <c r="E21" s="20"/>
      <c r="F21" s="95"/>
      <c r="H21" s="228" t="s">
        <v>119</v>
      </c>
      <c r="I21" s="229">
        <f>IF('WEEK 39'!B34="",'WEEK 39'!B21,'WEEK 39'!B34)</f>
        <v>90</v>
      </c>
      <c r="J21" s="16"/>
      <c r="K21" s="16"/>
      <c r="L21" s="16"/>
      <c r="M21" s="230"/>
      <c r="O21" s="228" t="s">
        <v>119</v>
      </c>
      <c r="P21" s="229" t="str">
        <f>'WEEK 40'!I20</f>
        <v/>
      </c>
      <c r="Q21" s="16"/>
      <c r="R21" s="16"/>
      <c r="S21" s="16"/>
      <c r="T21" s="230"/>
    </row>
    <row r="22">
      <c r="A22" s="231" t="s">
        <v>50</v>
      </c>
      <c r="B22" s="232" t="s">
        <v>51</v>
      </c>
      <c r="C22" s="232" t="s">
        <v>52</v>
      </c>
      <c r="D22" s="232" t="s">
        <v>53</v>
      </c>
      <c r="E22" s="233" t="s">
        <v>54</v>
      </c>
      <c r="F22" s="61" t="s">
        <v>55</v>
      </c>
      <c r="H22" s="96" t="s">
        <v>50</v>
      </c>
      <c r="I22" s="97" t="s">
        <v>51</v>
      </c>
      <c r="J22" s="97" t="s">
        <v>52</v>
      </c>
      <c r="K22" s="97" t="s">
        <v>53</v>
      </c>
      <c r="L22" s="98" t="s">
        <v>54</v>
      </c>
      <c r="M22" s="235" t="s">
        <v>55</v>
      </c>
      <c r="O22" s="96" t="s">
        <v>50</v>
      </c>
      <c r="P22" s="97" t="s">
        <v>51</v>
      </c>
      <c r="Q22" s="97" t="s">
        <v>52</v>
      </c>
      <c r="R22" s="97" t="s">
        <v>53</v>
      </c>
      <c r="S22" s="98" t="s">
        <v>54</v>
      </c>
      <c r="T22" s="235" t="s">
        <v>55</v>
      </c>
    </row>
    <row r="23">
      <c r="A23" s="236">
        <v>1.0</v>
      </c>
      <c r="B23" s="237">
        <f>IF( 'WEEK 41'!B20&lt;125,45,mround('WEEK 41'!B21*0.35,5))</f>
        <v>45</v>
      </c>
      <c r="C23" s="237">
        <v>6.0</v>
      </c>
      <c r="D23" s="238" t="s">
        <v>120</v>
      </c>
      <c r="E23" s="66">
        <f>IF('WEEK 41'!B23='WEEK 35'!B23,'WEEK 35'!F23,"")</f>
        <v>6</v>
      </c>
      <c r="F23" s="67">
        <v>6.0</v>
      </c>
      <c r="H23" s="244">
        <v>1.0</v>
      </c>
      <c r="I23" s="241">
        <f>mround('WEEK 41'!I21*0.35,5)</f>
        <v>30</v>
      </c>
      <c r="J23" s="63">
        <v>6.0</v>
      </c>
      <c r="K23" s="83" t="s">
        <v>127</v>
      </c>
      <c r="L23" s="66" t="str">
        <f>IF('WEEK 41'!I23='WEEK 35'!I23,'WEEK 35'!M23,"")</f>
        <v/>
      </c>
      <c r="M23" s="85"/>
      <c r="O23" s="244">
        <v>1.0</v>
      </c>
      <c r="P23" s="241">
        <f>mround('WEEK 41'!P21*0.35,5)</f>
        <v>0</v>
      </c>
      <c r="Q23" s="63">
        <v>6.0</v>
      </c>
      <c r="R23" s="83" t="s">
        <v>127</v>
      </c>
      <c r="S23" s="66" t="str">
        <f>IF('WEEK 41'!P23='WEEK 35'!P23,'WEEK 35'!T23,"")</f>
        <v/>
      </c>
      <c r="T23" s="85">
        <v>6.0</v>
      </c>
    </row>
    <row r="24">
      <c r="A24" s="236">
        <v>2.0</v>
      </c>
      <c r="B24" s="237">
        <f>mround('WEEK 41'!B21*0.8,5)</f>
        <v>210</v>
      </c>
      <c r="C24" s="237">
        <v>1.0</v>
      </c>
      <c r="D24" s="238" t="s">
        <v>121</v>
      </c>
      <c r="E24" s="66" t="str">
        <f>IF('WEEK 41'!B24='WEEK 35'!B24,'WEEK 35'!F24,"")</f>
        <v/>
      </c>
      <c r="F24" s="67">
        <v>1.0</v>
      </c>
      <c r="G24" s="1129" t="s">
        <v>191</v>
      </c>
      <c r="H24" s="240">
        <v>2.0</v>
      </c>
      <c r="I24" s="241">
        <f>mround('WEEK 41'!I21*0.65,5)</f>
        <v>60</v>
      </c>
      <c r="J24" s="241">
        <v>1.0</v>
      </c>
      <c r="K24" s="83" t="s">
        <v>127</v>
      </c>
      <c r="L24" s="66" t="str">
        <f>IF('WEEK 41'!I24='WEEK 35'!I24,'WEEK 35'!M24,"")</f>
        <v/>
      </c>
      <c r="M24" s="85"/>
      <c r="O24" s="240">
        <v>2.0</v>
      </c>
      <c r="P24" s="241">
        <f>mround('WEEK 41'!P21*0.65,5)</f>
        <v>0</v>
      </c>
      <c r="Q24" s="241">
        <v>1.0</v>
      </c>
      <c r="R24" s="83" t="s">
        <v>127</v>
      </c>
      <c r="S24" s="66" t="str">
        <f>IF('WEEK 41'!P24='WEEK 35'!P24,'WEEK 35'!T24,"")</f>
        <v/>
      </c>
      <c r="T24" s="85">
        <v>1.0</v>
      </c>
    </row>
    <row r="25">
      <c r="A25" s="242">
        <v>3.0</v>
      </c>
      <c r="B25" s="237">
        <f>mround('WEEK 41'!B21*0.9,5)</f>
        <v>235</v>
      </c>
      <c r="C25" s="82">
        <v>1.0</v>
      </c>
      <c r="D25" s="238" t="s">
        <v>121</v>
      </c>
      <c r="E25" s="66" t="str">
        <f>IF('WEEK 41'!B25='WEEK 35'!B25,'WEEK 35'!F25,"")</f>
        <v/>
      </c>
      <c r="F25" s="67">
        <v>1.0</v>
      </c>
      <c r="H25" s="240">
        <v>3.0</v>
      </c>
      <c r="I25" s="241">
        <f>mround('WEEK 41'!I21*0.85,5)</f>
        <v>75</v>
      </c>
      <c r="J25" s="63">
        <v>1.0</v>
      </c>
      <c r="K25" s="83" t="s">
        <v>127</v>
      </c>
      <c r="L25" s="66" t="str">
        <f>IF('WEEK 41'!I25='WEEK 35'!I25,'WEEK 35'!M25,"")</f>
        <v/>
      </c>
      <c r="M25" s="85"/>
      <c r="O25" s="240">
        <v>3.0</v>
      </c>
      <c r="P25" s="241">
        <f>mround('WEEK 41'!P21*0.85,5)</f>
        <v>0</v>
      </c>
      <c r="Q25" s="241">
        <v>1.0</v>
      </c>
      <c r="R25" s="83" t="s">
        <v>127</v>
      </c>
      <c r="S25" s="66" t="str">
        <f>IF('WEEK 41'!P25='WEEK 35'!P25,'WEEK 35'!T25,"")</f>
        <v/>
      </c>
      <c r="T25" s="85">
        <v>1.0</v>
      </c>
    </row>
    <row r="26">
      <c r="A26" s="243">
        <v>4.0</v>
      </c>
      <c r="B26" s="237">
        <f>'WEEK 41'!B21</f>
        <v>260</v>
      </c>
      <c r="C26" s="175">
        <v>1.0</v>
      </c>
      <c r="D26" s="238" t="s">
        <v>122</v>
      </c>
      <c r="E26" s="66" t="str">
        <f>IF('WEEK 41'!B26='WEEK 35'!B26,'WEEK 35'!F26,"")</f>
        <v/>
      </c>
      <c r="F26" s="67">
        <v>1.0</v>
      </c>
      <c r="H26" s="240">
        <v>4.0</v>
      </c>
      <c r="I26" s="241">
        <f>mround('WEEK 41'!I21*1,5)</f>
        <v>90</v>
      </c>
      <c r="J26" s="245" t="s">
        <v>65</v>
      </c>
      <c r="K26" s="83" t="s">
        <v>127</v>
      </c>
      <c r="L26" s="66" t="str">
        <f>IF('WEEK 41'!I26='WEEK 35'!I26,'WEEK 35'!M26,"")</f>
        <v/>
      </c>
      <c r="M26" s="85"/>
      <c r="O26" s="240">
        <v>4.0</v>
      </c>
      <c r="P26" s="241">
        <f>mround('WEEK 41'!P21*1,5)</f>
        <v>0</v>
      </c>
      <c r="Q26" s="245" t="s">
        <v>65</v>
      </c>
      <c r="R26" s="83" t="s">
        <v>127</v>
      </c>
      <c r="S26" s="66" t="str">
        <f>IF('WEEK 41'!P26='WEEK 35'!P26,'WEEK 35'!T26,"")</f>
        <v/>
      </c>
      <c r="T26" s="85">
        <v>8.0</v>
      </c>
    </row>
    <row r="27">
      <c r="A27" s="246" t="str">
        <f>IF('WEEK 41'!F26&lt;1,"PROCEED TO DOWN SETS","NEW 1 REP MAX ATTEMPT")</f>
        <v>NEW 1 REP MAX ATTEMPT</v>
      </c>
      <c r="B27" s="20"/>
      <c r="C27" s="20"/>
      <c r="D27" s="20"/>
      <c r="E27" s="20"/>
      <c r="F27" s="95"/>
      <c r="H27" s="248" t="str">
        <f>IF(OR(ISBLANK('WEEK 41'!M26),ISBLANK('WEEK 41'!M25),ISBLANK('WEEK 41'!M24)),"PROCEED TO DOWNSETS",if('WEEK 41'!M26&gt;=6,"NEW 4 REP MAX ATTEMPT","PROCEED TO DOWN SETS"))</f>
        <v>PROCEED TO DOWNSETS</v>
      </c>
      <c r="M27" s="28"/>
      <c r="N27" s="247" t="s">
        <v>123</v>
      </c>
      <c r="O27" s="248" t="str">
        <f>IF(OR(ISBLANK('WEEK 41'!T26),ISBLANK('WEEK 41'!T25),ISBLANK('WEEK 41'!T24)),"PROCEED TO DOWNSETS",if('WEEK 41'!T26&gt;=6,"NEW 4 REP MAX ATTEMPT","PROCEED TO DOWN SETS"))</f>
        <v>PROCEED TO DOWNSETS</v>
      </c>
      <c r="T27" s="28"/>
    </row>
    <row r="28">
      <c r="A28" s="249">
        <f>if('WEEK 41'!F26&lt;1,"",5)</f>
        <v>5</v>
      </c>
      <c r="B28" s="175">
        <f>IF('WEEK 41'!F26&lt;1,"",'WEEK 41'!B26+5)</f>
        <v>265</v>
      </c>
      <c r="C28" s="238">
        <f>if('WEEK 41'!F26&lt;1,"",1)</f>
        <v>1</v>
      </c>
      <c r="D28" s="238" t="str">
        <f>if('WEEK 41'!F26&lt;1,"","1-5 MIN")</f>
        <v>1-5 MIN</v>
      </c>
      <c r="E28" s="66" t="str">
        <f>IF('WEEK 41'!B28='WEEK 35'!B28,'WEEK 35'!F28,"")</f>
        <v/>
      </c>
      <c r="F28" s="67"/>
      <c r="H28" s="251" t="str">
        <f>IF(OR(ISBLANK('WEEK 41'!M26),ISBLANK('WEEK 41'!M25),ISBLANK('WEEK 41'!M24)),"",IF('WEEK 41'!M26&gt;=6,5,""))</f>
        <v/>
      </c>
      <c r="I28" s="252" t="str">
        <f>IF(OR(ISBLANK('WEEK 41'!M26),ISBLANK('WEEK 41'!M25),ISBLANK('WEEK 41'!M24)),"",IF('WEEK 41'!M26&gt;=6,'WEEK 41'!I21+5,""))</f>
        <v/>
      </c>
      <c r="J28" s="253" t="str">
        <f>IF(OR(ISBLANK('WEEK 41'!M26),ISBLANK('WEEK 41'!M25),ISBLANK('WEEK 41'!M24)),"",IF('WEEK 41'!M26&gt;=6,"REP OUT",""))</f>
        <v/>
      </c>
      <c r="K28" s="254" t="str">
        <f>IF(OR(ISBLANK('WEEK 41'!M26),ISBLANK('WEEK 41'!M25),ISBLANK('WEEK 41'!M24)),"",IF('WEEK 41'!M26&gt;5,"1-3 MIN",""))</f>
        <v/>
      </c>
      <c r="L28" s="66" t="str">
        <f>IF('WEEK 41'!I28='WEEK 35'!I28,'WEEK 35'!M28,"")</f>
        <v/>
      </c>
      <c r="M28" s="67"/>
      <c r="O28" s="251" t="str">
        <f>IF(OR(ISBLANK('WEEK 41'!T26),ISBLANK('WEEK 41'!T25),ISBLANK('WEEK 41'!T24)),"",IF('WEEK 41'!T26&gt;=6,5,""))</f>
        <v/>
      </c>
      <c r="P28" s="252" t="str">
        <f>IF(OR(ISBLANK('WEEK 41'!T26),ISBLANK('WEEK 41'!T25),ISBLANK('WEEK 41'!T24)),"",IF('WEEK 41'!T26&gt;=6,'WEEK 41'!P21+5,""))</f>
        <v/>
      </c>
      <c r="Q28" s="253" t="str">
        <f>IF(OR(ISBLANK('WEEK 41'!T26),ISBLANK('WEEK 41'!T25),ISBLANK('WEEK 41'!T24)),"",IF('WEEK 41'!T26&gt;=6,"REP OUT",""))</f>
        <v/>
      </c>
      <c r="R28" s="254" t="str">
        <f>IF(OR(ISBLANK('WEEK 41'!T26),ISBLANK('WEEK 41'!T25),ISBLANK('WEEK 41'!T24)),"",IF('WEEK 41'!T26&gt;5,"1-3 MIN",""))</f>
        <v/>
      </c>
      <c r="S28" s="66" t="str">
        <f>IF('WEEK 41'!P28='WEEK 35'!P28,'WEEK 35'!T28,"")</f>
        <v/>
      </c>
      <c r="T28" s="665">
        <v>4.0</v>
      </c>
    </row>
    <row r="29">
      <c r="A29" s="256" t="str">
        <f>IF('WEEK 41'!F28&lt;1,"","6")</f>
        <v>6</v>
      </c>
      <c r="B29" s="237">
        <f>IF('WEEK 41'!F28&lt;1,"",'WEEK 41'!B28+5)</f>
        <v>270</v>
      </c>
      <c r="C29" s="257" t="str">
        <f>IF('WEEK 41'!F28&lt;1,"","1")</f>
        <v>1</v>
      </c>
      <c r="D29" s="257" t="str">
        <f>IF('WEEK 41'!F28&lt;1,"","1-5 MIN")</f>
        <v>1-5 MIN</v>
      </c>
      <c r="E29" s="66" t="str">
        <f>IF('WEEK 41'!B29='WEEK 35'!B29,'WEEK 35'!F29,"")</f>
        <v/>
      </c>
      <c r="F29" s="67"/>
      <c r="H29" s="260" t="str">
        <f>IF(OR(ISBLANK('WEEK 41'!M26),ISBLANK('WEEK 41'!M25),ISBLANK('WEEK 41'!M24)),"FILL OUT REP LOG FIRST","DOWN SETS")</f>
        <v>FILL OUT REP LOG FIRST</v>
      </c>
      <c r="I29" s="16"/>
      <c r="J29" s="16"/>
      <c r="K29" s="16"/>
      <c r="L29" s="16"/>
      <c r="M29" s="230"/>
      <c r="N29" s="141"/>
      <c r="O29" s="260" t="str">
        <f>IF(OR(ISBLANK('WEEK 41'!T26),ISBLANK('WEEK 41'!T25),ISBLANK('WEEK 41'!T24)),"FILL OUT REP LOG FIRST","DOWN SETS")</f>
        <v>FILL OUT REP LOG FIRST</v>
      </c>
      <c r="P29" s="16"/>
      <c r="Q29" s="16"/>
      <c r="R29" s="16"/>
      <c r="S29" s="16"/>
      <c r="T29" s="230"/>
    </row>
    <row r="30">
      <c r="A30" s="246" t="str">
        <f>IF(OR(ISBLANK('WEEK 41'!F26),ISBLANK('WEEK 41'!F25),ISBLANK('WEEK 41'!F24)),"FILL OUT REP LOG FOR DOWN SETS","DOWN SETS")</f>
        <v>DOWN SETS</v>
      </c>
      <c r="B30" s="20"/>
      <c r="C30" s="20"/>
      <c r="D30" s="20"/>
      <c r="E30" s="20"/>
      <c r="F30" s="95"/>
      <c r="H30" s="91" t="str">
        <f>IF('WEEK 41'!M28&gt;=4,"",IF(OR(ISBLANK('WEEK 41'!M26),ISBLANK('WEEK 41'!M25),ISBLANK('WEEK 41'!M24)),"",IF('WEEK 41'!M26&gt;5,6,5)))</f>
        <v/>
      </c>
      <c r="I30" s="261" t="str">
        <f>IF('WEEK 41'!M28&gt;=4,"",IF(OR(ISBLANK('WEEK 41'!M26),ISBLANK('WEEK 41'!M25),ISBLANK('WEEK 41'!M24)),"",IF('WEEK 41'!M26&lt;6,mround('WEEK 41'!I21*0.8,5),IF('WEEK 41'!M26&lt;10,mround('WEEK 41'!I21*0.93,5),mround('WEEK 41'!I21*0.7,5)))))</f>
        <v/>
      </c>
      <c r="J30" s="262" t="str">
        <f>IF('WEEK 41'!M28&gt;=4,"",IF(OR(ISBLANK('WEEK 41'!M26),ISBLANK('WEEK 41'!M25),ISBLANK('WEEK 41'!M24)),"","REP OUT"))</f>
        <v/>
      </c>
      <c r="K30" s="65" t="str">
        <f>IF('WEEK 41'!M28&gt;=4,"",IF(OR(ISBLANK('WEEK 41'!M26),ISBLANK('WEEK 41'!M25),ISBLANK('WEEK 41'!M24)),"","1-3 MIN"))</f>
        <v/>
      </c>
      <c r="L30" s="66" t="str">
        <f>IF('WEEK 41'!I30='WEEK 35'!I30,'WEEK 35'!M30,"")</f>
        <v/>
      </c>
      <c r="M30" s="263"/>
      <c r="O30" s="91" t="str">
        <f>IF('WEEK 41'!T28&gt;=4,"",IF(OR(ISBLANK('WEEK 41'!T26),ISBLANK('WEEK 41'!T25),ISBLANK('WEEK 41'!T24)),"",IF('WEEK 41'!T26&gt;5,6,5)))</f>
        <v/>
      </c>
      <c r="P30" s="261" t="str">
        <f>IF('WEEK 41'!T28&gt;=4,"",IF(OR(ISBLANK('WEEK 41'!T26),ISBLANK('WEEK 41'!T25),ISBLANK('WEEK 41'!T24)),"",IF('WEEK 41'!T26&lt;6,mround('WEEK 41'!P21*0.8,5),IF('WEEK 41'!T26&lt;10,mround('WEEK 41'!P21*0.93,5),mround('WEEK 41'!P21*0.7,5)))))</f>
        <v/>
      </c>
      <c r="Q30" s="262" t="str">
        <f>IF('WEEK 41'!T28&gt;=4,"",IF(OR(ISBLANK('WEEK 41'!T26),ISBLANK('WEEK 41'!T25),ISBLANK('WEEK 41'!T24)),"","REP OUT"))</f>
        <v/>
      </c>
      <c r="R30" s="65" t="str">
        <f>IF('WEEK 41'!T28&gt;=4,"",IF(OR(ISBLANK('WEEK 41'!T26),ISBLANK('WEEK 41'!T25),ISBLANK('WEEK 41'!T24)),"","1-3 MIN"))</f>
        <v/>
      </c>
      <c r="S30" s="66" t="str">
        <f>IF('WEEK 41'!P30='WEEK 35'!P30,'WEEK 35'!T30,"")</f>
        <v/>
      </c>
      <c r="T30" s="263"/>
    </row>
    <row r="31">
      <c r="A31" s="264">
        <f>IF(OR(ISBLANK('WEEK 41'!F26),ISBLANK('WEEK 41'!F25),ISBLANK('WEEK 41'!F24)),"",IF((AND('WEEK 41'!A28="",'WEEK 41'!A29="")),5,IF((AND('WEEK 41'!A28&gt;1,'WEEK 41'!A29="")),6,7)))</f>
        <v>7</v>
      </c>
      <c r="B31" s="265">
        <f>IF(OR(ISBLANK('WEEK 41'!F26),ISBLANK('WEEK 41'!F25),ISBLANK('WEEK 41'!F24)),"",MROUND('WEEK 41'!B33*0.9,5))</f>
        <v>240</v>
      </c>
      <c r="C31" s="266" t="str">
        <f>IF(OR(ISBLANK('WEEK 41'!F26),ISBLANK('WEEK 41'!F25),ISBLANK('WEEK 41'!F24)),"","REP OUT")</f>
        <v>REP OUT</v>
      </c>
      <c r="D31" s="267" t="str">
        <f>IF(OR(ISBLANK('WEEK 41'!F26),ISBLANK('WEEK 41'!F25),ISBLANK('WEEK 41'!F24)),"","1-3 MIN")</f>
        <v>1-3 MIN</v>
      </c>
      <c r="E31" s="66" t="str">
        <f>IF('WEEK 41'!B31='WEEK 35'!B31,'WEEK 35'!F31,"")</f>
        <v/>
      </c>
      <c r="F31" s="67"/>
      <c r="H31" s="269" t="str">
        <f>IF('WEEK 41'!M28&gt;=4,"",IF(OR(ISBLANK('WEEK 41'!M26),ISBLANK('WEEK 41'!M25),ISBLANK('WEEK 41'!M24)),"",IF('WEEK 41'!M26&gt;5,7,6)))</f>
        <v/>
      </c>
      <c r="I31" s="254" t="str">
        <f>IF('WEEK 41'!M28&gt;=4,"",IF(OR(ISBLANK('WEEK 41'!M26),ISBLANK('WEEK 41'!M25),ISBLANK('WEEK 41'!M24)),"",IF('WEEK 41'!M26&lt;6,mround('WEEK 41'!I21*0.65,5),IF('WEEK 41'!M26&lt;10,mround('WEEK 41'!I21*0.7,5),mround('WEEK 41'!I21*0.65,5)))))</f>
        <v/>
      </c>
      <c r="J31" s="253" t="str">
        <f>IF('WEEK 41'!M28&gt;=4,"",IF(OR(ISBLANK('WEEK 41'!M26),ISBLANK('WEEK 41'!M25),ISBLANK('WEEK 41'!M24)),"","REP OUT"))</f>
        <v/>
      </c>
      <c r="K31" s="65" t="str">
        <f>IF('WEEK 41'!M28&gt;=4,"",IF(OR(ISBLANK('WEEK 41'!M26),ISBLANK('WEEK 41'!M25),ISBLANK('WEEK 41'!M24)),"","1-3 MIN"))</f>
        <v/>
      </c>
      <c r="L31" s="66" t="str">
        <f>IF('WEEK 41'!I31='WEEK 35'!I31,'WEEK 35'!M31,"")</f>
        <v/>
      </c>
      <c r="M31" s="270"/>
      <c r="O31" s="269" t="str">
        <f>IF('WEEK 41'!T28&gt;=4,"",IF(OR(ISBLANK('WEEK 41'!T26),ISBLANK('WEEK 41'!T25),ISBLANK('WEEK 41'!T24)),"",IF('WEEK 41'!T26&gt;5,7,6)))</f>
        <v/>
      </c>
      <c r="P31" s="254" t="str">
        <f>IF('WEEK 41'!T28&gt;=4,"",IF(OR(ISBLANK('WEEK 41'!T26),ISBLANK('WEEK 41'!T25),ISBLANK('WEEK 41'!T24)),"",IF('WEEK 41'!T26&lt;6,mround('WEEK 41'!P21*0.65,5),IF('WEEK 41'!T26&lt;10,mround('WEEK 41'!P21*0.7,5),mround('WEEK 41'!P21*0.65,5)))))</f>
        <v/>
      </c>
      <c r="Q31" s="253" t="str">
        <f>IF('WEEK 41'!T28&gt;=4,"",IF(OR(ISBLANK('WEEK 41'!T26),ISBLANK('WEEK 41'!T25),ISBLANK('WEEK 41'!T24)),"","REP OUT"))</f>
        <v/>
      </c>
      <c r="R31" s="65" t="str">
        <f>IF('WEEK 41'!T28&gt;=4,"",IF(OR(ISBLANK('WEEK 41'!T26),ISBLANK('WEEK 41'!T25),ISBLANK('WEEK 41'!T24)),"","1 MIN"))</f>
        <v/>
      </c>
      <c r="S31" s="66" t="str">
        <f>IF('WEEK 41'!P31='WEEK 35'!P31,'WEEK 35'!T31,"")</f>
        <v/>
      </c>
      <c r="T31" s="270"/>
    </row>
    <row r="32">
      <c r="A32" s="243">
        <f>IF(OR(ISBLANK('WEEK 41'!F26),ISBLANK('WEEK 41'!F25),ISBLANK('WEEK 41'!F24)),"",IF((AND('WEEK 41'!A28="",'WEEK 41'!A29="")),6,IF((AND('WEEK 41'!A28&gt;1,'WEEK 41'!A29="")),7,8)))</f>
        <v>8</v>
      </c>
      <c r="B32" s="237">
        <f>IF(OR(ISBLANK('WEEK 41'!F26),ISBLANK('WEEK 41'!F25),ISBLANK('WEEK 41'!F24)),"",mround('WEEK 41'!B33*0.78,5))</f>
        <v>205</v>
      </c>
      <c r="C32" s="245" t="str">
        <f>IF(OR(ISBLANK('WEEK 41'!F26),ISBLANK('WEEK 41'!F25),ISBLANK('WEEK 41'!F24)),"","REP OUT")</f>
        <v>REP OUT</v>
      </c>
      <c r="D32" s="65" t="str">
        <f>IF(OR(ISBLANK('WEEK 41'!F26),ISBLANK('WEEK 41'!F25),ISBLANK('WEEK 41'!F24)),"","1-3 MIN")</f>
        <v>1-3 MIN</v>
      </c>
      <c r="E32" s="66">
        <f>IF('WEEK 41'!B32='WEEK 35'!B32,'WEEK 35'!F32,"")</f>
        <v>6</v>
      </c>
      <c r="F32" s="271"/>
      <c r="H32" s="269" t="str">
        <f>IF('WEEK 41'!M28&lt;4,"",IF(OR(ISBLANK('WEEK 41'!M26),ISBLANK('WEEK 41'!M25),ISBLANK('WEEK 41'!M24)),"",IF('WEEK 41'!M28&gt;3,6,5)))</f>
        <v/>
      </c>
      <c r="I32" s="254" t="str">
        <f>IF('WEEK 41'!M28&lt;4,"",IF(OR(ISBLANK('WEEK 41'!M26),ISBLANK('WEEK 41'!M25),ISBLANK('WEEK 41'!M24)),"",IF('WEEK 41'!M28&lt;6,mround('WEEK 41'!I34*0.7,5),IF('WEEK 41'!M28&lt;10,mround('WEEK 41'!I34*0.8,5),mround(I34*0.93,5)))))</f>
        <v/>
      </c>
      <c r="J32" s="253" t="str">
        <f>IF('WEEK 41'!M28&lt;4,"",IF(OR(ISBLANK('WEEK 41'!M26),ISBLANK('WEEK 41'!M25),ISBLANK('WEEK 41'!M24)),"","REP OUT"))</f>
        <v/>
      </c>
      <c r="K32" s="65" t="str">
        <f>IF('WEEK 41'!M28&lt;4,"",IF(OR(ISBLANK('WEEK 41'!M26),ISBLANK('WEEK 41'!M25),ISBLANK('WEEK 41'!M24)),"","1-3 MIN"))</f>
        <v/>
      </c>
      <c r="L32" s="66" t="str">
        <f>IF('WEEK 41'!I32='WEEK 35'!I32,'WEEK 35'!M32,"")</f>
        <v/>
      </c>
      <c r="M32" s="270"/>
      <c r="N32" s="141"/>
      <c r="O32" s="269" t="str">
        <f>IF('WEEK 41'!T28&lt;4,"",IF(OR(ISBLANK('WEEK 41'!T26),ISBLANK('WEEK 41'!T25),ISBLANK('WEEK 41'!T24)),"",IF('WEEK 41'!T28&gt;3,6,5)))</f>
        <v/>
      </c>
      <c r="P32" s="254" t="str">
        <f>IF('WEEK 41'!T28&lt;4,"",IF(OR(ISBLANK('WEEK 41'!T26),ISBLANK('WEEK 41'!T25),ISBLANK('WEEK 41'!T24)),"",IF('WEEK 41'!T28&lt;6,mround('WEEK 41'!P34*0.7,5),IF('WEEK 41'!T28&lt;10,mround('WEEK 41'!P34*0.8,5),mround(P34*0.93,5)))))</f>
        <v/>
      </c>
      <c r="Q32" s="253" t="str">
        <f>IF('WEEK 41'!T28&lt;4,"",IF(OR(ISBLANK('WEEK 41'!T26),ISBLANK('WEEK 41'!T25),ISBLANK('WEEK 41'!T24)),"","REP OUT"))</f>
        <v/>
      </c>
      <c r="R32" s="65" t="str">
        <f>IF('WEEK 41'!T28&lt;4,"",IF(OR(ISBLANK('WEEK 41'!T26),ISBLANK('WEEK 41'!T25),ISBLANK('WEEK 41'!T24)),"","1-3 MIN"))</f>
        <v/>
      </c>
      <c r="S32" s="66" t="str">
        <f>IF('WEEK 41'!P32='WEEK 35'!P32,'WEEK 35'!T32,"")</f>
        <v/>
      </c>
      <c r="T32" s="263"/>
    </row>
    <row r="33">
      <c r="A33" s="272" t="s">
        <v>124</v>
      </c>
      <c r="B33" s="273">
        <f>IF(OR(ISBLANK('WEEK 41'!F26),ISBLANK('WEEK 41'!F25),ISBLANK('WEEK 41'!F24)),"",IF('WEEK 41'!F29&gt;=1,'WEEK 41'!B29,IF('WEEK 41'!F28&gt;=1,'WEEK 41'!B28,IF('WEEK 41'!F26&lt;1,'WEEK 41'!B26-5,'WEEK 41'!B26))))</f>
        <v>265</v>
      </c>
      <c r="C33" s="11"/>
      <c r="D33" s="11"/>
      <c r="E33" s="11"/>
      <c r="F33" s="46"/>
      <c r="H33" s="269" t="str">
        <f>IF('WEEK 41'!M28&lt;4,"",IF(OR(ISBLANK('WEEK 41'!M26),ISBLANK('WEEK 41'!M25),ISBLANK('WEEK 41'!M24)),"",IF('WEEK 41'!M28&gt;3,7,"")))</f>
        <v/>
      </c>
      <c r="I33" s="254" t="str">
        <f>IF('WEEK 41'!M28&lt;4,"",IF(OR(ISBLANK('WEEK 41'!M26),ISBLANK('WEEK 41'!M25),ISBLANK('WEEK 41'!M24)),"",IF('WEEK 41'!M28&lt;6,mround('WEEK 41'!I34*0.65,5),IF('WEEK 41'!M28&lt;10,mround('WEEK 41'!I34*0.7,5),mround(I34*0.75,5)))))</f>
        <v/>
      </c>
      <c r="J33" s="253" t="str">
        <f>IF('WEEK 41'!M28&lt;4,"",IF(OR(ISBLANK('WEEK 41'!M26),ISBLANK('WEEK 41'!M25),ISBLANK('WEEK 41'!M24)),"","REP OUT"))</f>
        <v/>
      </c>
      <c r="K33" s="65" t="str">
        <f>IF('WEEK 41'!M28&lt;4,"",IF(OR(ISBLANK('WEEK 41'!M26),ISBLANK('WEEK 41'!M25),ISBLANK('WEEK 41'!M24)),"","1-3 MIN"))</f>
        <v/>
      </c>
      <c r="L33" s="66" t="str">
        <f>IF('WEEK 41'!I33='WEEK 35'!I33,'WEEK 35'!M33,"")</f>
        <v/>
      </c>
      <c r="M33" s="270"/>
      <c r="N33" s="141"/>
      <c r="O33" s="269" t="str">
        <f>IF('WEEK 41'!T28&lt;4,"",IF(OR(ISBLANK('WEEK 41'!T26),ISBLANK('WEEK 41'!T25),ISBLANK('WEEK 41'!T24)),"",IF('WEEK 41'!T28&gt;3,7,"")))</f>
        <v/>
      </c>
      <c r="P33" s="254" t="str">
        <f>IF('WEEK 41'!T28&lt;4,"",IF(OR(ISBLANK('WEEK 41'!T26),ISBLANK('WEEK 41'!T25),ISBLANK('WEEK 41'!T24)),"",IF('WEEK 41'!T28&lt;6,mround('WEEK 41'!P34*0.65,5),IF('WEEK 41'!T28&lt;10,mround('WEEK 41'!P34*0.7,5),mround(P34*0.75,5)))))</f>
        <v/>
      </c>
      <c r="Q33" s="253" t="str">
        <f>IF('WEEK 41'!T28&lt;4,"",IF(OR(ISBLANK('WEEK 41'!T26),ISBLANK('WEEK 41'!T25),ISBLANK('WEEK 41'!T24)),"","REP OUT"))</f>
        <v/>
      </c>
      <c r="R33" s="65" t="str">
        <f>IF('WEEK 41'!T28&lt;4,"",IF(OR(ISBLANK('WEEK 41'!T26),ISBLANK('WEEK 41'!T25),ISBLANK('WEEK 41'!T24)),"","1-3 MIN"))</f>
        <v/>
      </c>
      <c r="S33" s="66" t="str">
        <f>IF('WEEK 41'!P33='WEEK 35'!P33,'WEEK 35'!T33,"")</f>
        <v/>
      </c>
      <c r="T33" s="263"/>
    </row>
    <row r="34">
      <c r="H34" s="280" t="s">
        <v>124</v>
      </c>
      <c r="I34" s="273" t="str">
        <f>IF(OR(ISBLANK('WEEK 41'!M24),ISBLANK('WEEK 41'!M25),ISBLANK('WEEK 41'!M26)),"",IF('WEEK 41'!M28&gt;=4,'WEEK 41'!I28,IF('WEEK 41'!M26&lt;=3,'WEEK 41'!I26-5,'WEEK 41'!I26)))</f>
        <v/>
      </c>
      <c r="J34" s="11"/>
      <c r="K34" s="11"/>
      <c r="L34" s="11"/>
      <c r="M34" s="46"/>
      <c r="N34" s="141"/>
      <c r="O34" s="280" t="s">
        <v>124</v>
      </c>
      <c r="P34" s="273" t="str">
        <f>IF(OR(ISBLANK('WEEK 41'!T24),ISBLANK('WEEK 41'!T25),ISBLANK('WEEK 41'!T26)),"",IF('WEEK 41'!T28&gt;=4,'WEEK 41'!P28,IF('WEEK 41'!T26&lt;=3,'WEEK 41'!P26-5,'WEEK 41'!P26)))</f>
        <v/>
      </c>
      <c r="Q34" s="11"/>
      <c r="R34" s="11"/>
      <c r="S34" s="11"/>
      <c r="T34" s="46"/>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228</v>
      </c>
      <c r="B38" s="548">
        <f>IF('WEEK 41'!I34="",'WEEK 39'!B34,'WEEK 41'!I34)</f>
        <v>90</v>
      </c>
      <c r="C38" s="13"/>
      <c r="D38" s="13"/>
      <c r="E38" s="13"/>
      <c r="F38" s="57"/>
      <c r="H38" s="226" t="s">
        <v>228</v>
      </c>
      <c r="I38" s="548">
        <f>'WEEK 41'!B38</f>
        <v>90</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38'!B38*0.29,2.5)</f>
        <v>0</v>
      </c>
      <c r="C40" s="241">
        <v>15.0</v>
      </c>
      <c r="D40" s="83" t="s">
        <v>127</v>
      </c>
      <c r="E40" s="84" t="str">
        <f>IF('WEEK 40'!B35='WEEK 41'!B40,'WEEK 40'!F35,"")</f>
        <v/>
      </c>
      <c r="F40" s="85"/>
      <c r="H40" s="240">
        <v>1.0</v>
      </c>
      <c r="I40" s="254">
        <f>mround('WEEK 41'!I38*2*0.75,10)</f>
        <v>140</v>
      </c>
      <c r="J40" s="241">
        <v>15.0</v>
      </c>
      <c r="K40" s="83" t="s">
        <v>127</v>
      </c>
      <c r="L40" s="84" t="str">
        <f>IF('WEEK 40'!I35='WEEK 41'!I40,'WEEK 40'!M35,"")</f>
        <v/>
      </c>
      <c r="M40" s="85"/>
    </row>
    <row r="41">
      <c r="A41" s="661">
        <v>2.0</v>
      </c>
      <c r="B41" s="662">
        <f>mround('WEEK 41'!B38*0.29,2.5)</f>
        <v>25</v>
      </c>
      <c r="C41" s="662">
        <v>15.0</v>
      </c>
      <c r="D41" s="88" t="s">
        <v>127</v>
      </c>
      <c r="E41" s="84" t="str">
        <f>IF('WEEK 40'!B36='WEEK 41'!B41,'WEEK 40'!F36,"")</f>
        <v/>
      </c>
      <c r="F41" s="85"/>
      <c r="H41" s="661">
        <v>2.0</v>
      </c>
      <c r="I41" s="662">
        <f>mround('WEEK 41'!I38*2*0.75,10)</f>
        <v>140</v>
      </c>
      <c r="J41" s="662">
        <v>15.0</v>
      </c>
      <c r="K41" s="88" t="s">
        <v>127</v>
      </c>
      <c r="L41" s="84" t="str">
        <f>IF('WEEK 40'!I36='WEEK 41'!I41,'WEEK 40'!M36,"")</f>
        <v/>
      </c>
      <c r="M41" s="85"/>
    </row>
    <row r="44">
      <c r="A44" s="73" t="str">
        <f>HYPERLINK("https://www.youtube.com/watch?v=PnaDzYh2axA","3. LAT PULL DOWN")</f>
        <v>3. LAT PULL DOWN</v>
      </c>
      <c r="B44" s="53"/>
      <c r="C44" s="53"/>
      <c r="D44" s="53"/>
      <c r="E44" s="53"/>
      <c r="F44" s="54"/>
    </row>
    <row r="45">
      <c r="A45" s="226" t="s">
        <v>119</v>
      </c>
      <c r="B45" s="227">
        <f>'WEEK 40'!B40</f>
        <v>235</v>
      </c>
      <c r="C45" s="20"/>
      <c r="D45" s="20"/>
      <c r="E45" s="20"/>
      <c r="F45" s="95"/>
    </row>
    <row r="46">
      <c r="A46" s="231" t="s">
        <v>50</v>
      </c>
      <c r="B46" s="232" t="s">
        <v>51</v>
      </c>
      <c r="C46" s="232" t="s">
        <v>52</v>
      </c>
      <c r="D46" s="232" t="s">
        <v>53</v>
      </c>
      <c r="E46" s="233" t="s">
        <v>54</v>
      </c>
      <c r="F46" s="61" t="s">
        <v>55</v>
      </c>
    </row>
    <row r="47">
      <c r="A47" s="236">
        <v>1.0</v>
      </c>
      <c r="B47" s="237">
        <f>mround('WEEK 41'!B45*0.35,5)</f>
        <v>80</v>
      </c>
      <c r="C47" s="238">
        <v>6.0</v>
      </c>
      <c r="D47" s="238" t="s">
        <v>120</v>
      </c>
      <c r="E47" s="84" t="str">
        <f>IF('WEEK 37'!B42='WEEK 41'!B47,'WEEK 37'!F42,"")</f>
        <v/>
      </c>
      <c r="F47" s="67"/>
    </row>
    <row r="48">
      <c r="A48" s="236">
        <v>2.0</v>
      </c>
      <c r="B48" s="237">
        <f>mround('WEEK 41'!B45*0.65,5)</f>
        <v>155</v>
      </c>
      <c r="C48" s="238">
        <v>3.0</v>
      </c>
      <c r="D48" s="238" t="s">
        <v>121</v>
      </c>
      <c r="E48" s="84" t="str">
        <f>IF('WEEK 37'!B43='WEEK 41'!B48,'WEEK 37'!F43,"")</f>
        <v/>
      </c>
      <c r="F48" s="67"/>
    </row>
    <row r="49">
      <c r="A49" s="242">
        <v>3.0</v>
      </c>
      <c r="B49" s="237">
        <f>mround('WEEK 41'!B45*0.9,5)</f>
        <v>210</v>
      </c>
      <c r="C49" s="63">
        <v>2.0</v>
      </c>
      <c r="D49" s="238" t="s">
        <v>121</v>
      </c>
      <c r="E49" s="84" t="str">
        <f>IF('WEEK 37'!B44='WEEK 41'!B49,'WEEK 37'!F44,"")</f>
        <v/>
      </c>
      <c r="F49" s="67"/>
    </row>
    <row r="50">
      <c r="A50" s="243">
        <v>4.0</v>
      </c>
      <c r="B50" s="237">
        <f>'WEEK 41'!B45</f>
        <v>235</v>
      </c>
      <c r="C50" s="257">
        <v>3.0</v>
      </c>
      <c r="D50" s="238" t="s">
        <v>122</v>
      </c>
      <c r="E50" s="84" t="str">
        <f>IF('WEEK 37'!B45='WEEK 41'!B50,'WEEK 37'!F45,"")</f>
        <v/>
      </c>
      <c r="F50" s="67"/>
    </row>
    <row r="51">
      <c r="A51" s="246" t="str">
        <f>IF('WEEK 41'!F50&lt;3,"PROCEED TO DOWN SETS","NEW 4 REP MAX ATTEMPT")</f>
        <v>NEW 4 REP MAX ATTEMPT</v>
      </c>
      <c r="B51" s="20"/>
      <c r="C51" s="20"/>
      <c r="D51" s="20"/>
      <c r="E51" s="20"/>
      <c r="F51" s="95"/>
    </row>
    <row r="52">
      <c r="A52" s="249">
        <f>if('WEEK 41'!F50&lt;=2,"",5)</f>
        <v>5</v>
      </c>
      <c r="B52" s="175">
        <f>IF('WEEK 41'!F50&lt;=2,"",B50+5)</f>
        <v>240</v>
      </c>
      <c r="C52" s="238">
        <f>if('WEEK 41'!F50&lt;=2,"",4)</f>
        <v>4</v>
      </c>
      <c r="D52" s="238" t="str">
        <f>if('WEEK 41'!F50&lt;=2,"","1-5 MIN")</f>
        <v>1-5 MIN</v>
      </c>
      <c r="E52" s="84" t="str">
        <f>IF('WEEK 37'!B47='WEEK 41'!B52,'WEEK 37'!F47,"")</f>
        <v/>
      </c>
      <c r="F52" s="67"/>
    </row>
    <row r="53">
      <c r="A53" s="256" t="str">
        <f>IF('WEEK 41'!F52&lt;4,"","6")</f>
        <v/>
      </c>
      <c r="B53" s="237" t="str">
        <f>IF('WEEK 41'!F52&lt;4,"",B52+5)</f>
        <v/>
      </c>
      <c r="C53" s="257" t="str">
        <f>IF('WEEK 41'!F52&lt;4,"","4")</f>
        <v/>
      </c>
      <c r="D53" s="257" t="str">
        <f>IF('WEEK 41'!F52&lt;4,"","1-5 MIN")</f>
        <v/>
      </c>
      <c r="E53" s="84" t="str">
        <f>IF('WEEK 37'!B48='WEEK 41'!B53,'WEEK 37'!F48,"")</f>
        <v/>
      </c>
      <c r="F53" s="67"/>
    </row>
    <row r="54">
      <c r="A54" s="246" t="str">
        <f>IF(OR(ISBLANK('WEEK 41'!F50),ISBLANK('WEEK 41'!F49),ISBLANK('WEEK 41'!F48)),"FILL OUT REP LOG FOR DOWN SETS","DOWN SETS")</f>
        <v>DOWN SETS</v>
      </c>
      <c r="B54" s="20"/>
      <c r="C54" s="20"/>
      <c r="D54" s="20"/>
      <c r="E54" s="20"/>
      <c r="F54" s="95"/>
    </row>
    <row r="55">
      <c r="A55" s="264">
        <f>IF(OR(ISBLANK('WEEK 41'!F50),ISBLANK('WEEK 41'!F49),ISBLANK('WEEK 41'!F48)),"",IF((AND(A52="",A53="")),5,IF((AND(A52&gt;1,A53="")),6,7)))</f>
        <v>6</v>
      </c>
      <c r="B55" s="265">
        <f>MROUND('WEEK 41'!B57*0.8,5)</f>
        <v>190</v>
      </c>
      <c r="C55" s="266" t="s">
        <v>65</v>
      </c>
      <c r="D55" s="267" t="s">
        <v>127</v>
      </c>
      <c r="E55" s="84" t="str">
        <f>IF('WEEK 37'!B50='WEEK 41'!B55,'WEEK 37'!F50,"")</f>
        <v/>
      </c>
      <c r="F55" s="67"/>
    </row>
    <row r="56">
      <c r="A56" s="243">
        <f>IF(OR(ISBLANK('WEEK 41'!F50),ISBLANK('WEEK 41'!F49),ISBLANK('WEEK 41'!F48)),"",IF((AND(A52="",A53="")),6,IF((AND(A52&gt;1,A53="")),7,8)))</f>
        <v>7</v>
      </c>
      <c r="B56" s="237">
        <f>mround('WEEK 41'!B57*0.7,5)</f>
        <v>170</v>
      </c>
      <c r="C56" s="245" t="s">
        <v>65</v>
      </c>
      <c r="D56" s="65" t="s">
        <v>127</v>
      </c>
      <c r="E56" s="84" t="str">
        <f>IF('WEEK 37'!B51='WEEK 41'!B56,'WEEK 37'!F51,"")</f>
        <v/>
      </c>
      <c r="F56" s="271"/>
    </row>
    <row r="57">
      <c r="A57" s="272" t="s">
        <v>124</v>
      </c>
      <c r="B57" s="273">
        <f>IF(OR(ISBLANK('WEEK 41'!F50),ISBLANK('WEEK 41'!F49),ISBLANK('WEEK 41'!F48)),"",IF('WEEK 41'!F53&gt;=4,'WEEK 41'!B53,IF('WEEK 41'!F52&gt;=1,'WEEK 41'!B52,IF('WEEK 41'!F50&lt;3,'WEEK 41'!B50-5,'WEEK 41'!B50))))</f>
        <v>240</v>
      </c>
      <c r="C57" s="11"/>
      <c r="D57" s="11"/>
      <c r="E57" s="11"/>
      <c r="F57" s="46"/>
    </row>
    <row r="58">
      <c r="A58" s="302"/>
      <c r="B58" s="302"/>
      <c r="C58" s="302"/>
      <c r="D58" s="302"/>
      <c r="E58" s="303"/>
      <c r="F58" s="103"/>
    </row>
    <row r="59">
      <c r="A59" s="302"/>
      <c r="B59" s="302"/>
      <c r="C59" s="302"/>
      <c r="D59" s="302"/>
      <c r="E59" s="303"/>
      <c r="F59" s="103"/>
    </row>
    <row r="60">
      <c r="A60" s="73" t="str">
        <f>HYPERLINK("https://www.youtube.com/watch?v=9YH1YvZbiY0","4. MACHINE LOW ROW")</f>
        <v>4. MACHINE LOW ROW</v>
      </c>
      <c r="B60" s="53"/>
      <c r="C60" s="53"/>
      <c r="D60" s="53"/>
      <c r="E60" s="53"/>
      <c r="F60" s="54"/>
    </row>
    <row r="61">
      <c r="A61" s="282" t="s">
        <v>119</v>
      </c>
      <c r="B61" s="56">
        <f>'WEEK 40'!B48</f>
        <v>220</v>
      </c>
      <c r="C61" s="13"/>
      <c r="D61" s="13"/>
      <c r="E61" s="13"/>
      <c r="F61" s="57"/>
    </row>
    <row r="62">
      <c r="A62" s="58" t="s">
        <v>50</v>
      </c>
      <c r="B62" s="59" t="s">
        <v>51</v>
      </c>
      <c r="C62" s="59" t="s">
        <v>52</v>
      </c>
      <c r="D62" s="59" t="s">
        <v>53</v>
      </c>
      <c r="E62" s="60" t="s">
        <v>54</v>
      </c>
      <c r="F62" s="61" t="s">
        <v>55</v>
      </c>
    </row>
    <row r="63">
      <c r="A63" s="62">
        <v>1.0</v>
      </c>
      <c r="B63" s="63">
        <f> mround('WEEK 41'!B61*0.85,5)</f>
        <v>185</v>
      </c>
      <c r="C63" s="104" t="s">
        <v>65</v>
      </c>
      <c r="D63" s="65" t="s">
        <v>57</v>
      </c>
      <c r="E63" s="84" t="str">
        <f>IF('WEEK 37'!B58='WEEK 41'!B63,'WEEK 37'!F58,"")</f>
        <v/>
      </c>
      <c r="F63" s="67"/>
    </row>
    <row r="64">
      <c r="A64" s="62">
        <v>2.0</v>
      </c>
      <c r="B64" s="63">
        <f>IF('WEEK 41'!F63&lt;6,MROUND('WEEK 41'!B63*0.87,5),IF('WEEK 41'!F63&lt;=11,MROUND('WEEK 41'!B63*0.95,5),'WEEK 41'!B63))</f>
        <v>160</v>
      </c>
      <c r="C64" s="104" t="s">
        <v>65</v>
      </c>
      <c r="D64" s="65" t="s">
        <v>57</v>
      </c>
      <c r="E64" s="84" t="str">
        <f>IF('WEEK 37'!B59='WEEK 41'!B64,'WEEK 37'!F59,"")</f>
        <v/>
      </c>
      <c r="F64" s="67"/>
    </row>
    <row r="65">
      <c r="A65" s="68">
        <v>3.0</v>
      </c>
      <c r="B65" s="69">
        <f>IF('WEEK 41'!F64&lt;6,MROUND('WEEK 41'!B64*0.87,5),IF('WEEK 41'!F64&lt;=11,MROUND('WEEK 41'!B64*0.95,5),'WEEK 41'!B64))</f>
        <v>150</v>
      </c>
      <c r="C65" s="105" t="s">
        <v>65</v>
      </c>
      <c r="D65" s="71" t="s">
        <v>57</v>
      </c>
      <c r="E65" s="84" t="str">
        <f>IF('WEEK 37'!B60='WEEK 41'!B65,'WEEK 37'!F60,"")</f>
        <v/>
      </c>
      <c r="F65" s="67"/>
    </row>
    <row r="66">
      <c r="A66" s="103"/>
      <c r="B66" s="103"/>
      <c r="C66" s="103"/>
      <c r="D66" s="103"/>
      <c r="E66" s="222"/>
      <c r="F66" s="103"/>
    </row>
    <row r="67">
      <c r="A67" s="103"/>
      <c r="B67" s="103"/>
      <c r="C67" s="103"/>
      <c r="D67" s="103"/>
      <c r="E67" s="222"/>
      <c r="F67" s="103"/>
    </row>
    <row r="68">
      <c r="A68" s="73" t="str">
        <f>HYPERLINK("https://youtu.be/5-SUS-OVULY","5. MACHINE HIGH ROW")</f>
        <v>5. MACHINE HIGH ROW</v>
      </c>
      <c r="B68" s="53"/>
      <c r="C68" s="53"/>
      <c r="D68" s="53"/>
      <c r="E68" s="53"/>
      <c r="F68" s="54"/>
    </row>
    <row r="69">
      <c r="A69" s="282" t="s">
        <v>119</v>
      </c>
      <c r="B69" s="56">
        <f>'WEEK 40'!B55</f>
        <v>210</v>
      </c>
      <c r="C69" s="13"/>
      <c r="D69" s="13"/>
      <c r="E69" s="13"/>
      <c r="F69" s="57"/>
    </row>
    <row r="70">
      <c r="A70" s="58" t="s">
        <v>50</v>
      </c>
      <c r="B70" s="59" t="s">
        <v>51</v>
      </c>
      <c r="C70" s="59" t="s">
        <v>52</v>
      </c>
      <c r="D70" s="59" t="s">
        <v>53</v>
      </c>
      <c r="E70" s="60" t="s">
        <v>54</v>
      </c>
      <c r="F70" s="61" t="s">
        <v>55</v>
      </c>
    </row>
    <row r="71">
      <c r="A71" s="62">
        <v>1.0</v>
      </c>
      <c r="B71" s="63">
        <f> mround('WEEK 41'!B69*0.8,5)</f>
        <v>170</v>
      </c>
      <c r="C71" s="104" t="s">
        <v>65</v>
      </c>
      <c r="D71" s="65" t="s">
        <v>57</v>
      </c>
      <c r="E71" s="84" t="str">
        <f>IF('WEEK 37'!B66='WEEK 41'!B71,'WEEK 37'!F66,"")</f>
        <v/>
      </c>
      <c r="F71" s="67"/>
    </row>
    <row r="72">
      <c r="A72" s="62">
        <v>2.0</v>
      </c>
      <c r="B72" s="63">
        <f>IF('WEEK 41'!F71&lt;6,MROUND('WEEK 41'!B69*0.7,5),IF('WEEK 41'!F71&lt;=11,MROUND('WEEK 41'!B69*0.75,5),'WEEK 41'!B71))</f>
        <v>160</v>
      </c>
      <c r="C72" s="104" t="s">
        <v>65</v>
      </c>
      <c r="D72" s="65" t="s">
        <v>57</v>
      </c>
      <c r="E72" s="84" t="str">
        <f>IF('WEEK 37'!B67='WEEK 41'!B72,'WEEK 37'!F67,"")</f>
        <v/>
      </c>
      <c r="F72" s="67"/>
    </row>
    <row r="73">
      <c r="A73" s="68">
        <v>3.0</v>
      </c>
      <c r="B73" s="87">
        <f>IF('WEEK 41'!F72&lt;6,MROUND('WEEK 41'!B72*0.8,5),IF('WEEK 41'!F72&lt;=11,MROUND('WEEK 41'!B69*0.85,5),'WEEK 41'!B72))</f>
        <v>180</v>
      </c>
      <c r="C73" s="105" t="s">
        <v>65</v>
      </c>
      <c r="D73" s="309" t="s">
        <v>57</v>
      </c>
      <c r="E73" s="84" t="str">
        <f>IF('WEEK 37'!B68='WEEK 41'!B73,'WEEK 37'!F68,"")</f>
        <v/>
      </c>
      <c r="F73" s="67"/>
    </row>
    <row r="74">
      <c r="A74" s="103"/>
      <c r="B74" s="103"/>
      <c r="C74" s="103"/>
      <c r="D74" s="103"/>
      <c r="E74" s="222"/>
      <c r="F74" s="103"/>
    </row>
    <row r="75">
      <c r="A75" s="310" t="str">
        <f>HYPERLINK("https://docs.google.com/a/fitnessresults.com/forms/d/e/1FAIpQLSd7MoczESe8Yjv6BKpmwAZGn9Aiymrs9-UdgfYIUpbr9t5NXg/viewform?usp=pp_url&amp;entry.93370101","CLICK TO COMPLETE WORKOUT")</f>
        <v>CLICK TO COMPLETE WORKOUT</v>
      </c>
      <c r="B75" s="36"/>
      <c r="C75" s="36"/>
      <c r="D75" s="36"/>
      <c r="E75" s="36"/>
      <c r="F75" s="37"/>
    </row>
    <row r="77">
      <c r="A77" s="224" t="s">
        <v>128</v>
      </c>
      <c r="B77" s="36"/>
      <c r="C77" s="36"/>
      <c r="D77" s="36"/>
      <c r="E77" s="36"/>
      <c r="F77" s="37"/>
    </row>
    <row r="80">
      <c r="A80" s="1355" t="str">
        <f>HYPERLINK("https://www.youtube.com/watch?v=5UOeRbRoFOI","1. MACHINE SQUAT")</f>
        <v>1. MACHINE SQUAT</v>
      </c>
      <c r="B80" s="53"/>
      <c r="C80" s="53"/>
      <c r="D80" s="53"/>
      <c r="E80" s="53"/>
      <c r="F80" s="54"/>
    </row>
    <row r="81">
      <c r="A81" s="1262" t="s">
        <v>232</v>
      </c>
      <c r="B81" s="1463">
        <f>'WEEK 37'!B88</f>
        <v>25</v>
      </c>
      <c r="F81" s="28"/>
    </row>
    <row r="82">
      <c r="A82" s="231" t="s">
        <v>50</v>
      </c>
      <c r="B82" s="232" t="s">
        <v>51</v>
      </c>
      <c r="C82" s="232" t="s">
        <v>52</v>
      </c>
      <c r="D82" s="232" t="s">
        <v>53</v>
      </c>
      <c r="E82" s="233" t="s">
        <v>54</v>
      </c>
      <c r="F82" s="61" t="s">
        <v>55</v>
      </c>
    </row>
    <row r="83">
      <c r="A83" s="236">
        <v>1.0</v>
      </c>
      <c r="B83" s="237">
        <f>mround('WEEK 41'!B81*0.35,5)</f>
        <v>10</v>
      </c>
      <c r="C83" s="238">
        <v>10.0</v>
      </c>
      <c r="D83" s="238" t="s">
        <v>120</v>
      </c>
      <c r="E83" s="66" t="str">
        <f>IF('WEEK 37'!B79='WEEK 41'!I53,'WEEK 37'!M79,"")</f>
        <v/>
      </c>
      <c r="F83" s="67"/>
    </row>
    <row r="84">
      <c r="A84" s="236">
        <v>2.0</v>
      </c>
      <c r="B84" s="237">
        <f>mround('WEEK 41'!B81*0.65,5)</f>
        <v>15</v>
      </c>
      <c r="C84" s="238">
        <v>10.0</v>
      </c>
      <c r="D84" s="238" t="s">
        <v>121</v>
      </c>
      <c r="E84" s="66" t="str">
        <f>IF('WEEK 37'!B80='WEEK 41'!I54,'WEEK 37'!M80,"")</f>
        <v/>
      </c>
      <c r="F84" s="67"/>
    </row>
    <row r="85">
      <c r="A85" s="242">
        <v>3.0</v>
      </c>
      <c r="B85" s="237">
        <f>mround('WEEK 41'!B81*0.9,5)</f>
        <v>25</v>
      </c>
      <c r="C85" s="238">
        <v>10.0</v>
      </c>
      <c r="D85" s="238" t="s">
        <v>121</v>
      </c>
      <c r="E85" s="66" t="str">
        <f>IF('WEEK 37'!B81='WEEK 41'!I55,'WEEK 37'!M81,"")</f>
        <v/>
      </c>
      <c r="F85" s="67"/>
    </row>
    <row r="86">
      <c r="A86" s="249">
        <v>4.0</v>
      </c>
      <c r="B86" s="175">
        <f>if('WEEK 41'!F85&lt;5,MROUND('WEEK 41'!B85-('WEEK 41'!B85*20%),5),'WEEK 41'!B81)</f>
        <v>20</v>
      </c>
      <c r="C86" s="238">
        <v>10.0</v>
      </c>
      <c r="D86" s="238" t="s">
        <v>122</v>
      </c>
      <c r="E86" s="66" t="str">
        <f>IF('WEEK 37'!B82='WEEK 41'!I56,'WEEK 37'!M82,"")</f>
        <v/>
      </c>
      <c r="F86" s="67"/>
    </row>
    <row r="87">
      <c r="A87" s="249">
        <v>5.0</v>
      </c>
      <c r="B87" s="175">
        <f>IF((AND('WEEK 41'!B86&lt;='WEEK 41'!B85,'WEEK 41'!F86&gt;=5)),'WEEK 41'!B86,IF('WEEK 41'!F86&lt;5,MROUND('WEEK 41'!B86-('WEEK 41'!B86*20%),5),if( 'WEEK 41'!F86&lt;5,MROUND('WEEK 41'!B86-('WEEK 41'!B86*10%),5),MROUND('WEEK 41'!B86+('WEEK 41'!B86*10%),5))))</f>
        <v>15</v>
      </c>
      <c r="C87" s="238">
        <v>10.0</v>
      </c>
      <c r="D87" s="238" t="s">
        <v>122</v>
      </c>
      <c r="E87" s="66" t="str">
        <f>IF('WEEK 37'!B83='WEEK 41'!I57,'WEEK 37'!M83,"")</f>
        <v/>
      </c>
      <c r="F87" s="1037"/>
    </row>
    <row r="88">
      <c r="A88" s="249">
        <f>if('WEEK 41'!F86&lt;5,6,6)</f>
        <v>6</v>
      </c>
      <c r="B88" s="175">
        <f>IF((AND('WEEK 41'!B87&lt;='WEEK 41'!B86,'WEEK 41'!F87&gt;=5)),'WEEK 41'!B87,IF('WEEK 41'!F87&lt;5,MROUND('WEEK 41'!B87-('WEEK 41'!B87*20%),5),if( 'WEEK 41'!F87&lt;5,MROUND('WEEK 41'!B87-('WEEK 41'!B87*10%),5),MROUND('WEEK 41'!B87+('WEEK 41'!B87*10%),5))))</f>
        <v>10</v>
      </c>
      <c r="C88" s="238">
        <v>10.0</v>
      </c>
      <c r="D88" s="238" t="s">
        <v>122</v>
      </c>
      <c r="E88" s="66" t="str">
        <f>IF('WEEK 37'!B84='WEEK 41'!I58,'WEEK 37'!M84,"")</f>
        <v/>
      </c>
      <c r="F88" s="67"/>
    </row>
    <row r="89">
      <c r="A89" s="1038">
        <f>IF('WEEK 41'!F88&lt;5,7,"7")</f>
        <v>7</v>
      </c>
      <c r="B89" s="175">
        <f>IF((AND('WEEK 41'!B88&lt;='WEEK 41'!B87,'WEEK 41'!F88&gt;=5)),'WEEK 41'!B88,IF('WEEK 41'!F88&lt;5,MROUND('WEEK 41'!B88-('WEEK 41'!B88*20%),5),if( 'WEEK 41'!F88&lt;5,MROUND('WEEK 41'!B88-('WEEK 41'!B88*10%),5),MROUND('WEEK 41'!B88+('WEEK 41'!B88*10%),5))))</f>
        <v>10</v>
      </c>
      <c r="C89" s="238">
        <v>10.0</v>
      </c>
      <c r="D89" s="238" t="s">
        <v>122</v>
      </c>
      <c r="E89" s="66" t="str">
        <f>IF('WEEK 37'!B85='WEEK 41'!I59,'WEEK 37'!M85,"")</f>
        <v/>
      </c>
      <c r="F89" s="67"/>
    </row>
    <row r="90">
      <c r="A90" s="249">
        <f>IF('WEEK 41'!F89&lt;5,8,"8")</f>
        <v>8</v>
      </c>
      <c r="B90" s="175">
        <f>IF((AND('WEEK 41'!B89&lt;='WEEK 41'!B88,'WEEK 41'!F89&gt;=5)),'WEEK 41'!B89,IF('WEEK 41'!F89&lt;5,MROUND('WEEK 41'!B89-('WEEK 41'!B89*20%),5),if( 'WEEK 41'!F89&lt;5,MROUND('WEEK 41'!B89-('WEEK 41'!B89*10%),5),MROUND('WEEK 41'!B89+('WEEK 41'!B89*10%),5))))</f>
        <v>10</v>
      </c>
      <c r="C90" s="238">
        <v>10.0</v>
      </c>
      <c r="D90" s="238" t="s">
        <v>122</v>
      </c>
      <c r="E90" s="66" t="str">
        <f>IF('WEEK 37'!B86='WEEK 41'!I60,'WEEK 37'!M86,"")</f>
        <v/>
      </c>
      <c r="F90" s="67"/>
    </row>
    <row r="91">
      <c r="A91" s="1038">
        <f>IF('WEEK 41'!F90&lt;5,9,"9")</f>
        <v>9</v>
      </c>
      <c r="B91" s="175">
        <f>IF((AND('WEEK 41'!B90&lt;='WEEK 41'!B89,'WEEK 41'!F90&gt;=5)),'WEEK 41'!B90,IF('WEEK 41'!F90&lt;5,MROUND('WEEK 41'!B90-('WEEK 41'!B90*20%),5),if( 'WEEK 41'!F90&lt;5,MROUND('WEEK 41'!B90-('WEEK 41'!B90*10%),5),MROUND('WEEK 41'!B90+('WEEK 41'!B90*10%),5))))</f>
        <v>10</v>
      </c>
      <c r="C91" s="238">
        <v>10.0</v>
      </c>
      <c r="D91" s="238" t="s">
        <v>122</v>
      </c>
      <c r="E91" s="66" t="str">
        <f>IF('WEEK 37'!B87='WEEK 41'!I61,'WEEK 37'!M87,"")</f>
        <v/>
      </c>
      <c r="F91" s="67"/>
    </row>
    <row r="92">
      <c r="A92" s="1038" t="str">
        <f>IF('WEEK 41'!F91&lt;5,"10","10")</f>
        <v>10</v>
      </c>
      <c r="B92" s="175">
        <f>IF((AND('WEEK 41'!B91&lt;='WEEK 41'!B90,'WEEK 41'!F91&gt;=5)),'WEEK 41'!B91,IF('WEEK 41'!F91&lt;5,MROUND('WEEK 41'!B91-('WEEK 41'!B91*20%),5),if( 'WEEK 41'!F91&lt;5,MROUND('WEEK 41'!B91-('WEEK 41'!B91*10%),5),MROUND('WEEK 41'!B91+('WEEK 41'!B91*10%),5))))</f>
        <v>10</v>
      </c>
      <c r="C92" s="238">
        <v>10.0</v>
      </c>
      <c r="D92" s="238" t="s">
        <v>122</v>
      </c>
      <c r="E92" s="66" t="str">
        <f>IF('WEEK 37'!B88='WEEK 41'!I62,'WEEK 37'!M88,"")</f>
        <v/>
      </c>
      <c r="F92" s="67"/>
    </row>
    <row r="93">
      <c r="A93" s="272" t="s">
        <v>262</v>
      </c>
      <c r="B93" s="1039">
        <f>IF(OR(ISBLANK('WEEK 41'!F83),ISBLANK('WEEK 41'!F84)),'WEEK 41'!B81,IF((AND('WEEK 41'!F92&gt;=5,'WEEK 41'!B92&gt;'WEEK 41'!B91)),'WEEK 41'!B92,IF((AND('WEEK 41'!F91&gt;=5,'WEEK 41'!B91&gt;'WEEK 41'!B90)),'WEEK 41'!B91,IF((AND('WEEK 41'!F90&gt;=5,'WEEK 41'!B90&gt;'WEEK 41'!B89)),'WEEK 41'!B90,IF((AND('WEEK 41'!F89&gt;=5,'WEEK 41'!B89&gt;'WEEK 41'!B88)),'WEEK 41'!B89,IF((AND('WEEK 41'!F88&gt;=5,'WEEK 41'!B88&gt;'WEEK 41'!B87)),'WEEK 41'!B88,IF((AND('WEEK 41'!F87&gt;=5,'WEEK 41'!B87&gt;'WEEK 41'!B86)),'WEEK 41'!B87,IF((AND('WEEK 41'!F86&gt;=5,'WEEK 41'!B86&gt;'WEEK 41'!B85)),'WEEK 41'!B86,IF((AND('WEEK 41'!F85&gt;=5,'WEEK 41'!B85&gt;'WEEK 41'!B84)),'WEEK 41'!B85,IF((AND('WEEK 41'!F84&gt;=5,'WEEK 41'!B84&gt;'WEEK 41'!B83)),'WEEK 41'!B84))))))))))</f>
        <v>25</v>
      </c>
      <c r="C93" s="11"/>
      <c r="D93" s="11"/>
      <c r="E93" s="11"/>
      <c r="F93" s="46"/>
    </row>
    <row r="96">
      <c r="A96" s="1285" t="str">
        <f>HYPERLINK("https://www.youtube.com/watch?v=NZ9KiFtbiMs","2. LEG EXTENSION")</f>
        <v>2. LEG EXTENSION</v>
      </c>
      <c r="B96" s="53"/>
      <c r="C96" s="53"/>
      <c r="D96" s="53"/>
      <c r="E96" s="53"/>
      <c r="F96" s="54"/>
    </row>
    <row r="97">
      <c r="A97" s="1045" t="s">
        <v>119</v>
      </c>
      <c r="B97" s="1367">
        <f>IF('WEEK 40'!B84='WEEK 40'!B86,'WEEK 38'!B92+5,IF('WEEK 40'!F84&lt;=9,MROUND('WEEK 40'!B82*0.95,5),'WEEK 40'!B84))</f>
        <v>120</v>
      </c>
      <c r="C97" s="20"/>
      <c r="D97" s="20"/>
      <c r="E97" s="20"/>
      <c r="F97" s="95"/>
    </row>
    <row r="98">
      <c r="A98" s="567" t="s">
        <v>50</v>
      </c>
      <c r="B98" s="568" t="s">
        <v>51</v>
      </c>
      <c r="C98" s="568" t="s">
        <v>52</v>
      </c>
      <c r="D98" s="568" t="s">
        <v>53</v>
      </c>
      <c r="E98" s="1047" t="s">
        <v>54</v>
      </c>
      <c r="F98" s="1048" t="s">
        <v>55</v>
      </c>
    </row>
    <row r="99">
      <c r="A99" s="1049">
        <v>1.0</v>
      </c>
      <c r="B99" s="1050">
        <f>'WEEK 41'!B97</f>
        <v>120</v>
      </c>
      <c r="C99" s="1051" t="s">
        <v>61</v>
      </c>
      <c r="D99" s="1430" t="s">
        <v>121</v>
      </c>
      <c r="E99" s="1130" t="str">
        <f>IF('WEEK 40'!B84='WEEK 41'!B99,'WEEK 40'!F84,"")</f>
        <v/>
      </c>
      <c r="F99" s="1017"/>
    </row>
    <row r="100">
      <c r="A100" s="1049">
        <v>2.0</v>
      </c>
      <c r="B100" s="1050">
        <f>if('WEEK 41'!F99&lt;12,mround('WEEK 41'!B99*0.8,5),IF('WEEK 41'!F99&lt;=14,MROUND('WEEK 41'!B99*0.95,5),'WEEK 41'!B99))</f>
        <v>95</v>
      </c>
      <c r="C100" s="1051" t="s">
        <v>61</v>
      </c>
      <c r="D100" s="1430" t="s">
        <v>121</v>
      </c>
      <c r="E100" s="1130" t="str">
        <f>IF('WEEK 40'!B85='WEEK 41'!B100,'WEEK 40'!F85,"")</f>
        <v/>
      </c>
      <c r="F100" s="1017"/>
    </row>
    <row r="101">
      <c r="A101" s="1053">
        <v>3.0</v>
      </c>
      <c r="B101" s="1054">
        <f>if('WEEK 41'!F100&lt;12,mround('WEEK 41'!B100*0.8,5),IF('WEEK 41'!F100&lt;=14,MROUND('WEEK 41'!B100*0.95,5),'WEEK 41'!B100))</f>
        <v>75</v>
      </c>
      <c r="C101" s="1055" t="s">
        <v>61</v>
      </c>
      <c r="D101" s="1430" t="s">
        <v>121</v>
      </c>
      <c r="E101" s="1130" t="str">
        <f>IF('WEEK 40'!B86='WEEK 41'!B101,'WEEK 40'!F86,"")</f>
        <v/>
      </c>
      <c r="F101" s="1017"/>
    </row>
    <row r="104">
      <c r="A104" s="323" t="str">
        <f>HYPERLINK("https://www.youtube.com/watch?v=XepOfsnGFJg","3. MACHINE LEG CURL")</f>
        <v>3. MACHINE LEG CURL</v>
      </c>
      <c r="B104" s="53"/>
      <c r="C104" s="53"/>
      <c r="D104" s="53"/>
      <c r="E104" s="53"/>
      <c r="F104" s="54"/>
      <c r="G104" s="141"/>
      <c r="H104" s="323" t="str">
        <f>HYPERLINK("https://youtu.be/kmN9cJ79PDE","3. PRONE LEG CURL")</f>
        <v>3. PRONE LEG CURL</v>
      </c>
      <c r="I104" s="53"/>
      <c r="J104" s="53"/>
      <c r="K104" s="53"/>
      <c r="L104" s="53"/>
      <c r="M104" s="54"/>
    </row>
    <row r="105">
      <c r="A105" s="1045" t="s">
        <v>119</v>
      </c>
      <c r="B105" s="1367">
        <f>IF('WEEK 40'!B92='WEEK 40'!B94,'WEEK 38'!B96+5,IF('WEEK 40'!F92&lt;=9,MROUND('WEEK 40'!B90*0.95,5),'WEEK 40'!B92))</f>
        <v>115</v>
      </c>
      <c r="C105" s="20"/>
      <c r="D105" s="20"/>
      <c r="E105" s="20"/>
      <c r="F105" s="95"/>
      <c r="H105" s="1045" t="s">
        <v>119</v>
      </c>
      <c r="I105" s="1046">
        <f>'WEEK 41'!B105</f>
        <v>115</v>
      </c>
      <c r="J105" s="13"/>
      <c r="K105" s="13"/>
      <c r="L105" s="13"/>
      <c r="M105" s="57"/>
    </row>
    <row r="106">
      <c r="A106" s="567" t="s">
        <v>50</v>
      </c>
      <c r="B106" s="568" t="s">
        <v>51</v>
      </c>
      <c r="C106" s="568" t="s">
        <v>52</v>
      </c>
      <c r="D106" s="568" t="s">
        <v>53</v>
      </c>
      <c r="E106" s="1047" t="s">
        <v>54</v>
      </c>
      <c r="F106" s="1048" t="s">
        <v>55</v>
      </c>
      <c r="H106" s="567" t="s">
        <v>50</v>
      </c>
      <c r="I106" s="568" t="s">
        <v>51</v>
      </c>
      <c r="J106" s="568" t="s">
        <v>52</v>
      </c>
      <c r="K106" s="568" t="s">
        <v>53</v>
      </c>
      <c r="L106" s="1047" t="s">
        <v>54</v>
      </c>
      <c r="M106" s="1048" t="s">
        <v>55</v>
      </c>
    </row>
    <row r="107">
      <c r="A107" s="1049">
        <v>1.0</v>
      </c>
      <c r="B107" s="1050">
        <f>'WEEK 40'!B105</f>
        <v>50</v>
      </c>
      <c r="C107" s="1051" t="s">
        <v>61</v>
      </c>
      <c r="D107" s="1430" t="s">
        <v>121</v>
      </c>
      <c r="E107" s="1130" t="str">
        <f>IF('WEEK 40'!B92='WEEK 41'!B107,'WEEK 40'!F92,"")</f>
        <v/>
      </c>
      <c r="F107" s="1017"/>
      <c r="G107" s="434" t="s">
        <v>123</v>
      </c>
      <c r="H107" s="1049">
        <v>1.0</v>
      </c>
      <c r="I107" s="1050">
        <f>'WEEK 41'!I105</f>
        <v>115</v>
      </c>
      <c r="J107" s="1051" t="s">
        <v>61</v>
      </c>
      <c r="K107" s="1430" t="s">
        <v>121</v>
      </c>
      <c r="L107" s="1130" t="str">
        <f>IF('WEEK 40'!I92='WEEK 41'!I107,'WEEK 40'!M92,"")</f>
        <v/>
      </c>
      <c r="M107" s="1017"/>
    </row>
    <row r="108">
      <c r="A108" s="1049">
        <v>2.0</v>
      </c>
      <c r="B108" s="1050">
        <f>if('WEEK 41'!F107&lt;12,mround('WEEK 41'!B107*0.8,5),IF('WEEK 41'!F107&lt;=14,MROUND('WEEK 41'!B107*0.95,5),'WEEK 41'!B107))</f>
        <v>40</v>
      </c>
      <c r="C108" s="1051" t="s">
        <v>61</v>
      </c>
      <c r="D108" s="1430" t="s">
        <v>121</v>
      </c>
      <c r="E108" s="1130" t="str">
        <f>IF('WEEK 40'!B93='WEEK 41'!B108,'WEEK 40'!F93,"")</f>
        <v/>
      </c>
      <c r="F108" s="1017"/>
      <c r="H108" s="1049">
        <v>2.0</v>
      </c>
      <c r="I108" s="1050">
        <f>if('WEEK 41'!M107&lt;12,mround('WEEK 41'!I107*0.8,5),IF('WEEK 41'!M107&lt;=14,MROUND('WEEK 41'!I107*0.95,5),'WEEK 41'!I107))</f>
        <v>90</v>
      </c>
      <c r="J108" s="1051" t="s">
        <v>61</v>
      </c>
      <c r="K108" s="1430" t="s">
        <v>121</v>
      </c>
      <c r="L108" s="1130" t="str">
        <f>IF('WEEK 40'!I93='WEEK 41'!I108,'WEEK 40'!M93,"")</f>
        <v/>
      </c>
      <c r="M108" s="1017"/>
    </row>
    <row r="109">
      <c r="A109" s="1053">
        <v>3.0</v>
      </c>
      <c r="B109" s="1054">
        <f>if('WEEK 41'!F108&lt;12,mround('WEEK 41'!B108*0.8,5),IF('WEEK 41'!F108&lt;=14,MROUND('WEEK 41'!B108*0.95,5),'WEEK 41'!B108))</f>
        <v>30</v>
      </c>
      <c r="C109" s="1055" t="s">
        <v>61</v>
      </c>
      <c r="D109" s="1430" t="s">
        <v>121</v>
      </c>
      <c r="E109" s="1130" t="str">
        <f>IF('WEEK 40'!B94='WEEK 41'!B109,'WEEK 40'!F94,"")</f>
        <v/>
      </c>
      <c r="F109" s="1017"/>
      <c r="G109" s="682"/>
      <c r="H109" s="1053">
        <v>3.0</v>
      </c>
      <c r="I109" s="1054">
        <f>if('WEEK 41'!M108&lt;12,mround('WEEK 41'!I108*0.8,5),IF('WEEK 41'!M108&lt;=14,MROUND('WEEK 41'!I108*0.95,5),'WEEK 41'!I108))</f>
        <v>70</v>
      </c>
      <c r="J109" s="1055" t="s">
        <v>61</v>
      </c>
      <c r="K109" s="1430" t="s">
        <v>121</v>
      </c>
      <c r="L109" s="1130" t="str">
        <f>IF('WEEK 40'!I94='WEEK 41'!I109,'WEEK 40'!M94,"")</f>
        <v/>
      </c>
      <c r="M109" s="1017"/>
    </row>
    <row r="110">
      <c r="A110" s="849"/>
      <c r="B110" s="849"/>
      <c r="C110" s="849"/>
      <c r="D110" s="849"/>
      <c r="E110" s="849"/>
      <c r="F110" s="849"/>
      <c r="H110" s="849"/>
      <c r="I110" s="850"/>
      <c r="J110" s="850"/>
      <c r="K110" s="850"/>
      <c r="L110" s="850"/>
      <c r="M110" s="850"/>
    </row>
    <row r="112">
      <c r="A112" s="1120" t="s">
        <v>62</v>
      </c>
      <c r="B112" s="36"/>
      <c r="C112" s="36"/>
      <c r="D112" s="36"/>
      <c r="E112" s="36"/>
      <c r="F112" s="37"/>
    </row>
    <row r="115">
      <c r="A115" s="51" t="s">
        <v>131</v>
      </c>
      <c r="B115" s="36"/>
      <c r="C115" s="36"/>
      <c r="D115" s="36"/>
      <c r="E115" s="36"/>
      <c r="F115" s="37"/>
      <c r="G115" s="419"/>
      <c r="H115" s="51" t="s">
        <v>131</v>
      </c>
      <c r="I115" s="36"/>
      <c r="J115" s="36"/>
      <c r="K115" s="36"/>
      <c r="L115" s="36"/>
      <c r="M115" s="37"/>
    </row>
    <row r="116">
      <c r="A116" s="504" t="str">
        <f>HYPERLINK("https://youtu.be/rmxOkkd2hUk","1. SHOULDER PRESS")</f>
        <v>1. SHOULDER PRESS</v>
      </c>
      <c r="B116" s="53"/>
      <c r="C116" s="53"/>
      <c r="D116" s="53"/>
      <c r="E116" s="53"/>
      <c r="F116" s="54"/>
      <c r="G116" s="419"/>
      <c r="H116" s="778" t="str">
        <f>HYPERLINK("https://www.youtube.com/watch?v=-cSBPE-y38M","1. MACHINE SHOULDER PRESS")</f>
        <v>1. MACHINE SHOULDER PRESS</v>
      </c>
      <c r="I116" s="53"/>
      <c r="J116" s="53"/>
      <c r="K116" s="53"/>
      <c r="L116" s="53"/>
      <c r="M116" s="54"/>
    </row>
    <row r="117">
      <c r="A117" s="589" t="s">
        <v>119</v>
      </c>
      <c r="B117" s="227">
        <f>IF('WEEK 40'!B114="",'WEEK 40'!B102,'WEEK 40'!B114)</f>
        <v>80</v>
      </c>
      <c r="C117" s="20"/>
      <c r="D117" s="20"/>
      <c r="E117" s="20"/>
      <c r="F117" s="95"/>
      <c r="G117" s="419"/>
      <c r="H117" s="589" t="s">
        <v>119</v>
      </c>
      <c r="I117" s="227">
        <f>IF('WEEK 40'!I114="",'WEEK 40'!I102,'WEEK 40'!I114)</f>
        <v>228</v>
      </c>
      <c r="J117" s="20"/>
      <c r="K117" s="20"/>
      <c r="L117" s="20"/>
      <c r="M117" s="95"/>
    </row>
    <row r="118">
      <c r="A118" s="364" t="s">
        <v>50</v>
      </c>
      <c r="B118" s="365" t="s">
        <v>51</v>
      </c>
      <c r="C118" s="365" t="s">
        <v>52</v>
      </c>
      <c r="D118" s="365" t="s">
        <v>53</v>
      </c>
      <c r="E118" s="609" t="s">
        <v>54</v>
      </c>
      <c r="F118" s="61" t="s">
        <v>55</v>
      </c>
      <c r="G118" s="724"/>
      <c r="H118" s="364" t="s">
        <v>50</v>
      </c>
      <c r="I118" s="365" t="s">
        <v>51</v>
      </c>
      <c r="J118" s="365" t="s">
        <v>52</v>
      </c>
      <c r="K118" s="365" t="s">
        <v>53</v>
      </c>
      <c r="L118" s="609" t="s">
        <v>54</v>
      </c>
      <c r="M118" s="61" t="s">
        <v>55</v>
      </c>
    </row>
    <row r="119">
      <c r="A119" s="236">
        <v>1.0</v>
      </c>
      <c r="B119" s="237">
        <f>mround('WEEK 41'!B117*0.5,5)</f>
        <v>40</v>
      </c>
      <c r="C119" s="237">
        <v>6.0</v>
      </c>
      <c r="D119" s="238" t="s">
        <v>120</v>
      </c>
      <c r="E119" s="66" t="str">
        <f>IF('WEEK 41'!B119='WEEK 39'!B124,'WEEK 39'!F124,"")</f>
        <v/>
      </c>
      <c r="F119" s="67"/>
      <c r="G119" s="728"/>
      <c r="H119" s="236">
        <v>1.0</v>
      </c>
      <c r="I119" s="237">
        <f>mround('WEEK 41'!I117*0.35,5)</f>
        <v>80</v>
      </c>
      <c r="J119" s="237">
        <v>6.0</v>
      </c>
      <c r="K119" s="238" t="s">
        <v>120</v>
      </c>
      <c r="L119" s="66">
        <f>IF('WEEK 41'!I119='WEEK 39'!I124,'WEEK 39'!M124,"")</f>
        <v>6</v>
      </c>
      <c r="M119" s="67"/>
    </row>
    <row r="120">
      <c r="A120" s="236">
        <v>2.0</v>
      </c>
      <c r="B120" s="237">
        <f>mround('WEEK 41'!B117*0.5,5)</f>
        <v>40</v>
      </c>
      <c r="C120" s="237">
        <v>1.0</v>
      </c>
      <c r="D120" s="238" t="s">
        <v>57</v>
      </c>
      <c r="E120" s="66" t="str">
        <f>IF('WEEK 41'!B120='WEEK 39'!B125,'WEEK 39'!F125,"")</f>
        <v/>
      </c>
      <c r="F120" s="67"/>
      <c r="G120" s="728"/>
      <c r="H120" s="236">
        <v>2.0</v>
      </c>
      <c r="I120" s="237">
        <f>mround('WEEK 41'!I117*0.65,5)</f>
        <v>150</v>
      </c>
      <c r="J120" s="237">
        <v>1.0</v>
      </c>
      <c r="K120" s="238" t="s">
        <v>57</v>
      </c>
      <c r="L120" s="66">
        <f>IF('WEEK 41'!I120='WEEK 39'!I125,'WEEK 39'!M125,"")</f>
        <v>1</v>
      </c>
      <c r="M120" s="67"/>
    </row>
    <row r="121">
      <c r="A121" s="779">
        <v>3.0</v>
      </c>
      <c r="B121" s="780">
        <f> mround('WEEK 41'!B117*0.5,5)</f>
        <v>40</v>
      </c>
      <c r="C121" s="781" t="s">
        <v>65</v>
      </c>
      <c r="D121" s="782" t="s">
        <v>57</v>
      </c>
      <c r="E121" s="66" t="str">
        <f>IF('WEEK 41'!B121='WEEK 39'!B126,'WEEK 39'!F126,"")</f>
        <v/>
      </c>
      <c r="F121" s="1399"/>
      <c r="G121" s="728"/>
      <c r="H121" s="779">
        <v>3.0</v>
      </c>
      <c r="I121" s="780">
        <f> mround('WEEK 41'!I117*0.9,5)</f>
        <v>205</v>
      </c>
      <c r="J121" s="781" t="s">
        <v>65</v>
      </c>
      <c r="K121" s="782" t="s">
        <v>57</v>
      </c>
      <c r="L121" s="66">
        <f>IF('WEEK 41'!I121='WEEK 39'!I126,'WEEK 39'!M126,"")</f>
        <v>10</v>
      </c>
      <c r="M121" s="1399"/>
    </row>
    <row r="122">
      <c r="A122" s="787">
        <v>4.0</v>
      </c>
      <c r="B122" s="1464">
        <f> mround('WEEK 41'!B117*0.5,5)</f>
        <v>40</v>
      </c>
      <c r="C122" s="789" t="s">
        <v>65</v>
      </c>
      <c r="D122" s="397" t="s">
        <v>57</v>
      </c>
      <c r="E122" s="66" t="str">
        <f>IF('WEEK 41'!B122='WEEK 39'!B127,'WEEK 39'!F127,"")</f>
        <v/>
      </c>
      <c r="F122" s="1400"/>
      <c r="G122" s="728"/>
      <c r="H122" s="787">
        <v>4.0</v>
      </c>
      <c r="I122" s="395">
        <f>if('WEEK 41'!M121&lt;20,mround('WEEK 41'!I121*0.85,5),'WEEK 41'!I121)</f>
        <v>175</v>
      </c>
      <c r="J122" s="789" t="s">
        <v>65</v>
      </c>
      <c r="K122" s="397" t="s">
        <v>57</v>
      </c>
      <c r="L122" s="66">
        <f>IF('WEEK 41'!I122='WEEK 39'!I127,'WEEK 39'!M127,"")</f>
        <v>20</v>
      </c>
      <c r="M122" s="1400"/>
    </row>
    <row r="123">
      <c r="A123" s="1465"/>
      <c r="B123" s="1465"/>
      <c r="C123" s="1465"/>
      <c r="D123" s="1465"/>
      <c r="E123" s="1465"/>
      <c r="F123" s="1465"/>
      <c r="G123" s="1465"/>
      <c r="H123" s="1465"/>
      <c r="I123" s="1465"/>
      <c r="J123" s="1465"/>
      <c r="K123" s="1465"/>
      <c r="L123" s="1465"/>
      <c r="M123" s="1465"/>
      <c r="N123" s="1465"/>
      <c r="O123" s="1465"/>
      <c r="P123" s="1465"/>
      <c r="Q123" s="1465"/>
      <c r="R123" s="1465"/>
      <c r="S123" s="1465"/>
      <c r="T123" s="1465"/>
      <c r="U123" s="1465"/>
      <c r="V123" s="1465"/>
      <c r="W123" s="1465"/>
      <c r="X123" s="1465"/>
      <c r="Y123" s="1465"/>
      <c r="Z123" s="1465"/>
    </row>
    <row r="125">
      <c r="A125" s="1217" t="str">
        <f>HYPERLINK("https://www.youtube.com/watch?v=XDLQt1j3qUU","2. DUMBBELL REAR DELT FLY ")</f>
        <v>2. DUMBBELL REAR DELT FLY </v>
      </c>
      <c r="B125" s="53"/>
      <c r="C125" s="53"/>
      <c r="D125" s="53"/>
      <c r="E125" s="53"/>
      <c r="F125" s="54"/>
    </row>
    <row r="126">
      <c r="A126" s="1268" t="s">
        <v>134</v>
      </c>
      <c r="B126" s="76">
        <f>mround('WEEK 41'!B117,2.5)</f>
        <v>80</v>
      </c>
      <c r="C126" s="13"/>
      <c r="D126" s="13"/>
      <c r="E126" s="13"/>
      <c r="F126" s="57"/>
    </row>
    <row r="127">
      <c r="A127" s="962" t="s">
        <v>50</v>
      </c>
      <c r="B127" s="963" t="s">
        <v>51</v>
      </c>
      <c r="C127" s="963" t="s">
        <v>52</v>
      </c>
      <c r="D127" s="963" t="s">
        <v>53</v>
      </c>
      <c r="E127" s="1005" t="s">
        <v>54</v>
      </c>
      <c r="F127" s="1006" t="s">
        <v>55</v>
      </c>
    </row>
    <row r="128">
      <c r="A128" s="967">
        <v>1.0</v>
      </c>
      <c r="B128" s="1028">
        <f>MROUND('WEEK 41'!B126*0.2*0.5,2.5)</f>
        <v>7.5</v>
      </c>
      <c r="C128" s="968">
        <v>20.0</v>
      </c>
      <c r="D128" s="969" t="s">
        <v>57</v>
      </c>
      <c r="E128" s="66" t="str">
        <f>IF('WEEK 41'!B128='WEEK 40'!B120,'WEEK 40'!F120,"")</f>
        <v/>
      </c>
      <c r="F128" s="1017"/>
    </row>
    <row r="129">
      <c r="A129" s="967">
        <v>2.0</v>
      </c>
      <c r="B129" s="1028">
        <f>if('WEEK 41'!F128&lt;10,mround('WEEK 41'!B128*0.8,2.5),IF('WEEK 41'!F128&lt;20,MROUND('WEEK 41'!B128*0.95,2.5),'WEEK 41'!B128))</f>
        <v>5</v>
      </c>
      <c r="C129" s="968">
        <v>20.0</v>
      </c>
      <c r="D129" s="969" t="s">
        <v>57</v>
      </c>
      <c r="E129" s="66" t="str">
        <f>IF('WEEK 41'!B129='WEEK 40'!B121,'WEEK 40'!F121,"")</f>
        <v/>
      </c>
      <c r="F129" s="1017"/>
    </row>
    <row r="130">
      <c r="A130" s="971">
        <v>3.0</v>
      </c>
      <c r="B130" s="1123">
        <f>if('WEEK 41'!F129&lt;10,mround('WEEK 41'!B129*0.8,2.5),IF('WEEK 41'!F129&lt;20,MROUND('WEEK 41'!B129*0.95,2.5),'WEEK 41'!B129))</f>
        <v>5</v>
      </c>
      <c r="C130" s="972">
        <v>20.0</v>
      </c>
      <c r="D130" s="973" t="s">
        <v>57</v>
      </c>
      <c r="E130" s="66" t="str">
        <f>IF('WEEK 41'!B130='WEEK 40'!B122,'WEEK 40'!F122,"")</f>
        <v/>
      </c>
      <c r="F130" s="1017"/>
    </row>
    <row r="131">
      <c r="A131" s="1068"/>
      <c r="B131" s="1068"/>
      <c r="C131" s="1068"/>
      <c r="D131" s="623"/>
      <c r="E131" s="1265"/>
      <c r="F131" s="623"/>
    </row>
    <row r="132">
      <c r="A132" s="1069"/>
      <c r="B132" s="1069"/>
      <c r="C132" s="1069"/>
      <c r="D132" s="995"/>
      <c r="E132" s="1266"/>
      <c r="F132" s="995"/>
    </row>
    <row r="133">
      <c r="A133" s="1217" t="str">
        <f>HYPERLINK("https://youtu.be/QUNZvtb6mnY","3. DUMBBELL SIDE LATERAL RAISE")</f>
        <v>3. DUMBBELL SIDE LATERAL RAISE</v>
      </c>
      <c r="B133" s="53"/>
      <c r="C133" s="53"/>
      <c r="D133" s="53"/>
      <c r="E133" s="53"/>
      <c r="F133" s="54"/>
    </row>
    <row r="134">
      <c r="A134" s="1262" t="s">
        <v>134</v>
      </c>
      <c r="B134" s="76">
        <f>'WEEK 41'!B117</f>
        <v>80</v>
      </c>
      <c r="C134" s="13"/>
      <c r="D134" s="13"/>
      <c r="E134" s="13"/>
      <c r="F134" s="57"/>
    </row>
    <row r="135">
      <c r="A135" s="1071" t="s">
        <v>50</v>
      </c>
      <c r="B135" s="1072" t="s">
        <v>51</v>
      </c>
      <c r="C135" s="1072" t="s">
        <v>52</v>
      </c>
      <c r="D135" s="1072" t="s">
        <v>53</v>
      </c>
      <c r="E135" s="1073" t="s">
        <v>54</v>
      </c>
      <c r="F135" s="1006" t="s">
        <v>55</v>
      </c>
    </row>
    <row r="136">
      <c r="A136" s="1074">
        <v>1.0</v>
      </c>
      <c r="B136" s="968">
        <f> mround('WEEK 41'!B134*0.2*0.5,2.5)</f>
        <v>7.5</v>
      </c>
      <c r="C136" s="968">
        <v>20.0</v>
      </c>
      <c r="D136" s="969" t="s">
        <v>57</v>
      </c>
      <c r="E136" s="1235" t="str">
        <f>if('WEEK 41'!B136='WEEK 30'!B143,'WEEK 30'!F143,"")</f>
        <v/>
      </c>
      <c r="F136" s="1017"/>
    </row>
    <row r="137">
      <c r="A137" s="1074">
        <v>2.0</v>
      </c>
      <c r="B137" s="968">
        <f>if('WEEK 41'!F136&lt;20,mround('WEEK 41'!B134*0.15,2.5),'WEEK 41'!B136)</f>
        <v>12.5</v>
      </c>
      <c r="C137" s="968">
        <v>20.0</v>
      </c>
      <c r="D137" s="969" t="s">
        <v>57</v>
      </c>
      <c r="E137" s="1235" t="str">
        <f>if('WEEK 41'!B137='WEEK 30'!B144,'WEEK 30'!F144,"")</f>
        <v/>
      </c>
      <c r="F137" s="1017"/>
    </row>
    <row r="138">
      <c r="A138" s="1078">
        <v>3.0</v>
      </c>
      <c r="B138" s="972">
        <f>if('WEEK 41'!F137&lt;20,mround('WEEK 41'!B134*0.1,2.5),'WEEK 41'!B137)</f>
        <v>7.5</v>
      </c>
      <c r="C138" s="972">
        <v>20.0</v>
      </c>
      <c r="D138" s="973" t="s">
        <v>57</v>
      </c>
      <c r="E138" s="1271" t="str">
        <f>if('WEEK 41'!B138='WEEK 30'!B145,'WEEK 30'!F145,"")</f>
        <v/>
      </c>
      <c r="F138" s="1017"/>
    </row>
    <row r="141">
      <c r="A141" s="74" t="str">
        <f>HYPERLINK("https://www.youtube.com/watch?v=Yke__29qVfo","4. TRICEPS PUSHDOWN (STRAIGHT BAR)")</f>
        <v>4. TRICEPS PUSHDOWN (STRAIGHT BAR)</v>
      </c>
      <c r="B141" s="53"/>
      <c r="C141" s="53"/>
      <c r="D141" s="53"/>
      <c r="E141" s="53"/>
      <c r="F141" s="54"/>
    </row>
    <row r="142">
      <c r="A142" s="226" t="s">
        <v>119</v>
      </c>
      <c r="B142" s="90">
        <f>'WEEK 38'!B140</f>
        <v>90</v>
      </c>
      <c r="C142" s="13"/>
      <c r="D142" s="13"/>
      <c r="E142" s="13"/>
      <c r="F142" s="57"/>
    </row>
    <row r="143">
      <c r="A143" s="77" t="s">
        <v>50</v>
      </c>
      <c r="B143" s="78" t="s">
        <v>51</v>
      </c>
      <c r="C143" s="78" t="s">
        <v>52</v>
      </c>
      <c r="D143" s="78" t="s">
        <v>53</v>
      </c>
      <c r="E143" s="80" t="s">
        <v>54</v>
      </c>
      <c r="F143" s="235" t="s">
        <v>55</v>
      </c>
    </row>
    <row r="144">
      <c r="A144" s="81">
        <v>1.0</v>
      </c>
      <c r="B144" s="82">
        <f> mround('WEEK 41'!B142*0.5,5)</f>
        <v>45</v>
      </c>
      <c r="C144" s="65">
        <v>20.0</v>
      </c>
      <c r="D144" s="83" t="s">
        <v>58</v>
      </c>
      <c r="E144" s="66" t="str">
        <f>IF('WEEK 41'!B144='WEEK 40'!B136,'WEEK 40'!F136,"")</f>
        <v/>
      </c>
      <c r="F144" s="85"/>
    </row>
    <row r="145">
      <c r="A145" s="81">
        <v>2.0</v>
      </c>
      <c r="B145" s="82">
        <f>if('WEEK 41'!F144&lt;10,mround(B144*0.8,5),IF('WEEK 41'!F144&lt;=19,MROUND('WEEK 41'!B144*0.95,5),'WEEK 41'!B144))</f>
        <v>35</v>
      </c>
      <c r="C145" s="65">
        <v>20.0</v>
      </c>
      <c r="D145" s="83" t="s">
        <v>58</v>
      </c>
      <c r="E145" s="66" t="str">
        <f>IF('WEEK 41'!B145='WEEK 40'!B137,'WEEK 40'!F137,"")</f>
        <v/>
      </c>
      <c r="F145" s="85"/>
    </row>
    <row r="146">
      <c r="A146" s="86">
        <v>3.0</v>
      </c>
      <c r="B146" s="87">
        <f>if('WEEK 41'!F145&lt;10,mround('WEEK 41'!B145*0.8,5),IF('WEEK 41'!F145&lt;=19,MROUND('WEEK 41'!B145*0.95,5),'WEEK 41'!B145))</f>
        <v>30</v>
      </c>
      <c r="C146" s="71">
        <v>20.0</v>
      </c>
      <c r="D146" s="88" t="s">
        <v>58</v>
      </c>
      <c r="E146" s="66" t="str">
        <f>IF('WEEK 41'!B146='WEEK 40'!B138,'WEEK 40'!F138,"")</f>
        <v/>
      </c>
      <c r="F146" s="85"/>
    </row>
    <row r="149">
      <c r="A149" s="75" t="str">
        <f>HYPERLINK("https://www.youtube.com/watch?v=9IqvmIhFxtY","5. BICEP CABLE CURL")</f>
        <v>5. BICEP CABLE CURL</v>
      </c>
      <c r="B149" s="53"/>
      <c r="C149" s="53"/>
      <c r="D149" s="53"/>
      <c r="E149" s="53"/>
      <c r="F149" s="54"/>
      <c r="G149" s="141"/>
      <c r="H149" s="75" t="str">
        <f>HYPERLINK("https://www.youtube.com/watch?v=Bi6Do6QIlpQ","5. BICEP EZ BAR CURL")</f>
        <v>5. BICEP EZ BAR CURL</v>
      </c>
      <c r="I149" s="53"/>
      <c r="J149" s="53"/>
      <c r="K149" s="53"/>
      <c r="L149" s="53"/>
      <c r="M149" s="54"/>
    </row>
    <row r="150">
      <c r="A150" s="226" t="s">
        <v>119</v>
      </c>
      <c r="B150" s="90">
        <f>IF('WEEK 38'!B150='WEEK 38'!B152,'WEEK 38'!B150+5,IF('WEEK 38'!F150&lt;=9,MROUND('WEEK 38'!B148*0.95,5),'WEEK 38'!B150))</f>
        <v>70</v>
      </c>
      <c r="C150" s="13"/>
      <c r="D150" s="13"/>
      <c r="E150" s="13"/>
      <c r="F150" s="57"/>
      <c r="G150" s="141"/>
      <c r="H150" s="226" t="s">
        <v>119</v>
      </c>
      <c r="I150" s="90">
        <f>IF('WEEK 38'!I150='WEEK 38'!I152,'WEEK 38'!I150+5,IF('WEEK 38'!M150&lt;=9,MROUND('WEEK 38'!I148*0.95,5),'WEEK 38'!I150))</f>
        <v>10</v>
      </c>
      <c r="J150" s="13"/>
      <c r="K150" s="13"/>
      <c r="L150" s="13"/>
      <c r="M150" s="57"/>
    </row>
    <row r="151">
      <c r="A151" s="77" t="s">
        <v>50</v>
      </c>
      <c r="B151" s="78" t="s">
        <v>51</v>
      </c>
      <c r="C151" s="78" t="s">
        <v>52</v>
      </c>
      <c r="D151" s="78" t="s">
        <v>53</v>
      </c>
      <c r="E151" s="80" t="s">
        <v>54</v>
      </c>
      <c r="F151" s="235" t="s">
        <v>55</v>
      </c>
      <c r="H151" s="77" t="s">
        <v>50</v>
      </c>
      <c r="I151" s="78" t="s">
        <v>51</v>
      </c>
      <c r="J151" s="78" t="s">
        <v>52</v>
      </c>
      <c r="K151" s="78" t="s">
        <v>53</v>
      </c>
      <c r="L151" s="80" t="s">
        <v>54</v>
      </c>
      <c r="M151" s="235" t="s">
        <v>55</v>
      </c>
    </row>
    <row r="152">
      <c r="A152" s="81">
        <v>1.0</v>
      </c>
      <c r="B152" s="82">
        <f>MROUND('WEEK 41'!B150*0.5,5)</f>
        <v>35</v>
      </c>
      <c r="C152" s="65">
        <v>20.0</v>
      </c>
      <c r="D152" s="83" t="s">
        <v>58</v>
      </c>
      <c r="E152" s="66" t="str">
        <f>IF('WEEK 41'!B152='WEEK 40'!B144,'WEEK 40'!F144,"")</f>
        <v>#ERROR!</v>
      </c>
      <c r="F152" s="85"/>
      <c r="H152" s="81">
        <v>1.0</v>
      </c>
      <c r="I152" s="82">
        <f>MROUND('WEEK 41'!I150*0.5,5)</f>
        <v>5</v>
      </c>
      <c r="J152" s="65">
        <v>20.0</v>
      </c>
      <c r="K152" s="83" t="s">
        <v>58</v>
      </c>
      <c r="L152" s="66" t="str">
        <f>IF('WEEK 41'!I152='WEEK 40'!I144,'WEEK 40'!M144,"")</f>
        <v/>
      </c>
      <c r="M152" s="85"/>
    </row>
    <row r="153">
      <c r="A153" s="81">
        <v>2.0</v>
      </c>
      <c r="B153" s="82">
        <f>if('WEEK 41'!F152&lt;15,mround('WEEK 41'!B152*0.8,5),IF('WEEK 41'!F152&lt;=18,MROUND('WEEK 41'!B150*0.95,5),'WEEK 41'!B152))</f>
        <v>30</v>
      </c>
      <c r="C153" s="65">
        <v>20.0</v>
      </c>
      <c r="D153" s="83" t="s">
        <v>58</v>
      </c>
      <c r="E153" s="66" t="str">
        <f>IF('WEEK 41'!B153='WEEK 40'!B145,'WEEK 40'!F145,"")</f>
        <v>#ERROR!</v>
      </c>
      <c r="F153" s="85"/>
      <c r="H153" s="81">
        <v>2.0</v>
      </c>
      <c r="I153" s="82">
        <f>if('WEEK 41'!M152&lt;15,mround('WEEK 41'!I152*0.8,5),IF('WEEK 41'!M152&lt;=18,MROUND('WEEK 41'!I150*0.95,5),'WEEK 41'!I152))</f>
        <v>5</v>
      </c>
      <c r="J153" s="65">
        <v>20.0</v>
      </c>
      <c r="K153" s="83" t="s">
        <v>58</v>
      </c>
      <c r="L153" s="66" t="str">
        <f>IF('WEEK 41'!I153='WEEK 40'!I145,'WEEK 40'!M145,"")</f>
        <v/>
      </c>
      <c r="M153" s="85"/>
    </row>
    <row r="154">
      <c r="A154" s="629">
        <v>3.0</v>
      </c>
      <c r="B154" s="630">
        <f>if('WEEK 41'!F153&lt;15,mround('WEEK 41'!B153*0.8,5),IF('WEEK 41'!F153&lt;=18,MROUND('WEEK 41'!B151*0.95,5),'WEEK 41'!B153))</f>
        <v>25</v>
      </c>
      <c r="C154" s="631">
        <v>20.0</v>
      </c>
      <c r="D154" s="328" t="s">
        <v>58</v>
      </c>
      <c r="E154" s="66" t="str">
        <f>IF('WEEK 41'!B154='WEEK 40'!B146,'WEEK 40'!F146,"")</f>
        <v>#ERROR!</v>
      </c>
      <c r="F154" s="330"/>
      <c r="H154" s="629">
        <v>3.0</v>
      </c>
      <c r="I154" s="630">
        <f>if('WEEK 41'!M153&lt;15,mround('WEEK 41'!I153*0.8,5),IF('WEEK 41'!M153&lt;=18,MROUND('WEEK 41'!I151*0.95,5),'WEEK 41'!I153))</f>
        <v>5</v>
      </c>
      <c r="J154" s="631">
        <v>20.0</v>
      </c>
      <c r="K154" s="328" t="s">
        <v>58</v>
      </c>
      <c r="L154" s="66" t="str">
        <f>IF('WEEK 41'!I154='WEEK 40'!I146,'WEEK 40'!M146,"")</f>
        <v/>
      </c>
      <c r="M154" s="330"/>
    </row>
    <row r="157">
      <c r="A157" s="1149" t="s">
        <v>135</v>
      </c>
      <c r="B157" s="36"/>
      <c r="C157" s="36"/>
      <c r="D157" s="36"/>
      <c r="E157" s="36"/>
      <c r="F157" s="37"/>
    </row>
    <row r="158">
      <c r="A158" s="623"/>
      <c r="B158" s="623"/>
      <c r="C158" s="623"/>
      <c r="D158" s="623"/>
      <c r="E158" s="1274"/>
      <c r="F158" s="623"/>
    </row>
    <row r="159">
      <c r="A159" s="1275" t="str">
        <f>HYPERLINK("https://www.amazon.com/30-Minute-Body-Investment-Champion/dp/0692791892/ref=sr_1_1?ie=UTF8&amp;qid=1490447969&amp;sr=8-1&amp;keywords=30+minute+body","WANT TO LEARN MORE?")</f>
        <v>WANT TO LEARN MORE?</v>
      </c>
      <c r="B159" s="25"/>
      <c r="C159" s="25"/>
      <c r="D159" s="25"/>
      <c r="E159" s="25"/>
      <c r="F159" s="26"/>
    </row>
    <row r="160">
      <c r="A160" s="529"/>
      <c r="F160" s="28"/>
    </row>
    <row r="161">
      <c r="A161" s="1276"/>
      <c r="B161" s="999"/>
      <c r="C161" s="1150" t="s">
        <v>67</v>
      </c>
      <c r="F161" s="28"/>
    </row>
    <row r="162">
      <c r="A162" s="1276"/>
      <c r="B162" s="999"/>
      <c r="F162" s="28"/>
    </row>
    <row r="163">
      <c r="A163" s="1276"/>
      <c r="B163" s="999"/>
      <c r="F163" s="28"/>
    </row>
    <row r="164">
      <c r="A164" s="1276"/>
      <c r="B164" s="999"/>
      <c r="F164" s="28"/>
    </row>
    <row r="165">
      <c r="A165" s="1276"/>
      <c r="B165" s="999"/>
      <c r="F165" s="28"/>
    </row>
    <row r="166">
      <c r="A166" s="1276"/>
      <c r="B166" s="999"/>
      <c r="F166" s="28"/>
    </row>
    <row r="167">
      <c r="A167" s="1277"/>
      <c r="B167" s="999"/>
      <c r="F167" s="28"/>
    </row>
    <row r="168">
      <c r="A168" s="1276"/>
      <c r="B168" s="999"/>
      <c r="F168" s="28"/>
    </row>
    <row r="169">
      <c r="A169" s="1276"/>
      <c r="B169" s="999"/>
      <c r="F169" s="28"/>
    </row>
    <row r="170">
      <c r="A170" s="1278"/>
      <c r="B170" s="999"/>
      <c r="F170" s="28"/>
    </row>
    <row r="171">
      <c r="A171" s="1276"/>
      <c r="B171" s="999"/>
      <c r="F171" s="28"/>
    </row>
    <row r="172">
      <c r="A172" s="1276"/>
      <c r="B172" s="999"/>
      <c r="F172" s="28"/>
    </row>
    <row r="173">
      <c r="A173" s="1276"/>
      <c r="B173" s="999"/>
      <c r="F173" s="28"/>
    </row>
    <row r="174">
      <c r="A174" s="1276"/>
      <c r="B174" s="999"/>
      <c r="F174" s="28"/>
    </row>
    <row r="175">
      <c r="A175" s="1279"/>
      <c r="B175" s="1280"/>
      <c r="C175" s="11"/>
      <c r="D175" s="11"/>
      <c r="E175" s="11"/>
      <c r="F175" s="46"/>
    </row>
  </sheetData>
  <mergeCells count="80">
    <mergeCell ref="G24:G25"/>
    <mergeCell ref="A27:F27"/>
    <mergeCell ref="A30:F30"/>
    <mergeCell ref="B33:F33"/>
    <mergeCell ref="G37:G41"/>
    <mergeCell ref="B38:F38"/>
    <mergeCell ref="A44:F44"/>
    <mergeCell ref="B45:F45"/>
    <mergeCell ref="A51:F51"/>
    <mergeCell ref="A54:F54"/>
    <mergeCell ref="B57:F57"/>
    <mergeCell ref="A60:F60"/>
    <mergeCell ref="B61:F61"/>
    <mergeCell ref="A68:F68"/>
    <mergeCell ref="B69:F69"/>
    <mergeCell ref="A75:F75"/>
    <mergeCell ref="A77:F77"/>
    <mergeCell ref="A80:F80"/>
    <mergeCell ref="B81:F81"/>
    <mergeCell ref="B93:F93"/>
    <mergeCell ref="A96:F96"/>
    <mergeCell ref="B97:F97"/>
    <mergeCell ref="A104:F104"/>
    <mergeCell ref="G104:G106"/>
    <mergeCell ref="H104:M104"/>
    <mergeCell ref="B105:F105"/>
    <mergeCell ref="I105:M105"/>
    <mergeCell ref="G107:G108"/>
    <mergeCell ref="G109:G110"/>
    <mergeCell ref="A112:F112"/>
    <mergeCell ref="A115:F115"/>
    <mergeCell ref="H115:M115"/>
    <mergeCell ref="A116:F116"/>
    <mergeCell ref="H116:M116"/>
    <mergeCell ref="I117:M117"/>
    <mergeCell ref="A149:F149"/>
    <mergeCell ref="H149:M149"/>
    <mergeCell ref="B150:F150"/>
    <mergeCell ref="I150:M150"/>
    <mergeCell ref="A157:F157"/>
    <mergeCell ref="A159:F160"/>
    <mergeCell ref="C161:F175"/>
    <mergeCell ref="B117:F117"/>
    <mergeCell ref="A125:F125"/>
    <mergeCell ref="B126:F126"/>
    <mergeCell ref="A133:F133"/>
    <mergeCell ref="B134:F134"/>
    <mergeCell ref="A141:F141"/>
    <mergeCell ref="B142:F142"/>
    <mergeCell ref="A9:F9"/>
    <mergeCell ref="H9:M9"/>
    <mergeCell ref="A10:F11"/>
    <mergeCell ref="H10:M10"/>
    <mergeCell ref="A12:F12"/>
    <mergeCell ref="A13:F13"/>
    <mergeCell ref="H15:M15"/>
    <mergeCell ref="A20:F20"/>
    <mergeCell ref="B21:F21"/>
    <mergeCell ref="O20:T20"/>
    <mergeCell ref="P21:T21"/>
    <mergeCell ref="N19:N26"/>
    <mergeCell ref="N27:N28"/>
    <mergeCell ref="N29:N31"/>
    <mergeCell ref="N38:N41"/>
    <mergeCell ref="A15:F15"/>
    <mergeCell ref="A19:F19"/>
    <mergeCell ref="H19:M19"/>
    <mergeCell ref="O19:T19"/>
    <mergeCell ref="H20:M20"/>
    <mergeCell ref="I21:M21"/>
    <mergeCell ref="O27:T27"/>
    <mergeCell ref="H37:M37"/>
    <mergeCell ref="I38:M38"/>
    <mergeCell ref="H27:M27"/>
    <mergeCell ref="H29:M29"/>
    <mergeCell ref="O29:T29"/>
    <mergeCell ref="I34:M34"/>
    <mergeCell ref="P34:T34"/>
    <mergeCell ref="A35:N36"/>
    <mergeCell ref="A37:F37"/>
  </mergeCells>
  <dataValidations>
    <dataValidation type="decimal" operator="greaterThanOrEqual" allowBlank="1" showDropDown="1" showErrorMessage="1" sqref="M22:M26 F39:F41">
      <formula1>0.0</formula1>
    </dataValidation>
    <dataValidation type="decimal" operator="greaterThanOrEqual" allowBlank="1" showDropDown="1" sqref="F22:F26 F28 F31 F58:F59 F62:F67 F70:F74 F82:F86 F88">
      <formula1>0.0</formula1>
    </dataValidation>
  </dataValidations>
  <drawing r:id="rId2"/>
  <legacyDrawing r:id="rId3"/>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'MSW41'!A1</f>
        <v/>
      </c>
    </row>
    <row r="9">
      <c r="A9" s="1305" t="str">
        <f>'MSW41'!A9</f>
        <v>Week 41</v>
      </c>
      <c r="B9" s="36"/>
      <c r="C9" s="36"/>
      <c r="D9" s="36"/>
      <c r="E9" s="36"/>
      <c r="F9" s="37"/>
      <c r="G9" s="987" t="str">
        <f>'MSW41'!G9</f>
        <v/>
      </c>
      <c r="H9" s="24" t="s">
        <v>35</v>
      </c>
      <c r="I9" s="25"/>
      <c r="J9" s="25"/>
      <c r="K9" s="25"/>
      <c r="L9" s="25"/>
      <c r="M9" s="26"/>
      <c r="N9" t="str">
        <f>'MSW41'!N15</f>
        <v/>
      </c>
    </row>
    <row r="10">
      <c r="A10" s="991" t="str">
        <f>'MSW41'!A10</f>
        <v>PRESS TO RECORD BODY WEIGHT</v>
      </c>
      <c r="F10" s="28"/>
      <c r="H10" s="27" t="s">
        <v>375</v>
      </c>
      <c r="M10" s="28"/>
    </row>
    <row r="11">
      <c r="A11" s="336"/>
      <c r="B11" s="11"/>
      <c r="C11" s="11"/>
      <c r="D11" s="11"/>
      <c r="E11" s="11"/>
      <c r="F11" s="46"/>
      <c r="H11" s="29" t="s">
        <v>376</v>
      </c>
      <c r="I11" s="30"/>
      <c r="J11" s="30"/>
      <c r="K11" s="30"/>
      <c r="L11" s="30"/>
      <c r="M11" s="31"/>
    </row>
    <row r="12">
      <c r="A12" s="992" t="str">
        <f>'MSW41'!A12</f>
        <v>This Weeks Goals</v>
      </c>
      <c r="B12" s="11"/>
      <c r="C12" s="11"/>
      <c r="D12" s="11"/>
      <c r="E12" s="11"/>
      <c r="F12" s="46"/>
      <c r="H12" s="987"/>
    </row>
    <row r="13">
      <c r="A13" s="1128" t="str">
        <f>'MSW41'!A13</f>
        <v>This week you will be attempting new max weights as well as experiencing high reps on leg day. Stay focused and remember rest and recovery are key to your results. Good luck!</v>
      </c>
      <c r="B13" s="11"/>
      <c r="C13" s="11"/>
      <c r="D13" s="11"/>
      <c r="E13" s="11"/>
      <c r="F13" s="46"/>
    </row>
    <row r="14">
      <c r="A14" s="994" t="str">
        <f>'MSW41'!A14</f>
        <v/>
      </c>
      <c r="B14" s="11"/>
      <c r="C14" s="11"/>
      <c r="D14" s="11"/>
      <c r="E14" s="11"/>
      <c r="F14" s="11"/>
    </row>
    <row r="15">
      <c r="A15" s="996" t="str">
        <f>'MSW41'!A15</f>
        <v>DAY 1 </v>
      </c>
      <c r="B15" s="11"/>
      <c r="C15" s="11"/>
      <c r="D15" s="11"/>
      <c r="E15" s="11"/>
      <c r="F15" s="46"/>
      <c r="G15" s="997" t="str">
        <f>'MSW41'!G15</f>
        <v/>
      </c>
      <c r="H15" s="1466" t="str">
        <f>'MSW41'!H15</f>
        <v>ALTERNATE WORKOUTS</v>
      </c>
      <c r="I15" s="36"/>
      <c r="J15" s="36"/>
      <c r="K15" s="36"/>
      <c r="L15" s="36"/>
      <c r="M15" s="37"/>
    </row>
    <row r="16">
      <c r="A16" s="987" t="str">
        <f>'MSW41'!A16</f>
        <v/>
      </c>
    </row>
    <row r="19">
      <c r="A19" s="51" t="str">
        <f>'MSW41'!A19</f>
        <v>CHEST &amp; BACK </v>
      </c>
      <c r="B19" s="36"/>
      <c r="C19" s="36"/>
      <c r="D19" s="36"/>
      <c r="E19" s="36"/>
      <c r="F19" s="37"/>
      <c r="G19" t="str">
        <f>'MSW41'!G19</f>
        <v/>
      </c>
      <c r="H19" s="51" t="str">
        <f>'MSW41'!H19</f>
        <v>CHEST &amp; BACK </v>
      </c>
      <c r="I19" s="36"/>
      <c r="J19" s="36"/>
      <c r="K19" s="36"/>
      <c r="L19" s="36"/>
      <c r="M19" s="37"/>
      <c r="N19" s="141" t="str">
        <f>'MSW41'!N19</f>
        <v/>
      </c>
      <c r="O19" s="51" t="str">
        <f>'MSW41'!O19</f>
        <v>CHEST &amp; BACK </v>
      </c>
      <c r="P19" s="36"/>
      <c r="Q19" s="36"/>
      <c r="R19" s="36"/>
      <c r="S19" s="36"/>
      <c r="T19" s="37"/>
    </row>
    <row r="20">
      <c r="A20" s="225" t="str">
        <f>'MSW41'!A20</f>
        <v>1. BENCH PRESS</v>
      </c>
      <c r="B20" s="13"/>
      <c r="C20" s="13"/>
      <c r="D20" s="13"/>
      <c r="E20" s="13"/>
      <c r="F20" s="57"/>
      <c r="H20" s="52" t="str">
        <f>'MSW41'!H20</f>
        <v>1. DUMBBELL INCLINE PRESS</v>
      </c>
      <c r="I20" s="53"/>
      <c r="J20" s="53"/>
      <c r="K20" s="53"/>
      <c r="L20" s="53"/>
      <c r="M20" s="54"/>
      <c r="O20" s="52" t="str">
        <f>'MSW41'!O20</f>
        <v>1. MACHINE PRESS</v>
      </c>
      <c r="P20" s="53"/>
      <c r="Q20" s="53"/>
      <c r="R20" s="53"/>
      <c r="S20" s="53"/>
      <c r="T20" s="54"/>
    </row>
    <row r="21">
      <c r="A21" s="226" t="str">
        <f>'MSW41'!A21</f>
        <v>CURRENT MAX</v>
      </c>
      <c r="B21" s="227">
        <f>'MSW41'!B21</f>
        <v>260</v>
      </c>
      <c r="C21" s="20"/>
      <c r="D21" s="20"/>
      <c r="E21" s="20"/>
      <c r="F21" s="95"/>
      <c r="H21" s="228" t="str">
        <f>'MSW41'!H21</f>
        <v>CURRENT MAX</v>
      </c>
      <c r="I21" s="229">
        <f>'MSW41'!I21</f>
        <v>90</v>
      </c>
      <c r="J21" s="16"/>
      <c r="K21" s="16"/>
      <c r="L21" s="16"/>
      <c r="M21" s="230"/>
      <c r="O21" s="228" t="str">
        <f>'MSW41'!O21</f>
        <v>CURRENT MAX</v>
      </c>
      <c r="P21" s="229" t="str">
        <f>'MSW41'!P21</f>
        <v/>
      </c>
      <c r="Q21" s="16"/>
      <c r="R21" s="16"/>
      <c r="S21" s="16"/>
      <c r="T21" s="230"/>
    </row>
    <row r="22">
      <c r="A22" s="231" t="str">
        <f>'MSW41'!A22</f>
        <v>SET</v>
      </c>
      <c r="B22" s="232" t="str">
        <f>'MSW41'!B22</f>
        <v>WEIGHT</v>
      </c>
      <c r="C22" s="232" t="str">
        <f>'MSW41'!C22</f>
        <v>REPS</v>
      </c>
      <c r="D22" s="232" t="str">
        <f>'MSW41'!D22</f>
        <v>REST</v>
      </c>
      <c r="E22" s="233" t="str">
        <f>'MSW41'!E22</f>
        <v>PREVIOUS</v>
      </c>
      <c r="F22" s="61" t="str">
        <f>'MSW41'!F22</f>
        <v>REP LOG</v>
      </c>
      <c r="H22" s="96" t="str">
        <f>'MSW41'!H22</f>
        <v>SET</v>
      </c>
      <c r="I22" s="97" t="str">
        <f>'MSW41'!I22</f>
        <v>WEIGHT</v>
      </c>
      <c r="J22" s="97" t="str">
        <f>'MSW41'!J22</f>
        <v>REPS</v>
      </c>
      <c r="K22" s="97" t="str">
        <f>'MSW41'!K22</f>
        <v>REST</v>
      </c>
      <c r="L22" s="98" t="str">
        <f>'MSW41'!L22</f>
        <v>PREVIOUS</v>
      </c>
      <c r="M22" s="235" t="str">
        <f>'MSW41'!M22</f>
        <v>REP LOG</v>
      </c>
      <c r="O22" s="96" t="str">
        <f>'MSW41'!O22</f>
        <v>SET</v>
      </c>
      <c r="P22" s="97" t="str">
        <f>'MSW41'!P22</f>
        <v>WEIGHT</v>
      </c>
      <c r="Q22" s="97" t="str">
        <f>'MSW41'!Q22</f>
        <v>REPS</v>
      </c>
      <c r="R22" s="97" t="str">
        <f>'MSW41'!R22</f>
        <v>REST</v>
      </c>
      <c r="S22" s="98" t="str">
        <f>'MSW41'!S22</f>
        <v>PREVIOUS</v>
      </c>
      <c r="T22" s="235" t="str">
        <f>'MSW41'!T22</f>
        <v>REP LOG</v>
      </c>
    </row>
    <row r="23">
      <c r="A23" s="236">
        <f>'MSW41'!A23</f>
        <v>1</v>
      </c>
      <c r="B23" s="237">
        <f>'MSW41'!B23</f>
        <v>45</v>
      </c>
      <c r="C23" s="237">
        <f>'MSW41'!C23</f>
        <v>6</v>
      </c>
      <c r="D23" s="238" t="str">
        <f>'MSW41'!D23</f>
        <v>30s</v>
      </c>
      <c r="E23" s="66">
        <f>'MSW41'!E23</f>
        <v>6</v>
      </c>
      <c r="F23" s="67">
        <v>6.0</v>
      </c>
      <c r="H23" s="244">
        <f>'MSW41'!H23</f>
        <v>1</v>
      </c>
      <c r="I23" s="241">
        <f>'MSW41'!I23</f>
        <v>30</v>
      </c>
      <c r="J23" s="63">
        <f>'MSW41'!J23</f>
        <v>6</v>
      </c>
      <c r="K23" s="83" t="str">
        <f>'MSW41'!K23</f>
        <v>1-3 MIN</v>
      </c>
      <c r="L23" s="66" t="str">
        <f>'MSW41'!L23</f>
        <v/>
      </c>
      <c r="M23" s="85" t="str">
        <f>'MSW41'!M23</f>
        <v/>
      </c>
      <c r="O23" s="244">
        <f>'MSW41'!O23</f>
        <v>1</v>
      </c>
      <c r="P23" s="241">
        <f>'MSW41'!P23</f>
        <v>0</v>
      </c>
      <c r="Q23" s="63">
        <f>'MSW41'!Q23</f>
        <v>6</v>
      </c>
      <c r="R23" s="83" t="str">
        <f>'MSW41'!R23</f>
        <v>1-3 MIN</v>
      </c>
      <c r="S23" s="66" t="str">
        <f>'MSW41'!S23</f>
        <v/>
      </c>
      <c r="T23" s="85"/>
    </row>
    <row r="24">
      <c r="A24" s="236">
        <f>'MSW41'!A24</f>
        <v>2</v>
      </c>
      <c r="B24" s="237">
        <f>'MSW41'!B24</f>
        <v>210</v>
      </c>
      <c r="C24" s="237">
        <f>'MSW41'!C24</f>
        <v>1</v>
      </c>
      <c r="D24" s="238" t="str">
        <f>'MSW41'!D24</f>
        <v>1-2 MIN</v>
      </c>
      <c r="E24" s="66" t="str">
        <f>'MSW41'!E24</f>
        <v/>
      </c>
      <c r="F24" s="67">
        <v>1.0</v>
      </c>
      <c r="G24" s="1129" t="str">
        <f>'MSW41'!G24</f>
        <v>Alternate</v>
      </c>
      <c r="H24" s="240">
        <f>'MSW41'!H24</f>
        <v>2</v>
      </c>
      <c r="I24" s="241">
        <f>'MSW41'!I24</f>
        <v>60</v>
      </c>
      <c r="J24" s="241">
        <f>'MSW41'!J24</f>
        <v>1</v>
      </c>
      <c r="K24" s="83" t="str">
        <f>'MSW41'!K24</f>
        <v>1-3 MIN</v>
      </c>
      <c r="L24" s="66" t="str">
        <f>'MSW41'!L24</f>
        <v/>
      </c>
      <c r="M24" s="85" t="str">
        <f>'MSW41'!M24</f>
        <v/>
      </c>
      <c r="O24" s="240">
        <f>'MSW41'!O24</f>
        <v>2</v>
      </c>
      <c r="P24" s="241">
        <f>'MSW41'!P24</f>
        <v>0</v>
      </c>
      <c r="Q24" s="241">
        <f>'MSW41'!Q24</f>
        <v>1</v>
      </c>
      <c r="R24" s="83" t="str">
        <f>'MSW41'!R24</f>
        <v>1-3 MIN</v>
      </c>
      <c r="S24" s="66" t="str">
        <f>'MSW41'!S24</f>
        <v/>
      </c>
      <c r="T24" s="85"/>
    </row>
    <row r="25">
      <c r="A25" s="242">
        <f>'MSW41'!A25</f>
        <v>3</v>
      </c>
      <c r="B25" s="237">
        <f>'MSW41'!B25</f>
        <v>235</v>
      </c>
      <c r="C25" s="82">
        <f>'MSW41'!C25</f>
        <v>1</v>
      </c>
      <c r="D25" s="238" t="str">
        <f>'MSW41'!D25</f>
        <v>1-2 MIN</v>
      </c>
      <c r="E25" s="66" t="str">
        <f>'MSW41'!E25</f>
        <v/>
      </c>
      <c r="F25" s="67">
        <v>1.0</v>
      </c>
      <c r="H25" s="240">
        <f>'MSW41'!H25</f>
        <v>3</v>
      </c>
      <c r="I25" s="241">
        <f>'MSW41'!I25</f>
        <v>75</v>
      </c>
      <c r="J25" s="63">
        <f>'MSW41'!J25</f>
        <v>1</v>
      </c>
      <c r="K25" s="83" t="str">
        <f>'MSW41'!K25</f>
        <v>1-3 MIN</v>
      </c>
      <c r="L25" s="66" t="str">
        <f>'MSW41'!L25</f>
        <v/>
      </c>
      <c r="M25" s="85" t="str">
        <f>'MSW41'!M25</f>
        <v/>
      </c>
      <c r="O25" s="240">
        <f>'MSW41'!O25</f>
        <v>3</v>
      </c>
      <c r="P25" s="241">
        <f>'MSW41'!P25</f>
        <v>0</v>
      </c>
      <c r="Q25" s="241">
        <f>'MSW41'!Q25</f>
        <v>1</v>
      </c>
      <c r="R25" s="83" t="str">
        <f>'MSW41'!R25</f>
        <v>1-3 MIN</v>
      </c>
      <c r="S25" s="66" t="str">
        <f>'MSW41'!S25</f>
        <v/>
      </c>
      <c r="T25" s="85"/>
    </row>
    <row r="26">
      <c r="A26" s="243">
        <f>'MSW41'!A26</f>
        <v>4</v>
      </c>
      <c r="B26" s="237">
        <f>'MSW41'!B26</f>
        <v>260</v>
      </c>
      <c r="C26" s="175">
        <f>'MSW41'!C26</f>
        <v>1</v>
      </c>
      <c r="D26" s="238" t="str">
        <f>'MSW41'!D26</f>
        <v>1-5 MIN</v>
      </c>
      <c r="E26" s="66" t="str">
        <f>'MSW41'!E26</f>
        <v/>
      </c>
      <c r="F26" s="67">
        <v>1.0</v>
      </c>
      <c r="G26" t="str">
        <f>'MSW41'!G26</f>
        <v/>
      </c>
      <c r="H26" s="240">
        <f>'MSW41'!H26</f>
        <v>4</v>
      </c>
      <c r="I26" s="241">
        <f>'MSW41'!I26</f>
        <v>90</v>
      </c>
      <c r="J26" s="245" t="str">
        <f>'MSW41'!J26</f>
        <v>REP OUT</v>
      </c>
      <c r="K26" s="83" t="str">
        <f>'MSW41'!K26</f>
        <v>1-3 MIN</v>
      </c>
      <c r="L26" s="66" t="str">
        <f>'MSW41'!L26</f>
        <v/>
      </c>
      <c r="M26" s="85" t="str">
        <f>'MSW41'!M26</f>
        <v/>
      </c>
      <c r="O26" s="240">
        <f>'MSW41'!O26</f>
        <v>4</v>
      </c>
      <c r="P26" s="241">
        <f>'MSW41'!P26</f>
        <v>0</v>
      </c>
      <c r="Q26" s="245" t="str">
        <f>'MSW41'!Q26</f>
        <v>REP OUT</v>
      </c>
      <c r="R26" s="83" t="str">
        <f>'MSW41'!R26</f>
        <v>1-3 MIN</v>
      </c>
      <c r="S26" s="66" t="str">
        <f>'MSW41'!S26</f>
        <v/>
      </c>
      <c r="T26" s="85"/>
    </row>
    <row r="27">
      <c r="A27" s="246" t="str">
        <f>'MSW41'!A27</f>
        <v>NEW 1 REP MAX ATTEMPT</v>
      </c>
      <c r="B27" s="20"/>
      <c r="C27" s="20"/>
      <c r="D27" s="20"/>
      <c r="E27" s="20"/>
      <c r="F27" s="95"/>
      <c r="H27" s="248" t="str">
        <f>'MSW41'!H27</f>
        <v>PROCEED TO DOWNSETS</v>
      </c>
      <c r="M27" s="28"/>
      <c r="N27" s="247" t="str">
        <f>'MSW41'!N27</f>
        <v>ALTERNATE</v>
      </c>
      <c r="O27" s="248" t="str">
        <f>'MSW41'!O27</f>
        <v>PROCEED TO DOWNSETS</v>
      </c>
      <c r="T27" s="28"/>
    </row>
    <row r="28">
      <c r="A28" s="249">
        <f>'MSW41'!A28</f>
        <v>5</v>
      </c>
      <c r="B28" s="175">
        <f>'MSW41'!B28</f>
        <v>265</v>
      </c>
      <c r="C28" s="238">
        <f>'MSW41'!C28</f>
        <v>1</v>
      </c>
      <c r="D28" s="238" t="str">
        <f>'MSW41'!D28</f>
        <v>1-5 MIN</v>
      </c>
      <c r="E28" s="66" t="str">
        <f>'MSW41'!E28</f>
        <v/>
      </c>
      <c r="F28" s="67">
        <v>1.0</v>
      </c>
      <c r="H28" s="251" t="str">
        <f>'MSW41'!H28</f>
        <v/>
      </c>
      <c r="I28" s="252" t="str">
        <f>'MSW41'!I28</f>
        <v/>
      </c>
      <c r="J28" s="253" t="str">
        <f>'MSW41'!J28</f>
        <v/>
      </c>
      <c r="K28" s="254" t="str">
        <f>'MSW41'!K28</f>
        <v/>
      </c>
      <c r="L28" s="66" t="str">
        <f>'MSW41'!L28</f>
        <v/>
      </c>
      <c r="M28" s="67" t="str">
        <f>'MSW41'!M28</f>
        <v/>
      </c>
      <c r="O28" s="251" t="str">
        <f>'MSW41'!O28</f>
        <v/>
      </c>
      <c r="P28" s="252" t="str">
        <f>'MSW41'!P28</f>
        <v/>
      </c>
      <c r="Q28" s="253" t="str">
        <f>'MSW41'!Q28</f>
        <v/>
      </c>
      <c r="R28" s="254" t="str">
        <f>'MSW41'!R28</f>
        <v/>
      </c>
      <c r="S28" s="66" t="str">
        <f>'MSW41'!S28</f>
        <v/>
      </c>
      <c r="T28" s="665"/>
    </row>
    <row r="29">
      <c r="A29" s="256" t="str">
        <f>'MSW41'!A29</f>
        <v>6</v>
      </c>
      <c r="B29" s="237">
        <f>'MSW41'!B29</f>
        <v>270</v>
      </c>
      <c r="C29" s="257" t="str">
        <f>'MSW41'!C29</f>
        <v>1</v>
      </c>
      <c r="D29" s="257" t="str">
        <f>'MSW41'!D29</f>
        <v>1-5 MIN</v>
      </c>
      <c r="E29" s="66" t="str">
        <f>'MSW41'!E29</f>
        <v/>
      </c>
      <c r="F29" s="67">
        <v>0.0</v>
      </c>
      <c r="H29" s="260" t="str">
        <f>'MSW41'!H29</f>
        <v>FILL OUT REP LOG FIRST</v>
      </c>
      <c r="I29" s="16"/>
      <c r="J29" s="16"/>
      <c r="K29" s="16"/>
      <c r="L29" s="16"/>
      <c r="M29" s="230"/>
      <c r="N29" s="141" t="str">
        <f>'MSW41'!N29</f>
        <v/>
      </c>
      <c r="O29" s="260" t="str">
        <f>'MSW41'!O29</f>
        <v>FILL OUT REP LOG FIRST</v>
      </c>
      <c r="P29" s="16"/>
      <c r="Q29" s="16"/>
      <c r="R29" s="16"/>
      <c r="S29" s="16"/>
      <c r="T29" s="230"/>
    </row>
    <row r="30">
      <c r="A30" s="246" t="str">
        <f>'MSW41'!A30</f>
        <v>DOWN SETS</v>
      </c>
      <c r="B30" s="20"/>
      <c r="C30" s="20"/>
      <c r="D30" s="20"/>
      <c r="E30" s="20"/>
      <c r="F30" s="95"/>
      <c r="H30" s="91" t="str">
        <f>'MSW41'!H30</f>
        <v/>
      </c>
      <c r="I30" s="261" t="str">
        <f>'MSW41'!I30</f>
        <v/>
      </c>
      <c r="J30" s="262" t="str">
        <f>'MSW41'!J30</f>
        <v/>
      </c>
      <c r="K30" s="65" t="str">
        <f>'MSW41'!K30</f>
        <v/>
      </c>
      <c r="L30" s="66" t="str">
        <f>'MSW41'!L30</f>
        <v/>
      </c>
      <c r="M30" s="263" t="str">
        <f>'MSW41'!M30</f>
        <v/>
      </c>
      <c r="O30" s="91" t="str">
        <f>'MSW41'!O30</f>
        <v/>
      </c>
      <c r="P30" s="261" t="str">
        <f>'MSW41'!P30</f>
        <v/>
      </c>
      <c r="Q30" s="262" t="str">
        <f>'MSW41'!Q30</f>
        <v/>
      </c>
      <c r="R30" s="65" t="str">
        <f>'MSW41'!R30</f>
        <v/>
      </c>
      <c r="S30" s="66" t="str">
        <f>'MSW41'!S30</f>
        <v/>
      </c>
      <c r="T30" s="263" t="str">
        <f>'MSW41'!T30</f>
        <v/>
      </c>
    </row>
    <row r="31">
      <c r="A31" s="264">
        <f>'MSW41'!A31</f>
        <v>7</v>
      </c>
      <c r="B31" s="265">
        <f>'MSW41'!B31</f>
        <v>240</v>
      </c>
      <c r="C31" s="266" t="str">
        <f>'MSW41'!C31</f>
        <v>REP OUT</v>
      </c>
      <c r="D31" s="267" t="str">
        <f>'MSW41'!D31</f>
        <v>1-3 MIN</v>
      </c>
      <c r="E31" s="66" t="str">
        <f>'MSW41'!E31</f>
        <v/>
      </c>
      <c r="F31" s="67">
        <v>2.0</v>
      </c>
      <c r="H31" s="269" t="str">
        <f>'MSW41'!H31</f>
        <v/>
      </c>
      <c r="I31" s="254" t="str">
        <f>'MSW41'!I31</f>
        <v/>
      </c>
      <c r="J31" s="253" t="str">
        <f>'MSW41'!J31</f>
        <v/>
      </c>
      <c r="K31" s="65" t="str">
        <f>'MSW41'!K31</f>
        <v/>
      </c>
      <c r="L31" s="66" t="str">
        <f>'MSW41'!L31</f>
        <v/>
      </c>
      <c r="M31" s="270" t="str">
        <f>'MSW41'!M31</f>
        <v/>
      </c>
      <c r="O31" s="269" t="str">
        <f>'MSW41'!O31</f>
        <v/>
      </c>
      <c r="P31" s="254" t="str">
        <f>'MSW41'!P31</f>
        <v/>
      </c>
      <c r="Q31" s="253" t="str">
        <f>'MSW41'!Q31</f>
        <v/>
      </c>
      <c r="R31" s="65" t="str">
        <f>'MSW41'!R31</f>
        <v/>
      </c>
      <c r="S31" s="66" t="str">
        <f>'MSW41'!S31</f>
        <v/>
      </c>
      <c r="T31" s="270" t="str">
        <f>'MSW41'!T31</f>
        <v/>
      </c>
    </row>
    <row r="32">
      <c r="A32" s="243">
        <f>'MSW41'!A32</f>
        <v>8</v>
      </c>
      <c r="B32" s="237">
        <f>'MSW41'!B32</f>
        <v>205</v>
      </c>
      <c r="C32" s="245" t="str">
        <f>'MSW41'!C32</f>
        <v>REP OUT</v>
      </c>
      <c r="D32" s="65" t="str">
        <f>'MSW41'!D32</f>
        <v>1-3 MIN</v>
      </c>
      <c r="E32" s="66">
        <f>'MSW41'!E32</f>
        <v>6</v>
      </c>
      <c r="F32" s="271" t="str">
        <f>'MSW41'!F32</f>
        <v/>
      </c>
      <c r="H32" s="269" t="str">
        <f>'MSW41'!H32</f>
        <v/>
      </c>
      <c r="I32" s="254" t="str">
        <f>'MSW41'!I32</f>
        <v/>
      </c>
      <c r="J32" s="253" t="str">
        <f>'MSW41'!J32</f>
        <v/>
      </c>
      <c r="K32" s="65" t="str">
        <f>'MSW41'!K32</f>
        <v/>
      </c>
      <c r="L32" s="66" t="str">
        <f>'MSW41'!L32</f>
        <v/>
      </c>
      <c r="M32" s="270" t="str">
        <f>'MSW41'!M32</f>
        <v/>
      </c>
      <c r="O32" s="269" t="str">
        <f>'MSW41'!O32</f>
        <v/>
      </c>
      <c r="P32" s="254" t="str">
        <f>'MSW41'!P32</f>
        <v/>
      </c>
      <c r="Q32" s="253" t="str">
        <f>'MSW41'!Q32</f>
        <v/>
      </c>
      <c r="R32" s="65" t="str">
        <f>'MSW41'!R32</f>
        <v/>
      </c>
      <c r="S32" s="66" t="str">
        <f>'MSW41'!S32</f>
        <v/>
      </c>
      <c r="T32" s="263" t="str">
        <f>'MSW41'!T32</f>
        <v/>
      </c>
    </row>
    <row r="33">
      <c r="A33" s="272" t="str">
        <f>'MSW41'!A33</f>
        <v>FINAL MAX</v>
      </c>
      <c r="B33" s="273">
        <f>'MSW41'!B33</f>
        <v>265</v>
      </c>
      <c r="C33" s="11"/>
      <c r="D33" s="11"/>
      <c r="E33" s="11"/>
      <c r="F33" s="46"/>
      <c r="H33" s="269" t="str">
        <f>'MSW41'!H33</f>
        <v/>
      </c>
      <c r="I33" s="254" t="str">
        <f>'MSW41'!I33</f>
        <v/>
      </c>
      <c r="J33" s="253" t="str">
        <f>'MSW41'!J33</f>
        <v/>
      </c>
      <c r="K33" s="65" t="str">
        <f>'MSW41'!K33</f>
        <v/>
      </c>
      <c r="L33" s="66" t="str">
        <f>'MSW41'!L33</f>
        <v/>
      </c>
      <c r="M33" s="270" t="str">
        <f>'MSW41'!M33</f>
        <v/>
      </c>
      <c r="O33" s="269" t="str">
        <f>'MSW41'!O33</f>
        <v/>
      </c>
      <c r="P33" s="254" t="str">
        <f>'MSW41'!P33</f>
        <v/>
      </c>
      <c r="Q33" s="253" t="str">
        <f>'MSW41'!Q33</f>
        <v/>
      </c>
      <c r="R33" s="65" t="str">
        <f>'MSW41'!R33</f>
        <v/>
      </c>
      <c r="S33" s="66" t="str">
        <f>'MSW41'!S33</f>
        <v/>
      </c>
      <c r="T33" s="263" t="str">
        <f>'MSW41'!T33</f>
        <v/>
      </c>
    </row>
    <row r="34">
      <c r="A34" t="str">
        <f>'MSW41'!A34</f>
        <v/>
      </c>
      <c r="H34" s="280" t="str">
        <f>'MSW41'!H34</f>
        <v>FINAL MAX</v>
      </c>
      <c r="I34" s="273" t="str">
        <f>'MSW41'!I34</f>
        <v/>
      </c>
      <c r="J34" s="11"/>
      <c r="K34" s="11"/>
      <c r="L34" s="11"/>
      <c r="M34" s="46"/>
      <c r="O34" s="280" t="str">
        <f>'MSW41'!O34</f>
        <v>FINAL MAX</v>
      </c>
      <c r="P34" s="273" t="str">
        <f>'MSW41'!P34</f>
        <v/>
      </c>
      <c r="Q34" s="11"/>
      <c r="R34" s="11"/>
      <c r="S34" s="11"/>
      <c r="T34" s="46"/>
    </row>
    <row r="35">
      <c r="A35" s="658" t="str">
        <f>'MSW41'!A35</f>
        <v/>
      </c>
      <c r="O35" t="str">
        <f>'MSW41'!O35</f>
        <v/>
      </c>
    </row>
    <row r="37">
      <c r="A37" s="440" t="str">
        <f>'MSW41'!A37</f>
        <v>2. DUMBBELL CHEST FLY</v>
      </c>
      <c r="B37" s="53"/>
      <c r="C37" s="53"/>
      <c r="D37" s="53"/>
      <c r="E37" s="53"/>
      <c r="F37" s="54"/>
      <c r="G37" s="659" t="str">
        <f>'MSW41'!G37</f>
        <v/>
      </c>
      <c r="H37" s="504" t="str">
        <f>'MSW41'!H37</f>
        <v>2. MACHINE CHEST FLY</v>
      </c>
      <c r="I37" s="53"/>
      <c r="J37" s="53"/>
      <c r="K37" s="53"/>
      <c r="L37" s="53"/>
      <c r="M37" s="54"/>
      <c r="N37" s="660" t="str">
        <f>'MSW41'!N37</f>
        <v/>
      </c>
    </row>
    <row r="38">
      <c r="A38" s="226" t="str">
        <f>'MSW41'!A38</f>
        <v>DB INCL PRSS MAX</v>
      </c>
      <c r="B38" s="548">
        <f>'MSW41'!B38</f>
        <v>90</v>
      </c>
      <c r="C38" s="13"/>
      <c r="D38" s="13"/>
      <c r="E38" s="13"/>
      <c r="F38" s="57"/>
      <c r="H38" s="226" t="str">
        <f>'MSW41'!H38</f>
        <v>DB INCL PRSS MAX</v>
      </c>
      <c r="I38" s="548">
        <f>'MSW41'!I38</f>
        <v>90</v>
      </c>
      <c r="J38" s="13"/>
      <c r="K38" s="13"/>
      <c r="L38" s="13"/>
      <c r="M38" s="57"/>
    </row>
    <row r="39">
      <c r="A39" s="96" t="str">
        <f>'MSW41'!A39</f>
        <v>SET</v>
      </c>
      <c r="B39" s="97" t="str">
        <f>'MSW41'!B39</f>
        <v>WEIGHT</v>
      </c>
      <c r="C39" s="97" t="str">
        <f>'MSW41'!C39</f>
        <v>REPS</v>
      </c>
      <c r="D39" s="97" t="str">
        <f>'MSW41'!D39</f>
        <v>REST</v>
      </c>
      <c r="E39" s="98" t="str">
        <f>'MSW41'!E39</f>
        <v>PREVIOUS</v>
      </c>
      <c r="F39" s="235" t="str">
        <f>'MSW41'!F39</f>
        <v>REP LOG</v>
      </c>
      <c r="H39" s="96" t="str">
        <f>'MSW41'!H39</f>
        <v>SET</v>
      </c>
      <c r="I39" s="97" t="str">
        <f>'MSW41'!I39</f>
        <v>WEIGHT</v>
      </c>
      <c r="J39" s="97" t="str">
        <f>'MSW41'!J39</f>
        <v>REPS</v>
      </c>
      <c r="K39" s="97" t="str">
        <f>'MSW41'!K39</f>
        <v>REST</v>
      </c>
      <c r="L39" s="341" t="str">
        <f>'MSW41'!L39</f>
        <v>PREVIOUS</v>
      </c>
      <c r="M39" s="235" t="str">
        <f>'MSW41'!M39</f>
        <v>REP LOG</v>
      </c>
    </row>
    <row r="40">
      <c r="A40" s="240">
        <f>'MSW41'!A40</f>
        <v>1</v>
      </c>
      <c r="B40" s="254">
        <f>'MSW41'!B40</f>
        <v>0</v>
      </c>
      <c r="C40" s="241">
        <f>'MSW41'!C40</f>
        <v>15</v>
      </c>
      <c r="D40" s="83" t="str">
        <f>'MSW41'!D40</f>
        <v>1-3 MIN</v>
      </c>
      <c r="E40" s="84" t="str">
        <f>'MSW41'!E40</f>
        <v/>
      </c>
      <c r="F40" s="85" t="str">
        <f>'MSW41'!F40</f>
        <v/>
      </c>
      <c r="H40" s="240">
        <f>'MSW41'!H40</f>
        <v>1</v>
      </c>
      <c r="I40" s="254">
        <f>'MSW41'!I40</f>
        <v>140</v>
      </c>
      <c r="J40" s="241">
        <f>'MSW41'!J40</f>
        <v>15</v>
      </c>
      <c r="K40" s="83" t="str">
        <f>'MSW41'!K40</f>
        <v>1-3 MIN</v>
      </c>
      <c r="L40" s="84" t="str">
        <f>'MSW41'!L40</f>
        <v/>
      </c>
      <c r="M40" s="85" t="str">
        <f>'MSW41'!M40</f>
        <v/>
      </c>
    </row>
    <row r="41">
      <c r="A41" s="661">
        <f>'MSW41'!A41</f>
        <v>2</v>
      </c>
      <c r="B41" s="662">
        <f>'MSW41'!B41</f>
        <v>25</v>
      </c>
      <c r="C41" s="662">
        <f>'MSW41'!C41</f>
        <v>15</v>
      </c>
      <c r="D41" s="88" t="str">
        <f>'MSW41'!D41</f>
        <v>1-3 MIN</v>
      </c>
      <c r="E41" s="89" t="str">
        <f>'MSW41'!E41</f>
        <v/>
      </c>
      <c r="F41" s="85" t="str">
        <f>'MSW41'!F41</f>
        <v/>
      </c>
      <c r="H41" s="661">
        <f>'MSW41'!H41</f>
        <v>2</v>
      </c>
      <c r="I41" s="662">
        <f>'MSW41'!I41</f>
        <v>140</v>
      </c>
      <c r="J41" s="662">
        <f>'MSW41'!J41</f>
        <v>15</v>
      </c>
      <c r="K41" s="88" t="str">
        <f>'MSW41'!K41</f>
        <v>1-3 MIN</v>
      </c>
      <c r="L41" s="89" t="str">
        <f>'MSW41'!L41</f>
        <v/>
      </c>
      <c r="M41" s="85" t="str">
        <f>'MSW41'!M41</f>
        <v/>
      </c>
    </row>
    <row r="42">
      <c r="A42" t="str">
        <f>'MSW41'!A42</f>
        <v/>
      </c>
      <c r="G42" t="str">
        <f>'MSW41'!G42</f>
        <v/>
      </c>
    </row>
    <row r="44">
      <c r="A44" s="73" t="str">
        <f>'MSW41'!A44</f>
        <v>3. LAT PULL DOWN</v>
      </c>
      <c r="B44" s="53"/>
      <c r="C44" s="53"/>
      <c r="D44" s="53"/>
      <c r="E44" s="53"/>
      <c r="F44" s="54"/>
    </row>
    <row r="45">
      <c r="A45" s="226" t="str">
        <f>'MSW41'!A45</f>
        <v>CURRENT MAX</v>
      </c>
      <c r="B45" s="227">
        <f>'MSW41'!B45</f>
        <v>235</v>
      </c>
      <c r="C45" s="20"/>
      <c r="D45" s="20"/>
      <c r="E45" s="20"/>
      <c r="F45" s="95"/>
    </row>
    <row r="46">
      <c r="A46" s="231" t="str">
        <f>'MSW41'!A46</f>
        <v>SET</v>
      </c>
      <c r="B46" s="232" t="str">
        <f>'MSW41'!B46</f>
        <v>WEIGHT</v>
      </c>
      <c r="C46" s="232" t="str">
        <f>'MSW41'!C46</f>
        <v>REPS</v>
      </c>
      <c r="D46" s="232" t="str">
        <f>'MSW41'!D46</f>
        <v>REST</v>
      </c>
      <c r="E46" s="233" t="str">
        <f>'MSW41'!E46</f>
        <v>PREVIOUS</v>
      </c>
      <c r="F46" s="61" t="str">
        <f>'MSW41'!F46</f>
        <v>REP LOG</v>
      </c>
    </row>
    <row r="47">
      <c r="A47" s="236">
        <f>'MSW41'!A47</f>
        <v>1</v>
      </c>
      <c r="B47" s="237">
        <f>'MSW41'!B47</f>
        <v>80</v>
      </c>
      <c r="C47" s="238">
        <f>'MSW41'!C47</f>
        <v>6</v>
      </c>
      <c r="D47" s="238" t="str">
        <f>'MSW41'!D47</f>
        <v>30s</v>
      </c>
      <c r="E47" s="84" t="str">
        <f>'MSW41'!E47</f>
        <v/>
      </c>
      <c r="F47" s="67">
        <v>6.0</v>
      </c>
    </row>
    <row r="48">
      <c r="A48" s="236">
        <f>'MSW41'!A48</f>
        <v>2</v>
      </c>
      <c r="B48" s="237">
        <f>'MSW41'!B48</f>
        <v>155</v>
      </c>
      <c r="C48" s="238">
        <f>'MSW41'!C48</f>
        <v>3</v>
      </c>
      <c r="D48" s="238" t="str">
        <f>'MSW41'!D48</f>
        <v>1-2 MIN</v>
      </c>
      <c r="E48" s="84" t="str">
        <f>'MSW41'!E48</f>
        <v/>
      </c>
      <c r="F48" s="67">
        <v>3.0</v>
      </c>
    </row>
    <row r="49">
      <c r="A49" s="242">
        <f>'MSW41'!A49</f>
        <v>3</v>
      </c>
      <c r="B49" s="237">
        <f>'MSW41'!B49</f>
        <v>210</v>
      </c>
      <c r="C49" s="63">
        <f>'MSW41'!C49</f>
        <v>2</v>
      </c>
      <c r="D49" s="238" t="str">
        <f>'MSW41'!D49</f>
        <v>1-2 MIN</v>
      </c>
      <c r="E49" s="84" t="str">
        <f>'MSW41'!E49</f>
        <v/>
      </c>
      <c r="F49" s="67">
        <v>2.0</v>
      </c>
    </row>
    <row r="50">
      <c r="A50" s="243">
        <f>'MSW41'!A50</f>
        <v>4</v>
      </c>
      <c r="B50" s="237">
        <f>'MSW41'!B50</f>
        <v>235</v>
      </c>
      <c r="C50" s="257">
        <f>'MSW41'!C50</f>
        <v>3</v>
      </c>
      <c r="D50" s="238" t="str">
        <f>'MSW41'!D50</f>
        <v>1-5 MIN</v>
      </c>
      <c r="E50" s="84" t="str">
        <f>'MSW41'!E50</f>
        <v/>
      </c>
      <c r="F50" s="67">
        <v>3.0</v>
      </c>
    </row>
    <row r="51">
      <c r="A51" s="246" t="str">
        <f>'MSW41'!A51</f>
        <v>NEW 4 REP MAX ATTEMPT</v>
      </c>
      <c r="B51" s="20"/>
      <c r="C51" s="20"/>
      <c r="D51" s="20"/>
      <c r="E51" s="20"/>
      <c r="F51" s="95"/>
    </row>
    <row r="52">
      <c r="A52" s="249">
        <f>'MSW41'!A52</f>
        <v>5</v>
      </c>
      <c r="B52" s="175">
        <f>'MSW41'!B52</f>
        <v>240</v>
      </c>
      <c r="C52" s="238">
        <f>'MSW41'!C52</f>
        <v>4</v>
      </c>
      <c r="D52" s="238" t="str">
        <f>'MSW41'!D52</f>
        <v>1-5 MIN</v>
      </c>
      <c r="E52" s="84" t="str">
        <f>'MSW41'!E52</f>
        <v/>
      </c>
      <c r="F52" s="67">
        <v>3.0</v>
      </c>
    </row>
    <row r="53">
      <c r="A53" s="256" t="str">
        <f>'MSW41'!A53</f>
        <v/>
      </c>
      <c r="B53" s="237" t="str">
        <f>'MSW41'!B53</f>
        <v/>
      </c>
      <c r="C53" s="257" t="str">
        <f>'MSW41'!C53</f>
        <v/>
      </c>
      <c r="D53" s="257" t="str">
        <f>'MSW41'!D53</f>
        <v/>
      </c>
      <c r="E53" s="84" t="str">
        <f>'MSW41'!E53</f>
        <v/>
      </c>
      <c r="F53" s="67"/>
    </row>
    <row r="54">
      <c r="A54" s="246" t="str">
        <f>'MSW41'!A54</f>
        <v>DOWN SETS</v>
      </c>
      <c r="B54" s="20"/>
      <c r="C54" s="20"/>
      <c r="D54" s="20"/>
      <c r="E54" s="20"/>
      <c r="F54" s="95"/>
    </row>
    <row r="55">
      <c r="A55" s="264">
        <f>'MSW41'!A55</f>
        <v>6</v>
      </c>
      <c r="B55" s="265">
        <f>'MSW41'!B55</f>
        <v>190</v>
      </c>
      <c r="C55" s="266" t="str">
        <f>'MSW41'!C55</f>
        <v>REP OUT</v>
      </c>
      <c r="D55" s="267" t="str">
        <f>'MSW41'!D55</f>
        <v>1-3 MIN</v>
      </c>
      <c r="E55" s="84" t="str">
        <f>'MSW41'!E55</f>
        <v/>
      </c>
      <c r="F55" s="67">
        <v>4.0</v>
      </c>
    </row>
    <row r="56">
      <c r="A56" s="243">
        <f>'MSW41'!A56</f>
        <v>7</v>
      </c>
      <c r="B56" s="237">
        <f>'MSW41'!B56</f>
        <v>170</v>
      </c>
      <c r="C56" s="245" t="str">
        <f>'MSW41'!C56</f>
        <v>REP OUT</v>
      </c>
      <c r="D56" s="65" t="str">
        <f>'MSW41'!D56</f>
        <v>1-3 MIN</v>
      </c>
      <c r="E56" s="84" t="str">
        <f>'MSW41'!E56</f>
        <v/>
      </c>
      <c r="F56" s="271">
        <v>9.0</v>
      </c>
    </row>
    <row r="57">
      <c r="A57" s="272" t="str">
        <f>'MSW41'!A57</f>
        <v>FINAL MAX</v>
      </c>
      <c r="B57" s="273">
        <f>'MSW41'!B57</f>
        <v>240</v>
      </c>
      <c r="C57" s="11"/>
      <c r="D57" s="11"/>
      <c r="E57" s="11"/>
      <c r="F57" s="46"/>
    </row>
    <row r="58">
      <c r="A58" s="302" t="str">
        <f>'MSW41'!A58</f>
        <v/>
      </c>
    </row>
    <row r="60">
      <c r="A60" s="73" t="str">
        <f>'MSW41'!A60</f>
        <v>4. MACHINE LOW ROW</v>
      </c>
      <c r="B60" s="53"/>
      <c r="C60" s="53"/>
      <c r="D60" s="53"/>
      <c r="E60" s="53"/>
      <c r="F60" s="54"/>
    </row>
    <row r="61">
      <c r="A61" s="282" t="str">
        <f>'MSW41'!A61</f>
        <v>CURRENT MAX</v>
      </c>
      <c r="B61" s="56">
        <f>'MSW41'!B61</f>
        <v>220</v>
      </c>
      <c r="C61" s="13"/>
      <c r="D61" s="13"/>
      <c r="E61" s="13"/>
      <c r="F61" s="57"/>
    </row>
    <row r="62">
      <c r="A62" s="58" t="str">
        <f>'MSW41'!A62</f>
        <v>SET</v>
      </c>
      <c r="B62" s="59" t="str">
        <f>'MSW41'!B62</f>
        <v>WEIGHT</v>
      </c>
      <c r="C62" s="59" t="str">
        <f>'MSW41'!C62</f>
        <v>REPS</v>
      </c>
      <c r="D62" s="59" t="str">
        <f>'MSW41'!D62</f>
        <v>REST</v>
      </c>
      <c r="E62" s="60" t="str">
        <f>'MSW41'!E62</f>
        <v>PREVIOUS</v>
      </c>
      <c r="F62" s="61" t="str">
        <f>'MSW41'!F62</f>
        <v>REP LOG</v>
      </c>
    </row>
    <row r="63">
      <c r="A63" s="62">
        <f>'MSW41'!A63</f>
        <v>1</v>
      </c>
      <c r="B63" s="63">
        <f>'MSW41'!B63</f>
        <v>185</v>
      </c>
      <c r="C63" s="104" t="str">
        <f>'MSW41'!C63</f>
        <v>REP OUT</v>
      </c>
      <c r="D63" s="65" t="str">
        <f>'MSW41'!D63</f>
        <v>1 MIN</v>
      </c>
      <c r="E63" s="84" t="str">
        <f>'MSW41'!E63</f>
        <v/>
      </c>
      <c r="F63" s="67">
        <v>3.0</v>
      </c>
    </row>
    <row r="64">
      <c r="A64" s="62">
        <f>'MSW41'!A64</f>
        <v>2</v>
      </c>
      <c r="B64" s="63">
        <f>'MSW41'!B64</f>
        <v>160</v>
      </c>
      <c r="C64" s="104" t="str">
        <f>'MSW41'!C64</f>
        <v>REP OUT</v>
      </c>
      <c r="D64" s="65" t="str">
        <f>'MSW41'!D64</f>
        <v>1 MIN</v>
      </c>
      <c r="E64" s="84" t="str">
        <f>'MSW41'!E64</f>
        <v/>
      </c>
      <c r="F64" s="67">
        <v>8.0</v>
      </c>
    </row>
    <row r="65">
      <c r="A65" s="68">
        <f>'MSW41'!A65</f>
        <v>3</v>
      </c>
      <c r="B65" s="69">
        <f>'MSW41'!B65</f>
        <v>150</v>
      </c>
      <c r="C65" s="105" t="str">
        <f>'MSW41'!C65</f>
        <v>REP OUT</v>
      </c>
      <c r="D65" s="71" t="str">
        <f>'MSW41'!D65</f>
        <v>1 MIN</v>
      </c>
      <c r="E65" s="89" t="str">
        <f>'MSW41'!E65</f>
        <v/>
      </c>
      <c r="F65" s="67">
        <v>10.0</v>
      </c>
    </row>
    <row r="66">
      <c r="A66" s="103" t="str">
        <f>'MSW41'!A66</f>
        <v/>
      </c>
    </row>
    <row r="68">
      <c r="A68" s="73" t="str">
        <f>'MSW41'!A68</f>
        <v>5. MACHINE HIGH ROW</v>
      </c>
      <c r="B68" s="53"/>
      <c r="C68" s="53"/>
      <c r="D68" s="53"/>
      <c r="E68" s="53"/>
      <c r="F68" s="54"/>
    </row>
    <row r="69">
      <c r="A69" s="282" t="str">
        <f>'MSW41'!A69</f>
        <v>CURRENT MAX</v>
      </c>
      <c r="B69" s="56">
        <f>'MSW41'!B69</f>
        <v>210</v>
      </c>
      <c r="C69" s="13"/>
      <c r="D69" s="13"/>
      <c r="E69" s="13"/>
      <c r="F69" s="57"/>
    </row>
    <row r="70">
      <c r="A70" s="58" t="str">
        <f>'MSW41'!A70</f>
        <v>SET</v>
      </c>
      <c r="B70" s="59" t="str">
        <f>'MSW41'!B70</f>
        <v>WEIGHT</v>
      </c>
      <c r="C70" s="59" t="str">
        <f>'MSW41'!C70</f>
        <v>REPS</v>
      </c>
      <c r="D70" s="59" t="str">
        <f>'MSW41'!D70</f>
        <v>REST</v>
      </c>
      <c r="E70" s="60" t="str">
        <f>'MSW41'!E70</f>
        <v>PREVIOUS</v>
      </c>
      <c r="F70" s="61" t="str">
        <f>'MSW41'!F70</f>
        <v>REP LOG</v>
      </c>
    </row>
    <row r="71">
      <c r="A71" s="62">
        <f>'MSW41'!A71</f>
        <v>1</v>
      </c>
      <c r="B71" s="63">
        <f>'MSW41'!B71</f>
        <v>170</v>
      </c>
      <c r="C71" s="104" t="str">
        <f>'MSW41'!C71</f>
        <v>REP OUT</v>
      </c>
      <c r="D71" s="65" t="str">
        <f>'MSW41'!D71</f>
        <v>1 MIN</v>
      </c>
      <c r="E71" s="84" t="str">
        <f>'MSW41'!E71</f>
        <v/>
      </c>
      <c r="F71" s="67">
        <v>8.0</v>
      </c>
    </row>
    <row r="72">
      <c r="A72" s="62">
        <f>'MSW41'!A72</f>
        <v>2</v>
      </c>
      <c r="B72" s="63">
        <f>'MSW41'!B72</f>
        <v>160</v>
      </c>
      <c r="C72" s="104" t="str">
        <f>'MSW41'!C72</f>
        <v>REP OUT</v>
      </c>
      <c r="D72" s="65" t="str">
        <f>'MSW41'!D72</f>
        <v>1 MIN</v>
      </c>
      <c r="E72" s="84" t="str">
        <f>'MSW41'!E72</f>
        <v/>
      </c>
      <c r="F72" s="67">
        <v>8.0</v>
      </c>
    </row>
    <row r="73">
      <c r="A73" s="68">
        <f>'MSW41'!A73</f>
        <v>3</v>
      </c>
      <c r="B73" s="87">
        <f>'MSW41'!B73</f>
        <v>180</v>
      </c>
      <c r="C73" s="105" t="str">
        <f>'MSW41'!C73</f>
        <v>REP OUT</v>
      </c>
      <c r="D73" s="309" t="str">
        <f>'MSW41'!D73</f>
        <v>1 MIN</v>
      </c>
      <c r="E73" s="89" t="str">
        <f>'MSW41'!E73</f>
        <v/>
      </c>
      <c r="F73" s="67"/>
    </row>
    <row r="74">
      <c r="A74" s="103" t="str">
        <f>'MSW41'!A74</f>
        <v/>
      </c>
    </row>
    <row r="75">
      <c r="A75" s="310" t="str">
        <f>'MSW41'!A75</f>
        <v>CLICK TO COMPLETE WORKOUT</v>
      </c>
      <c r="B75" s="36"/>
      <c r="C75" s="36"/>
      <c r="D75" s="36"/>
      <c r="E75" s="36"/>
      <c r="F75" s="37"/>
    </row>
    <row r="76">
      <c r="A76" t="str">
        <f>'MSW41'!A76</f>
        <v/>
      </c>
    </row>
    <row r="77">
      <c r="A77" s="224" t="str">
        <f>'MSW41'!A77</f>
        <v>DAY 2 </v>
      </c>
      <c r="B77" s="36"/>
      <c r="C77" s="36"/>
      <c r="D77" s="36"/>
      <c r="E77" s="36"/>
      <c r="F77" s="37"/>
    </row>
    <row r="78">
      <c r="A78" t="str">
        <f>'MSW41'!A78</f>
        <v/>
      </c>
    </row>
    <row r="80">
      <c r="A80" s="1355" t="str">
        <f>'MSW41'!A80</f>
        <v>1. MACHINE SQUAT</v>
      </c>
      <c r="B80" s="53"/>
      <c r="C80" s="53"/>
      <c r="D80" s="53"/>
      <c r="E80" s="53"/>
      <c r="F80" s="54"/>
    </row>
    <row r="81">
      <c r="A81" s="1262" t="str">
        <f>'MSW41'!A81</f>
        <v>6 REP MAX</v>
      </c>
      <c r="B81" s="1463">
        <f>'MSW41'!B81</f>
        <v>25</v>
      </c>
      <c r="F81" s="28"/>
    </row>
    <row r="82">
      <c r="A82" s="231" t="str">
        <f>'MSW41'!A82</f>
        <v>SET</v>
      </c>
      <c r="B82" s="232" t="str">
        <f>'MSW41'!B82</f>
        <v>WEIGHT</v>
      </c>
      <c r="C82" s="232" t="str">
        <f>'MSW41'!C82</f>
        <v>REPS</v>
      </c>
      <c r="D82" s="232" t="str">
        <f>'MSW41'!D82</f>
        <v>REST</v>
      </c>
      <c r="E82" s="233" t="str">
        <f>'MSW41'!E82</f>
        <v>PREVIOUS</v>
      </c>
      <c r="F82" s="61" t="str">
        <f>'MSW41'!F82</f>
        <v>REP LOG</v>
      </c>
    </row>
    <row r="83">
      <c r="A83" s="236">
        <f>'MSW41'!A83</f>
        <v>1</v>
      </c>
      <c r="B83" s="237">
        <f>'MSW41'!B83</f>
        <v>10</v>
      </c>
      <c r="C83" s="238">
        <f>'MSW41'!C83</f>
        <v>10</v>
      </c>
      <c r="D83" s="238" t="str">
        <f>'MSW41'!D83</f>
        <v>30s</v>
      </c>
      <c r="E83" s="66" t="str">
        <f>'MSW41'!E83</f>
        <v/>
      </c>
      <c r="F83" s="67"/>
    </row>
    <row r="84">
      <c r="A84" s="236">
        <f>'MSW41'!A84</f>
        <v>2</v>
      </c>
      <c r="B84" s="237">
        <f>'MSW41'!B84</f>
        <v>15</v>
      </c>
      <c r="C84" s="238">
        <f>'MSW41'!C84</f>
        <v>10</v>
      </c>
      <c r="D84" s="238" t="str">
        <f>'MSW41'!D84</f>
        <v>1-2 MIN</v>
      </c>
      <c r="E84" s="66" t="str">
        <f>'MSW41'!E84</f>
        <v/>
      </c>
      <c r="F84" s="67"/>
    </row>
    <row r="85">
      <c r="A85" s="242">
        <f>'MSW41'!A85</f>
        <v>3</v>
      </c>
      <c r="B85" s="237">
        <f>'MSW41'!B85</f>
        <v>25</v>
      </c>
      <c r="C85" s="238">
        <f>'MSW41'!C85</f>
        <v>10</v>
      </c>
      <c r="D85" s="238" t="str">
        <f>'MSW41'!D85</f>
        <v>1-2 MIN</v>
      </c>
      <c r="E85" s="66" t="str">
        <f>'MSW41'!E85</f>
        <v/>
      </c>
      <c r="F85" s="67"/>
    </row>
    <row r="86">
      <c r="A86" s="249">
        <f>'MSW41'!A86</f>
        <v>4</v>
      </c>
      <c r="B86" s="175">
        <f>'MSW41'!B86</f>
        <v>20</v>
      </c>
      <c r="C86" s="238">
        <f>'MSW41'!C86</f>
        <v>10</v>
      </c>
      <c r="D86" s="238" t="str">
        <f>'MSW41'!D86</f>
        <v>1-5 MIN</v>
      </c>
      <c r="E86" s="66" t="str">
        <f>'MSW41'!E86</f>
        <v/>
      </c>
      <c r="F86" s="67"/>
    </row>
    <row r="87">
      <c r="A87" s="249">
        <f>'MSW41'!A87</f>
        <v>5</v>
      </c>
      <c r="B87" s="175">
        <f>'MSW41'!B87</f>
        <v>15</v>
      </c>
      <c r="C87" s="238">
        <f>'MSW41'!C87</f>
        <v>10</v>
      </c>
      <c r="D87" s="238" t="str">
        <f>'MSW41'!D87</f>
        <v>1-5 MIN</v>
      </c>
      <c r="E87" s="1108" t="str">
        <f>'MSW41'!E87</f>
        <v/>
      </c>
      <c r="F87" s="1037"/>
    </row>
    <row r="88">
      <c r="A88" s="249">
        <f>'MSW41'!A88</f>
        <v>6</v>
      </c>
      <c r="B88" s="175">
        <f>'MSW41'!B88</f>
        <v>10</v>
      </c>
      <c r="C88" s="238">
        <f>'MSW41'!C88</f>
        <v>10</v>
      </c>
      <c r="D88" s="238" t="str">
        <f>'MSW41'!D88</f>
        <v>1-5 MIN</v>
      </c>
      <c r="E88" s="1108" t="str">
        <f>'MSW41'!E88</f>
        <v/>
      </c>
      <c r="F88" s="67"/>
    </row>
    <row r="89">
      <c r="A89" s="1038">
        <f>'MSW41'!A89</f>
        <v>7</v>
      </c>
      <c r="B89" s="175">
        <f>'MSW41'!B89</f>
        <v>10</v>
      </c>
      <c r="C89" s="238">
        <f>'MSW41'!C89</f>
        <v>10</v>
      </c>
      <c r="D89" s="238" t="str">
        <f>'MSW41'!D89</f>
        <v>1-5 MIN</v>
      </c>
      <c r="E89" s="1108" t="str">
        <f>'MSW41'!E89</f>
        <v/>
      </c>
      <c r="F89" s="67"/>
    </row>
    <row r="90">
      <c r="A90" s="249">
        <f>'MSW41'!A90</f>
        <v>8</v>
      </c>
      <c r="B90" s="175">
        <f>'MSW41'!B90</f>
        <v>10</v>
      </c>
      <c r="C90" s="238">
        <f>'MSW41'!C90</f>
        <v>10</v>
      </c>
      <c r="D90" s="238" t="str">
        <f>'MSW41'!D90</f>
        <v>1-5 MIN</v>
      </c>
      <c r="E90" s="1108" t="str">
        <f>'MSW41'!E90</f>
        <v/>
      </c>
      <c r="F90" s="67"/>
    </row>
    <row r="91">
      <c r="A91" s="1038">
        <f>'MSW41'!A91</f>
        <v>9</v>
      </c>
      <c r="B91" s="175">
        <f>'MSW41'!B91</f>
        <v>10</v>
      </c>
      <c r="C91" s="238">
        <f>'MSW41'!C91</f>
        <v>10</v>
      </c>
      <c r="D91" s="238" t="str">
        <f>'MSW41'!D91</f>
        <v>1-5 MIN</v>
      </c>
      <c r="E91" s="1108" t="str">
        <f>'MSW41'!E91</f>
        <v/>
      </c>
      <c r="F91" s="67"/>
    </row>
    <row r="92">
      <c r="A92" s="1038" t="str">
        <f>'MSW41'!A92</f>
        <v>10</v>
      </c>
      <c r="B92" s="175">
        <f>'MSW41'!B92</f>
        <v>10</v>
      </c>
      <c r="C92" s="238">
        <f>'MSW41'!C92</f>
        <v>10</v>
      </c>
      <c r="D92" s="238" t="str">
        <f>'MSW41'!D92</f>
        <v>1-5 MIN</v>
      </c>
      <c r="E92" s="1108" t="str">
        <f>'MSW41'!E92</f>
        <v/>
      </c>
      <c r="F92" s="67"/>
    </row>
    <row r="93">
      <c r="A93" s="272" t="str">
        <f>'MSW41'!A93</f>
        <v>5 REP MAX</v>
      </c>
      <c r="B93" s="1109">
        <f>'MSW41'!B93</f>
        <v>25</v>
      </c>
      <c r="C93" s="11"/>
      <c r="D93" s="11"/>
      <c r="E93" s="11"/>
      <c r="F93" s="46"/>
    </row>
    <row r="94">
      <c r="A94" t="str">
        <f>'MSW41'!A94</f>
        <v/>
      </c>
    </row>
    <row r="96">
      <c r="A96" s="1285" t="str">
        <f>'MSW41'!A96</f>
        <v>2. LEG EXTENSION</v>
      </c>
      <c r="B96" s="53"/>
      <c r="C96" s="53"/>
      <c r="D96" s="53"/>
      <c r="E96" s="53"/>
      <c r="F96" s="54"/>
    </row>
    <row r="97">
      <c r="A97" s="1045" t="str">
        <f>'MSW41'!A97</f>
        <v>CURRENT MAX</v>
      </c>
      <c r="B97" s="1367">
        <f>'MSW41'!B97</f>
        <v>120</v>
      </c>
      <c r="C97" s="20"/>
      <c r="D97" s="20"/>
      <c r="E97" s="20"/>
      <c r="F97" s="95"/>
    </row>
    <row r="98">
      <c r="A98" s="567" t="str">
        <f>'MSW41'!A98</f>
        <v>SET</v>
      </c>
      <c r="B98" s="568" t="str">
        <f>'MSW41'!B98</f>
        <v>WEIGHT</v>
      </c>
      <c r="C98" s="568" t="str">
        <f>'MSW41'!C98</f>
        <v>REPS</v>
      </c>
      <c r="D98" s="568" t="str">
        <f>'MSW41'!D98</f>
        <v>REST</v>
      </c>
      <c r="E98" s="1047" t="str">
        <f>'MSW41'!E98</f>
        <v>PREVIOUS</v>
      </c>
      <c r="F98" s="1048" t="str">
        <f>'MSW41'!F98</f>
        <v>REP LOG</v>
      </c>
    </row>
    <row r="99">
      <c r="A99" s="1049">
        <f>'MSW41'!A99</f>
        <v>1</v>
      </c>
      <c r="B99" s="1050">
        <f>'MSW41'!B99</f>
        <v>120</v>
      </c>
      <c r="C99" s="1051" t="str">
        <f>'MSW41'!C99</f>
        <v>10 - 15</v>
      </c>
      <c r="D99" s="1430" t="str">
        <f>'MSW41'!D99</f>
        <v>1-2 MIN</v>
      </c>
      <c r="E99" s="1130" t="str">
        <f>'MSW41'!E99</f>
        <v/>
      </c>
      <c r="F99" s="1017" t="str">
        <f>'MSW41'!F99</f>
        <v/>
      </c>
    </row>
    <row r="100">
      <c r="A100" s="1049">
        <f>'MSW41'!A100</f>
        <v>2</v>
      </c>
      <c r="B100" s="1050">
        <f>'MSW41'!B100</f>
        <v>95</v>
      </c>
      <c r="C100" s="1051" t="str">
        <f>'MSW41'!C100</f>
        <v>10 - 15</v>
      </c>
      <c r="D100" s="1430" t="str">
        <f>'MSW41'!D100</f>
        <v>1-2 MIN</v>
      </c>
      <c r="E100" s="1130" t="str">
        <f>'MSW41'!E100</f>
        <v/>
      </c>
      <c r="F100" s="1017" t="str">
        <f>'MSW41'!F100</f>
        <v/>
      </c>
    </row>
    <row r="101">
      <c r="A101" s="1053">
        <f>'MSW41'!A101</f>
        <v>3</v>
      </c>
      <c r="B101" s="1054">
        <f>'MSW41'!B101</f>
        <v>75</v>
      </c>
      <c r="C101" s="1055" t="str">
        <f>'MSW41'!C101</f>
        <v>10 - 15</v>
      </c>
      <c r="D101" s="1453" t="str">
        <f>'MSW41'!D101</f>
        <v>1-2 MIN</v>
      </c>
      <c r="E101" s="1348" t="str">
        <f>'MSW41'!E101</f>
        <v/>
      </c>
      <c r="F101" s="1017" t="str">
        <f>'MSW41'!F101</f>
        <v/>
      </c>
    </row>
    <row r="102">
      <c r="A102" t="str">
        <f>'MSW41'!A102</f>
        <v/>
      </c>
    </row>
    <row r="104">
      <c r="A104" s="323" t="str">
        <f>'MSW41'!A104</f>
        <v>3. MACHINE LEG CURL</v>
      </c>
      <c r="B104" s="53"/>
      <c r="C104" s="53"/>
      <c r="D104" s="53"/>
      <c r="E104" s="53"/>
      <c r="F104" s="54"/>
      <c r="G104" s="141" t="str">
        <f>'MSW41'!G104</f>
        <v/>
      </c>
      <c r="H104" s="323" t="str">
        <f>'MSW41'!H104</f>
        <v>3. PRONE LEG CURL</v>
      </c>
      <c r="I104" s="53"/>
      <c r="J104" s="53"/>
      <c r="K104" s="53"/>
      <c r="L104" s="53"/>
      <c r="M104" s="54"/>
    </row>
    <row r="105">
      <c r="A105" s="1045" t="str">
        <f>'MSW41'!A105</f>
        <v>CURRENT MAX</v>
      </c>
      <c r="B105" s="1367">
        <f>'MSW41'!B105</f>
        <v>115</v>
      </c>
      <c r="C105" s="20"/>
      <c r="D105" s="20"/>
      <c r="E105" s="20"/>
      <c r="F105" s="95"/>
      <c r="H105" s="1045" t="str">
        <f>'MSW41'!H105</f>
        <v>CURRENT MAX</v>
      </c>
      <c r="I105" s="1046">
        <f>'MSW41'!I105</f>
        <v>115</v>
      </c>
      <c r="J105" s="13"/>
      <c r="K105" s="13"/>
      <c r="L105" s="13"/>
      <c r="M105" s="57"/>
    </row>
    <row r="106">
      <c r="A106" s="567" t="str">
        <f>'MSW41'!A106</f>
        <v>SET</v>
      </c>
      <c r="B106" s="568" t="str">
        <f>'MSW41'!B106</f>
        <v>WEIGHT</v>
      </c>
      <c r="C106" s="568" t="str">
        <f>'MSW41'!C106</f>
        <v>REPS</v>
      </c>
      <c r="D106" s="568" t="str">
        <f>'MSW41'!D106</f>
        <v>REST</v>
      </c>
      <c r="E106" s="1047" t="str">
        <f>'MSW41'!E106</f>
        <v>PREVIOUS</v>
      </c>
      <c r="F106" s="1048" t="str">
        <f>'MSW41'!F106</f>
        <v>REP LOG</v>
      </c>
      <c r="H106" s="567" t="str">
        <f>'MSW41'!H106</f>
        <v>SET</v>
      </c>
      <c r="I106" s="568" t="str">
        <f>'MSW41'!I106</f>
        <v>WEIGHT</v>
      </c>
      <c r="J106" s="568" t="str">
        <f>'MSW41'!J106</f>
        <v>REPS</v>
      </c>
      <c r="K106" s="568" t="str">
        <f>'MSW41'!K106</f>
        <v>REST</v>
      </c>
      <c r="L106" s="1047" t="str">
        <f>'MSW41'!L106</f>
        <v>PREVIOUS</v>
      </c>
      <c r="M106" s="1048" t="str">
        <f>'MSW41'!M106</f>
        <v>REP LOG</v>
      </c>
    </row>
    <row r="107">
      <c r="A107" s="1049">
        <f>'MSW41'!A107</f>
        <v>1</v>
      </c>
      <c r="B107" s="1050">
        <f>'MSW41'!B107</f>
        <v>50</v>
      </c>
      <c r="C107" s="1051" t="str">
        <f>'MSW41'!C107</f>
        <v>10 - 15</v>
      </c>
      <c r="D107" s="1430" t="str">
        <f>'MSW41'!D107</f>
        <v>1-2 MIN</v>
      </c>
      <c r="E107" s="1130" t="str">
        <f>'MSW41'!E107</f>
        <v/>
      </c>
      <c r="F107" s="1017" t="str">
        <f>'MSW41'!F107</f>
        <v/>
      </c>
      <c r="G107" s="434" t="str">
        <f>'MSW41'!G107</f>
        <v>ALTERNATE</v>
      </c>
      <c r="H107" s="1049">
        <f>'MSW41'!H107</f>
        <v>1</v>
      </c>
      <c r="I107" s="1050">
        <f>'MSW41'!I107</f>
        <v>115</v>
      </c>
      <c r="J107" s="1051" t="str">
        <f>'MSW41'!J107</f>
        <v>10 - 15</v>
      </c>
      <c r="K107" s="1430" t="str">
        <f>'MSW41'!K107</f>
        <v>1-2 MIN</v>
      </c>
      <c r="L107" s="1130" t="str">
        <f>'MSW41'!L107</f>
        <v/>
      </c>
      <c r="M107" s="1017" t="str">
        <f>'MSW41'!M107</f>
        <v/>
      </c>
    </row>
    <row r="108">
      <c r="A108" s="1049">
        <f>'MSW41'!A108</f>
        <v>2</v>
      </c>
      <c r="B108" s="1050">
        <f>'MSW41'!B108</f>
        <v>40</v>
      </c>
      <c r="C108" s="1051" t="str">
        <f>'MSW41'!C108</f>
        <v>10 - 15</v>
      </c>
      <c r="D108" s="1430" t="str">
        <f>'MSW41'!D108</f>
        <v>1-2 MIN</v>
      </c>
      <c r="E108" s="1130" t="str">
        <f>'MSW41'!E108</f>
        <v/>
      </c>
      <c r="F108" s="1017" t="str">
        <f>'MSW41'!F108</f>
        <v/>
      </c>
      <c r="H108" s="1049">
        <f>'MSW41'!H108</f>
        <v>2</v>
      </c>
      <c r="I108" s="1050">
        <f>'MSW41'!I108</f>
        <v>90</v>
      </c>
      <c r="J108" s="1051" t="str">
        <f>'MSW41'!J108</f>
        <v>10 - 15</v>
      </c>
      <c r="K108" s="1430" t="str">
        <f>'MSW41'!K108</f>
        <v>1-2 MIN</v>
      </c>
      <c r="L108" s="1130" t="str">
        <f>'MSW41'!L108</f>
        <v/>
      </c>
      <c r="M108" s="1017" t="str">
        <f>'MSW41'!M108</f>
        <v/>
      </c>
    </row>
    <row r="109">
      <c r="A109" s="1053">
        <f>'MSW41'!A109</f>
        <v>3</v>
      </c>
      <c r="B109" s="1054">
        <f>'MSW41'!B109</f>
        <v>30</v>
      </c>
      <c r="C109" s="1055" t="str">
        <f>'MSW41'!C109</f>
        <v>10 - 15</v>
      </c>
      <c r="D109" s="1453" t="str">
        <f>'MSW41'!D109</f>
        <v>1-2 MIN</v>
      </c>
      <c r="E109" s="1348" t="str">
        <f>'MSW41'!E109</f>
        <v/>
      </c>
      <c r="F109" s="1017" t="str">
        <f>'MSW41'!F109</f>
        <v/>
      </c>
      <c r="G109" s="682" t="str">
        <f>'MSW41'!G109</f>
        <v/>
      </c>
      <c r="H109" s="1053">
        <f>'MSW41'!H109</f>
        <v>3</v>
      </c>
      <c r="I109" s="1054">
        <f>'MSW41'!I109</f>
        <v>70</v>
      </c>
      <c r="J109" s="1055" t="str">
        <f>'MSW41'!J109</f>
        <v>10 - 15</v>
      </c>
      <c r="K109" s="1453" t="str">
        <f>'MSW41'!K109</f>
        <v>1-2 MIN</v>
      </c>
      <c r="L109" s="1348" t="str">
        <f>'MSW41'!L109</f>
        <v/>
      </c>
      <c r="M109" s="1017" t="str">
        <f>'MSW41'!M109</f>
        <v/>
      </c>
    </row>
    <row r="110">
      <c r="A110" s="849" t="str">
        <f>'MSW41'!A110</f>
        <v/>
      </c>
      <c r="H110" s="849" t="str">
        <f>'MSW41'!H110</f>
        <v/>
      </c>
    </row>
    <row r="112">
      <c r="A112" s="1120" t="str">
        <f>'MSW41'!A112</f>
        <v>DAY 3</v>
      </c>
      <c r="B112" s="36"/>
      <c r="C112" s="36"/>
      <c r="D112" s="36"/>
      <c r="E112" s="36"/>
      <c r="F112" s="37"/>
    </row>
    <row r="113">
      <c r="A113" t="str">
        <f>'MSW41'!A113</f>
        <v/>
      </c>
    </row>
    <row r="115">
      <c r="A115" s="51" t="str">
        <f>'MSW41'!A115</f>
        <v>SHOULDERS &amp; ARMS</v>
      </c>
      <c r="B115" s="36"/>
      <c r="C115" s="36"/>
      <c r="D115" s="36"/>
      <c r="E115" s="36"/>
      <c r="F115" s="37"/>
      <c r="G115" s="419" t="str">
        <f>'MSW41'!G115</f>
        <v/>
      </c>
      <c r="H115" s="51" t="str">
        <f>'MSW41'!H115</f>
        <v>SHOULDERS &amp; ARMS</v>
      </c>
      <c r="I115" s="36"/>
      <c r="J115" s="36"/>
      <c r="K115" s="36"/>
      <c r="L115" s="36"/>
      <c r="M115" s="37"/>
    </row>
    <row r="116">
      <c r="A116" s="504" t="str">
        <f>'MSW41'!A116</f>
        <v>1. SHOULDER PRESS</v>
      </c>
      <c r="B116" s="53"/>
      <c r="C116" s="53"/>
      <c r="D116" s="53"/>
      <c r="E116" s="53"/>
      <c r="F116" s="54"/>
      <c r="H116" s="778" t="str">
        <f>'MSW41'!H116</f>
        <v>1. MACHINE SHOULDER PRESS</v>
      </c>
      <c r="I116" s="53"/>
      <c r="J116" s="53"/>
      <c r="K116" s="53"/>
      <c r="L116" s="53"/>
      <c r="M116" s="54"/>
    </row>
    <row r="117">
      <c r="A117" s="589" t="str">
        <f>'MSW41'!A117</f>
        <v>CURRENT MAX</v>
      </c>
      <c r="B117" s="227">
        <f>'MSW41'!B117</f>
        <v>80</v>
      </c>
      <c r="C117" s="20"/>
      <c r="D117" s="20"/>
      <c r="E117" s="20"/>
      <c r="F117" s="95"/>
      <c r="H117" s="589" t="str">
        <f>'MSW41'!H117</f>
        <v>CURRENT MAX</v>
      </c>
      <c r="I117" s="227">
        <f>'MSW41'!I117</f>
        <v>228</v>
      </c>
      <c r="J117" s="20"/>
      <c r="K117" s="20"/>
      <c r="L117" s="20"/>
      <c r="M117" s="95"/>
    </row>
    <row r="118">
      <c r="A118" s="364" t="str">
        <f>'MSW41'!A118</f>
        <v>SET</v>
      </c>
      <c r="B118" s="365" t="str">
        <f>'MSW41'!B118</f>
        <v>WEIGHT</v>
      </c>
      <c r="C118" s="365" t="str">
        <f>'MSW41'!C118</f>
        <v>REPS</v>
      </c>
      <c r="D118" s="365" t="str">
        <f>'MSW41'!D118</f>
        <v>REST</v>
      </c>
      <c r="E118" s="609" t="str">
        <f>'MSW41'!E118</f>
        <v>PREVIOUS</v>
      </c>
      <c r="F118" s="61" t="str">
        <f>'MSW41'!F118</f>
        <v>REP LOG</v>
      </c>
      <c r="H118" s="364" t="str">
        <f>'MSW41'!H118</f>
        <v>SET</v>
      </c>
      <c r="I118" s="365" t="str">
        <f>'MSW41'!I118</f>
        <v>WEIGHT</v>
      </c>
      <c r="J118" s="365" t="str">
        <f>'MSW41'!J118</f>
        <v>REPS</v>
      </c>
      <c r="K118" s="365" t="str">
        <f>'MSW41'!K118</f>
        <v>REST</v>
      </c>
      <c r="L118" s="609" t="str">
        <f>'MSW41'!L118</f>
        <v>PREVIOUS</v>
      </c>
      <c r="M118" s="61" t="str">
        <f>'MSW41'!M118</f>
        <v>REP LOG</v>
      </c>
    </row>
    <row r="119">
      <c r="A119" s="236">
        <f>'MSW41'!A119</f>
        <v>1</v>
      </c>
      <c r="B119" s="237">
        <f>'MSW41'!B119</f>
        <v>40</v>
      </c>
      <c r="C119" s="237">
        <f>'MSW41'!C119</f>
        <v>6</v>
      </c>
      <c r="D119" s="238" t="str">
        <f>'MSW41'!D119</f>
        <v>30s</v>
      </c>
      <c r="E119" s="66" t="str">
        <f>'MSW41'!E119</f>
        <v/>
      </c>
      <c r="F119" s="67"/>
      <c r="H119" s="236">
        <f>'MSW41'!H119</f>
        <v>1</v>
      </c>
      <c r="I119" s="237">
        <f>'MSW41'!I119</f>
        <v>80</v>
      </c>
      <c r="J119" s="237">
        <f>'MSW41'!J119</f>
        <v>6</v>
      </c>
      <c r="K119" s="238" t="str">
        <f>'MSW41'!K119</f>
        <v>30s</v>
      </c>
      <c r="L119" s="66">
        <f>'MSW41'!L119</f>
        <v>6</v>
      </c>
      <c r="M119" s="67"/>
    </row>
    <row r="120">
      <c r="A120" s="236">
        <f>'MSW41'!A120</f>
        <v>2</v>
      </c>
      <c r="B120" s="237">
        <f>'MSW41'!B120</f>
        <v>40</v>
      </c>
      <c r="C120" s="237">
        <f>'MSW41'!C120</f>
        <v>1</v>
      </c>
      <c r="D120" s="238" t="str">
        <f>'MSW41'!D120</f>
        <v>1 MIN</v>
      </c>
      <c r="E120" s="66" t="str">
        <f>'MSW41'!E120</f>
        <v/>
      </c>
      <c r="F120" s="67"/>
      <c r="H120" s="236">
        <f>'MSW41'!H120</f>
        <v>2</v>
      </c>
      <c r="I120" s="237">
        <f>'MSW41'!I120</f>
        <v>150</v>
      </c>
      <c r="J120" s="237">
        <f>'MSW41'!J120</f>
        <v>1</v>
      </c>
      <c r="K120" s="238" t="str">
        <f>'MSW41'!K120</f>
        <v>1 MIN</v>
      </c>
      <c r="L120" s="66">
        <f>'MSW41'!L120</f>
        <v>1</v>
      </c>
      <c r="M120" s="67"/>
    </row>
    <row r="121">
      <c r="A121" s="779">
        <f>'MSW41'!A121</f>
        <v>3</v>
      </c>
      <c r="B121" s="780">
        <f>'MSW41'!B121</f>
        <v>40</v>
      </c>
      <c r="C121" s="781" t="str">
        <f>'MSW41'!C121</f>
        <v>REP OUT</v>
      </c>
      <c r="D121" s="782" t="str">
        <f>'MSW41'!D121</f>
        <v>1 MIN</v>
      </c>
      <c r="E121" s="66" t="str">
        <f>'MSW41'!E121</f>
        <v/>
      </c>
      <c r="F121" s="1467"/>
      <c r="H121" s="779">
        <f>'MSW41'!H121</f>
        <v>3</v>
      </c>
      <c r="I121" s="780">
        <f>'MSW41'!I121</f>
        <v>205</v>
      </c>
      <c r="J121" s="781" t="str">
        <f>'MSW41'!J121</f>
        <v>REP OUT</v>
      </c>
      <c r="K121" s="782" t="str">
        <f>'MSW41'!K121</f>
        <v>1 MIN</v>
      </c>
      <c r="L121" s="66">
        <f>'MSW41'!L121</f>
        <v>10</v>
      </c>
      <c r="M121" s="1467"/>
    </row>
    <row r="122">
      <c r="A122" s="787">
        <f>'MSW41'!A122</f>
        <v>4</v>
      </c>
      <c r="B122" s="1464">
        <f>'MSW41'!B122</f>
        <v>40</v>
      </c>
      <c r="C122" s="789" t="str">
        <f>'MSW41'!C122</f>
        <v>REP OUT</v>
      </c>
      <c r="D122" s="397" t="str">
        <f>'MSW41'!D122</f>
        <v>1 MIN</v>
      </c>
      <c r="E122" s="72" t="str">
        <f>'MSW41'!E122</f>
        <v/>
      </c>
      <c r="F122" s="1468"/>
      <c r="H122" s="787">
        <f>'MSW41'!H122</f>
        <v>4</v>
      </c>
      <c r="I122" s="395">
        <f>'MSW41'!I122</f>
        <v>175</v>
      </c>
      <c r="J122" s="789" t="str">
        <f>'MSW41'!J122</f>
        <v>REP OUT</v>
      </c>
      <c r="K122" s="397" t="str">
        <f>'MSW41'!K122</f>
        <v>1 MIN</v>
      </c>
      <c r="L122" s="72">
        <f>'MSW41'!L122</f>
        <v>20</v>
      </c>
      <c r="M122" s="1400" t="str">
        <f>'MSW41'!M122</f>
        <v/>
      </c>
    </row>
    <row r="123">
      <c r="A123" s="1465" t="str">
        <f>'MSW41'!A123</f>
        <v/>
      </c>
      <c r="G123" s="1465" t="str">
        <f>'MSW41'!G123</f>
        <v/>
      </c>
    </row>
    <row r="125">
      <c r="A125" s="1217" t="str">
        <f>'MSW41'!A125</f>
        <v>2. DUMBBELL REAR DELT FLY </v>
      </c>
      <c r="B125" s="53"/>
      <c r="C125" s="53"/>
      <c r="D125" s="53"/>
      <c r="E125" s="53"/>
      <c r="F125" s="54"/>
    </row>
    <row r="126">
      <c r="A126" s="1268" t="str">
        <f>'MSW41'!A126</f>
        <v>SHLDR PRSS MAX</v>
      </c>
      <c r="B126" s="76">
        <f>'MSW41'!B126</f>
        <v>80</v>
      </c>
      <c r="C126" s="13"/>
      <c r="D126" s="13"/>
      <c r="E126" s="13"/>
      <c r="F126" s="57"/>
    </row>
    <row r="127">
      <c r="A127" s="962" t="str">
        <f>'MSW41'!A127</f>
        <v>SET</v>
      </c>
      <c r="B127" s="963" t="str">
        <f>'MSW41'!B127</f>
        <v>WEIGHT</v>
      </c>
      <c r="C127" s="963" t="str">
        <f>'MSW41'!C127</f>
        <v>REPS</v>
      </c>
      <c r="D127" s="963" t="str">
        <f>'MSW41'!D127</f>
        <v>REST</v>
      </c>
      <c r="E127" s="1005" t="str">
        <f>'MSW41'!E127</f>
        <v>PREVIOUS</v>
      </c>
      <c r="F127" s="1006" t="str">
        <f>'MSW41'!F127</f>
        <v>REP LOG</v>
      </c>
    </row>
    <row r="128">
      <c r="A128" s="967">
        <f>'MSW41'!A128</f>
        <v>1</v>
      </c>
      <c r="B128" s="1028">
        <f>'MSW41'!B128</f>
        <v>7.5</v>
      </c>
      <c r="C128" s="968">
        <f>'MSW41'!C128</f>
        <v>20</v>
      </c>
      <c r="D128" s="969" t="str">
        <f>'MSW41'!D128</f>
        <v>1 MIN</v>
      </c>
      <c r="E128" s="66" t="str">
        <f>'MSW41'!E128</f>
        <v/>
      </c>
      <c r="F128" s="1011"/>
    </row>
    <row r="129">
      <c r="A129" s="967">
        <f>'MSW41'!A129</f>
        <v>2</v>
      </c>
      <c r="B129" s="1028">
        <f>'MSW41'!B129</f>
        <v>5</v>
      </c>
      <c r="C129" s="968">
        <f>'MSW41'!C129</f>
        <v>20</v>
      </c>
      <c r="D129" s="969" t="str">
        <f>'MSW41'!D129</f>
        <v>1 MIN</v>
      </c>
      <c r="E129" s="66" t="str">
        <f>'MSW41'!E129</f>
        <v/>
      </c>
      <c r="F129" s="1011"/>
    </row>
    <row r="130">
      <c r="A130" s="971">
        <f>'MSW41'!A130</f>
        <v>3</v>
      </c>
      <c r="B130" s="1123">
        <f>'MSW41'!B130</f>
        <v>5</v>
      </c>
      <c r="C130" s="972">
        <f>'MSW41'!C130</f>
        <v>20</v>
      </c>
      <c r="D130" s="973" t="str">
        <f>'MSW41'!D130</f>
        <v>1 MIN</v>
      </c>
      <c r="E130" s="72" t="str">
        <f>'MSW41'!E130</f>
        <v/>
      </c>
      <c r="F130" s="1017" t="str">
        <f>'MSW41'!F130</f>
        <v/>
      </c>
    </row>
    <row r="131">
      <c r="A131" s="1068" t="str">
        <f>'MSW41'!A131</f>
        <v/>
      </c>
    </row>
    <row r="133">
      <c r="A133" s="1217" t="str">
        <f>'MSW41'!A133</f>
        <v>3. DUMBBELL SIDE LATERAL RAISE</v>
      </c>
      <c r="B133" s="53"/>
      <c r="C133" s="53"/>
      <c r="D133" s="53"/>
      <c r="E133" s="53"/>
      <c r="F133" s="54"/>
    </row>
    <row r="134">
      <c r="A134" s="1262" t="str">
        <f>'MSW41'!A134</f>
        <v>SHLDR PRSS MAX</v>
      </c>
      <c r="B134" s="76">
        <f>'MSW41'!B134</f>
        <v>80</v>
      </c>
      <c r="C134" s="13"/>
      <c r="D134" s="13"/>
      <c r="E134" s="13"/>
      <c r="F134" s="57"/>
    </row>
    <row r="135">
      <c r="A135" s="1071" t="str">
        <f>'MSW41'!A135</f>
        <v>SET</v>
      </c>
      <c r="B135" s="1072" t="str">
        <f>'MSW41'!B135</f>
        <v>WEIGHT</v>
      </c>
      <c r="C135" s="1072" t="str">
        <f>'MSW41'!C135</f>
        <v>REPS</v>
      </c>
      <c r="D135" s="1072" t="str">
        <f>'MSW41'!D135</f>
        <v>REST</v>
      </c>
      <c r="E135" s="1073" t="str">
        <f>'MSW41'!E135</f>
        <v>PREVIOUS</v>
      </c>
      <c r="F135" s="1006" t="str">
        <f>'MSW41'!F135</f>
        <v>REP LOG</v>
      </c>
    </row>
    <row r="136">
      <c r="A136" s="1074">
        <f>'MSW41'!A136</f>
        <v>1</v>
      </c>
      <c r="B136" s="968">
        <f>'MSW41'!B136</f>
        <v>7.5</v>
      </c>
      <c r="C136" s="968">
        <f>'MSW41'!C136</f>
        <v>20</v>
      </c>
      <c r="D136" s="969" t="str">
        <f>'MSW41'!D136</f>
        <v>1 MIN</v>
      </c>
      <c r="E136" s="1235" t="str">
        <f>'MSW41'!E136</f>
        <v/>
      </c>
      <c r="F136" s="1011"/>
    </row>
    <row r="137">
      <c r="A137" s="1074">
        <f>'MSW41'!A137</f>
        <v>2</v>
      </c>
      <c r="B137" s="968">
        <f>'MSW41'!B137</f>
        <v>12.5</v>
      </c>
      <c r="C137" s="968">
        <f>'MSW41'!C137</f>
        <v>20</v>
      </c>
      <c r="D137" s="969" t="str">
        <f>'MSW41'!D137</f>
        <v>1 MIN</v>
      </c>
      <c r="E137" s="1235" t="str">
        <f>'MSW41'!E137</f>
        <v/>
      </c>
      <c r="F137" s="1011"/>
    </row>
    <row r="138">
      <c r="A138" s="1078">
        <f>'MSW41'!A138</f>
        <v>3</v>
      </c>
      <c r="B138" s="972">
        <f>'MSW41'!B138</f>
        <v>7.5</v>
      </c>
      <c r="C138" s="972">
        <f>'MSW41'!C138</f>
        <v>20</v>
      </c>
      <c r="D138" s="973" t="str">
        <f>'MSW41'!D138</f>
        <v>1 MIN</v>
      </c>
      <c r="E138" s="1271" t="str">
        <f>'MSW41'!E138</f>
        <v/>
      </c>
      <c r="F138" s="1017" t="str">
        <f>'MSW41'!F138</f>
        <v/>
      </c>
    </row>
    <row r="139">
      <c r="A139" t="str">
        <f>'MSW41'!A139</f>
        <v/>
      </c>
    </row>
    <row r="141">
      <c r="A141" s="74" t="str">
        <f>'MSW41'!A141</f>
        <v>4. TRICEPS PUSHDOWN (STRAIGHT BAR)</v>
      </c>
      <c r="B141" s="53"/>
      <c r="C141" s="53"/>
      <c r="D141" s="53"/>
      <c r="E141" s="53"/>
      <c r="F141" s="54"/>
    </row>
    <row r="142">
      <c r="A142" s="226" t="str">
        <f>'MSW41'!A142</f>
        <v>CURRENT MAX</v>
      </c>
      <c r="B142" s="90">
        <f>'MSW41'!B142</f>
        <v>90</v>
      </c>
      <c r="C142" s="13"/>
      <c r="D142" s="13"/>
      <c r="E142" s="13"/>
      <c r="F142" s="57"/>
    </row>
    <row r="143">
      <c r="A143" s="77" t="str">
        <f>'MSW41'!A143</f>
        <v>SET</v>
      </c>
      <c r="B143" s="78" t="str">
        <f>'MSW41'!B143</f>
        <v>WEIGHT</v>
      </c>
      <c r="C143" s="78" t="str">
        <f>'MSW41'!C143</f>
        <v>REPS</v>
      </c>
      <c r="D143" s="78" t="str">
        <f>'MSW41'!D143</f>
        <v>REST</v>
      </c>
      <c r="E143" s="80" t="str">
        <f>'MSW41'!E143</f>
        <v>PREVIOUS</v>
      </c>
      <c r="F143" s="235" t="str">
        <f>'MSW41'!F143</f>
        <v>REP LOG</v>
      </c>
    </row>
    <row r="144">
      <c r="A144" s="81">
        <f>'MSW41'!A144</f>
        <v>1</v>
      </c>
      <c r="B144" s="82">
        <f>'MSW41'!B144</f>
        <v>45</v>
      </c>
      <c r="C144" s="65">
        <f>'MSW41'!C144</f>
        <v>20</v>
      </c>
      <c r="D144" s="83" t="str">
        <f>'MSW41'!D144</f>
        <v>1MIN</v>
      </c>
      <c r="E144" s="66" t="str">
        <f>'MSW41'!E144</f>
        <v/>
      </c>
      <c r="F144" s="85" t="str">
        <f>'MSW41'!F144</f>
        <v/>
      </c>
    </row>
    <row r="145">
      <c r="A145" s="81">
        <f>'MSW41'!A145</f>
        <v>2</v>
      </c>
      <c r="B145" s="82">
        <f>'MSW41'!B145</f>
        <v>35</v>
      </c>
      <c r="C145" s="65">
        <f>'MSW41'!C145</f>
        <v>20</v>
      </c>
      <c r="D145" s="83" t="str">
        <f>'MSW41'!D145</f>
        <v>1MIN</v>
      </c>
      <c r="E145" s="66" t="str">
        <f>'MSW41'!E145</f>
        <v/>
      </c>
      <c r="F145" s="85" t="str">
        <f>'MSW41'!F145</f>
        <v/>
      </c>
    </row>
    <row r="146">
      <c r="A146" s="86">
        <f>'MSW41'!A146</f>
        <v>3</v>
      </c>
      <c r="B146" s="87">
        <f>'MSW41'!B146</f>
        <v>30</v>
      </c>
      <c r="C146" s="71">
        <f>'MSW41'!C146</f>
        <v>20</v>
      </c>
      <c r="D146" s="88" t="str">
        <f>'MSW41'!D146</f>
        <v>1MIN</v>
      </c>
      <c r="E146" s="72" t="str">
        <f>'MSW41'!E146</f>
        <v/>
      </c>
      <c r="F146" s="85" t="str">
        <f>'MSW41'!F146</f>
        <v/>
      </c>
    </row>
    <row r="147">
      <c r="A147" t="str">
        <f>'MSW41'!A147</f>
        <v/>
      </c>
    </row>
    <row r="149">
      <c r="A149" s="75" t="str">
        <f>'MSW41'!A149</f>
        <v>5. BICEP CABLE CURL</v>
      </c>
      <c r="B149" s="53"/>
      <c r="C149" s="53"/>
      <c r="D149" s="53"/>
      <c r="E149" s="53"/>
      <c r="F149" s="54"/>
      <c r="G149" s="141" t="str">
        <f>'MSW41'!G149</f>
        <v/>
      </c>
      <c r="H149" s="75" t="str">
        <f>'MSW41'!H149</f>
        <v>5. BICEP EZ BAR CURL</v>
      </c>
      <c r="I149" s="53"/>
      <c r="J149" s="53"/>
      <c r="K149" s="53"/>
      <c r="L149" s="53"/>
      <c r="M149" s="54"/>
    </row>
    <row r="150">
      <c r="A150" s="226" t="str">
        <f>'MSW41'!A150</f>
        <v>CURRENT MAX</v>
      </c>
      <c r="B150" s="90">
        <f>'MSW41'!B150</f>
        <v>70</v>
      </c>
      <c r="C150" s="13"/>
      <c r="D150" s="13"/>
      <c r="E150" s="13"/>
      <c r="F150" s="57"/>
      <c r="H150" s="226" t="str">
        <f>'MSW41'!H150</f>
        <v>CURRENT MAX</v>
      </c>
      <c r="I150" s="90">
        <f>'MSW41'!I150</f>
        <v>10</v>
      </c>
      <c r="J150" s="13"/>
      <c r="K150" s="13"/>
      <c r="L150" s="13"/>
      <c r="M150" s="57"/>
    </row>
    <row r="151">
      <c r="A151" s="77" t="str">
        <f>'MSW41'!A151</f>
        <v>SET</v>
      </c>
      <c r="B151" s="78" t="str">
        <f>'MSW41'!B151</f>
        <v>WEIGHT</v>
      </c>
      <c r="C151" s="78" t="str">
        <f>'MSW41'!C151</f>
        <v>REPS</v>
      </c>
      <c r="D151" s="78" t="str">
        <f>'MSW41'!D151</f>
        <v>REST</v>
      </c>
      <c r="E151" s="80" t="str">
        <f>'MSW41'!E151</f>
        <v>PREVIOUS</v>
      </c>
      <c r="F151" s="235" t="str">
        <f>'MSW41'!F151</f>
        <v>REP LOG</v>
      </c>
      <c r="H151" s="77" t="str">
        <f>'MSW41'!H151</f>
        <v>SET</v>
      </c>
      <c r="I151" s="78" t="str">
        <f>'MSW41'!I151</f>
        <v>WEIGHT</v>
      </c>
      <c r="J151" s="78" t="str">
        <f>'MSW41'!J151</f>
        <v>REPS</v>
      </c>
      <c r="K151" s="78" t="str">
        <f>'MSW41'!K151</f>
        <v>REST</v>
      </c>
      <c r="L151" s="80" t="str">
        <f>'MSW41'!L151</f>
        <v>PREVIOUS</v>
      </c>
      <c r="M151" s="235" t="str">
        <f>'MSW41'!M151</f>
        <v>REP LOG</v>
      </c>
    </row>
    <row r="152">
      <c r="A152" s="81">
        <f>'MSW41'!A152</f>
        <v>1</v>
      </c>
      <c r="B152" s="82">
        <f>'MSW41'!B152</f>
        <v>35</v>
      </c>
      <c r="C152" s="65">
        <f>'MSW41'!C152</f>
        <v>20</v>
      </c>
      <c r="D152" s="83" t="str">
        <f>'MSW41'!D152</f>
        <v>1MIN</v>
      </c>
      <c r="E152" s="66" t="str">
        <f>'MSW41'!E152</f>
        <v>#ERROR!</v>
      </c>
      <c r="F152" s="85" t="str">
        <f>'MSW41'!F152</f>
        <v/>
      </c>
      <c r="H152" s="81">
        <f>'MSW41'!H152</f>
        <v>1</v>
      </c>
      <c r="I152" s="82">
        <f>'MSW41'!I152</f>
        <v>5</v>
      </c>
      <c r="J152" s="65">
        <f>'MSW41'!J152</f>
        <v>20</v>
      </c>
      <c r="K152" s="83" t="str">
        <f>'MSW41'!K152</f>
        <v>1MIN</v>
      </c>
      <c r="L152" s="66" t="str">
        <f>'MSW41'!L152</f>
        <v/>
      </c>
      <c r="M152" s="85" t="str">
        <f>'MSW41'!M152</f>
        <v/>
      </c>
    </row>
    <row r="153">
      <c r="A153" s="81">
        <f>'MSW41'!A153</f>
        <v>2</v>
      </c>
      <c r="B153" s="82">
        <f>'MSW41'!B153</f>
        <v>30</v>
      </c>
      <c r="C153" s="65">
        <f>'MSW41'!C153</f>
        <v>20</v>
      </c>
      <c r="D153" s="83" t="str">
        <f>'MSW41'!D153</f>
        <v>1MIN</v>
      </c>
      <c r="E153" s="66" t="str">
        <f>'MSW41'!E153</f>
        <v>#ERROR!</v>
      </c>
      <c r="F153" s="85" t="str">
        <f>'MSW41'!F153</f>
        <v/>
      </c>
      <c r="H153" s="81">
        <f>'MSW41'!H153</f>
        <v>2</v>
      </c>
      <c r="I153" s="82">
        <f>'MSW41'!I153</f>
        <v>5</v>
      </c>
      <c r="J153" s="65">
        <f>'MSW41'!J153</f>
        <v>20</v>
      </c>
      <c r="K153" s="83" t="str">
        <f>'MSW41'!K153</f>
        <v>1MIN</v>
      </c>
      <c r="L153" s="66" t="str">
        <f>'MSW41'!L153</f>
        <v/>
      </c>
      <c r="M153" s="85" t="str">
        <f>'MSW41'!M153</f>
        <v/>
      </c>
    </row>
    <row r="154">
      <c r="A154" s="86">
        <f>'MSW41'!A154</f>
        <v>3</v>
      </c>
      <c r="B154" s="87">
        <f>'MSW41'!B154</f>
        <v>25</v>
      </c>
      <c r="C154" s="71">
        <f>'MSW41'!C154</f>
        <v>20</v>
      </c>
      <c r="D154" s="88" t="str">
        <f>'MSW41'!D154</f>
        <v>1MIN</v>
      </c>
      <c r="E154" s="72" t="str">
        <f>'MSW41'!E154</f>
        <v>#ERROR!</v>
      </c>
      <c r="F154" s="85" t="str">
        <f>'MSW41'!F154</f>
        <v/>
      </c>
      <c r="H154" s="86">
        <f>'MSW41'!H154</f>
        <v>3</v>
      </c>
      <c r="I154" s="87">
        <f>'MSW41'!I154</f>
        <v>5</v>
      </c>
      <c r="J154" s="71">
        <f>'MSW41'!J154</f>
        <v>20</v>
      </c>
      <c r="K154" s="88" t="str">
        <f>'MSW41'!K154</f>
        <v>1MIN</v>
      </c>
      <c r="L154" s="72" t="str">
        <f>'MSW41'!L154</f>
        <v/>
      </c>
      <c r="M154" s="85" t="str">
        <f>'MSW41'!M154</f>
        <v/>
      </c>
    </row>
    <row r="155">
      <c r="A155" t="str">
        <f>'MSW41'!A155</f>
        <v/>
      </c>
      <c r="G155" t="str">
        <f>'MSW41'!G155</f>
        <v/>
      </c>
    </row>
    <row r="157">
      <c r="A157" s="1149" t="str">
        <f>'MSW41'!A157</f>
        <v>WORKOUT COMPLETE!</v>
      </c>
      <c r="B157" s="36"/>
      <c r="C157" s="36"/>
      <c r="D157" s="36"/>
      <c r="E157" s="36"/>
      <c r="F157" s="37"/>
    </row>
    <row r="158">
      <c r="A158" s="623" t="str">
        <f>'MSW41'!A158</f>
        <v/>
      </c>
    </row>
    <row r="159">
      <c r="A159" s="1275" t="str">
        <f>'MSW41'!A159</f>
        <v>WANT TO LEARN MORE?</v>
      </c>
      <c r="B159" s="25"/>
      <c r="C159" s="25"/>
      <c r="D159" s="25"/>
      <c r="E159" s="25"/>
      <c r="F159" s="26"/>
    </row>
    <row r="160">
      <c r="A160" s="529"/>
      <c r="F160" s="28"/>
    </row>
    <row r="161">
      <c r="A161" s="1276" t="str">
        <f>'MSW41'!A161</f>
        <v/>
      </c>
      <c r="B161" s="999" t="str">
        <f>'MSW41'!B161</f>
        <v/>
      </c>
      <c r="C161" s="1150" t="str">
        <f>'MSW41'!C161</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61" s="28"/>
    </row>
    <row r="162">
      <c r="A162" s="1276" t="str">
        <f>'MSW41'!A162</f>
        <v/>
      </c>
      <c r="B162" s="999" t="str">
        <f>'MSW41'!B162</f>
        <v/>
      </c>
      <c r="F162" s="28"/>
    </row>
    <row r="163">
      <c r="A163" s="1276" t="str">
        <f>'MSW41'!A163</f>
        <v/>
      </c>
      <c r="B163" s="999" t="str">
        <f>'MSW41'!B163</f>
        <v/>
      </c>
      <c r="F163" s="28"/>
    </row>
    <row r="164">
      <c r="A164" s="1276" t="str">
        <f>'MSW41'!A164</f>
        <v/>
      </c>
      <c r="B164" s="999" t="str">
        <f>'MSW41'!B164</f>
        <v/>
      </c>
      <c r="F164" s="28"/>
    </row>
    <row r="165">
      <c r="A165" s="1276" t="str">
        <f>'MSW41'!A165</f>
        <v/>
      </c>
      <c r="B165" s="999" t="str">
        <f>'MSW41'!B165</f>
        <v/>
      </c>
      <c r="F165" s="28"/>
    </row>
    <row r="166">
      <c r="A166" s="1276" t="str">
        <f>'MSW41'!A166</f>
        <v/>
      </c>
      <c r="B166" s="999" t="str">
        <f>'MSW41'!B166</f>
        <v/>
      </c>
      <c r="F166" s="28"/>
    </row>
    <row r="167">
      <c r="A167" s="1277" t="str">
        <f>'MSW41'!A167</f>
        <v/>
      </c>
      <c r="B167" s="999" t="str">
        <f>'MSW41'!B167</f>
        <v/>
      </c>
      <c r="F167" s="28"/>
    </row>
    <row r="168">
      <c r="A168" s="1276" t="str">
        <f>'MSW41'!A168</f>
        <v/>
      </c>
      <c r="B168" s="999" t="str">
        <f>'MSW41'!B168</f>
        <v/>
      </c>
      <c r="F168" s="28"/>
    </row>
    <row r="169">
      <c r="A169" s="1276" t="str">
        <f>'MSW41'!A169</f>
        <v/>
      </c>
      <c r="B169" s="999" t="str">
        <f>'MSW41'!B169</f>
        <v/>
      </c>
      <c r="F169" s="28"/>
    </row>
    <row r="170">
      <c r="A170" s="1278" t="str">
        <f>'MSW41'!A170</f>
        <v/>
      </c>
      <c r="B170" s="999" t="str">
        <f>'MSW41'!B170</f>
        <v/>
      </c>
      <c r="F170" s="28"/>
    </row>
    <row r="171">
      <c r="A171" s="1276" t="str">
        <f>'MSW41'!A171</f>
        <v/>
      </c>
      <c r="B171" s="999" t="str">
        <f>'MSW41'!B171</f>
        <v/>
      </c>
      <c r="F171" s="28"/>
    </row>
    <row r="172">
      <c r="A172" s="1276" t="str">
        <f>'MSW41'!A172</f>
        <v/>
      </c>
      <c r="B172" s="999" t="str">
        <f>'MSW41'!B172</f>
        <v/>
      </c>
      <c r="F172" s="28"/>
    </row>
    <row r="173">
      <c r="A173" s="1276" t="str">
        <f>'MSW41'!A173</f>
        <v/>
      </c>
      <c r="B173" s="999" t="str">
        <f>'MSW41'!B173</f>
        <v/>
      </c>
      <c r="F173" s="28"/>
    </row>
    <row r="174">
      <c r="A174" s="1276" t="str">
        <f>'MSW41'!A174</f>
        <v/>
      </c>
      <c r="B174" s="999" t="str">
        <f>'MSW41'!B174</f>
        <v/>
      </c>
      <c r="F174" s="28"/>
    </row>
    <row r="175">
      <c r="A175" s="1279" t="str">
        <f>'MSW41'!A175</f>
        <v/>
      </c>
      <c r="B175" s="1280" t="str">
        <f>'MSW41'!B175</f>
        <v/>
      </c>
      <c r="C175" s="11"/>
      <c r="D175" s="11"/>
      <c r="E175" s="11"/>
      <c r="F175" s="46"/>
    </row>
    <row r="176">
      <c r="A176" t="str">
        <f>'MSW41'!A176</f>
        <v/>
      </c>
      <c r="B176" t="str">
        <f>'MSW41'!B176</f>
        <v/>
      </c>
      <c r="C176" t="str">
        <f>'MSW41'!C176</f>
        <v/>
      </c>
    </row>
  </sheetData>
  <mergeCells count="113">
    <mergeCell ref="H20:M20"/>
    <mergeCell ref="I21:M21"/>
    <mergeCell ref="G26:G33"/>
    <mergeCell ref="H27:M27"/>
    <mergeCell ref="N27:N28"/>
    <mergeCell ref="H29:M29"/>
    <mergeCell ref="N29:N34"/>
    <mergeCell ref="I34:M34"/>
    <mergeCell ref="B38:F38"/>
    <mergeCell ref="I38:M38"/>
    <mergeCell ref="G24:G25"/>
    <mergeCell ref="A27:F27"/>
    <mergeCell ref="A30:F30"/>
    <mergeCell ref="B33:F33"/>
    <mergeCell ref="A34:G34"/>
    <mergeCell ref="A35:N36"/>
    <mergeCell ref="G37:G41"/>
    <mergeCell ref="A74:F74"/>
    <mergeCell ref="A75:F75"/>
    <mergeCell ref="B57:F57"/>
    <mergeCell ref="A58:F59"/>
    <mergeCell ref="A60:F60"/>
    <mergeCell ref="B61:F61"/>
    <mergeCell ref="A66:F67"/>
    <mergeCell ref="A68:F68"/>
    <mergeCell ref="B69:F69"/>
    <mergeCell ref="A96:F96"/>
    <mergeCell ref="B97:F97"/>
    <mergeCell ref="A76:F76"/>
    <mergeCell ref="A77:F77"/>
    <mergeCell ref="A78:F79"/>
    <mergeCell ref="A80:F80"/>
    <mergeCell ref="B81:F81"/>
    <mergeCell ref="B93:F93"/>
    <mergeCell ref="A94:F95"/>
    <mergeCell ref="A113:F114"/>
    <mergeCell ref="A115:F115"/>
    <mergeCell ref="A13:F13"/>
    <mergeCell ref="A14:F14"/>
    <mergeCell ref="A102:F103"/>
    <mergeCell ref="A104:F104"/>
    <mergeCell ref="B105:F105"/>
    <mergeCell ref="A110:F111"/>
    <mergeCell ref="A112:F112"/>
    <mergeCell ref="A139:F140"/>
    <mergeCell ref="A141:F141"/>
    <mergeCell ref="B117:F117"/>
    <mergeCell ref="A123:F124"/>
    <mergeCell ref="A125:F125"/>
    <mergeCell ref="B126:F126"/>
    <mergeCell ref="A131:F132"/>
    <mergeCell ref="A133:F133"/>
    <mergeCell ref="B134:F134"/>
    <mergeCell ref="G123:M148"/>
    <mergeCell ref="G149:G154"/>
    <mergeCell ref="H149:M149"/>
    <mergeCell ref="I150:M150"/>
    <mergeCell ref="H10:M10"/>
    <mergeCell ref="H12:M14"/>
    <mergeCell ref="G42:M103"/>
    <mergeCell ref="G104:G106"/>
    <mergeCell ref="H104:M104"/>
    <mergeCell ref="I105:M105"/>
    <mergeCell ref="G107:G108"/>
    <mergeCell ref="C161:F175"/>
    <mergeCell ref="C176:F176"/>
    <mergeCell ref="B142:F142"/>
    <mergeCell ref="A147:F148"/>
    <mergeCell ref="A149:F149"/>
    <mergeCell ref="B150:F150"/>
    <mergeCell ref="A155:F156"/>
    <mergeCell ref="G155:M176"/>
    <mergeCell ref="A157:F157"/>
    <mergeCell ref="A15:F15"/>
    <mergeCell ref="H15:M15"/>
    <mergeCell ref="O19:T19"/>
    <mergeCell ref="O20:T20"/>
    <mergeCell ref="P21:T21"/>
    <mergeCell ref="O27:T27"/>
    <mergeCell ref="O29:T29"/>
    <mergeCell ref="P34:T34"/>
    <mergeCell ref="O35:T36"/>
    <mergeCell ref="N37:T176"/>
    <mergeCell ref="A1:T8"/>
    <mergeCell ref="A9:F9"/>
    <mergeCell ref="G9:G14"/>
    <mergeCell ref="H9:M9"/>
    <mergeCell ref="N9:T18"/>
    <mergeCell ref="A10:F11"/>
    <mergeCell ref="A12:F12"/>
    <mergeCell ref="A16:M18"/>
    <mergeCell ref="A19:F19"/>
    <mergeCell ref="G19:G23"/>
    <mergeCell ref="H19:M19"/>
    <mergeCell ref="N19:N26"/>
    <mergeCell ref="A20:F20"/>
    <mergeCell ref="B21:F21"/>
    <mergeCell ref="A37:F37"/>
    <mergeCell ref="H37:M37"/>
    <mergeCell ref="A42:F43"/>
    <mergeCell ref="A44:F44"/>
    <mergeCell ref="B45:F45"/>
    <mergeCell ref="A51:F51"/>
    <mergeCell ref="A54:F54"/>
    <mergeCell ref="G109:G114"/>
    <mergeCell ref="H110:M114"/>
    <mergeCell ref="G115:G122"/>
    <mergeCell ref="H115:M115"/>
    <mergeCell ref="A116:F116"/>
    <mergeCell ref="H116:M116"/>
    <mergeCell ref="I117:M117"/>
    <mergeCell ref="A158:F158"/>
    <mergeCell ref="A159:F160"/>
  </mergeCells>
  <dataValidations>
    <dataValidation type="decimal" operator="greaterThan" allowBlank="1" showDropDown="1" showErrorMessage="1" sqref="M11">
      <formula1>0.0</formula1>
    </dataValidation>
  </dataValidations>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377</v>
      </c>
      <c r="B9" s="20"/>
      <c r="C9" s="20"/>
      <c r="D9" s="20"/>
      <c r="E9" s="20"/>
      <c r="F9" s="21"/>
      <c r="G9" s="103"/>
      <c r="H9" s="24" t="s">
        <v>35</v>
      </c>
      <c r="I9" s="25"/>
      <c r="J9" s="25"/>
      <c r="K9" s="25"/>
      <c r="L9" s="25"/>
      <c r="M9" s="26"/>
    </row>
    <row r="10">
      <c r="A10" s="15" t="str">
        <f>HYPERLINK("https://goo.gl/forms/3ibooB993Hi7SS2d2","PRESS TO RECORD BODY WEIGHT")</f>
        <v>PRESS TO RECORD BODY WEIGHT</v>
      </c>
      <c r="B10" s="16"/>
      <c r="C10" s="16"/>
      <c r="D10" s="16"/>
      <c r="E10" s="16"/>
      <c r="F10" s="17"/>
      <c r="G10" s="103"/>
      <c r="H10" s="147" t="s">
        <v>378</v>
      </c>
      <c r="M10" s="28"/>
    </row>
    <row r="11">
      <c r="A11" s="18"/>
      <c r="B11" s="13"/>
      <c r="C11" s="13"/>
      <c r="D11" s="13"/>
      <c r="E11" s="13"/>
      <c r="F11" s="14"/>
      <c r="G11" s="103"/>
      <c r="H11" s="29" t="s">
        <v>379</v>
      </c>
      <c r="I11" s="30"/>
      <c r="J11" s="30"/>
      <c r="K11" s="30"/>
      <c r="L11" s="30"/>
      <c r="M11" s="31"/>
    </row>
    <row r="12">
      <c r="A12" s="19" t="s">
        <v>69</v>
      </c>
      <c r="B12" s="20"/>
      <c r="C12" s="20"/>
      <c r="D12" s="20"/>
      <c r="E12" s="20"/>
      <c r="F12" s="21"/>
      <c r="G12" s="103"/>
      <c r="H12" s="219"/>
      <c r="I12" s="220"/>
      <c r="J12" s="221"/>
      <c r="K12" s="219"/>
      <c r="L12" s="222"/>
      <c r="M12" s="103"/>
    </row>
    <row r="13">
      <c r="A13" s="22" t="s">
        <v>207</v>
      </c>
      <c r="B13" s="20"/>
      <c r="C13" s="20"/>
      <c r="D13" s="20"/>
      <c r="E13" s="20"/>
      <c r="F13" s="21"/>
      <c r="G13" s="103"/>
      <c r="H13" s="103"/>
      <c r="I13" s="103"/>
      <c r="J13" s="103"/>
      <c r="K13" s="103"/>
      <c r="L13" s="222"/>
      <c r="M13" s="103"/>
    </row>
    <row r="14">
      <c r="E14" s="1248"/>
    </row>
    <row r="15">
      <c r="A15" s="51" t="s">
        <v>48</v>
      </c>
      <c r="B15" s="36"/>
      <c r="C15" s="36"/>
      <c r="D15" s="36"/>
      <c r="E15" s="36"/>
      <c r="F15" s="37"/>
      <c r="H15" s="51" t="s">
        <v>48</v>
      </c>
      <c r="I15" s="36"/>
      <c r="J15" s="36"/>
      <c r="K15" s="36"/>
      <c r="L15" s="36"/>
      <c r="M15" s="37"/>
    </row>
    <row r="16">
      <c r="A16" s="93" t="str">
        <f>HYPERLINK("https://youtu.be/iLgUDezDMbU","1. BENCH PRESS")</f>
        <v>1. BENCH PRESS</v>
      </c>
      <c r="B16" s="53"/>
      <c r="C16" s="53"/>
      <c r="D16" s="53"/>
      <c r="E16" s="53"/>
      <c r="F16" s="54"/>
      <c r="H16" s="93" t="str">
        <f>HYPERLINK("https://youtu.be/iLgUDezDMbU","1. DUMBELL INCLINE")</f>
        <v>1. DUMBELL INCLINE</v>
      </c>
      <c r="I16" s="53"/>
      <c r="J16" s="53"/>
      <c r="K16" s="53"/>
      <c r="L16" s="53"/>
      <c r="M16" s="54"/>
    </row>
    <row r="17">
      <c r="A17" s="226" t="s">
        <v>119</v>
      </c>
      <c r="B17" s="691">
        <f>IF('WEEK 41'!B33="",'WEEK 41'!B21,'WEEK 41'!B33)</f>
        <v>265</v>
      </c>
      <c r="C17" s="13"/>
      <c r="D17" s="13"/>
      <c r="E17" s="13"/>
      <c r="F17" s="57"/>
      <c r="H17" s="226" t="s">
        <v>119</v>
      </c>
      <c r="I17" s="691">
        <f>IF('WEEK 41'!I34="",'WEEK 41'!I21,'WEEK 41'!I34)</f>
        <v>90</v>
      </c>
      <c r="J17" s="13"/>
      <c r="K17" s="13"/>
      <c r="L17" s="13"/>
      <c r="M17" s="57"/>
    </row>
    <row r="18">
      <c r="A18" s="96" t="s">
        <v>50</v>
      </c>
      <c r="B18" s="97" t="s">
        <v>51</v>
      </c>
      <c r="C18" s="97" t="s">
        <v>52</v>
      </c>
      <c r="D18" s="97" t="s">
        <v>53</v>
      </c>
      <c r="E18" s="1385" t="s">
        <v>54</v>
      </c>
      <c r="F18" s="235" t="s">
        <v>55</v>
      </c>
      <c r="H18" s="96" t="s">
        <v>50</v>
      </c>
      <c r="I18" s="97" t="s">
        <v>51</v>
      </c>
      <c r="J18" s="97" t="s">
        <v>52</v>
      </c>
      <c r="K18" s="97" t="s">
        <v>53</v>
      </c>
      <c r="L18" s="341" t="s">
        <v>54</v>
      </c>
      <c r="M18" s="235" t="s">
        <v>55</v>
      </c>
    </row>
    <row r="19">
      <c r="A19" s="725">
        <v>1.0</v>
      </c>
      <c r="B19" s="344">
        <f>IF( 'WEEK 42'!B17&lt;125,45,mround('WEEK 42'!B17*0.5,5))</f>
        <v>135</v>
      </c>
      <c r="C19" s="1250" t="s">
        <v>65</v>
      </c>
      <c r="D19" s="1251" t="s">
        <v>208</v>
      </c>
      <c r="E19" s="84" t="str">
        <f>IF('WEEK 33'!B19='WEEK 42'!B19,'WEEK 33'!F19,"")</f>
        <v/>
      </c>
      <c r="F19" s="85"/>
      <c r="H19" s="342">
        <v>1.0</v>
      </c>
      <c r="I19" s="344">
        <f>mround('WEEK 42'!I17*0.5,5)</f>
        <v>45</v>
      </c>
      <c r="J19" s="1250" t="s">
        <v>65</v>
      </c>
      <c r="K19" s="343" t="s">
        <v>57</v>
      </c>
      <c r="L19" s="84">
        <f>IF('WEEK 33'!I19='WEEK 42'!I19,'WEEK 33'!M19,"")</f>
        <v>30</v>
      </c>
      <c r="M19" s="85"/>
    </row>
    <row r="20">
      <c r="A20" s="342">
        <v>2.0</v>
      </c>
      <c r="B20" s="344">
        <f>IF( 'WEEK 42'!B17&lt;125,45,mround('WEEK 42'!B17*0.5,5))</f>
        <v>135</v>
      </c>
      <c r="C20" s="1250" t="s">
        <v>65</v>
      </c>
      <c r="D20" s="1251" t="s">
        <v>208</v>
      </c>
      <c r="E20" s="84" t="str">
        <f>IF('WEEK 33'!B20='WEEK 42'!B20,'WEEK 33'!F20,"")</f>
        <v/>
      </c>
      <c r="F20" s="85"/>
      <c r="H20" s="725" t="str">
        <f>IF(OR(ISBLANK('WEEK 42'!M19)),"",IF('WEEK 42'!M19&lt;10,"MOVE",2))</f>
        <v/>
      </c>
      <c r="I20" s="344" t="str">
        <f>IF(OR(ISBLANK('WEEK 42'!M19)),"",IF('WEEK 42'!M19&lt;10,"TO",mround('WEEK 42'!I17*0.5,5)))</f>
        <v/>
      </c>
      <c r="J20" s="1250" t="str">
        <f>IF(OR(ISBLANK('WEEK 42'!M19)),"",IF('WEEK 42'!M19&lt;10,"#","REP OUT"))</f>
        <v/>
      </c>
      <c r="K20" s="343" t="str">
        <f>IF(OR(ISBLANK('WEEK 42'!M19)),"",IF('WEEK 42'!M19&lt;10,"2","1 MIN"))</f>
        <v/>
      </c>
      <c r="L20" s="84" t="str">
        <f>IF('WEEK 33'!I20='WEEK 42'!I20,'WEEK 33'!M20,"")</f>
        <v/>
      </c>
      <c r="M20" s="85"/>
    </row>
    <row r="21">
      <c r="A21" s="735">
        <v>3.0</v>
      </c>
      <c r="B21" s="1252">
        <f>IF( 'WEEK 42'!B17&lt;125,45,mround('WEEK 42'!B17*0.5,5))</f>
        <v>135</v>
      </c>
      <c r="C21" s="1253" t="s">
        <v>65</v>
      </c>
      <c r="D21" s="1254" t="s">
        <v>208</v>
      </c>
      <c r="E21" s="84" t="str">
        <f>IF('WEEK 33'!B21='WEEK 42'!B21,'WEEK 33'!F21,"")</f>
        <v/>
      </c>
      <c r="F21" s="330"/>
      <c r="H21" s="725" t="str">
        <f>IF(OR(ISBLANK('WEEK 42'!M19),ISBLANK('WEEK 42'!M20)),"",IF('WEEK 42'!M20&lt;10,"MOVE",3))</f>
        <v/>
      </c>
      <c r="I21" s="344" t="str">
        <f>IF(OR(ISBLANK('WEEK 42'!M19),ISBLANK('WEEK 42'!M20)),"",IF('WEEK 42'!M20&lt;10,"TO",mround('WEEK 42'!I17*0.5,5)))</f>
        <v/>
      </c>
      <c r="J21" s="1250" t="str">
        <f>IF(OR(ISBLANK('WEEK 42'!M19),ISBLANK('WEEK 42'!M20)),"",IF('WEEK 42'!M20&lt;10,"#","REP OUT"))</f>
        <v/>
      </c>
      <c r="K21" s="343" t="str">
        <f>IF(OR(ISBLANK('WEEK 42'!M19),ISBLANK('WEEK 42'!M20)),"",IF('WEEK 42'!M20&lt;10,"2","1 MIN"))</f>
        <v/>
      </c>
      <c r="L21" s="84" t="str">
        <f>IF('WEEK 33'!I21='WEEK 42'!I21,'WEEK 33'!M21,"")</f>
        <v/>
      </c>
      <c r="M21" s="85"/>
    </row>
    <row r="22">
      <c r="A22" s="1256"/>
      <c r="B22" s="1256"/>
      <c r="C22" s="1256"/>
      <c r="D22" s="1256"/>
      <c r="E22" s="1257"/>
      <c r="F22" s="1256"/>
      <c r="H22" s="725" t="str">
        <f>IF(OR(ISBLANK('WEEK 42'!M19),ISBLANK('WEEK 42'!M20),ISBLANK('WEEK 42'!M21)),"",IF('WEEK 42'!M21&lt;10,"MOVE",4))</f>
        <v/>
      </c>
      <c r="I22" s="344" t="str">
        <f>IF(OR(ISBLANK('WEEK 42'!M19),ISBLANK('WEEK 42'!M20),ISBLANK('WEEK 42'!M21)),"",IF('WEEK 42'!M21&gt;=1&lt;10,"TO",mround('WEEK 42'!I17*0.5,5)))</f>
        <v/>
      </c>
      <c r="J22" s="1250" t="str">
        <f>IF(OR(ISBLANK('WEEK 42'!M19),ISBLANK('WEEK 42'!M20),ISBLANK('WEEK 42'!M21)),"",IF('WEEK 42'!M21&lt;10,"#","REP OUT"))</f>
        <v/>
      </c>
      <c r="K22" s="343" t="str">
        <f>IF(OR(ISBLANK('WEEK 42'!M19),ISBLANK('WEEK 42'!M20),ISBLANK('WEEK 42'!M21)),"",IF('WEEK 42'!M21&lt;10,"2","1 MIN"))</f>
        <v/>
      </c>
      <c r="L22" s="84" t="str">
        <f>IF('WEEK 33'!I22='WEEK 42'!I22,'WEEK 33'!M22,"")</f>
        <v/>
      </c>
      <c r="M22" s="85"/>
    </row>
    <row r="23">
      <c r="A23" s="1258"/>
      <c r="B23" s="1258"/>
      <c r="C23" s="1258"/>
      <c r="D23" s="1258"/>
      <c r="E23" s="1259"/>
      <c r="F23" s="1258"/>
      <c r="H23" s="725" t="str">
        <f>IF(OR(ISBLANK('WEEK 42'!M19),ISBLANK('WEEK 42'!M20),ISBLANK('WEEK 42'!M21),ISBLANK('WEEK 42'!M22)),"",IF('WEEK 42'!M22&lt;10,"MOVE",5))</f>
        <v/>
      </c>
      <c r="I23" s="344" t="str">
        <f>IF(OR(ISBLANK('WEEK 42'!M19),ISBLANK('WEEK 42'!M20),ISBLANK('WEEK 42'!M21),ISBLANK('WEEK 42'!M22)),"",IF('WEEK 42'!M22&lt;10,"TO",mround('WEEK 42'!I17*0.5,5)))</f>
        <v/>
      </c>
      <c r="J23" s="1250" t="str">
        <f>IF(OR(ISBLANK('WEEK 42'!M19),ISBLANK('WEEK 42'!M20),ISBLANK('WEEK 42'!M21),ISBLANK('WEEK 42'!M22)),"",IF('WEEK 42'!M22&lt;10,"#","REP OUT"))</f>
        <v/>
      </c>
      <c r="K23" s="343" t="str">
        <f>IF(OR(ISBLANK('WEEK 42'!M19),ISBLANK('WEEK 42'!M20),ISBLANK('WEEK 42'!M21),ISBLANK('WEEK 42'!M22)),"",IF('WEEK 42'!M22&lt;10,"2","1 MIN"))</f>
        <v/>
      </c>
      <c r="L23" s="84" t="str">
        <f>IF('WEEK 33'!I23='WEEK 42'!I23,'WEEK 33'!M23,"")</f>
        <v/>
      </c>
      <c r="M23" s="85"/>
    </row>
    <row r="24">
      <c r="A24" s="1258"/>
      <c r="B24" s="1258"/>
      <c r="C24" s="1258"/>
      <c r="D24" s="1258"/>
      <c r="E24" s="1259"/>
      <c r="F24" s="1258"/>
      <c r="H24" s="735" t="str">
        <f>IF(OR(ISBLANK('WEEK 42'!M19),ISBLANK('WEEK 42'!M20),ISBLANK('WEEK 42'!M21),ISBLANK('WEEK 42'!M22),ISBLANK('WEEK 42'!M23)),"",IF('WEEK 42'!M23&lt;10,"MOVE",6))</f>
        <v/>
      </c>
      <c r="I24" s="1252" t="str">
        <f>IF(OR(ISBLANK('WEEK 42'!M19),ISBLANK('WEEK 42'!M20),ISBLANK('WEEK 42'!M21),ISBLANK('WEEK 42'!M22),ISBLANK('WEEK 42'!M23)),"",IF('WEEK 42'!M23&lt;10,"TO",mround('WEEK 42'!I17*0.5,5)))</f>
        <v/>
      </c>
      <c r="J24" s="1253" t="str">
        <f>IF(OR(ISBLANK('WEEK 42'!M19),ISBLANK('WEEK 42'!M20),ISBLANK('WEEK 42'!M21),ISBLANK('WEEK 42'!M22),ISBLANK('WEEK 42'!M23)),"",IF('WEEK 42'!M23&lt;10,"#","REP OUT"))</f>
        <v/>
      </c>
      <c r="K24" s="738" t="str">
        <f>IF(OR(ISBLANK('WEEK 42'!M19),ISBLANK('WEEK 42'!M20),ISBLANK('WEEK 42'!M21),ISBLANK('WEEK 42'!M22),ISBLANK('WEEK 42'!M23)),"",IF('WEEK 42'!M23&lt;10,"2","1 MIN"))</f>
        <v/>
      </c>
      <c r="L24" s="84" t="str">
        <f>IF('WEEK 33'!I24='WEEK 42'!I24,'WEEK 33'!M24,"")</f>
        <v/>
      </c>
      <c r="M24" s="330"/>
    </row>
    <row r="27">
      <c r="A27" s="73" t="str">
        <f>HYPERLINK("https://youtu.be/9YH1YvZbiY0","3. MACHINE LOW ROW ")</f>
        <v>3. MACHINE LOW ROW </v>
      </c>
      <c r="B27" s="53"/>
      <c r="C27" s="53"/>
      <c r="D27" s="53"/>
      <c r="E27" s="53"/>
      <c r="F27" s="54"/>
    </row>
    <row r="28">
      <c r="A28" s="226" t="s">
        <v>119</v>
      </c>
      <c r="B28" s="227">
        <f>'WEEK 41'!B61</f>
        <v>220</v>
      </c>
      <c r="C28" s="20"/>
      <c r="D28" s="20"/>
      <c r="E28" s="20"/>
      <c r="F28" s="95"/>
    </row>
    <row r="29">
      <c r="A29" s="231" t="s">
        <v>50</v>
      </c>
      <c r="B29" s="232" t="s">
        <v>51</v>
      </c>
      <c r="C29" s="232" t="s">
        <v>52</v>
      </c>
      <c r="D29" s="232" t="s">
        <v>53</v>
      </c>
      <c r="E29" s="233" t="s">
        <v>54</v>
      </c>
      <c r="F29" s="61" t="s">
        <v>55</v>
      </c>
    </row>
    <row r="30">
      <c r="A30" s="236">
        <v>1.0</v>
      </c>
      <c r="B30" s="237">
        <f>mround('WEEK 42'!B28*0.35,5)</f>
        <v>75</v>
      </c>
      <c r="C30" s="237">
        <v>6.0</v>
      </c>
      <c r="D30" s="238" t="s">
        <v>120</v>
      </c>
      <c r="E30" s="84" t="str">
        <f>IF('WEEK 42'!B30='WEEK 38'!B47,'WEEK 38'!F47,"")</f>
        <v/>
      </c>
      <c r="F30" s="67"/>
    </row>
    <row r="31">
      <c r="A31" s="236">
        <v>2.0</v>
      </c>
      <c r="B31" s="237">
        <f>mround('WEEK 42'!B28*0.65,5)</f>
        <v>145</v>
      </c>
      <c r="C31" s="238">
        <v>3.0</v>
      </c>
      <c r="D31" s="238" t="s">
        <v>121</v>
      </c>
      <c r="E31" s="84" t="str">
        <f>IF('WEEK 42'!B31='WEEK 38'!B48,'WEEK 38'!F48,"")</f>
        <v/>
      </c>
      <c r="F31" s="67"/>
    </row>
    <row r="32">
      <c r="A32" s="242">
        <v>3.0</v>
      </c>
      <c r="B32" s="237">
        <f>mround('WEEK 42'!B28*0.9,5)</f>
        <v>200</v>
      </c>
      <c r="C32" s="63">
        <v>2.0</v>
      </c>
      <c r="D32" s="238" t="s">
        <v>121</v>
      </c>
      <c r="E32" s="84" t="str">
        <f>IF('WEEK 42'!B32='WEEK 38'!B49,'WEEK 38'!F49,"")</f>
        <v/>
      </c>
      <c r="F32" s="67"/>
    </row>
    <row r="33">
      <c r="A33" s="243">
        <v>4.0</v>
      </c>
      <c r="B33" s="237">
        <f>'WEEK 42'!B28</f>
        <v>220</v>
      </c>
      <c r="C33" s="257">
        <v>3.0</v>
      </c>
      <c r="D33" s="238" t="s">
        <v>122</v>
      </c>
      <c r="E33" s="84" t="str">
        <f>IF('WEEK 42'!B33='WEEK 38'!B50,'WEEK 38'!F50,"")</f>
        <v/>
      </c>
      <c r="F33" s="67"/>
    </row>
    <row r="34">
      <c r="A34" s="246" t="str">
        <f>IF('WEEK 42'!F33&lt;3,"PROCEED TO DOWN SETS","NEW 4 REP MAX ATTEMPT")</f>
        <v>PROCEED TO DOWN SETS</v>
      </c>
      <c r="B34" s="20"/>
      <c r="C34" s="20"/>
      <c r="D34" s="20"/>
      <c r="E34" s="20"/>
      <c r="F34" s="95"/>
    </row>
    <row r="35">
      <c r="A35" s="249" t="str">
        <f>if('WEEK 42'!F33&lt;=2,"",5)</f>
        <v/>
      </c>
      <c r="B35" s="175" t="str">
        <f>IF('WEEK 42'!F33&lt;=2,"",'WEEK 42'!B33+5)</f>
        <v/>
      </c>
      <c r="C35" s="238" t="str">
        <f>if('WEEK 42'!F33&lt;=2,"",4)</f>
        <v/>
      </c>
      <c r="D35" s="238" t="str">
        <f>if('WEEK 42'!F33&lt;=2,"","1-5 MIN")</f>
        <v/>
      </c>
      <c r="E35" s="84" t="str">
        <f>IF('WEEK 42'!B35='WEEK 38'!B52,'WEEK 38'!F52,"")</f>
        <v/>
      </c>
      <c r="F35" s="67"/>
    </row>
    <row r="36">
      <c r="A36" s="259" t="str">
        <f>IF('WEEK 42'!F35&lt;4,"","6")</f>
        <v/>
      </c>
      <c r="B36" s="237" t="str">
        <f>IF('WEEK 42'!F35&lt;4,"",'WEEK 42'!B35+5)</f>
        <v/>
      </c>
      <c r="C36" s="257" t="str">
        <f>IF('WEEK 42'!F35&lt;4,"","4")</f>
        <v/>
      </c>
      <c r="D36" s="257" t="str">
        <f>IF('WEEK 42'!F35&lt;4,"","1-5 MIN")</f>
        <v/>
      </c>
      <c r="E36" s="84" t="str">
        <f>IF('WEEK 42'!B36='WEEK 38'!B53,'WEEK 38'!F53,"")</f>
        <v/>
      </c>
      <c r="F36" s="67"/>
    </row>
    <row r="37">
      <c r="A37" s="246" t="s">
        <v>133</v>
      </c>
      <c r="B37" s="20"/>
      <c r="C37" s="20"/>
      <c r="D37" s="20"/>
      <c r="E37" s="20"/>
      <c r="F37" s="95"/>
    </row>
    <row r="38">
      <c r="A38" s="264" t="str">
        <f>IF(OR(ISBLANK('WEEK 42'!F33),ISBLANK('WEEK 42'!F32),ISBLANK('WEEK 42'!F31)),"",IF((AND('WEEK 42'!A35="",'WEEK 42'!A36="")),5,IF((AND('WEEK 42'!A35&gt;1,'WEEK 42'!A36="")),6,7)))</f>
        <v/>
      </c>
      <c r="B38" s="265">
        <f>MROUND('WEEK 42'!B40*0.8,5)</f>
        <v>0</v>
      </c>
      <c r="C38" s="266" t="s">
        <v>65</v>
      </c>
      <c r="D38" s="267" t="s">
        <v>127</v>
      </c>
      <c r="E38" s="84" t="str">
        <f>IF('WEEK 42'!B38='WEEK 38'!B55,'WEEK 38'!F55,"")</f>
        <v/>
      </c>
      <c r="F38" s="67"/>
    </row>
    <row r="39">
      <c r="A39" s="243" t="str">
        <f>IF(OR(ISBLANK('WEEK 42'!F33),ISBLANK('WEEK 42'!F32),ISBLANK('WEEK 42'!F31)),"",IF((AND('WEEK 42'!A35="",'WEEK 42'!A36="")),6,IF((AND('WEEK 42'!A35&gt;1,'WEEK 42'!A36="")),7,8)))</f>
        <v/>
      </c>
      <c r="B39" s="237">
        <f>mround('WEEK 42'!B40*0.7,5)</f>
        <v>0</v>
      </c>
      <c r="C39" s="245" t="s">
        <v>65</v>
      </c>
      <c r="D39" s="65" t="s">
        <v>127</v>
      </c>
      <c r="E39" s="84" t="str">
        <f>IF('WEEK 42'!B39='WEEK 38'!B56,'WEEK 38'!F56,"")</f>
        <v/>
      </c>
      <c r="F39" s="271"/>
    </row>
    <row r="40">
      <c r="A40" s="272" t="s">
        <v>124</v>
      </c>
      <c r="B40" s="273" t="str">
        <f>IF(OR(ISBLANK('WEEK 42'!F33),ISBLANK('WEEK 42'!F32),ISBLANK('WEEK 42'!F31)),"",IF('WEEK 42'!F36&gt;=4,'WEEK 42'!B36,IF('WEEK 42'!F35&gt;=1,'WEEK 42'!B35,IF('WEEK 42'!F33&lt;3,'WEEK 42'!B33-5,'WEEK 42'!B33))))</f>
        <v/>
      </c>
      <c r="C40" s="11"/>
      <c r="D40" s="11"/>
      <c r="E40" s="11"/>
      <c r="F40" s="46"/>
    </row>
    <row r="41">
      <c r="A41" s="292"/>
      <c r="B41" s="292"/>
      <c r="C41" s="292"/>
      <c r="D41" s="292"/>
      <c r="E41" s="292"/>
      <c r="F41" s="292"/>
    </row>
    <row r="42">
      <c r="A42" s="73" t="str">
        <f>HYPERLINK("https://youtu.be/hMUUvL3FlkE","4. HIGH ROW")</f>
        <v>4. HIGH ROW</v>
      </c>
      <c r="B42" s="53"/>
      <c r="C42" s="53"/>
      <c r="D42" s="53"/>
      <c r="E42" s="53"/>
      <c r="F42" s="54"/>
    </row>
    <row r="43">
      <c r="A43" s="282" t="s">
        <v>119</v>
      </c>
      <c r="B43" s="56">
        <f>'WEEK 41'!B69</f>
        <v>210</v>
      </c>
      <c r="C43" s="13"/>
      <c r="D43" s="13"/>
      <c r="E43" s="13"/>
      <c r="F43" s="57"/>
    </row>
    <row r="44">
      <c r="A44" s="58" t="s">
        <v>50</v>
      </c>
      <c r="B44" s="59" t="s">
        <v>51</v>
      </c>
      <c r="C44" s="59" t="s">
        <v>52</v>
      </c>
      <c r="D44" s="59" t="s">
        <v>53</v>
      </c>
      <c r="E44" s="60" t="s">
        <v>54</v>
      </c>
      <c r="F44" s="61" t="s">
        <v>55</v>
      </c>
    </row>
    <row r="45">
      <c r="A45" s="62">
        <v>1.0</v>
      </c>
      <c r="B45" s="63">
        <f>MROUND('WEEK 42'!B43*0.9,5)</f>
        <v>190</v>
      </c>
      <c r="C45" s="104" t="s">
        <v>65</v>
      </c>
      <c r="D45" s="65" t="s">
        <v>127</v>
      </c>
      <c r="E45" s="84" t="str">
        <f>IF('WEEK 42'!B45='WEEK 38'!B62,'WEEK 38'!F62,"")</f>
        <v/>
      </c>
      <c r="F45" s="67"/>
    </row>
    <row r="46">
      <c r="A46" s="62">
        <v>2.0</v>
      </c>
      <c r="B46" s="63">
        <f>IF('WEEK 42'!F45&lt;6,MROUND('WEEK 42'!B43*0.75,5),IF('WEEK 42'!F45&lt;=10,MROUND('WEEK 42'!B43*0.85,5),'WEEK 42'!B45))</f>
        <v>160</v>
      </c>
      <c r="C46" s="104" t="s">
        <v>65</v>
      </c>
      <c r="D46" s="65" t="s">
        <v>127</v>
      </c>
      <c r="E46" s="84" t="str">
        <f>IF('WEEK 42'!B46='WEEK 38'!B63,'WEEK 38'!F63,"")</f>
        <v/>
      </c>
      <c r="F46" s="67"/>
    </row>
    <row r="47">
      <c r="A47" s="68">
        <v>3.0</v>
      </c>
      <c r="B47" s="69">
        <f>IF('WEEK 42'!F46&lt;6,MROUND('WEEK 42'!B43*0.75,5),IF('WEEK 42'!F46&lt;=10,MROUND('WEEK 42'!B43*0.85,5),'WEEK 42'!B46))</f>
        <v>160</v>
      </c>
      <c r="C47" s="105" t="s">
        <v>65</v>
      </c>
      <c r="D47" s="65" t="s">
        <v>127</v>
      </c>
      <c r="E47" s="84" t="str">
        <f>IF('WEEK 42'!B47='WEEK 38'!B64,'WEEK 38'!F64,"")</f>
        <v/>
      </c>
      <c r="F47" s="67"/>
    </row>
    <row r="48">
      <c r="A48" s="657"/>
    </row>
    <row r="50">
      <c r="A50" s="440" t="str">
        <f>HYPERLINK("https://www.youtube.com/watch?v=PnaDzYh2axA","5. LAT PULL DOWN")</f>
        <v>5. LAT PULL DOWN</v>
      </c>
      <c r="B50" s="53"/>
      <c r="C50" s="53"/>
      <c r="D50" s="53"/>
      <c r="E50" s="53"/>
      <c r="F50" s="54"/>
    </row>
    <row r="51">
      <c r="A51" s="282" t="s">
        <v>119</v>
      </c>
      <c r="B51" s="56">
        <f>'WEEK 41'!B57</f>
        <v>240</v>
      </c>
      <c r="C51" s="13"/>
      <c r="D51" s="13"/>
      <c r="E51" s="13"/>
      <c r="F51" s="57"/>
    </row>
    <row r="52">
      <c r="A52" s="58" t="s">
        <v>50</v>
      </c>
      <c r="B52" s="59" t="s">
        <v>51</v>
      </c>
      <c r="C52" s="59" t="s">
        <v>52</v>
      </c>
      <c r="D52" s="59" t="s">
        <v>53</v>
      </c>
      <c r="E52" s="60" t="s">
        <v>54</v>
      </c>
      <c r="F52" s="61" t="s">
        <v>55</v>
      </c>
    </row>
    <row r="53">
      <c r="A53" s="62">
        <v>1.0</v>
      </c>
      <c r="B53" s="63">
        <f>mround('WEEK 42'!B51*0.85,5)</f>
        <v>205</v>
      </c>
      <c r="C53" s="104" t="s">
        <v>65</v>
      </c>
      <c r="D53" s="65" t="s">
        <v>127</v>
      </c>
      <c r="E53" s="84" t="str">
        <f>IF('WEEK 42'!B53='WEEK 38'!B70,'WEEK 38'!F70,"")</f>
        <v/>
      </c>
      <c r="F53" s="67"/>
    </row>
    <row r="54">
      <c r="A54" s="62">
        <v>2.0</v>
      </c>
      <c r="B54" s="663">
        <f>IF('WEEK 42'!F53&lt;6,MROUND('WEEK 42'!B53*0.85,5),IF('WEEK 42'!F53&lt;=10,MROUND('WEEK 42'!B53*0.95,5),'WEEK 42'!B53))</f>
        <v>175</v>
      </c>
      <c r="C54" s="104" t="s">
        <v>65</v>
      </c>
      <c r="D54" s="65" t="s">
        <v>127</v>
      </c>
      <c r="E54" s="84" t="str">
        <f>IF('WEEK 42'!B54='WEEK 38'!B71,'WEEK 38'!F71,"")</f>
        <v/>
      </c>
      <c r="F54" s="67"/>
    </row>
    <row r="55">
      <c r="A55" s="325">
        <v>3.0</v>
      </c>
      <c r="B55" s="663">
        <f>IF('WEEK 42'!F54&lt;6,MROUND('WEEK 42'!B54*0.85,5),IF('WEEK 42'!F54&lt;=10,MROUND('WEEK 42'!B54*0.95,5),'WEEK 42'!B54))</f>
        <v>150</v>
      </c>
      <c r="C55" s="327" t="s">
        <v>65</v>
      </c>
      <c r="D55" s="65" t="s">
        <v>127</v>
      </c>
      <c r="E55" s="84" t="str">
        <f>IF('WEEK 42'!B55='WEEK 38'!B72,'WEEK 38'!F72,"")</f>
        <v/>
      </c>
      <c r="F55" s="665"/>
    </row>
    <row r="56">
      <c r="A56" s="580"/>
      <c r="B56" s="666"/>
      <c r="C56" s="667"/>
      <c r="D56" s="666"/>
      <c r="E56" s="668"/>
      <c r="F56" s="666"/>
    </row>
    <row r="57">
      <c r="A57" s="581" t="str">
        <f>HYPERLINK("https://docs.google.com/a/fitnessresults.com/forms/d/e/1FAIpQLSd7MoczESe8Yjv6BKpmwAZGn9Aiymrs9-UdgfYIUpbr9t5NXg/viewform?usp=pp_url&amp;entry.93370101","CLICK TO COMPLETE WORKOUT")</f>
        <v>CLICK TO COMPLETE WORKOUT</v>
      </c>
      <c r="B57" s="25"/>
      <c r="C57" s="25"/>
      <c r="D57" s="25"/>
      <c r="E57" s="25"/>
      <c r="F57" s="26"/>
    </row>
    <row r="58">
      <c r="A58" s="336"/>
      <c r="B58" s="11"/>
      <c r="C58" s="11"/>
      <c r="D58" s="11"/>
      <c r="E58" s="11"/>
      <c r="F58" s="46"/>
    </row>
    <row r="59">
      <c r="A59" s="582"/>
      <c r="B59" s="582"/>
      <c r="C59" s="582"/>
      <c r="D59" s="582"/>
      <c r="E59" s="582"/>
      <c r="F59" s="582"/>
    </row>
    <row r="60">
      <c r="A60" s="669" t="s">
        <v>128</v>
      </c>
      <c r="B60" s="11"/>
      <c r="C60" s="11"/>
      <c r="D60" s="11"/>
      <c r="E60" s="11"/>
      <c r="F60" s="46"/>
    </row>
    <row r="62">
      <c r="A62" s="1355" t="str">
        <f>HYPERLINK("https://www.youtube.com/watch?v=5UOeRbRoFOI","1. MACHINE SQUAT")</f>
        <v>1. MACHINE SQUAT</v>
      </c>
      <c r="B62" s="53"/>
      <c r="C62" s="53"/>
      <c r="D62" s="53"/>
      <c r="E62" s="53"/>
      <c r="F62" s="54"/>
    </row>
    <row r="63">
      <c r="A63" s="1469" t="s">
        <v>216</v>
      </c>
      <c r="B63" s="1463">
        <f>'WEEK 38'!B93</f>
        <v>35</v>
      </c>
      <c r="F63" s="28"/>
    </row>
    <row r="64">
      <c r="A64" s="231" t="s">
        <v>50</v>
      </c>
      <c r="B64" s="232" t="s">
        <v>51</v>
      </c>
      <c r="C64" s="232" t="s">
        <v>52</v>
      </c>
      <c r="D64" s="232" t="s">
        <v>53</v>
      </c>
      <c r="E64" s="233" t="s">
        <v>54</v>
      </c>
      <c r="F64" s="61" t="s">
        <v>55</v>
      </c>
    </row>
    <row r="65">
      <c r="A65" s="236">
        <v>1.0</v>
      </c>
      <c r="B65" s="237">
        <f>mround('WEEK 42'!B63*0.35,5)</f>
        <v>10</v>
      </c>
      <c r="C65" s="238">
        <v>10.0</v>
      </c>
      <c r="D65" s="238" t="s">
        <v>120</v>
      </c>
      <c r="E65" s="66" t="str">
        <f>IF('WEEK 38'!B83='WEEK 42'!B65,'WEEK 38'!F83,"")</f>
        <v/>
      </c>
      <c r="F65" s="67"/>
    </row>
    <row r="66">
      <c r="A66" s="236">
        <v>2.0</v>
      </c>
      <c r="B66" s="237">
        <f>mround('WEEK 42'!B63*0.65,5)</f>
        <v>25</v>
      </c>
      <c r="C66" s="238">
        <v>10.0</v>
      </c>
      <c r="D66" s="238" t="s">
        <v>121</v>
      </c>
      <c r="E66" s="66" t="str">
        <f>IF('WEEK 38'!B84='WEEK 42'!B66,'WEEK 38'!F84,"")</f>
        <v/>
      </c>
      <c r="F66" s="67"/>
    </row>
    <row r="67">
      <c r="A67" s="242">
        <v>3.0</v>
      </c>
      <c r="B67" s="237">
        <f>mround('WEEK 42'!B63*0.9,5)</f>
        <v>30</v>
      </c>
      <c r="C67" s="238">
        <v>10.0</v>
      </c>
      <c r="D67" s="238" t="s">
        <v>121</v>
      </c>
      <c r="E67" s="66" t="str">
        <f>IF('WEEK 38'!B85='WEEK 42'!B67,'WEEK 38'!F85,"")</f>
        <v/>
      </c>
      <c r="F67" s="67"/>
    </row>
    <row r="68">
      <c r="A68" s="249">
        <v>4.0</v>
      </c>
      <c r="B68" s="175">
        <f>if('WEEK 42'!F67&lt;2,MROUND('WEEK 42'!B67-('WEEK 42'!B67*20%),5),'WEEK 42'!B63)</f>
        <v>25</v>
      </c>
      <c r="C68" s="238">
        <v>10.0</v>
      </c>
      <c r="D68" s="238" t="s">
        <v>122</v>
      </c>
      <c r="E68" s="66" t="str">
        <f>IF('WEEK 38'!B86='WEEK 42'!B68,'WEEK 38'!F86,"")</f>
        <v/>
      </c>
      <c r="F68" s="67"/>
    </row>
    <row r="69">
      <c r="A69" s="249">
        <v>5.0</v>
      </c>
      <c r="B69" s="175">
        <f>IF((AND('WEEK 42'!B68&lt;='WEEK 42'!B67,'WEEK 42'!F68&gt;=2)),'WEEK 42'!B68,IF('WEEK 42'!F68&lt;2,MROUND('WEEK 42'!B68-('WEEK 42'!B68*20%),5),if( 'WEEK 42'!F68&lt;2,,MROUND('WEEK 42'!B68-('WEEK 42'!B68*10%),5),MROUND('WEEK 42'!B68+('WEEK 42'!B68*10%),5))))</f>
        <v>20</v>
      </c>
      <c r="C69" s="238">
        <v>10.0</v>
      </c>
      <c r="D69" s="238" t="s">
        <v>122</v>
      </c>
      <c r="E69" s="66" t="str">
        <f>IF('WEEK 38'!B87='WEEK 42'!B69,'WEEK 38'!F87,"")</f>
        <v/>
      </c>
      <c r="F69" s="1037"/>
    </row>
    <row r="70">
      <c r="A70" s="249">
        <f>if('WEEK 42'!F68&lt;2,6,6)</f>
        <v>6</v>
      </c>
      <c r="B70" s="175">
        <f>IF((AND('WEEK 42'!B69&lt;='WEEK 42'!B68,'WEEK 42'!F69&gt;=2)),'WEEK 42'!B69,IF('WEEK 42'!F69&lt;2,MROUND('WEEK 42'!B69-('WEEK 42'!B69*20%),5),if( 'WEEK 42'!F69&lt;2,,MROUND('WEEK 42'!B69-('WEEK 42'!B69*10%),5),MROUND('WEEK 42'!B69+('WEEK 42'!B69*10%),5))))</f>
        <v>15</v>
      </c>
      <c r="C70" s="238">
        <v>10.0</v>
      </c>
      <c r="D70" s="238" t="s">
        <v>122</v>
      </c>
      <c r="E70" s="66" t="str">
        <f>IF('WEEK 38'!B88='WEEK 42'!B70,'WEEK 38'!F88,"")</f>
        <v/>
      </c>
      <c r="F70" s="67"/>
    </row>
    <row r="71">
      <c r="A71" s="1038">
        <f>IF('WEEK 42'!F70&lt;2,7,"7")</f>
        <v>7</v>
      </c>
      <c r="B71" s="175">
        <f>IF((AND('WEEK 42'!B70&lt;='WEEK 42'!B69,'WEEK 42'!F70&gt;=2)),'WEEK 42'!B70,IF('WEEK 42'!F70&lt;2,MROUND('WEEK 42'!B70-('WEEK 42'!B70*20%),5),if( 'WEEK 42'!F70&lt;2,,MROUND('WEEK 42'!B70-('WEEK 42'!B70*10%),5),MROUND('WEEK 42'!B70+('WEEK 42'!B70*10%),5))))</f>
        <v>10</v>
      </c>
      <c r="C71" s="238">
        <v>10.0</v>
      </c>
      <c r="D71" s="238" t="s">
        <v>122</v>
      </c>
      <c r="E71" s="66" t="str">
        <f>IF('WEEK 38'!B89='WEEK 42'!B71,'WEEK 38'!F89,"")</f>
        <v/>
      </c>
      <c r="F71" s="67"/>
    </row>
    <row r="72">
      <c r="A72" s="249">
        <f>IF('WEEK 42'!F71&lt;2,8,"8")</f>
        <v>8</v>
      </c>
      <c r="B72" s="175">
        <f>IF((AND('WEEK 42'!B71&lt;='WEEK 42'!B70,'WEEK 42'!F71&gt;=2)),'WEEK 42'!B71,IF('WEEK 42'!F71&lt;2,MROUND('WEEK 42'!B71-('WEEK 42'!B71*20%),5),if( 'WEEK 42'!F71&lt;2,,MROUND('WEEK 42'!B71-('WEEK 42'!B71*10%),5),MROUND('WEEK 42'!B71+('WEEK 42'!B71*10%),5))))</f>
        <v>10</v>
      </c>
      <c r="C72" s="238">
        <v>10.0</v>
      </c>
      <c r="D72" s="238" t="s">
        <v>122</v>
      </c>
      <c r="E72" s="66" t="str">
        <f>IF('WEEK 38'!B90='WEEK 42'!B72,'WEEK 38'!F90,"")</f>
        <v/>
      </c>
      <c r="F72" s="67"/>
    </row>
    <row r="73">
      <c r="A73" s="1038">
        <f>IF('WEEK 42'!F72&lt;2,9,"9")</f>
        <v>9</v>
      </c>
      <c r="B73" s="175">
        <f>IF((AND('WEEK 42'!B72&lt;='WEEK 42'!B71,'WEEK 42'!F72&gt;=2)),'WEEK 42'!B72,IF('WEEK 42'!F72&lt;2,MROUND('WEEK 42'!B72-('WEEK 42'!B72*20%),5),if( 'WEEK 42'!F72&lt;2,,MROUND('WEEK 42'!B72-('WEEK 42'!B72*10%),5),MROUND('WEEK 42'!B72+('WEEK 42'!B72*10%),5))))</f>
        <v>10</v>
      </c>
      <c r="C73" s="238">
        <v>10.0</v>
      </c>
      <c r="D73" s="238" t="s">
        <v>122</v>
      </c>
      <c r="E73" s="66" t="str">
        <f>IF('WEEK 38'!B91='WEEK 42'!B73,'WEEK 38'!F91,"")</f>
        <v/>
      </c>
      <c r="F73" s="67"/>
    </row>
    <row r="74">
      <c r="A74" s="1038" t="str">
        <f>IF('WEEK 42'!F73&lt;2,"10","10")</f>
        <v>10</v>
      </c>
      <c r="B74" s="175">
        <f>IF((AND('WEEK 42'!B73&lt;='WEEK 42'!B72,'WEEK 42'!F73&gt;=2)),'WEEK 42'!B73,IF('WEEK 42'!F73&lt;2,MROUND('WEEK 42'!B73-('WEEK 42'!B73*20%),5),if( 'WEEK 42'!F73&lt;2,,MROUND('WEEK 42'!B73-('WEEK 42'!B73*10%),5),MROUND('WEEK 42'!B73+('WEEK 42'!B73*10%),5))))</f>
        <v>10</v>
      </c>
      <c r="C74" s="238">
        <v>10.0</v>
      </c>
      <c r="D74" s="238" t="s">
        <v>122</v>
      </c>
      <c r="E74" s="66" t="str">
        <f>IF('WEEK 38'!B92='WEEK 42'!B74,'WEEK 38'!F92,"")</f>
        <v/>
      </c>
      <c r="F74" s="67"/>
    </row>
    <row r="75">
      <c r="A75" s="272" t="s">
        <v>268</v>
      </c>
      <c r="B75" s="1039">
        <f>IF(OR(ISBLANK('WEEK 42'!F65),ISBLANK('WEEK 42'!F66)),'WEEK 42'!B63,IF((AND('WEEK 42'!F74&gt;=2,'WEEK 42'!B74&gt;'WEEK 42'!B73)),'WEEK 42'!B74,IF((AND('WEEK 42'!F73&gt;=2,'WEEK 42'!B73&gt;'WEEK 42'!B72)),'WEEK 42'!B73,IF((AND('WEEK 42'!F72&gt;=2,'WEEK 42'!B72&gt;'WEEK 42'!B71)),'WEEK 42'!B72,IF((AND('WEEK 42'!F71&gt;=2,'WEEK 42'!B71&gt;'WEEK 42'!B70)),'WEEK 42'!B71,IF((AND('WEEK 42'!F70&gt;=2,'WEEK 42'!B70&gt;'WEEK 42'!B69)),'WEEK 42'!B70,IF((AND('WEEK 42'!F69&gt;=2,'WEEK 42'!B69&gt;'WEEK 42'!B68)),'WEEK 42'!B69,IF((AND('WEEK 42'!F68&gt;=2,'WEEK 42'!B68&gt;'WEEK 42'!B67)),'WEEK 42'!B68,IF((AND('WEEK 42'!F67&gt;=2,'WEEK 42'!B67&gt;'WEEK 42'!B66)),'WEEK 42'!B67,IF((AND('WEEK 42'!F66&gt;=2,'WEEK 42'!B66&gt;'WEEK 42'!B65)),'WEEK 42'!B66))))))))))</f>
        <v>35</v>
      </c>
      <c r="C75" s="11"/>
      <c r="D75" s="11"/>
      <c r="E75" s="11"/>
      <c r="F75" s="46"/>
    </row>
    <row r="78">
      <c r="A78" s="1285" t="str">
        <f>HYPERLINK("https://www.youtube.com/watch?v=NZ9KiFtbiMs","2. LEG EXTENSION")</f>
        <v>2. LEG EXTENSION</v>
      </c>
      <c r="B78" s="53"/>
      <c r="C78" s="53"/>
      <c r="D78" s="53"/>
      <c r="E78" s="53"/>
      <c r="F78" s="54"/>
    </row>
    <row r="79">
      <c r="A79" s="1045" t="s">
        <v>119</v>
      </c>
      <c r="B79" s="1367">
        <f>IF('WEEK 41'!B99='WEEK 41'!B101,'WEEK 41'!B99+5,IF('WEEK 41'!F99&lt;=9,MROUND('WEEK 41'!B97*0.95,5),'WEEK 41'!B99))</f>
        <v>115</v>
      </c>
      <c r="C79" s="20"/>
      <c r="D79" s="20"/>
      <c r="E79" s="20"/>
      <c r="F79" s="95"/>
    </row>
    <row r="80">
      <c r="A80" s="567" t="s">
        <v>50</v>
      </c>
      <c r="B80" s="568" t="s">
        <v>51</v>
      </c>
      <c r="C80" s="568" t="s">
        <v>52</v>
      </c>
      <c r="D80" s="568" t="s">
        <v>53</v>
      </c>
      <c r="E80" s="1047" t="s">
        <v>54</v>
      </c>
      <c r="F80" s="1048" t="s">
        <v>55</v>
      </c>
    </row>
    <row r="81">
      <c r="A81" s="1049">
        <v>1.0</v>
      </c>
      <c r="B81" s="1050">
        <f>'WEEK 42'!B79</f>
        <v>115</v>
      </c>
      <c r="C81" s="1051" t="s">
        <v>61</v>
      </c>
      <c r="D81" s="1430" t="s">
        <v>121</v>
      </c>
      <c r="E81" s="1130" t="str">
        <f>IF('WEEK 41'!B99='WEEK 42'!B81,'WEEK 41'!F99,"")</f>
        <v/>
      </c>
      <c r="F81" s="1017"/>
    </row>
    <row r="82">
      <c r="A82" s="1049">
        <v>2.0</v>
      </c>
      <c r="B82" s="1050">
        <f>if('WEEK 42'!F81&lt;12,mround('WEEK 42'!B81*0.8,5),IF('WEEK 42'!F81&lt;=14,MROUND('WEEK 42'!B81*0.95,5),'WEEK 42'!B81))</f>
        <v>90</v>
      </c>
      <c r="C82" s="1051" t="s">
        <v>61</v>
      </c>
      <c r="D82" s="1430" t="s">
        <v>121</v>
      </c>
      <c r="E82" s="1130" t="str">
        <f>IF('WEEK 41'!B100='WEEK 42'!B82,'WEEK 41'!F100,"")</f>
        <v/>
      </c>
      <c r="F82" s="1017"/>
    </row>
    <row r="83">
      <c r="A83" s="1053">
        <v>3.0</v>
      </c>
      <c r="B83" s="1054">
        <f>if('WEEK 42'!F82&lt;12,mround('WEEK 42'!B82*0.8,5),IF('WEEK 42'!F82&lt;=14,MROUND('WEEK 42'!B82*0.95,5),'WEEK 42'!B82))</f>
        <v>70</v>
      </c>
      <c r="C83" s="1055" t="s">
        <v>61</v>
      </c>
      <c r="D83" s="1430" t="s">
        <v>121</v>
      </c>
      <c r="E83" s="1130" t="str">
        <f>IF('WEEK 41'!B101='WEEK 42'!B83,'WEEK 41'!F101,"")</f>
        <v/>
      </c>
      <c r="F83" s="1017"/>
    </row>
    <row r="86">
      <c r="A86" s="323" t="str">
        <f>HYPERLINK("https://www.youtube.com/watch?v=XepOfsnGFJg","3. MACHINE LEG CURL")</f>
        <v>3. MACHINE LEG CURL</v>
      </c>
      <c r="B86" s="53"/>
      <c r="C86" s="53"/>
      <c r="D86" s="53"/>
      <c r="E86" s="53"/>
      <c r="F86" s="54"/>
      <c r="G86" s="141"/>
      <c r="H86" s="323" t="str">
        <f>HYPERLINK("https://youtu.be/kmN9cJ79PDE","3. PRONE LEG CURL")</f>
        <v>3. PRONE LEG CURL</v>
      </c>
      <c r="I86" s="53"/>
      <c r="J86" s="53"/>
      <c r="K86" s="53"/>
      <c r="L86" s="53"/>
      <c r="M86" s="54"/>
    </row>
    <row r="87">
      <c r="A87" s="1045" t="s">
        <v>119</v>
      </c>
      <c r="B87" s="1367">
        <f>IF('WEEK 41'!B107='WEEK 41'!B109,'WEEK 41'!B107+5,IF('WEEK 41'!F107&lt;=9,MROUND('WEEK 41'!B105*0.95,5),'WEEK 41'!B107))</f>
        <v>110</v>
      </c>
      <c r="C87" s="20"/>
      <c r="D87" s="20"/>
      <c r="E87" s="20"/>
      <c r="F87" s="95"/>
      <c r="H87" s="1045" t="s">
        <v>119</v>
      </c>
      <c r="I87" s="1046">
        <f>'WEEK 42'!B87</f>
        <v>110</v>
      </c>
      <c r="J87" s="13"/>
      <c r="K87" s="13"/>
      <c r="L87" s="13"/>
      <c r="M87" s="57"/>
    </row>
    <row r="88">
      <c r="A88" s="567" t="s">
        <v>50</v>
      </c>
      <c r="B88" s="568" t="s">
        <v>51</v>
      </c>
      <c r="C88" s="568" t="s">
        <v>52</v>
      </c>
      <c r="D88" s="568" t="s">
        <v>53</v>
      </c>
      <c r="E88" s="1047" t="s">
        <v>54</v>
      </c>
      <c r="F88" s="1048" t="s">
        <v>55</v>
      </c>
      <c r="H88" s="567" t="s">
        <v>50</v>
      </c>
      <c r="I88" s="568" t="s">
        <v>51</v>
      </c>
      <c r="J88" s="568" t="s">
        <v>52</v>
      </c>
      <c r="K88" s="568" t="s">
        <v>53</v>
      </c>
      <c r="L88" s="1047" t="s">
        <v>54</v>
      </c>
      <c r="M88" s="1048" t="s">
        <v>55</v>
      </c>
    </row>
    <row r="89">
      <c r="A89" s="1049">
        <v>1.0</v>
      </c>
      <c r="B89" s="1050">
        <f>'WEEK 42'!B87</f>
        <v>110</v>
      </c>
      <c r="C89" s="1051" t="s">
        <v>61</v>
      </c>
      <c r="D89" s="1430" t="s">
        <v>121</v>
      </c>
      <c r="E89" s="1130" t="str">
        <f>IF('WEEK 41'!B107='WEEK 42'!B89,'WEEK 41'!F107,"")</f>
        <v/>
      </c>
      <c r="F89" s="1017"/>
      <c r="G89" s="434" t="s">
        <v>123</v>
      </c>
      <c r="H89" s="1049">
        <v>1.0</v>
      </c>
      <c r="I89" s="1050">
        <f>'WEEK 42'!I87</f>
        <v>110</v>
      </c>
      <c r="J89" s="1051" t="s">
        <v>61</v>
      </c>
      <c r="K89" s="1430" t="s">
        <v>121</v>
      </c>
      <c r="L89" s="1130" t="str">
        <f>IF('WEEK 41'!I107='WEEK 42'!I89,'WEEK 41'!M107,"")</f>
        <v/>
      </c>
      <c r="M89" s="1017"/>
    </row>
    <row r="90">
      <c r="A90" s="1049">
        <v>2.0</v>
      </c>
      <c r="B90" s="1050">
        <f>if('WEEK 42'!F89&lt;12,mround('WEEK 42'!B89*0.8,5),IF('WEEK 42'!F89&lt;=14,MROUND('WEEK 42'!B89*0.95,5),'WEEK 42'!B89))</f>
        <v>90</v>
      </c>
      <c r="C90" s="1051" t="s">
        <v>61</v>
      </c>
      <c r="D90" s="1430" t="s">
        <v>121</v>
      </c>
      <c r="E90" s="1130" t="str">
        <f>IF('WEEK 41'!B108='WEEK 42'!B90,'WEEK 41'!F108,"")</f>
        <v/>
      </c>
      <c r="F90" s="1017"/>
      <c r="H90" s="1049">
        <v>2.0</v>
      </c>
      <c r="I90" s="1050">
        <f>if('WEEK 42'!M89&lt;12,mround('WEEK 42'!I89*0.8,5),IF('WEEK 42'!M89&lt;=14,MROUND('WEEK 42'!I89*0.95,5),'WEEK 42'!I89))</f>
        <v>90</v>
      </c>
      <c r="J90" s="1051" t="s">
        <v>61</v>
      </c>
      <c r="K90" s="1430" t="s">
        <v>121</v>
      </c>
      <c r="L90" s="1130" t="str">
        <f>IF('WEEK 41'!I108='WEEK 42'!I90,'WEEK 41'!M108,"")</f>
        <v/>
      </c>
      <c r="M90" s="1017"/>
    </row>
    <row r="91">
      <c r="A91" s="1053">
        <v>3.0</v>
      </c>
      <c r="B91" s="1054">
        <f>if('WEEK 42'!F90&lt;12,mround('WEEK 42'!B90*0.8,5),IF('WEEK 42'!F90&lt;=14,MROUND('WEEK 42'!B90*0.95,5),'WEEK 42'!B90))</f>
        <v>70</v>
      </c>
      <c r="C91" s="1055" t="s">
        <v>61</v>
      </c>
      <c r="D91" s="1430" t="s">
        <v>121</v>
      </c>
      <c r="E91" s="1130" t="str">
        <f>IF('WEEK 41'!B109='WEEK 42'!B91,'WEEK 41'!F109,"")</f>
        <v/>
      </c>
      <c r="F91" s="1017"/>
      <c r="G91" s="682"/>
      <c r="H91" s="1053">
        <v>3.0</v>
      </c>
      <c r="I91" s="1054">
        <f>if('WEEK 42'!M90&lt;12,mround('WEEK 42'!I90*0.8,5),IF('WEEK 42'!M90&lt;=14,MROUND('WEEK 42'!I90*0.95,5),'WEEK 42'!I90))</f>
        <v>70</v>
      </c>
      <c r="J91" s="1055" t="s">
        <v>61</v>
      </c>
      <c r="K91" s="1430" t="s">
        <v>121</v>
      </c>
      <c r="L91" s="1130" t="str">
        <f>IF('WEEK 41'!I109='WEEK 42'!I91,'WEEK 41'!M109,"")</f>
        <v/>
      </c>
      <c r="M91" s="1017"/>
    </row>
    <row r="92">
      <c r="A92" s="849"/>
      <c r="B92" s="849"/>
      <c r="C92" s="849"/>
      <c r="D92" s="849"/>
      <c r="E92" s="849"/>
      <c r="F92" s="849"/>
      <c r="H92" s="849"/>
      <c r="I92" s="850"/>
      <c r="J92" s="850"/>
      <c r="K92" s="850"/>
      <c r="L92" s="850"/>
      <c r="M92" s="850"/>
    </row>
    <row r="94">
      <c r="A94" s="1120" t="s">
        <v>62</v>
      </c>
      <c r="B94" s="36"/>
      <c r="C94" s="36"/>
      <c r="D94" s="36"/>
      <c r="E94" s="36"/>
      <c r="F94" s="37"/>
    </row>
    <row r="97">
      <c r="A97" s="51" t="s">
        <v>131</v>
      </c>
      <c r="B97" s="36"/>
      <c r="C97" s="36"/>
      <c r="D97" s="36"/>
      <c r="E97" s="36"/>
      <c r="F97" s="37"/>
      <c r="H97" s="51" t="s">
        <v>131</v>
      </c>
      <c r="I97" s="36"/>
      <c r="J97" s="36"/>
      <c r="K97" s="36"/>
      <c r="L97" s="36"/>
      <c r="M97" s="37"/>
    </row>
    <row r="98">
      <c r="A98" s="504" t="str">
        <f>HYPERLINK("https://youtu.be/rmxOkkd2hUk","1. SHOULDER PRESS")</f>
        <v>1. SHOULDER PRESS</v>
      </c>
      <c r="B98" s="53"/>
      <c r="C98" s="53"/>
      <c r="D98" s="53"/>
      <c r="E98" s="53"/>
      <c r="F98" s="54"/>
      <c r="H98" s="778" t="str">
        <f>HYPERLINK("https://www.youtube.com/watch?v=-cSBPE-y38M","1. MACHINE SHOULDER PRESS")</f>
        <v>1. MACHINE SHOULDER PRESS</v>
      </c>
      <c r="I98" s="53"/>
      <c r="J98" s="53"/>
      <c r="K98" s="53"/>
      <c r="L98" s="53"/>
      <c r="M98" s="54"/>
    </row>
    <row r="99">
      <c r="A99" s="589" t="s">
        <v>119</v>
      </c>
      <c r="B99" s="227">
        <f>'WEEK 41'!B117</f>
        <v>80</v>
      </c>
      <c r="C99" s="20"/>
      <c r="D99" s="20"/>
      <c r="E99" s="20"/>
      <c r="F99" s="95"/>
      <c r="H99" s="589" t="s">
        <v>119</v>
      </c>
      <c r="I99" s="227">
        <f>'WEEK 41'!I117</f>
        <v>228</v>
      </c>
      <c r="J99" s="20"/>
      <c r="K99" s="20"/>
      <c r="L99" s="20"/>
      <c r="M99" s="95"/>
    </row>
    <row r="100">
      <c r="A100" s="364" t="s">
        <v>50</v>
      </c>
      <c r="B100" s="365" t="s">
        <v>51</v>
      </c>
      <c r="C100" s="365" t="s">
        <v>52</v>
      </c>
      <c r="D100" s="365" t="s">
        <v>53</v>
      </c>
      <c r="E100" s="609" t="s">
        <v>54</v>
      </c>
      <c r="F100" s="61" t="s">
        <v>55</v>
      </c>
      <c r="H100" s="364" t="s">
        <v>50</v>
      </c>
      <c r="I100" s="365" t="s">
        <v>51</v>
      </c>
      <c r="J100" s="365" t="s">
        <v>52</v>
      </c>
      <c r="K100" s="365" t="s">
        <v>53</v>
      </c>
      <c r="L100" s="609" t="s">
        <v>54</v>
      </c>
      <c r="M100" s="61" t="s">
        <v>55</v>
      </c>
    </row>
    <row r="101">
      <c r="A101" s="236">
        <v>1.0</v>
      </c>
      <c r="B101" s="237">
        <f>mround('WEEK 42'!B99*0.35,5)</f>
        <v>30</v>
      </c>
      <c r="C101" s="237">
        <v>6.0</v>
      </c>
      <c r="D101" s="238" t="s">
        <v>120</v>
      </c>
      <c r="E101" s="66" t="str">
        <f>IF('WEEK 42'!B101='WEEK 33'!B103,'WEEK 33'!F103,"")</f>
        <v/>
      </c>
      <c r="F101" s="67"/>
      <c r="H101" s="236">
        <v>1.0</v>
      </c>
      <c r="I101" s="237">
        <f>mround('WEEK 42'!I99*0.35,5)</f>
        <v>80</v>
      </c>
      <c r="J101" s="237">
        <v>6.0</v>
      </c>
      <c r="K101" s="238" t="s">
        <v>120</v>
      </c>
      <c r="L101" s="66" t="str">
        <f>IF('WEEK 42'!I101='WEEK 33'!I103,'WEEK 33'!M103,"")</f>
        <v/>
      </c>
      <c r="M101" s="67"/>
    </row>
    <row r="102">
      <c r="A102" s="236">
        <v>2.0</v>
      </c>
      <c r="B102" s="237">
        <f>mround('WEEK 42'!B99*0.65,5)</f>
        <v>50</v>
      </c>
      <c r="C102" s="237">
        <v>1.0</v>
      </c>
      <c r="D102" s="238" t="s">
        <v>57</v>
      </c>
      <c r="E102" s="66" t="str">
        <f>IF('WEEK 42'!B102='WEEK 33'!B104,'WEEK 33'!F104,"")</f>
        <v/>
      </c>
      <c r="F102" s="67"/>
      <c r="H102" s="236">
        <v>2.0</v>
      </c>
      <c r="I102" s="237">
        <f>mround('WEEK 42'!I99*0.65,5)</f>
        <v>150</v>
      </c>
      <c r="J102" s="237">
        <v>1.0</v>
      </c>
      <c r="K102" s="238" t="s">
        <v>57</v>
      </c>
      <c r="L102" s="66" t="str">
        <f>IF('WEEK 42'!I102='WEEK 33'!I104,'WEEK 33'!M104,"")</f>
        <v/>
      </c>
      <c r="M102" s="67"/>
    </row>
    <row r="103">
      <c r="A103" s="779">
        <v>3.0</v>
      </c>
      <c r="B103" s="780">
        <f> mround('WEEK 42'!B99*0.85,5)</f>
        <v>70</v>
      </c>
      <c r="C103" s="781" t="s">
        <v>65</v>
      </c>
      <c r="D103" s="782" t="s">
        <v>57</v>
      </c>
      <c r="E103" s="66" t="str">
        <f>IF('WEEK 42'!B103='WEEK 33'!B105,'WEEK 33'!F105,"")</f>
        <v/>
      </c>
      <c r="F103" s="784"/>
      <c r="H103" s="779">
        <v>3.0</v>
      </c>
      <c r="I103" s="780">
        <f> mround('WEEK 42'!I99*0.85,5)</f>
        <v>195</v>
      </c>
      <c r="J103" s="781" t="s">
        <v>65</v>
      </c>
      <c r="K103" s="782" t="s">
        <v>57</v>
      </c>
      <c r="L103" s="66" t="str">
        <f>IF('WEEK 42'!I103='WEEK 33'!I105,'WEEK 33'!M105,"")</f>
        <v/>
      </c>
      <c r="M103" s="784"/>
    </row>
    <row r="104">
      <c r="A104" s="785">
        <v>4.0</v>
      </c>
      <c r="B104" s="388">
        <f>if('WEEK 42'!F103&lt;20,mround('WEEK 42'!B103*0.85,5),'WEEK 42'!B103)</f>
        <v>60</v>
      </c>
      <c r="C104" s="781" t="s">
        <v>65</v>
      </c>
      <c r="D104" s="390" t="s">
        <v>57</v>
      </c>
      <c r="E104" s="66" t="str">
        <f>IF('WEEK 42'!B104='WEEK 33'!B106,'WEEK 33'!F106,"")</f>
        <v/>
      </c>
      <c r="F104" s="392"/>
      <c r="H104" s="785">
        <v>4.0</v>
      </c>
      <c r="I104" s="388">
        <f>if('WEEK 42'!M103&lt;20,mround('WEEK 42'!I103*0.85,5),'WEEK 42'!I103)</f>
        <v>165</v>
      </c>
      <c r="J104" s="781" t="s">
        <v>65</v>
      </c>
      <c r="K104" s="390" t="s">
        <v>57</v>
      </c>
      <c r="L104" s="66" t="str">
        <f>IF('WEEK 42'!I104='WEEK 33'!I106,'WEEK 33'!M106,"")</f>
        <v/>
      </c>
      <c r="M104" s="392"/>
    </row>
    <row r="105">
      <c r="A105" s="787">
        <v>5.0</v>
      </c>
      <c r="B105" s="788">
        <f>if('WEEK 42'!F104&lt;20,mround('WEEK 42'!B104*0.85,2.5),'WEEK 42'!B104)</f>
        <v>50</v>
      </c>
      <c r="C105" s="789" t="s">
        <v>65</v>
      </c>
      <c r="D105" s="397" t="s">
        <v>57</v>
      </c>
      <c r="E105" s="66" t="str">
        <f>IF('WEEK 42'!B105='WEEK 33'!B107,'WEEK 33'!F107,"")</f>
        <v/>
      </c>
      <c r="F105" s="392"/>
      <c r="H105" s="787">
        <v>5.0</v>
      </c>
      <c r="I105" s="788">
        <f>if('WEEK 42'!M104&lt;20,mround('WEEK 42'!I104*0.85,10),'WEEK 42'!I104)</f>
        <v>140</v>
      </c>
      <c r="J105" s="789" t="s">
        <v>65</v>
      </c>
      <c r="K105" s="397" t="s">
        <v>57</v>
      </c>
      <c r="L105" s="66" t="str">
        <f>IF('WEEK 42'!I105='WEEK 33'!I107,'WEEK 33'!M107,"")</f>
        <v/>
      </c>
      <c r="M105" s="392"/>
    </row>
    <row r="108">
      <c r="A108" s="1217" t="str">
        <f>HYPERLINK("https://www.youtube.com/watch?v=XDLQt1j3qUU","2. DUMBBELL REAR DELT FLY ")</f>
        <v>2. DUMBBELL REAR DELT FLY </v>
      </c>
      <c r="B108" s="53"/>
      <c r="C108" s="53"/>
      <c r="D108" s="53"/>
      <c r="E108" s="53"/>
      <c r="F108" s="54"/>
    </row>
    <row r="109">
      <c r="A109" s="1268" t="s">
        <v>134</v>
      </c>
      <c r="B109" s="76">
        <f>mround('WEEK 41'!B126,2.5)</f>
        <v>80</v>
      </c>
      <c r="C109" s="13"/>
      <c r="D109" s="13"/>
      <c r="E109" s="13"/>
      <c r="F109" s="57"/>
    </row>
    <row r="110">
      <c r="A110" s="962" t="s">
        <v>50</v>
      </c>
      <c r="B110" s="963" t="s">
        <v>51</v>
      </c>
      <c r="C110" s="963" t="s">
        <v>52</v>
      </c>
      <c r="D110" s="963" t="s">
        <v>53</v>
      </c>
      <c r="E110" s="1005" t="s">
        <v>54</v>
      </c>
      <c r="F110" s="1006" t="s">
        <v>55</v>
      </c>
    </row>
    <row r="111">
      <c r="A111" s="967">
        <v>1.0</v>
      </c>
      <c r="B111" s="1028">
        <f>MROUND('WEEK 42'!B109*0.2*0.9,2.5)</f>
        <v>15</v>
      </c>
      <c r="C111" s="1067" t="s">
        <v>249</v>
      </c>
      <c r="D111" s="1384" t="s">
        <v>127</v>
      </c>
      <c r="E111" s="66" t="str">
        <f>IF('WEEK 42'!B111='WEEK 41'!B128,'WEEK 41'!F128,"")</f>
        <v/>
      </c>
      <c r="F111" s="1017"/>
    </row>
    <row r="112">
      <c r="A112" s="967">
        <v>2.0</v>
      </c>
      <c r="B112" s="1028">
        <f>if('WEEK 42'!F111&lt;10,mround('WEEK 42'!B111*0.8,2.5),IF('WEEK 42'!F111&lt;15,MROUND('WEEK 42'!B111*0.95,2.5),'WEEK 42'!B111))</f>
        <v>12.5</v>
      </c>
      <c r="C112" s="1067" t="s">
        <v>249</v>
      </c>
      <c r="D112" s="1384" t="s">
        <v>127</v>
      </c>
      <c r="E112" s="66" t="str">
        <f>IF('WEEK 42'!B112='WEEK 41'!B129,'WEEK 41'!F129,"")</f>
        <v/>
      </c>
      <c r="F112" s="1017"/>
    </row>
    <row r="113">
      <c r="A113" s="971">
        <v>3.0</v>
      </c>
      <c r="B113" s="1123">
        <f>if('WEEK 42'!F112&lt;10,mround('WEEK 42'!B112*0.8,2.5),IF('WEEK 42'!F112&lt;15,MROUND('WEEK 42'!B112*0.95,2.5),'WEEK 42'!B112))</f>
        <v>10</v>
      </c>
      <c r="C113" s="1067" t="s">
        <v>249</v>
      </c>
      <c r="D113" s="1384" t="s">
        <v>127</v>
      </c>
      <c r="E113" s="66" t="str">
        <f>IF('WEEK 42'!B113='WEEK 41'!B130,'WEEK 41'!F130,"")</f>
        <v/>
      </c>
      <c r="F113" s="1017"/>
    </row>
    <row r="116">
      <c r="A116" s="1217" t="str">
        <f>HYPERLINK("https://youtu.be/QUNZvtb6mnY","3. DUMBBELL SIDE LATERAL RAISE")</f>
        <v>3. DUMBBELL SIDE LATERAL RAISE</v>
      </c>
      <c r="B116" s="53"/>
      <c r="C116" s="53"/>
      <c r="D116" s="53"/>
      <c r="E116" s="53"/>
      <c r="F116" s="54"/>
    </row>
    <row r="117">
      <c r="A117" s="1268" t="s">
        <v>134</v>
      </c>
      <c r="B117" s="76">
        <f>mround('WEEK 41'!B134,2.5)</f>
        <v>80</v>
      </c>
      <c r="C117" s="13"/>
      <c r="D117" s="13"/>
      <c r="E117" s="13"/>
      <c r="F117" s="57"/>
    </row>
    <row r="118">
      <c r="A118" s="1071" t="s">
        <v>50</v>
      </c>
      <c r="B118" s="1072" t="s">
        <v>51</v>
      </c>
      <c r="C118" s="1072" t="s">
        <v>52</v>
      </c>
      <c r="D118" s="1072" t="s">
        <v>53</v>
      </c>
      <c r="E118" s="1073" t="s">
        <v>54</v>
      </c>
      <c r="F118" s="1006" t="s">
        <v>55</v>
      </c>
    </row>
    <row r="119">
      <c r="A119" s="1074">
        <v>1.0</v>
      </c>
      <c r="B119" s="968">
        <f> mround('WEEK 42'!B117*0.2*0.9,5)</f>
        <v>15</v>
      </c>
      <c r="C119" s="1075" t="s">
        <v>61</v>
      </c>
      <c r="D119" s="1384" t="s">
        <v>127</v>
      </c>
      <c r="E119" s="66" t="str">
        <f>IF('WEEK 42'!B119='WEEK 41'!B136,'WEEK 41'!F136,"")</f>
        <v/>
      </c>
      <c r="F119" s="1017"/>
    </row>
    <row r="120">
      <c r="A120" s="1074">
        <v>2.0</v>
      </c>
      <c r="B120" s="968">
        <f>if('WEEK 42'!F119&lt;15,mround('WEEK 42'!B117*0.15,2.5),'WEEK 42'!B119)</f>
        <v>12.5</v>
      </c>
      <c r="C120" s="1075" t="s">
        <v>61</v>
      </c>
      <c r="D120" s="1384" t="s">
        <v>127</v>
      </c>
      <c r="E120" s="66" t="str">
        <f>IF('WEEK 42'!B120='WEEK 41'!B137,'WEEK 41'!F137,"")</f>
        <v/>
      </c>
      <c r="F120" s="1017"/>
    </row>
    <row r="121">
      <c r="A121" s="1078">
        <v>3.0</v>
      </c>
      <c r="B121" s="972">
        <f>if('WEEK 42'!F120&lt;15,mround('WEEK 42'!B117*0.1,2.5),'WEEK 42'!B120)</f>
        <v>7.5</v>
      </c>
      <c r="C121" s="1079" t="s">
        <v>61</v>
      </c>
      <c r="D121" s="1384" t="s">
        <v>127</v>
      </c>
      <c r="E121" s="66" t="str">
        <f>IF('WEEK 42'!B121='WEEK 41'!B138,'WEEK 41'!F138,"")</f>
        <v/>
      </c>
      <c r="F121" s="1017"/>
    </row>
    <row r="124">
      <c r="A124" s="1442" t="str">
        <f>HYPERLINK("https://www.youtube.com/watch?v=Zt0LwrUdpNs","4.  TRICEP OVERHEAD ROPE EXTENSION")</f>
        <v>4.  TRICEP OVERHEAD ROPE EXTENSION</v>
      </c>
      <c r="B124" s="13"/>
      <c r="C124" s="13"/>
      <c r="D124" s="13"/>
      <c r="E124" s="13"/>
      <c r="F124" s="57"/>
    </row>
    <row r="125">
      <c r="A125" s="961" t="s">
        <v>119</v>
      </c>
      <c r="B125" s="1443">
        <f>IF('WEEK 40'!B136='WEEK 40'!B138,'WEEK 40'!B136+5,IF('WEEK 40'!B136&lt;=15,MROUND('WEEK 40'!F134*0.9,5),'WEEK 40'!B136))</f>
        <v>105</v>
      </c>
      <c r="C125" s="13"/>
      <c r="D125" s="13"/>
      <c r="E125" s="13"/>
      <c r="F125" s="57"/>
    </row>
    <row r="126">
      <c r="A126" s="1444" t="s">
        <v>50</v>
      </c>
      <c r="B126" s="1445" t="s">
        <v>51</v>
      </c>
      <c r="C126" s="1445" t="s">
        <v>52</v>
      </c>
      <c r="D126" s="1446" t="s">
        <v>53</v>
      </c>
      <c r="E126" s="1447" t="s">
        <v>54</v>
      </c>
      <c r="F126" s="1448" t="s">
        <v>55</v>
      </c>
    </row>
    <row r="127">
      <c r="A127" s="387">
        <v>1.0</v>
      </c>
      <c r="B127" s="388">
        <f>'WEEK 42'!B125</f>
        <v>105</v>
      </c>
      <c r="C127" s="1449" t="s">
        <v>61</v>
      </c>
      <c r="D127" s="1433" t="s">
        <v>127</v>
      </c>
      <c r="E127" s="1450" t="str">
        <f>IF('WEEK 40'!B136='WEEK 42'!B127,'WEEK 40'!F136,"")</f>
        <v/>
      </c>
      <c r="F127" s="1451"/>
    </row>
    <row r="128">
      <c r="A128" s="387">
        <v>2.0</v>
      </c>
      <c r="B128" s="388">
        <f>if('WEEK 42'!F127&lt;6,mround('WEEK 42'!B127*0.8,5),IF('WEEK 42'!F127&lt;=14,MROUND('WEEK 42'!B127*0.95,5),'WEEK 42'!B127))</f>
        <v>85</v>
      </c>
      <c r="C128" s="1449" t="s">
        <v>61</v>
      </c>
      <c r="D128" s="1433" t="s">
        <v>127</v>
      </c>
      <c r="E128" s="1450" t="str">
        <f>IF('WEEK 40'!B137='WEEK 42'!B128,'WEEK 40'!F137,"")</f>
        <v/>
      </c>
      <c r="F128" s="1451"/>
    </row>
    <row r="129">
      <c r="A129" s="394">
        <v>3.0</v>
      </c>
      <c r="B129" s="395">
        <f>if('WEEK 42'!F128&lt;6,mround('WEEK 42'!B128*0.8,5),IF('WEEK 42'!F128&lt;=14,MROUND('WEEK 42'!B128*0.95,5),'WEEK 42'!B128))</f>
        <v>70</v>
      </c>
      <c r="C129" s="1461" t="s">
        <v>61</v>
      </c>
      <c r="D129" s="1456" t="s">
        <v>127</v>
      </c>
      <c r="E129" s="1470" t="str">
        <f>IF('WEEK 40'!B138='WEEK 42'!B129,'WEEK 40'!F138,"")</f>
        <v/>
      </c>
      <c r="F129" s="1451"/>
    </row>
    <row r="132">
      <c r="A132" s="1217" t="str">
        <f>HYPERLINK("https://youtu.be/TorWpKwLCSg","5. ALTERNATING DUMBBELL BICEP CURLS")</f>
        <v>5. ALTERNATING DUMBBELL BICEP CURLS</v>
      </c>
      <c r="B132" s="53"/>
      <c r="C132" s="53"/>
      <c r="D132" s="53"/>
      <c r="E132" s="53"/>
      <c r="F132" s="54"/>
    </row>
    <row r="133">
      <c r="A133" s="961" t="s">
        <v>119</v>
      </c>
      <c r="B133" s="839">
        <f>IF('WEEK 39'!B158='WEEK 39'!B160,'WEEK 39'!B158,IF('WEEK 39'!F158&lt;=15,MROUND('WEEK 39'!B156*0.9,5),'WEEK 39'!B158))</f>
        <v>45</v>
      </c>
      <c r="F133" s="28"/>
    </row>
    <row r="134">
      <c r="A134" s="962" t="s">
        <v>50</v>
      </c>
      <c r="B134" s="963" t="s">
        <v>51</v>
      </c>
      <c r="C134" s="963" t="s">
        <v>52</v>
      </c>
      <c r="D134" s="963" t="s">
        <v>53</v>
      </c>
      <c r="E134" s="1073" t="s">
        <v>54</v>
      </c>
      <c r="F134" s="1006" t="s">
        <v>55</v>
      </c>
    </row>
    <row r="135">
      <c r="A135" s="967">
        <v>1.0</v>
      </c>
      <c r="B135" s="968">
        <f> mround('WEEK 42'!B133*0.9,5)</f>
        <v>40</v>
      </c>
      <c r="C135" s="1067" t="s">
        <v>61</v>
      </c>
      <c r="D135" s="1076" t="s">
        <v>57</v>
      </c>
      <c r="E135" s="1235" t="str">
        <f>if('WEEK 42'!B135='WEEK 39'!B158,'WEEK 39'!F158,"")</f>
        <v/>
      </c>
      <c r="F135" s="984">
        <v>10.0</v>
      </c>
    </row>
    <row r="136">
      <c r="A136" s="967">
        <v>2.0</v>
      </c>
      <c r="B136" s="968">
        <f>if('WEEK 42'!F135&lt;10,mround('WEEK 42'!B133*0.35,5),'WEEK 42'!B135)</f>
        <v>15</v>
      </c>
      <c r="C136" s="1067" t="s">
        <v>61</v>
      </c>
      <c r="D136" s="1076" t="s">
        <v>57</v>
      </c>
      <c r="E136" s="1235" t="str">
        <f>if('WEEK 42'!B136='WEEK 39'!B159,'WEEK 39'!F159,"")</f>
        <v/>
      </c>
      <c r="F136" s="984">
        <v>10.0</v>
      </c>
    </row>
    <row r="137">
      <c r="A137" s="971">
        <v>3.0</v>
      </c>
      <c r="B137" s="972">
        <f>if('WEEK 42'!F136&lt;10,mround('WEEK 42'!B136*0.75,5),'WEEK 42'!B136)</f>
        <v>10</v>
      </c>
      <c r="C137" s="1220" t="s">
        <v>61</v>
      </c>
      <c r="D137" s="1080" t="s">
        <v>57</v>
      </c>
      <c r="E137" s="1235" t="str">
        <f>if('WEEK 42'!B137='WEEK 39'!B160,'WEEK 39'!F160,"")</f>
        <v/>
      </c>
      <c r="F137" s="984">
        <v>5.0</v>
      </c>
    </row>
    <row r="140">
      <c r="A140" s="1149" t="s">
        <v>135</v>
      </c>
      <c r="B140" s="36"/>
      <c r="C140" s="36"/>
      <c r="D140" s="36"/>
      <c r="E140" s="36"/>
      <c r="F140" s="37"/>
    </row>
    <row r="141">
      <c r="A141" s="623"/>
      <c r="B141" s="623"/>
      <c r="C141" s="623"/>
      <c r="D141" s="623"/>
      <c r="E141" s="1274"/>
      <c r="F141" s="623"/>
    </row>
    <row r="142">
      <c r="A142" s="1275" t="str">
        <f>HYPERLINK("https://www.amazon.com/30-Minute-Body-Investment-Champion/dp/0692791892/ref=sr_1_1?ie=UTF8&amp;qid=1490447969&amp;sr=8-1&amp;keywords=30+minute+body","WANT TO LEARN MORE?")</f>
        <v>WANT TO LEARN MORE?</v>
      </c>
      <c r="B142" s="25"/>
      <c r="C142" s="25"/>
      <c r="D142" s="25"/>
      <c r="E142" s="25"/>
      <c r="F142" s="26"/>
    </row>
    <row r="143">
      <c r="A143" s="529"/>
      <c r="F143" s="28"/>
    </row>
    <row r="144">
      <c r="A144" s="1276"/>
      <c r="B144" s="999"/>
      <c r="C144" s="1150" t="s">
        <v>67</v>
      </c>
      <c r="F144" s="28"/>
    </row>
    <row r="145">
      <c r="A145" s="1276"/>
      <c r="B145" s="999"/>
      <c r="F145" s="28"/>
    </row>
    <row r="146">
      <c r="A146" s="1276"/>
      <c r="B146" s="999"/>
      <c r="F146" s="28"/>
    </row>
    <row r="147">
      <c r="A147" s="1276"/>
      <c r="B147" s="999"/>
      <c r="F147" s="28"/>
    </row>
    <row r="148">
      <c r="A148" s="1276"/>
      <c r="B148" s="999"/>
      <c r="F148" s="28"/>
    </row>
    <row r="149">
      <c r="A149" s="1276"/>
      <c r="B149" s="999"/>
      <c r="F149" s="28"/>
    </row>
    <row r="150">
      <c r="A150" s="1277"/>
      <c r="B150" s="999"/>
      <c r="F150" s="28"/>
    </row>
    <row r="151">
      <c r="A151" s="1276"/>
      <c r="B151" s="999"/>
      <c r="F151" s="28"/>
    </row>
    <row r="152">
      <c r="A152" s="1276"/>
      <c r="B152" s="999"/>
      <c r="F152" s="28"/>
    </row>
    <row r="153">
      <c r="A153" s="1278"/>
      <c r="B153" s="999"/>
      <c r="F153" s="28"/>
    </row>
    <row r="154">
      <c r="A154" s="1276"/>
      <c r="B154" s="999"/>
      <c r="F154" s="28"/>
    </row>
    <row r="155">
      <c r="A155" s="1276"/>
      <c r="B155" s="999"/>
      <c r="F155" s="28"/>
    </row>
    <row r="156">
      <c r="A156" s="1276"/>
      <c r="B156" s="999"/>
      <c r="F156" s="28"/>
    </row>
    <row r="157">
      <c r="A157" s="1276"/>
      <c r="B157" s="999"/>
      <c r="F157" s="28"/>
    </row>
    <row r="158">
      <c r="A158" s="1279"/>
      <c r="B158" s="1280"/>
      <c r="C158" s="11"/>
      <c r="D158" s="11"/>
      <c r="E158" s="11"/>
      <c r="F158" s="46"/>
    </row>
  </sheetData>
  <mergeCells count="54">
    <mergeCell ref="A86:F86"/>
    <mergeCell ref="H86:M86"/>
    <mergeCell ref="I87:M87"/>
    <mergeCell ref="A94:F94"/>
    <mergeCell ref="A97:F97"/>
    <mergeCell ref="H97:M97"/>
    <mergeCell ref="A98:F98"/>
    <mergeCell ref="H98:M98"/>
    <mergeCell ref="B99:F99"/>
    <mergeCell ref="I99:M99"/>
    <mergeCell ref="H16:M16"/>
    <mergeCell ref="I17:M17"/>
    <mergeCell ref="A9:F9"/>
    <mergeCell ref="H9:M9"/>
    <mergeCell ref="A10:F11"/>
    <mergeCell ref="H10:M10"/>
    <mergeCell ref="A12:F12"/>
    <mergeCell ref="A13:F13"/>
    <mergeCell ref="H15:M15"/>
    <mergeCell ref="A15:F15"/>
    <mergeCell ref="A16:F16"/>
    <mergeCell ref="B17:F17"/>
    <mergeCell ref="A27:F27"/>
    <mergeCell ref="B28:F28"/>
    <mergeCell ref="A34:F34"/>
    <mergeCell ref="A37:F37"/>
    <mergeCell ref="B40:F40"/>
    <mergeCell ref="A42:F42"/>
    <mergeCell ref="B43:F43"/>
    <mergeCell ref="A48:F49"/>
    <mergeCell ref="A50:F50"/>
    <mergeCell ref="B51:F51"/>
    <mergeCell ref="A57:F58"/>
    <mergeCell ref="G86:G88"/>
    <mergeCell ref="G89:G90"/>
    <mergeCell ref="G91:G92"/>
    <mergeCell ref="A60:F60"/>
    <mergeCell ref="A62:F62"/>
    <mergeCell ref="B63:F63"/>
    <mergeCell ref="B75:F75"/>
    <mergeCell ref="A78:F78"/>
    <mergeCell ref="B79:F79"/>
    <mergeCell ref="B87:F87"/>
    <mergeCell ref="B133:F133"/>
    <mergeCell ref="A140:F140"/>
    <mergeCell ref="A142:F143"/>
    <mergeCell ref="C144:F158"/>
    <mergeCell ref="A108:F108"/>
    <mergeCell ref="B109:F109"/>
    <mergeCell ref="A116:F116"/>
    <mergeCell ref="B117:F117"/>
    <mergeCell ref="A124:F124"/>
    <mergeCell ref="B125:F125"/>
    <mergeCell ref="A132:F132"/>
  </mergeCells>
  <dataValidations>
    <dataValidation type="decimal" operator="greaterThanOrEqual" allowBlank="1" showDropDown="1" showErrorMessage="1" sqref="M12:M13 F29:F32 F36 F38 F44:F47 F52:F56">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64:F68 F70">
      <formula1>0.0</formula1>
    </dataValidation>
  </dataValidations>
  <drawing r:id="rId2"/>
  <legacyDrawing r:id="rId3"/>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'MSW42'!A1</f>
        <v/>
      </c>
    </row>
    <row r="8">
      <c r="A8" s="11"/>
      <c r="B8" s="11"/>
      <c r="C8" s="11"/>
      <c r="D8" s="11"/>
      <c r="E8" s="11"/>
      <c r="F8" s="11"/>
      <c r="G8" s="11"/>
      <c r="H8" s="11"/>
      <c r="I8" s="11"/>
      <c r="J8" s="11"/>
      <c r="K8" s="11"/>
      <c r="L8" s="11"/>
      <c r="M8" s="11"/>
    </row>
    <row r="9">
      <c r="A9" s="12" t="str">
        <f>'MSW42'!A9</f>
        <v>Week 42</v>
      </c>
      <c r="B9" s="13"/>
      <c r="C9" s="13"/>
      <c r="D9" s="13"/>
      <c r="E9" s="13"/>
      <c r="F9" s="14"/>
      <c r="G9" s="103" t="str">
        <f>'MSW42'!G9</f>
        <v/>
      </c>
      <c r="H9" s="24" t="s">
        <v>35</v>
      </c>
      <c r="I9" s="25"/>
      <c r="J9" s="25"/>
      <c r="K9" s="25"/>
      <c r="L9" s="25"/>
      <c r="M9" s="26"/>
    </row>
    <row r="10">
      <c r="A10" s="15" t="str">
        <f>'MSW42'!A10</f>
        <v>PRESS TO RECORD BODY WEIGHT</v>
      </c>
      <c r="B10" s="16"/>
      <c r="C10" s="16"/>
      <c r="D10" s="16"/>
      <c r="E10" s="16"/>
      <c r="F10" s="17"/>
      <c r="H10" s="27" t="s">
        <v>380</v>
      </c>
      <c r="M10" s="28"/>
    </row>
    <row r="11">
      <c r="A11" s="18"/>
      <c r="B11" s="13"/>
      <c r="C11" s="13"/>
      <c r="D11" s="13"/>
      <c r="E11" s="13"/>
      <c r="F11" s="14"/>
      <c r="H11" s="29" t="s">
        <v>381</v>
      </c>
      <c r="I11" s="30"/>
      <c r="J11" s="30"/>
      <c r="K11" s="30"/>
      <c r="L11" s="30"/>
      <c r="M11" s="31"/>
    </row>
    <row r="12">
      <c r="A12" s="19" t="str">
        <f>'MSW42'!A12</f>
        <v>This Weeks Goals</v>
      </c>
      <c r="B12" s="20"/>
      <c r="C12" s="20"/>
      <c r="D12" s="20"/>
      <c r="E12" s="20"/>
      <c r="F12" s="21"/>
      <c r="G12" s="103" t="str">
        <f>'MSW42'!G12</f>
        <v/>
      </c>
    </row>
    <row r="13">
      <c r="A13" s="22" t="str">
        <f>'MSW42'!A13</f>
        <v>Get mentally prepared to lift some heavy weights this week. Strive for bettering yourself and achieving those new max reps. Remember keep proper form during all reps or it doesn't really count. No Cheating! Happy lifting. </v>
      </c>
      <c r="B13" s="20"/>
      <c r="C13" s="20"/>
      <c r="D13" s="20"/>
      <c r="E13" s="20"/>
      <c r="F13" s="21"/>
    </row>
    <row r="14">
      <c r="A14" t="str">
        <f>'MSW42'!A14</f>
        <v/>
      </c>
      <c r="B14" t="str">
        <f>'MSW42'!B14</f>
        <v/>
      </c>
      <c r="C14" t="str">
        <f>'MSW42'!C14</f>
        <v/>
      </c>
      <c r="D14" t="str">
        <f>'MSW42'!D14</f>
        <v/>
      </c>
      <c r="E14" s="1248" t="str">
        <f>'MSW42'!E14</f>
        <v/>
      </c>
      <c r="F14" t="str">
        <f>'MSW42'!F14</f>
        <v/>
      </c>
    </row>
    <row r="15">
      <c r="A15" s="51" t="str">
        <f>'MSW42'!A15</f>
        <v>CHEST &amp; BACK </v>
      </c>
      <c r="B15" s="36"/>
      <c r="C15" s="36"/>
      <c r="D15" s="36"/>
      <c r="E15" s="36"/>
      <c r="F15" s="37"/>
      <c r="G15" t="str">
        <f>'MSW42'!G15</f>
        <v/>
      </c>
      <c r="H15" s="51" t="str">
        <f>'MSW42'!H15</f>
        <v>CHEST &amp; BACK </v>
      </c>
      <c r="I15" s="36"/>
      <c r="J15" s="36"/>
      <c r="K15" s="36"/>
      <c r="L15" s="36"/>
      <c r="M15" s="37"/>
    </row>
    <row r="16">
      <c r="A16" s="93" t="str">
        <f>'MSW42'!A16</f>
        <v>1. BENCH PRESS</v>
      </c>
      <c r="B16" s="53"/>
      <c r="C16" s="53"/>
      <c r="D16" s="53"/>
      <c r="E16" s="53"/>
      <c r="F16" s="54"/>
      <c r="H16" s="93" t="str">
        <f>'MSW42'!H16</f>
        <v>1. DUMBELL INCLINE</v>
      </c>
      <c r="I16" s="53"/>
      <c r="J16" s="53"/>
      <c r="K16" s="53"/>
      <c r="L16" s="53"/>
      <c r="M16" s="54"/>
    </row>
    <row r="17">
      <c r="A17" s="226" t="str">
        <f>'MSW42'!A17</f>
        <v>CURRENT MAX</v>
      </c>
      <c r="B17" s="691">
        <f>'MSW42'!B17</f>
        <v>265</v>
      </c>
      <c r="C17" s="13"/>
      <c r="D17" s="13"/>
      <c r="E17" s="13"/>
      <c r="F17" s="57"/>
      <c r="H17" s="226" t="str">
        <f>'MSW42'!H17</f>
        <v>CURRENT MAX</v>
      </c>
      <c r="I17" s="691">
        <f>'MSW42'!I17</f>
        <v>90</v>
      </c>
      <c r="J17" s="13"/>
      <c r="K17" s="13"/>
      <c r="L17" s="13"/>
      <c r="M17" s="57"/>
    </row>
    <row r="18">
      <c r="A18" s="96" t="str">
        <f>'MSW42'!A18</f>
        <v>SET</v>
      </c>
      <c r="B18" s="97" t="str">
        <f>'MSW42'!B18</f>
        <v>WEIGHT</v>
      </c>
      <c r="C18" s="97" t="str">
        <f>'MSW42'!C18</f>
        <v>REPS</v>
      </c>
      <c r="D18" s="97" t="str">
        <f>'MSW42'!D18</f>
        <v>REST</v>
      </c>
      <c r="E18" s="1385" t="str">
        <f>'MSW42'!E18</f>
        <v>PREVIOUS</v>
      </c>
      <c r="F18" s="235" t="str">
        <f>'MSW42'!F18</f>
        <v>REP LOG</v>
      </c>
      <c r="H18" s="96" t="str">
        <f>'MSW42'!H18</f>
        <v>SET</v>
      </c>
      <c r="I18" s="97" t="str">
        <f>'MSW42'!I18</f>
        <v>WEIGHT</v>
      </c>
      <c r="J18" s="97" t="str">
        <f>'MSW42'!J18</f>
        <v>REPS</v>
      </c>
      <c r="K18" s="97" t="str">
        <f>'MSW42'!K18</f>
        <v>REST</v>
      </c>
      <c r="L18" s="341" t="str">
        <f>'MSW42'!L18</f>
        <v>PREVIOUS</v>
      </c>
      <c r="M18" s="235" t="str">
        <f>'MSW42'!M18</f>
        <v>REP LOG</v>
      </c>
    </row>
    <row r="19">
      <c r="A19" s="725">
        <f>'MSW42'!A19</f>
        <v>1</v>
      </c>
      <c r="B19" s="344">
        <f>'MSW42'!B19</f>
        <v>135</v>
      </c>
      <c r="C19" s="1250" t="str">
        <f>'MSW42'!C19</f>
        <v>REP OUT</v>
      </c>
      <c r="D19" s="1251" t="str">
        <f>'MSW42'!D19</f>
        <v>1.5 - 3MIN</v>
      </c>
      <c r="E19" s="84" t="str">
        <f>'MSW42'!E19</f>
        <v/>
      </c>
      <c r="F19" s="85"/>
      <c r="H19" s="342">
        <f>'MSW42'!H19</f>
        <v>1</v>
      </c>
      <c r="I19" s="344">
        <f>'MSW42'!I19</f>
        <v>45</v>
      </c>
      <c r="J19" s="1250" t="str">
        <f>'MSW42'!J19</f>
        <v>REP OUT</v>
      </c>
      <c r="K19" s="343" t="str">
        <f>'MSW42'!K19</f>
        <v>1 MIN</v>
      </c>
      <c r="L19" s="84">
        <f>'MSW42'!L19</f>
        <v>30</v>
      </c>
      <c r="M19" s="85" t="str">
        <f>'MSW42'!M19</f>
        <v/>
      </c>
    </row>
    <row r="20">
      <c r="A20" s="342">
        <f>'MSW42'!A20</f>
        <v>2</v>
      </c>
      <c r="B20" s="344">
        <f>'MSW42'!B20</f>
        <v>135</v>
      </c>
      <c r="C20" s="1250" t="str">
        <f>'MSW42'!C20</f>
        <v>REP OUT</v>
      </c>
      <c r="D20" s="1251" t="str">
        <f>'MSW42'!D20</f>
        <v>1.5 - 3MIN</v>
      </c>
      <c r="E20" s="84" t="str">
        <f>'MSW42'!E20</f>
        <v/>
      </c>
      <c r="F20" s="85"/>
      <c r="H20" s="725" t="str">
        <f>'MSW42'!H20</f>
        <v/>
      </c>
      <c r="I20" s="344" t="str">
        <f>'MSW42'!I20</f>
        <v/>
      </c>
      <c r="J20" s="1250" t="str">
        <f>'MSW42'!J20</f>
        <v/>
      </c>
      <c r="K20" s="343" t="str">
        <f>'MSW42'!K20</f>
        <v/>
      </c>
      <c r="L20" s="84" t="str">
        <f>'MSW42'!L20</f>
        <v/>
      </c>
      <c r="M20" s="85" t="str">
        <f>'MSW42'!M20</f>
        <v/>
      </c>
    </row>
    <row r="21">
      <c r="A21" s="735">
        <f>'MSW42'!A21</f>
        <v>3</v>
      </c>
      <c r="B21" s="1252">
        <f>'MSW42'!B21</f>
        <v>135</v>
      </c>
      <c r="C21" s="1253" t="str">
        <f>'MSW42'!C21</f>
        <v>REP OUT</v>
      </c>
      <c r="D21" s="1254" t="str">
        <f>'MSW42'!D21</f>
        <v>1.5 - 3MIN</v>
      </c>
      <c r="E21" s="84" t="str">
        <f>'MSW42'!E21</f>
        <v/>
      </c>
      <c r="F21" s="330"/>
      <c r="H21" s="725" t="str">
        <f>'MSW42'!H21</f>
        <v/>
      </c>
      <c r="I21" s="344" t="str">
        <f>'MSW42'!I21</f>
        <v/>
      </c>
      <c r="J21" s="1250" t="str">
        <f>'MSW42'!J21</f>
        <v/>
      </c>
      <c r="K21" s="343" t="str">
        <f>'MSW42'!K21</f>
        <v/>
      </c>
      <c r="L21" s="84" t="str">
        <f>'MSW42'!L21</f>
        <v/>
      </c>
      <c r="M21" s="85" t="str">
        <f>'MSW42'!M21</f>
        <v/>
      </c>
    </row>
    <row r="22">
      <c r="A22" s="1471" t="str">
        <f>'MSW42'!A22</f>
        <v/>
      </c>
      <c r="B22" s="25"/>
      <c r="C22" s="25"/>
      <c r="D22" s="25"/>
      <c r="E22" s="25"/>
      <c r="F22" s="25"/>
      <c r="H22" s="725" t="str">
        <f>'MSW42'!H22</f>
        <v/>
      </c>
      <c r="I22" s="344" t="str">
        <f>'MSW42'!I22</f>
        <v/>
      </c>
      <c r="J22" s="1250" t="str">
        <f>'MSW42'!J22</f>
        <v/>
      </c>
      <c r="K22" s="343" t="str">
        <f>'MSW42'!K22</f>
        <v/>
      </c>
      <c r="L22" s="84" t="str">
        <f>'MSW42'!L22</f>
        <v/>
      </c>
      <c r="M22" s="85" t="str">
        <f>'MSW42'!M22</f>
        <v/>
      </c>
    </row>
    <row r="23">
      <c r="H23" s="725" t="str">
        <f>'MSW42'!H23</f>
        <v/>
      </c>
      <c r="I23" s="344" t="str">
        <f>'MSW42'!I23</f>
        <v/>
      </c>
      <c r="J23" s="1250" t="str">
        <f>'MSW42'!J23</f>
        <v/>
      </c>
      <c r="K23" s="343" t="str">
        <f>'MSW42'!K23</f>
        <v/>
      </c>
      <c r="L23" s="84" t="str">
        <f>'MSW42'!L23</f>
        <v/>
      </c>
      <c r="M23" s="85" t="str">
        <f>'MSW42'!M23</f>
        <v/>
      </c>
    </row>
    <row r="24">
      <c r="H24" s="753" t="str">
        <f>'MSW42'!H24</f>
        <v/>
      </c>
      <c r="I24" s="754" t="str">
        <f>'MSW42'!I24</f>
        <v/>
      </c>
      <c r="J24" s="1282" t="str">
        <f>'MSW42'!J24</f>
        <v/>
      </c>
      <c r="K24" s="486" t="str">
        <f>'MSW42'!K24</f>
        <v/>
      </c>
      <c r="L24" s="89" t="str">
        <f>'MSW42'!L24</f>
        <v/>
      </c>
      <c r="M24" s="85" t="str">
        <f>'MSW42'!M24</f>
        <v/>
      </c>
    </row>
    <row r="25">
      <c r="G25" t="str">
        <f>'MSW42'!G25</f>
        <v/>
      </c>
    </row>
    <row r="27">
      <c r="A27" s="73" t="str">
        <f>'MSW42'!A27</f>
        <v>3. MACHINE LOW ROW </v>
      </c>
      <c r="B27" s="53"/>
      <c r="C27" s="53"/>
      <c r="D27" s="53"/>
      <c r="E27" s="53"/>
      <c r="F27" s="54"/>
    </row>
    <row r="28">
      <c r="A28" s="226" t="str">
        <f>'MSW42'!A28</f>
        <v>CURRENT MAX</v>
      </c>
      <c r="B28" s="227">
        <f>'MSW42'!B28</f>
        <v>220</v>
      </c>
      <c r="C28" s="20"/>
      <c r="D28" s="20"/>
      <c r="E28" s="20"/>
      <c r="F28" s="95"/>
    </row>
    <row r="29">
      <c r="A29" s="231" t="str">
        <f>'MSW42'!A29</f>
        <v>SET</v>
      </c>
      <c r="B29" s="232" t="str">
        <f>'MSW42'!B29</f>
        <v>WEIGHT</v>
      </c>
      <c r="C29" s="232" t="str">
        <f>'MSW42'!C29</f>
        <v>REPS</v>
      </c>
      <c r="D29" s="232" t="str">
        <f>'MSW42'!D29</f>
        <v>REST</v>
      </c>
      <c r="E29" s="233" t="str">
        <f>'MSW42'!E29</f>
        <v>PREVIOUS</v>
      </c>
      <c r="F29" s="61" t="str">
        <f>'MSW42'!F29</f>
        <v>REP LOG</v>
      </c>
    </row>
    <row r="30">
      <c r="A30" s="236">
        <f>'MSW42'!A30</f>
        <v>1</v>
      </c>
      <c r="B30" s="237">
        <f>'MSW42'!B30</f>
        <v>75</v>
      </c>
      <c r="C30" s="237">
        <f>'MSW42'!C30</f>
        <v>6</v>
      </c>
      <c r="D30" s="238" t="str">
        <f>'MSW42'!D30</f>
        <v>30s</v>
      </c>
      <c r="E30" s="84" t="str">
        <f>'MSW42'!E30</f>
        <v/>
      </c>
      <c r="F30" s="67"/>
    </row>
    <row r="31">
      <c r="A31" s="236">
        <f>'MSW42'!A31</f>
        <v>2</v>
      </c>
      <c r="B31" s="237">
        <f>'MSW42'!B31</f>
        <v>145</v>
      </c>
      <c r="C31" s="238">
        <f>'MSW42'!C31</f>
        <v>3</v>
      </c>
      <c r="D31" s="238" t="str">
        <f>'MSW42'!D31</f>
        <v>1-2 MIN</v>
      </c>
      <c r="E31" s="84" t="str">
        <f>'MSW42'!E31</f>
        <v/>
      </c>
      <c r="F31" s="67"/>
    </row>
    <row r="32">
      <c r="A32" s="242">
        <f>'MSW42'!A32</f>
        <v>3</v>
      </c>
      <c r="B32" s="237">
        <f>'MSW42'!B32</f>
        <v>200</v>
      </c>
      <c r="C32" s="63">
        <f>'MSW42'!C32</f>
        <v>2</v>
      </c>
      <c r="D32" s="238" t="str">
        <f>'MSW42'!D32</f>
        <v>1-2 MIN</v>
      </c>
      <c r="E32" s="84" t="str">
        <f>'MSW42'!E32</f>
        <v/>
      </c>
      <c r="F32" s="67"/>
    </row>
    <row r="33">
      <c r="A33" s="243">
        <f>'MSW42'!A33</f>
        <v>4</v>
      </c>
      <c r="B33" s="237">
        <f>'MSW42'!B33</f>
        <v>220</v>
      </c>
      <c r="C33" s="257">
        <f>'MSW42'!C33</f>
        <v>3</v>
      </c>
      <c r="D33" s="238" t="str">
        <f>'MSW42'!D33</f>
        <v>1-5 MIN</v>
      </c>
      <c r="E33" s="84" t="str">
        <f>'MSW42'!E33</f>
        <v/>
      </c>
      <c r="F33" s="67"/>
    </row>
    <row r="34">
      <c r="A34" s="246" t="str">
        <f>'MSW42'!A34</f>
        <v>PROCEED TO DOWN SETS</v>
      </c>
      <c r="B34" s="20"/>
      <c r="C34" s="20"/>
      <c r="D34" s="20"/>
      <c r="E34" s="20"/>
      <c r="F34" s="95"/>
    </row>
    <row r="35">
      <c r="A35" s="249" t="str">
        <f>'MSW42'!A35</f>
        <v/>
      </c>
      <c r="B35" s="175" t="str">
        <f>'MSW42'!B35</f>
        <v/>
      </c>
      <c r="C35" s="238" t="str">
        <f>'MSW42'!C35</f>
        <v/>
      </c>
      <c r="D35" s="238" t="str">
        <f>'MSW42'!D35</f>
        <v/>
      </c>
      <c r="E35" s="84" t="str">
        <f>'MSW42'!E35</f>
        <v/>
      </c>
      <c r="F35" s="67"/>
    </row>
    <row r="36">
      <c r="A36" s="259" t="str">
        <f>'MSW42'!A36</f>
        <v/>
      </c>
      <c r="B36" s="237" t="str">
        <f>'MSW42'!B36</f>
        <v/>
      </c>
      <c r="C36" s="257" t="str">
        <f>'MSW42'!C36</f>
        <v/>
      </c>
      <c r="D36" s="257" t="str">
        <f>'MSW42'!D36</f>
        <v/>
      </c>
      <c r="E36" s="84" t="str">
        <f>'MSW42'!E36</f>
        <v/>
      </c>
      <c r="F36" s="67" t="str">
        <f>'MSW42'!F36</f>
        <v/>
      </c>
    </row>
    <row r="37">
      <c r="A37" s="246" t="str">
        <f>'MSW42'!A37</f>
        <v>DOWN SETS</v>
      </c>
      <c r="B37" s="20"/>
      <c r="C37" s="20"/>
      <c r="D37" s="20"/>
      <c r="E37" s="20"/>
      <c r="F37" s="95"/>
    </row>
    <row r="38">
      <c r="A38" s="264" t="str">
        <f>'MSW42'!A38</f>
        <v/>
      </c>
      <c r="B38" s="265">
        <f>'MSW42'!B38</f>
        <v>0</v>
      </c>
      <c r="C38" s="266" t="str">
        <f>'MSW42'!C38</f>
        <v>REP OUT</v>
      </c>
      <c r="D38" s="267" t="str">
        <f>'MSW42'!D38</f>
        <v>1-3 MIN</v>
      </c>
      <c r="E38" s="84" t="str">
        <f>'MSW42'!E38</f>
        <v/>
      </c>
      <c r="F38" s="67" t="str">
        <f>'MSW42'!F38</f>
        <v/>
      </c>
    </row>
    <row r="39">
      <c r="A39" s="243" t="str">
        <f>'MSW42'!A39</f>
        <v/>
      </c>
      <c r="B39" s="237">
        <f>'MSW42'!B39</f>
        <v>0</v>
      </c>
      <c r="C39" s="245" t="str">
        <f>'MSW42'!C39</f>
        <v>REP OUT</v>
      </c>
      <c r="D39" s="65" t="str">
        <f>'MSW42'!D39</f>
        <v>1-3 MIN</v>
      </c>
      <c r="E39" s="84" t="str">
        <f>'MSW42'!E39</f>
        <v/>
      </c>
      <c r="F39" s="271" t="str">
        <f>'MSW42'!F39</f>
        <v/>
      </c>
    </row>
    <row r="40">
      <c r="A40" s="228" t="str">
        <f>'MSW42'!A40</f>
        <v>FINAL MAX</v>
      </c>
      <c r="B40" s="549" t="str">
        <f>'MSW42'!B40</f>
        <v/>
      </c>
      <c r="F40" s="28"/>
    </row>
    <row r="41">
      <c r="A41" s="750" t="str">
        <f>'MSW42'!A41</f>
        <v/>
      </c>
      <c r="B41" s="36"/>
      <c r="C41" s="36"/>
      <c r="D41" s="36"/>
      <c r="E41" s="36"/>
      <c r="F41" s="36"/>
    </row>
    <row r="42">
      <c r="A42" s="751" t="str">
        <f>'MSW42'!A42</f>
        <v>4. HIGH ROW</v>
      </c>
      <c r="B42" s="13"/>
      <c r="C42" s="13"/>
      <c r="D42" s="13"/>
      <c r="E42" s="13"/>
      <c r="F42" s="57"/>
    </row>
    <row r="43">
      <c r="A43" s="226" t="str">
        <f>'MSW42'!A43</f>
        <v>CURRENT MAX</v>
      </c>
      <c r="B43" s="691">
        <f>'MSW42'!B43</f>
        <v>210</v>
      </c>
      <c r="C43" s="13"/>
      <c r="D43" s="13"/>
      <c r="E43" s="13"/>
      <c r="F43" s="57"/>
    </row>
    <row r="44">
      <c r="A44" s="96" t="str">
        <f>'MSW42'!A44</f>
        <v>SET</v>
      </c>
      <c r="B44" s="97" t="str">
        <f>'MSW42'!B44</f>
        <v>WEIGHT</v>
      </c>
      <c r="C44" s="97" t="str">
        <f>'MSW42'!C44</f>
        <v>REPS</v>
      </c>
      <c r="D44" s="97" t="str">
        <f>'MSW42'!D44</f>
        <v>REST</v>
      </c>
      <c r="E44" s="341" t="str">
        <f>'MSW42'!E44</f>
        <v>PREVIOUS</v>
      </c>
      <c r="F44" s="235" t="str">
        <f>'MSW42'!F44</f>
        <v>REP LOG</v>
      </c>
    </row>
    <row r="45">
      <c r="A45" s="725">
        <f>'MSW42'!A45</f>
        <v>1</v>
      </c>
      <c r="B45" s="344">
        <f>'MSW42'!B45</f>
        <v>190</v>
      </c>
      <c r="C45" s="437" t="str">
        <f>'MSW42'!C45</f>
        <v>REP OUT</v>
      </c>
      <c r="D45" s="343" t="str">
        <f>'MSW42'!D45</f>
        <v>1-3 MIN</v>
      </c>
      <c r="E45" s="84" t="str">
        <f>'MSW42'!E45</f>
        <v/>
      </c>
      <c r="F45" s="85"/>
    </row>
    <row r="46">
      <c r="A46" s="725">
        <f>'MSW42'!A46</f>
        <v>2</v>
      </c>
      <c r="B46" s="344">
        <f>'MSW42'!B46</f>
        <v>160</v>
      </c>
      <c r="C46" s="437" t="str">
        <f>'MSW42'!C46</f>
        <v>REP OUT</v>
      </c>
      <c r="D46" s="343" t="str">
        <f>'MSW42'!D46</f>
        <v>1-3 MIN</v>
      </c>
      <c r="E46" s="84" t="str">
        <f>'MSW42'!E46</f>
        <v/>
      </c>
      <c r="F46" s="85"/>
    </row>
    <row r="47">
      <c r="A47" s="753">
        <f>'MSW42'!A47</f>
        <v>3</v>
      </c>
      <c r="B47" s="754">
        <f>'MSW42'!B47</f>
        <v>160</v>
      </c>
      <c r="C47" s="733" t="str">
        <f>'MSW42'!C47</f>
        <v>REP OUT</v>
      </c>
      <c r="D47" s="486" t="str">
        <f>'MSW42'!D47</f>
        <v>1-3 MIN</v>
      </c>
      <c r="E47" s="89" t="str">
        <f>'MSW42'!E47</f>
        <v/>
      </c>
      <c r="F47" s="85"/>
    </row>
    <row r="48">
      <c r="A48" s="756" t="str">
        <f>'MSW42'!A48</f>
        <v/>
      </c>
    </row>
    <row r="50">
      <c r="A50" s="73" t="str">
        <f>'MSW42'!A50</f>
        <v>5. LAT PULL DOWN</v>
      </c>
      <c r="B50" s="53"/>
      <c r="C50" s="53"/>
      <c r="D50" s="53"/>
      <c r="E50" s="53"/>
      <c r="F50" s="54"/>
    </row>
    <row r="51">
      <c r="A51" s="226" t="str">
        <f>'MSW42'!A51</f>
        <v>CURRENT MAX</v>
      </c>
      <c r="B51" s="691">
        <f>'MSW42'!B51</f>
        <v>240</v>
      </c>
      <c r="C51" s="13"/>
      <c r="D51" s="13"/>
      <c r="E51" s="13"/>
      <c r="F51" s="57"/>
    </row>
    <row r="52">
      <c r="A52" s="96" t="str">
        <f>'MSW42'!A52</f>
        <v>SET</v>
      </c>
      <c r="B52" s="97" t="str">
        <f>'MSW42'!B52</f>
        <v>WEIGHT</v>
      </c>
      <c r="C52" s="97" t="str">
        <f>'MSW42'!C52</f>
        <v>REPS</v>
      </c>
      <c r="D52" s="97" t="str">
        <f>'MSW42'!D52</f>
        <v>REST</v>
      </c>
      <c r="E52" s="341" t="str">
        <f>'MSW42'!E52</f>
        <v>PREVIOUS</v>
      </c>
      <c r="F52" s="235" t="str">
        <f>'MSW42'!F52</f>
        <v>REP LOG</v>
      </c>
    </row>
    <row r="53">
      <c r="A53" s="725">
        <f>'MSW42'!A53</f>
        <v>1</v>
      </c>
      <c r="B53" s="344">
        <f>'MSW42'!B53</f>
        <v>205</v>
      </c>
      <c r="C53" s="437" t="str">
        <f>'MSW42'!C53</f>
        <v>REP OUT</v>
      </c>
      <c r="D53" s="343" t="str">
        <f>'MSW42'!D53</f>
        <v>1-3 MIN</v>
      </c>
      <c r="E53" s="84" t="str">
        <f>'MSW42'!E53</f>
        <v/>
      </c>
      <c r="F53" s="85" t="str">
        <f>'MSW42'!F53</f>
        <v/>
      </c>
    </row>
    <row r="54">
      <c r="A54" s="725">
        <f>'MSW42'!A54</f>
        <v>2</v>
      </c>
      <c r="B54" s="344">
        <f>'MSW42'!B54</f>
        <v>175</v>
      </c>
      <c r="C54" s="437" t="str">
        <f>'MSW42'!C54</f>
        <v>REP OUT</v>
      </c>
      <c r="D54" s="343" t="str">
        <f>'MSW42'!D54</f>
        <v>1-3 MIN</v>
      </c>
      <c r="E54" s="84" t="str">
        <f>'MSW42'!E54</f>
        <v/>
      </c>
      <c r="F54" s="85" t="str">
        <f>'MSW42'!F54</f>
        <v/>
      </c>
    </row>
    <row r="55">
      <c r="A55" s="753">
        <f>'MSW42'!A55</f>
        <v>3</v>
      </c>
      <c r="B55" s="754">
        <f>'MSW42'!B55</f>
        <v>150</v>
      </c>
      <c r="C55" s="733" t="str">
        <f>'MSW42'!C55</f>
        <v>REP OUT</v>
      </c>
      <c r="D55" s="486" t="str">
        <f>'MSW42'!D55</f>
        <v>1-3 MIN</v>
      </c>
      <c r="E55" s="89" t="str">
        <f>'MSW42'!E55</f>
        <v/>
      </c>
      <c r="F55" s="85" t="str">
        <f>'MSW42'!F55</f>
        <v/>
      </c>
    </row>
    <row r="56">
      <c r="A56" s="1157" t="str">
        <f>'MSW42'!A56</f>
        <v/>
      </c>
      <c r="F56" s="39"/>
    </row>
    <row r="57">
      <c r="A57" s="310" t="str">
        <f>'MSW42'!A57</f>
        <v>CLICK TO COMPLETE WORKOUT</v>
      </c>
      <c r="B57" s="36"/>
      <c r="C57" s="36"/>
      <c r="D57" s="36"/>
      <c r="E57" s="36"/>
      <c r="F57" s="37"/>
    </row>
    <row r="58">
      <c r="A58" s="1472" t="str">
        <f>'MSW42'!A58</f>
        <v/>
      </c>
    </row>
    <row r="59">
      <c r="A59" s="529"/>
    </row>
    <row r="60">
      <c r="A60" s="50" t="str">
        <f>'MSW42'!A60</f>
        <v>DAY 2 </v>
      </c>
      <c r="B60" s="36"/>
      <c r="C60" s="36"/>
      <c r="D60" s="36"/>
      <c r="E60" s="36"/>
      <c r="F60" s="37"/>
    </row>
    <row r="61">
      <c r="A61" t="str">
        <f>'MSW42'!A61</f>
        <v/>
      </c>
    </row>
    <row r="62">
      <c r="A62" s="1355" t="str">
        <f>'MSW42'!A62</f>
        <v>1. MACHINE SQUAT</v>
      </c>
      <c r="B62" s="53"/>
      <c r="C62" s="53"/>
      <c r="D62" s="53"/>
      <c r="E62" s="53"/>
      <c r="F62" s="54"/>
    </row>
    <row r="63">
      <c r="A63" s="1469" t="str">
        <f>'MSW42'!A63</f>
        <v>4 REP MAX</v>
      </c>
      <c r="B63" s="1463">
        <f>'MSW42'!B63</f>
        <v>35</v>
      </c>
      <c r="F63" s="28"/>
    </row>
    <row r="64">
      <c r="A64" s="231" t="str">
        <f>'MSW42'!A64</f>
        <v>SET</v>
      </c>
      <c r="B64" s="232" t="str">
        <f>'MSW42'!B64</f>
        <v>WEIGHT</v>
      </c>
      <c r="C64" s="232" t="str">
        <f>'MSW42'!C64</f>
        <v>REPS</v>
      </c>
      <c r="D64" s="232" t="str">
        <f>'MSW42'!D64</f>
        <v>REST</v>
      </c>
      <c r="E64" s="233" t="str">
        <f>'MSW42'!E64</f>
        <v>PREVIOUS</v>
      </c>
      <c r="F64" s="61" t="str">
        <f>'MSW42'!F64</f>
        <v>REP LOG</v>
      </c>
    </row>
    <row r="65">
      <c r="A65" s="236">
        <f>'MSW42'!A65</f>
        <v>1</v>
      </c>
      <c r="B65" s="237">
        <f>'MSW42'!B65</f>
        <v>10</v>
      </c>
      <c r="C65" s="238">
        <f>'MSW42'!C65</f>
        <v>10</v>
      </c>
      <c r="D65" s="238" t="str">
        <f>'MSW42'!D65</f>
        <v>30s</v>
      </c>
      <c r="E65" s="66" t="str">
        <f>'MSW42'!E65</f>
        <v/>
      </c>
      <c r="F65" s="67" t="str">
        <f>'MSW42'!F65</f>
        <v/>
      </c>
    </row>
    <row r="66">
      <c r="A66" s="236">
        <f>'MSW42'!A66</f>
        <v>2</v>
      </c>
      <c r="B66" s="237">
        <f>'MSW42'!B66</f>
        <v>25</v>
      </c>
      <c r="C66" s="238">
        <f>'MSW42'!C66</f>
        <v>10</v>
      </c>
      <c r="D66" s="238" t="str">
        <f>'MSW42'!D66</f>
        <v>1-2 MIN</v>
      </c>
      <c r="E66" s="66" t="str">
        <f>'MSW42'!E66</f>
        <v/>
      </c>
      <c r="F66" s="67" t="str">
        <f>'MSW42'!F66</f>
        <v/>
      </c>
    </row>
    <row r="67">
      <c r="A67" s="242">
        <f>'MSW42'!A67</f>
        <v>3</v>
      </c>
      <c r="B67" s="237">
        <f>'MSW42'!B67</f>
        <v>30</v>
      </c>
      <c r="C67" s="238">
        <f>'MSW42'!C67</f>
        <v>10</v>
      </c>
      <c r="D67" s="238" t="str">
        <f>'MSW42'!D67</f>
        <v>1-2 MIN</v>
      </c>
      <c r="E67" s="66" t="str">
        <f>'MSW42'!E67</f>
        <v/>
      </c>
      <c r="F67" s="67" t="str">
        <f>'MSW42'!F67</f>
        <v/>
      </c>
    </row>
    <row r="68">
      <c r="A68" s="249">
        <f>'MSW42'!A68</f>
        <v>4</v>
      </c>
      <c r="B68" s="175">
        <f>'MSW42'!B68</f>
        <v>25</v>
      </c>
      <c r="C68" s="238">
        <f>'MSW42'!C68</f>
        <v>10</v>
      </c>
      <c r="D68" s="238" t="str">
        <f>'MSW42'!D68</f>
        <v>1-5 MIN</v>
      </c>
      <c r="E68" s="66" t="str">
        <f>'MSW42'!E68</f>
        <v/>
      </c>
      <c r="F68" s="67" t="str">
        <f>'MSW42'!F68</f>
        <v/>
      </c>
    </row>
    <row r="69">
      <c r="A69" s="249">
        <f>'MSW42'!A69</f>
        <v>5</v>
      </c>
      <c r="B69" s="175">
        <f>'MSW42'!B69</f>
        <v>20</v>
      </c>
      <c r="C69" s="238">
        <f>'MSW42'!C69</f>
        <v>10</v>
      </c>
      <c r="D69" s="238" t="str">
        <f>'MSW42'!D69</f>
        <v>1-5 MIN</v>
      </c>
      <c r="E69" s="66" t="str">
        <f>'MSW42'!E69</f>
        <v/>
      </c>
      <c r="F69" s="1037" t="str">
        <f>'MSW42'!F69</f>
        <v/>
      </c>
    </row>
    <row r="70">
      <c r="A70" s="249">
        <f>'MSW42'!A70</f>
        <v>6</v>
      </c>
      <c r="B70" s="175">
        <f>'MSW42'!B70</f>
        <v>15</v>
      </c>
      <c r="C70" s="238">
        <f>'MSW42'!C70</f>
        <v>10</v>
      </c>
      <c r="D70" s="238" t="str">
        <f>'MSW42'!D70</f>
        <v>1-5 MIN</v>
      </c>
      <c r="E70" s="66" t="str">
        <f>'MSW42'!E70</f>
        <v/>
      </c>
      <c r="F70" s="67" t="str">
        <f>'MSW42'!F70</f>
        <v/>
      </c>
    </row>
    <row r="71">
      <c r="A71" s="1038">
        <f>'MSW42'!A71</f>
        <v>7</v>
      </c>
      <c r="B71" s="175">
        <f>'MSW42'!B71</f>
        <v>10</v>
      </c>
      <c r="C71" s="238">
        <f>'MSW42'!C71</f>
        <v>10</v>
      </c>
      <c r="D71" s="238" t="str">
        <f>'MSW42'!D71</f>
        <v>1-5 MIN</v>
      </c>
      <c r="E71" s="66" t="str">
        <f>'MSW42'!E71</f>
        <v/>
      </c>
      <c r="F71" s="67" t="str">
        <f>'MSW42'!F71</f>
        <v/>
      </c>
    </row>
    <row r="72">
      <c r="A72" s="249">
        <f>'MSW42'!A72</f>
        <v>8</v>
      </c>
      <c r="B72" s="175">
        <f>'MSW42'!B72</f>
        <v>10</v>
      </c>
      <c r="C72" s="238">
        <f>'MSW42'!C72</f>
        <v>10</v>
      </c>
      <c r="D72" s="238" t="str">
        <f>'MSW42'!D72</f>
        <v>1-5 MIN</v>
      </c>
      <c r="E72" s="66" t="str">
        <f>'MSW42'!E72</f>
        <v/>
      </c>
      <c r="F72" s="67" t="str">
        <f>'MSW42'!F72</f>
        <v/>
      </c>
    </row>
    <row r="73">
      <c r="A73" s="1038">
        <f>'MSW42'!A73</f>
        <v>9</v>
      </c>
      <c r="B73" s="175">
        <f>'MSW42'!B73</f>
        <v>10</v>
      </c>
      <c r="C73" s="238">
        <f>'MSW42'!C73</f>
        <v>10</v>
      </c>
      <c r="D73" s="238" t="str">
        <f>'MSW42'!D73</f>
        <v>1-5 MIN</v>
      </c>
      <c r="E73" s="66" t="str">
        <f>'MSW42'!E73</f>
        <v/>
      </c>
      <c r="F73" s="67" t="str">
        <f>'MSW42'!F73</f>
        <v/>
      </c>
    </row>
    <row r="74">
      <c r="A74" s="1038" t="str">
        <f>'MSW42'!A74</f>
        <v>10</v>
      </c>
      <c r="B74" s="175">
        <f>'MSW42'!B74</f>
        <v>10</v>
      </c>
      <c r="C74" s="238">
        <f>'MSW42'!C74</f>
        <v>10</v>
      </c>
      <c r="D74" s="238" t="str">
        <f>'MSW42'!D74</f>
        <v>1-5 MIN</v>
      </c>
      <c r="E74" s="66" t="str">
        <f>'MSW42'!E74</f>
        <v/>
      </c>
      <c r="F74" s="67" t="str">
        <f>'MSW42'!F74</f>
        <v/>
      </c>
    </row>
    <row r="75">
      <c r="A75" s="272" t="str">
        <f>'MSW42'!A75</f>
        <v>2 REP MAX</v>
      </c>
      <c r="B75" s="1039">
        <f>'MSW42'!B75</f>
        <v>35</v>
      </c>
      <c r="C75" s="11"/>
      <c r="D75" s="11"/>
      <c r="E75" s="11"/>
      <c r="F75" s="46"/>
    </row>
    <row r="76">
      <c r="A76" t="str">
        <f>'MSW42'!A76</f>
        <v/>
      </c>
    </row>
    <row r="78">
      <c r="A78" s="1285" t="str">
        <f>'MSW42'!A78</f>
        <v>2. LEG EXTENSION</v>
      </c>
      <c r="B78" s="53"/>
      <c r="C78" s="53"/>
      <c r="D78" s="53"/>
      <c r="E78" s="53"/>
      <c r="F78" s="54"/>
    </row>
    <row r="79">
      <c r="A79" s="1045" t="str">
        <f>'MSW42'!A79</f>
        <v>CURRENT MAX</v>
      </c>
      <c r="B79" s="1367">
        <f>'MSW42'!B79</f>
        <v>115</v>
      </c>
      <c r="C79" s="20"/>
      <c r="D79" s="20"/>
      <c r="E79" s="20"/>
      <c r="F79" s="95"/>
    </row>
    <row r="80">
      <c r="A80" s="567" t="str">
        <f>'MSW42'!A80</f>
        <v>SET</v>
      </c>
      <c r="B80" s="568" t="str">
        <f>'MSW42'!B80</f>
        <v>WEIGHT</v>
      </c>
      <c r="C80" s="568" t="str">
        <f>'MSW42'!C80</f>
        <v>REPS</v>
      </c>
      <c r="D80" s="568" t="str">
        <f>'MSW42'!D80</f>
        <v>REST</v>
      </c>
      <c r="E80" s="1047" t="str">
        <f>'MSW42'!E80</f>
        <v>PREVIOUS</v>
      </c>
      <c r="F80" s="1048" t="str">
        <f>'MSW42'!F80</f>
        <v>REP LOG</v>
      </c>
    </row>
    <row r="81">
      <c r="A81" s="1049">
        <f>'MSW42'!A81</f>
        <v>1</v>
      </c>
      <c r="B81" s="1050">
        <f>'MSW42'!B81</f>
        <v>115</v>
      </c>
      <c r="C81" s="1051" t="str">
        <f>'MSW42'!C81</f>
        <v>10 - 15</v>
      </c>
      <c r="D81" s="1430" t="str">
        <f>'MSW42'!D81</f>
        <v>1-2 MIN</v>
      </c>
      <c r="E81" s="1130" t="str">
        <f>'MSW42'!E81</f>
        <v/>
      </c>
      <c r="F81" s="1017" t="str">
        <f>'MSW42'!F81</f>
        <v/>
      </c>
    </row>
    <row r="82">
      <c r="A82" s="1049">
        <f>'MSW42'!A82</f>
        <v>2</v>
      </c>
      <c r="B82" s="1050">
        <f>'MSW42'!B82</f>
        <v>90</v>
      </c>
      <c r="C82" s="1051" t="str">
        <f>'MSW42'!C82</f>
        <v>10 - 15</v>
      </c>
      <c r="D82" s="1430" t="str">
        <f>'MSW42'!D82</f>
        <v>1-2 MIN</v>
      </c>
      <c r="E82" s="1130" t="str">
        <f>'MSW42'!E82</f>
        <v/>
      </c>
      <c r="F82" s="1017" t="str">
        <f>'MSW42'!F82</f>
        <v/>
      </c>
    </row>
    <row r="83">
      <c r="A83" s="1053">
        <f>'MSW42'!A83</f>
        <v>3</v>
      </c>
      <c r="B83" s="1054">
        <f>'MSW42'!B83</f>
        <v>70</v>
      </c>
      <c r="C83" s="1055" t="str">
        <f>'MSW42'!C83</f>
        <v>10 - 15</v>
      </c>
      <c r="D83" s="1453" t="str">
        <f>'MSW42'!D83</f>
        <v>1-2 MIN</v>
      </c>
      <c r="E83" s="1348" t="str">
        <f>'MSW42'!E83</f>
        <v/>
      </c>
      <c r="F83" s="1017" t="str">
        <f>'MSW42'!F83</f>
        <v/>
      </c>
    </row>
    <row r="84">
      <c r="A84" t="str">
        <f>'MSW42'!A84</f>
        <v/>
      </c>
    </row>
    <row r="86">
      <c r="A86" s="323" t="str">
        <f>'MSW42'!A86</f>
        <v>3. MACHINE LEG CURL</v>
      </c>
      <c r="B86" s="53"/>
      <c r="C86" s="53"/>
      <c r="D86" s="53"/>
      <c r="E86" s="53"/>
      <c r="F86" s="54"/>
      <c r="G86" s="141" t="str">
        <f>'MSW42'!G86</f>
        <v/>
      </c>
      <c r="H86" s="323" t="str">
        <f>'MSW42'!H86</f>
        <v>3. PRONE LEG CURL</v>
      </c>
      <c r="I86" s="53"/>
      <c r="J86" s="53"/>
      <c r="K86" s="53"/>
      <c r="L86" s="53"/>
      <c r="M86" s="54"/>
    </row>
    <row r="87">
      <c r="A87" s="1045" t="str">
        <f>'MSW42'!A87</f>
        <v>CURRENT MAX</v>
      </c>
      <c r="B87" s="1367">
        <f>'MSW42'!B87</f>
        <v>110</v>
      </c>
      <c r="C87" s="20"/>
      <c r="D87" s="20"/>
      <c r="E87" s="20"/>
      <c r="F87" s="95"/>
      <c r="H87" s="1045" t="str">
        <f>'MSW42'!H87</f>
        <v>CURRENT MAX</v>
      </c>
      <c r="I87" s="1046">
        <f>'MSW42'!I87</f>
        <v>110</v>
      </c>
      <c r="J87" s="13"/>
      <c r="K87" s="13"/>
      <c r="L87" s="13"/>
      <c r="M87" s="57"/>
    </row>
    <row r="88">
      <c r="A88" s="567" t="str">
        <f>'MSW42'!A88</f>
        <v>SET</v>
      </c>
      <c r="B88" s="568" t="str">
        <f>'MSW42'!B88</f>
        <v>WEIGHT</v>
      </c>
      <c r="C88" s="568" t="str">
        <f>'MSW42'!C88</f>
        <v>REPS</v>
      </c>
      <c r="D88" s="568" t="str">
        <f>'MSW42'!D88</f>
        <v>REST</v>
      </c>
      <c r="E88" s="1047" t="str">
        <f>'MSW42'!E88</f>
        <v>PREVIOUS</v>
      </c>
      <c r="F88" s="1048" t="str">
        <f>'MSW42'!F88</f>
        <v>REP LOG</v>
      </c>
      <c r="H88" s="567" t="str">
        <f>'MSW42'!H88</f>
        <v>SET</v>
      </c>
      <c r="I88" s="568" t="str">
        <f>'MSW42'!I88</f>
        <v>WEIGHT</v>
      </c>
      <c r="J88" s="568" t="str">
        <f>'MSW42'!J88</f>
        <v>REPS</v>
      </c>
      <c r="K88" s="568" t="str">
        <f>'MSW42'!K88</f>
        <v>REST</v>
      </c>
      <c r="L88" s="1047" t="str">
        <f>'MSW42'!L88</f>
        <v>PREVIOUS</v>
      </c>
      <c r="M88" s="1048" t="str">
        <f>'MSW42'!M88</f>
        <v>REP LOG</v>
      </c>
    </row>
    <row r="89">
      <c r="A89" s="1049">
        <f>'MSW42'!A89</f>
        <v>1</v>
      </c>
      <c r="B89" s="1050">
        <f>'MSW42'!B89</f>
        <v>110</v>
      </c>
      <c r="C89" s="1051" t="str">
        <f>'MSW42'!C89</f>
        <v>10 - 15</v>
      </c>
      <c r="D89" s="1430" t="str">
        <f>'MSW42'!D89</f>
        <v>1-2 MIN</v>
      </c>
      <c r="E89" s="1130" t="str">
        <f>'MSW42'!E89</f>
        <v/>
      </c>
      <c r="F89" s="1017" t="str">
        <f>'MSW42'!F89</f>
        <v/>
      </c>
      <c r="G89" s="434" t="str">
        <f>'MSW42'!G89</f>
        <v>ALTERNATE</v>
      </c>
      <c r="H89" s="1049">
        <f>'MSW42'!H89</f>
        <v>1</v>
      </c>
      <c r="I89" s="1050">
        <f>'MSW42'!I89</f>
        <v>110</v>
      </c>
      <c r="J89" s="1051" t="str">
        <f>'MSW42'!J89</f>
        <v>10 - 15</v>
      </c>
      <c r="K89" s="1430" t="str">
        <f>'MSW42'!K89</f>
        <v>1-2 MIN</v>
      </c>
      <c r="L89" s="1130" t="str">
        <f>'MSW42'!L89</f>
        <v/>
      </c>
      <c r="M89" s="1017" t="str">
        <f>'MSW42'!M89</f>
        <v/>
      </c>
    </row>
    <row r="90">
      <c r="A90" s="1049">
        <f>'MSW42'!A90</f>
        <v>2</v>
      </c>
      <c r="B90" s="1050">
        <f>'MSW42'!B90</f>
        <v>90</v>
      </c>
      <c r="C90" s="1051" t="str">
        <f>'MSW42'!C90</f>
        <v>10 - 15</v>
      </c>
      <c r="D90" s="1430" t="str">
        <f>'MSW42'!D90</f>
        <v>1-2 MIN</v>
      </c>
      <c r="E90" s="1130" t="str">
        <f>'MSW42'!E90</f>
        <v/>
      </c>
      <c r="F90" s="1017" t="str">
        <f>'MSW42'!F90</f>
        <v/>
      </c>
      <c r="H90" s="1049">
        <f>'MSW42'!H90</f>
        <v>2</v>
      </c>
      <c r="I90" s="1050">
        <f>'MSW42'!I90</f>
        <v>90</v>
      </c>
      <c r="J90" s="1051" t="str">
        <f>'MSW42'!J90</f>
        <v>10 - 15</v>
      </c>
      <c r="K90" s="1430" t="str">
        <f>'MSW42'!K90</f>
        <v>1-2 MIN</v>
      </c>
      <c r="L90" s="1130" t="str">
        <f>'MSW42'!L90</f>
        <v/>
      </c>
      <c r="M90" s="1017" t="str">
        <f>'MSW42'!M90</f>
        <v/>
      </c>
    </row>
    <row r="91">
      <c r="A91" s="1053">
        <f>'MSW42'!A91</f>
        <v>3</v>
      </c>
      <c r="B91" s="1054">
        <f>'MSW42'!B91</f>
        <v>70</v>
      </c>
      <c r="C91" s="1055" t="str">
        <f>'MSW42'!C91</f>
        <v>10 - 15</v>
      </c>
      <c r="D91" s="1453" t="str">
        <f>'MSW42'!D91</f>
        <v>1-2 MIN</v>
      </c>
      <c r="E91" s="1348" t="str">
        <f>'MSW42'!E91</f>
        <v/>
      </c>
      <c r="F91" s="1017" t="str">
        <f>'MSW42'!F91</f>
        <v/>
      </c>
      <c r="G91" s="682" t="str">
        <f>'MSW42'!G91</f>
        <v/>
      </c>
      <c r="H91" s="1053">
        <f>'MSW42'!H91</f>
        <v>3</v>
      </c>
      <c r="I91" s="1054">
        <f>'MSW42'!I91</f>
        <v>70</v>
      </c>
      <c r="J91" s="1055" t="str">
        <f>'MSW42'!J91</f>
        <v>10 - 15</v>
      </c>
      <c r="K91" s="1453" t="str">
        <f>'MSW42'!K91</f>
        <v>1-2 MIN</v>
      </c>
      <c r="L91" s="1348" t="str">
        <f>'MSW42'!L91</f>
        <v/>
      </c>
      <c r="M91" s="1017" t="str">
        <f>'MSW42'!M91</f>
        <v/>
      </c>
    </row>
    <row r="92">
      <c r="A92" s="849" t="str">
        <f>'MSW42'!A92</f>
        <v/>
      </c>
      <c r="G92" s="849" t="str">
        <f>'MSW42'!H92</f>
        <v/>
      </c>
    </row>
    <row r="94">
      <c r="A94" s="1120" t="str">
        <f>'MSW42'!A94</f>
        <v>DAY 3</v>
      </c>
      <c r="B94" s="36"/>
      <c r="C94" s="36"/>
      <c r="D94" s="36"/>
      <c r="E94" s="36"/>
      <c r="F94" s="37"/>
    </row>
    <row r="95">
      <c r="A95" t="str">
        <f>'MSW42'!A95</f>
        <v/>
      </c>
    </row>
    <row r="97">
      <c r="A97" s="51" t="str">
        <f>'MSW42'!A97</f>
        <v>SHOULDERS &amp; ARMS</v>
      </c>
      <c r="B97" s="36"/>
      <c r="C97" s="36"/>
      <c r="D97" s="36"/>
      <c r="E97" s="36"/>
      <c r="F97" s="37"/>
      <c r="G97" t="str">
        <f>'MSW42'!G97</f>
        <v/>
      </c>
      <c r="H97" s="51" t="str">
        <f>'MSW42'!H97</f>
        <v>SHOULDERS &amp; ARMS</v>
      </c>
      <c r="I97" s="36"/>
      <c r="J97" s="36"/>
      <c r="K97" s="36"/>
      <c r="L97" s="36"/>
      <c r="M97" s="37"/>
    </row>
    <row r="98">
      <c r="A98" s="504" t="str">
        <f>'MSW42'!A98</f>
        <v>1. SHOULDER PRESS</v>
      </c>
      <c r="B98" s="53"/>
      <c r="C98" s="53"/>
      <c r="D98" s="53"/>
      <c r="E98" s="53"/>
      <c r="F98" s="54"/>
      <c r="H98" s="778" t="str">
        <f>'MSW42'!H98</f>
        <v>1. MACHINE SHOULDER PRESS</v>
      </c>
      <c r="I98" s="53"/>
      <c r="J98" s="53"/>
      <c r="K98" s="53"/>
      <c r="L98" s="53"/>
      <c r="M98" s="54"/>
    </row>
    <row r="99">
      <c r="A99" s="589" t="str">
        <f>'MSW42'!A99</f>
        <v>CURRENT MAX</v>
      </c>
      <c r="B99" s="227">
        <f>'MSW42'!B99</f>
        <v>80</v>
      </c>
      <c r="C99" s="20"/>
      <c r="D99" s="20"/>
      <c r="E99" s="20"/>
      <c r="F99" s="95"/>
      <c r="H99" s="589" t="str">
        <f>'MSW42'!H99</f>
        <v>CURRENT MAX</v>
      </c>
      <c r="I99" s="227">
        <f>'MSW42'!I99</f>
        <v>228</v>
      </c>
      <c r="J99" s="20"/>
      <c r="K99" s="20"/>
      <c r="L99" s="20"/>
      <c r="M99" s="95"/>
    </row>
    <row r="100">
      <c r="A100" s="364" t="str">
        <f>'MSW42'!A100</f>
        <v>SET</v>
      </c>
      <c r="B100" s="365" t="str">
        <f>'MSW42'!B100</f>
        <v>WEIGHT</v>
      </c>
      <c r="C100" s="365" t="str">
        <f>'MSW42'!C100</f>
        <v>REPS</v>
      </c>
      <c r="D100" s="365" t="str">
        <f>'MSW42'!D100</f>
        <v>REST</v>
      </c>
      <c r="E100" s="609" t="str">
        <f>'MSW42'!E100</f>
        <v>PREVIOUS</v>
      </c>
      <c r="F100" s="61" t="str">
        <f>'MSW42'!F100</f>
        <v>REP LOG</v>
      </c>
      <c r="H100" s="364" t="str">
        <f>'MSW42'!H100</f>
        <v>SET</v>
      </c>
      <c r="I100" s="365" t="str">
        <f>'MSW42'!I100</f>
        <v>WEIGHT</v>
      </c>
      <c r="J100" s="365" t="str">
        <f>'MSW42'!J100</f>
        <v>REPS</v>
      </c>
      <c r="K100" s="365" t="str">
        <f>'MSW42'!K100</f>
        <v>REST</v>
      </c>
      <c r="L100" s="609" t="str">
        <f>'MSW42'!L100</f>
        <v>PREVIOUS</v>
      </c>
      <c r="M100" s="61" t="str">
        <f>'MSW42'!M100</f>
        <v>REP LOG</v>
      </c>
    </row>
    <row r="101">
      <c r="A101" s="236">
        <f>'MSW42'!A101</f>
        <v>1</v>
      </c>
      <c r="B101" s="237">
        <f>'MSW42'!B101</f>
        <v>30</v>
      </c>
      <c r="C101" s="237">
        <f>'MSW42'!C101</f>
        <v>6</v>
      </c>
      <c r="D101" s="238" t="str">
        <f>'MSW42'!D101</f>
        <v>30s</v>
      </c>
      <c r="E101" s="66" t="str">
        <f>'MSW42'!E101</f>
        <v/>
      </c>
      <c r="F101" s="67"/>
      <c r="H101" s="236">
        <f>'MSW42'!H101</f>
        <v>1</v>
      </c>
      <c r="I101" s="237">
        <f>'MSW42'!I101</f>
        <v>80</v>
      </c>
      <c r="J101" s="237">
        <f>'MSW42'!J101</f>
        <v>6</v>
      </c>
      <c r="K101" s="238" t="str">
        <f>'MSW42'!K101</f>
        <v>30s</v>
      </c>
      <c r="L101" s="66" t="str">
        <f>'MSW42'!L101</f>
        <v/>
      </c>
      <c r="M101" s="67"/>
    </row>
    <row r="102">
      <c r="A102" s="236">
        <f>'MSW42'!A102</f>
        <v>2</v>
      </c>
      <c r="B102" s="237">
        <f>'MSW42'!B102</f>
        <v>50</v>
      </c>
      <c r="C102" s="237">
        <f>'MSW42'!C102</f>
        <v>1</v>
      </c>
      <c r="D102" s="238" t="str">
        <f>'MSW42'!D102</f>
        <v>1 MIN</v>
      </c>
      <c r="E102" s="66" t="str">
        <f>'MSW42'!E102</f>
        <v/>
      </c>
      <c r="F102" s="67"/>
      <c r="H102" s="236">
        <f>'MSW42'!H102</f>
        <v>2</v>
      </c>
      <c r="I102" s="237">
        <f>'MSW42'!I102</f>
        <v>150</v>
      </c>
      <c r="J102" s="237">
        <f>'MSW42'!J102</f>
        <v>1</v>
      </c>
      <c r="K102" s="238" t="str">
        <f>'MSW42'!K102</f>
        <v>1 MIN</v>
      </c>
      <c r="L102" s="66" t="str">
        <f>'MSW42'!L102</f>
        <v/>
      </c>
      <c r="M102" s="67"/>
    </row>
    <row r="103">
      <c r="A103" s="779">
        <f>'MSW42'!A103</f>
        <v>3</v>
      </c>
      <c r="B103" s="780">
        <f>'MSW42'!B103</f>
        <v>70</v>
      </c>
      <c r="C103" s="781" t="str">
        <f>'MSW42'!C103</f>
        <v>REP OUT</v>
      </c>
      <c r="D103" s="782" t="str">
        <f>'MSW42'!D103</f>
        <v>1 MIN</v>
      </c>
      <c r="E103" s="66" t="str">
        <f>'MSW42'!E103</f>
        <v/>
      </c>
      <c r="F103" s="1121"/>
      <c r="H103" s="779">
        <f>'MSW42'!H103</f>
        <v>3</v>
      </c>
      <c r="I103" s="780">
        <f>'MSW42'!I103</f>
        <v>195</v>
      </c>
      <c r="J103" s="781" t="str">
        <f>'MSW42'!J103</f>
        <v>REP OUT</v>
      </c>
      <c r="K103" s="782" t="str">
        <f>'MSW42'!K103</f>
        <v>1 MIN</v>
      </c>
      <c r="L103" s="66" t="str">
        <f>'MSW42'!L103</f>
        <v/>
      </c>
      <c r="M103" s="1121"/>
    </row>
    <row r="104">
      <c r="A104" s="785">
        <f>'MSW42'!A104</f>
        <v>4</v>
      </c>
      <c r="B104" s="388">
        <f>'MSW42'!B104</f>
        <v>60</v>
      </c>
      <c r="C104" s="781" t="str">
        <f>'MSW42'!C104</f>
        <v>REP OUT</v>
      </c>
      <c r="D104" s="390" t="str">
        <f>'MSW42'!D104</f>
        <v>1 MIN</v>
      </c>
      <c r="E104" s="66" t="str">
        <f>'MSW42'!E104</f>
        <v/>
      </c>
      <c r="F104" s="392"/>
      <c r="H104" s="785">
        <f>'MSW42'!H104</f>
        <v>4</v>
      </c>
      <c r="I104" s="388">
        <f>'MSW42'!I104</f>
        <v>165</v>
      </c>
      <c r="J104" s="781" t="str">
        <f>'MSW42'!J104</f>
        <v>REP OUT</v>
      </c>
      <c r="K104" s="390" t="str">
        <f>'MSW42'!K104</f>
        <v>1 MIN</v>
      </c>
      <c r="L104" s="66" t="str">
        <f>'MSW42'!L104</f>
        <v/>
      </c>
      <c r="M104" s="1122"/>
    </row>
    <row r="105">
      <c r="A105" s="787">
        <f>'MSW42'!A105</f>
        <v>5</v>
      </c>
      <c r="B105" s="788">
        <f>'MSW42'!B105</f>
        <v>50</v>
      </c>
      <c r="C105" s="789" t="str">
        <f>'MSW42'!C105</f>
        <v>REP OUT</v>
      </c>
      <c r="D105" s="397" t="str">
        <f>'MSW42'!D105</f>
        <v>1 MIN</v>
      </c>
      <c r="E105" s="72" t="str">
        <f>'MSW42'!E105</f>
        <v/>
      </c>
      <c r="F105" s="392" t="str">
        <f>'MSW42'!F105</f>
        <v/>
      </c>
      <c r="H105" s="787">
        <f>'MSW42'!H105</f>
        <v>5</v>
      </c>
      <c r="I105" s="788">
        <f>'MSW42'!I105</f>
        <v>140</v>
      </c>
      <c r="J105" s="789" t="str">
        <f>'MSW42'!J105</f>
        <v>REP OUT</v>
      </c>
      <c r="K105" s="397" t="str">
        <f>'MSW42'!K105</f>
        <v>1 MIN</v>
      </c>
      <c r="L105" s="72" t="str">
        <f>'MSW42'!L105</f>
        <v/>
      </c>
      <c r="M105" s="392" t="str">
        <f>'MSW42'!M105</f>
        <v/>
      </c>
    </row>
    <row r="106">
      <c r="A106" t="str">
        <f>'MSW42'!A106</f>
        <v/>
      </c>
      <c r="G106" t="str">
        <f>'MSW42'!G106</f>
        <v/>
      </c>
    </row>
    <row r="108">
      <c r="A108" s="1217" t="str">
        <f>'MSW42'!A108</f>
        <v>2. DUMBBELL REAR DELT FLY </v>
      </c>
      <c r="B108" s="53"/>
      <c r="C108" s="53"/>
      <c r="D108" s="53"/>
      <c r="E108" s="53"/>
      <c r="F108" s="54"/>
    </row>
    <row r="109">
      <c r="A109" s="1268" t="str">
        <f>'MSW42'!A109</f>
        <v>SHLDR PRSS MAX</v>
      </c>
      <c r="B109" s="76">
        <f>'MSW42'!B109</f>
        <v>80</v>
      </c>
      <c r="C109" s="13"/>
      <c r="D109" s="13"/>
      <c r="E109" s="13"/>
      <c r="F109" s="57"/>
    </row>
    <row r="110">
      <c r="A110" s="962" t="str">
        <f>'MSW42'!A110</f>
        <v>SET</v>
      </c>
      <c r="B110" s="963" t="str">
        <f>'MSW42'!B110</f>
        <v>WEIGHT</v>
      </c>
      <c r="C110" s="963" t="str">
        <f>'MSW42'!C110</f>
        <v>REPS</v>
      </c>
      <c r="D110" s="963" t="str">
        <f>'MSW42'!D110</f>
        <v>REST</v>
      </c>
      <c r="E110" s="1005" t="str">
        <f>'MSW42'!E110</f>
        <v>PREVIOUS</v>
      </c>
      <c r="F110" s="1006" t="str">
        <f>'MSW42'!F110</f>
        <v>REP LOG</v>
      </c>
    </row>
    <row r="111">
      <c r="A111" s="967">
        <f>'MSW42'!A111</f>
        <v>1</v>
      </c>
      <c r="B111" s="1028">
        <f>'MSW42'!B111</f>
        <v>15</v>
      </c>
      <c r="C111" s="1067" t="str">
        <f>'MSW42'!C111</f>
        <v>10 -15</v>
      </c>
      <c r="D111" s="1384" t="str">
        <f>'MSW42'!D111</f>
        <v>1-3 MIN</v>
      </c>
      <c r="E111" s="66" t="str">
        <f>'MSW42'!E111</f>
        <v/>
      </c>
      <c r="F111" s="1011"/>
    </row>
    <row r="112">
      <c r="A112" s="967">
        <f>'MSW42'!A112</f>
        <v>2</v>
      </c>
      <c r="B112" s="1028">
        <f>'MSW42'!B112</f>
        <v>12.5</v>
      </c>
      <c r="C112" s="1067" t="str">
        <f>'MSW42'!C112</f>
        <v>10 -15</v>
      </c>
      <c r="D112" s="1384" t="str">
        <f>'MSW42'!D112</f>
        <v>1-3 MIN</v>
      </c>
      <c r="E112" s="66" t="str">
        <f>'MSW42'!E112</f>
        <v/>
      </c>
      <c r="F112" s="1011"/>
    </row>
    <row r="113">
      <c r="A113" s="971">
        <f>'MSW42'!A113</f>
        <v>3</v>
      </c>
      <c r="B113" s="1123">
        <f>'MSW42'!B113</f>
        <v>10</v>
      </c>
      <c r="C113" s="1220" t="str">
        <f>'MSW42'!C113</f>
        <v>10 -15</v>
      </c>
      <c r="D113" s="1402" t="str">
        <f>'MSW42'!D113</f>
        <v>1-3 MIN</v>
      </c>
      <c r="E113" s="72" t="str">
        <f>'MSW42'!E113</f>
        <v/>
      </c>
      <c r="F113" s="1017" t="str">
        <f>'MSW42'!F113</f>
        <v/>
      </c>
    </row>
    <row r="114">
      <c r="A114" t="str">
        <f>'MSW42'!A114</f>
        <v/>
      </c>
    </row>
    <row r="116">
      <c r="A116" s="1217" t="str">
        <f>'MSW42'!A116</f>
        <v>3. DUMBBELL SIDE LATERAL RAISE</v>
      </c>
      <c r="B116" s="53"/>
      <c r="C116" s="53"/>
      <c r="D116" s="53"/>
      <c r="E116" s="53"/>
      <c r="F116" s="54"/>
    </row>
    <row r="117">
      <c r="A117" s="1268" t="str">
        <f>'MSW42'!A117</f>
        <v>SHLDR PRSS MAX</v>
      </c>
      <c r="B117" s="76">
        <f>'MSW42'!B117</f>
        <v>80</v>
      </c>
      <c r="C117" s="13"/>
      <c r="D117" s="13"/>
      <c r="E117" s="13"/>
      <c r="F117" s="57"/>
    </row>
    <row r="118">
      <c r="A118" s="1071" t="str">
        <f>'MSW42'!A118</f>
        <v>SET</v>
      </c>
      <c r="B118" s="1072" t="str">
        <f>'MSW42'!B118</f>
        <v>WEIGHT</v>
      </c>
      <c r="C118" s="1072" t="str">
        <f>'MSW42'!C118</f>
        <v>REPS</v>
      </c>
      <c r="D118" s="1072" t="str">
        <f>'MSW42'!D118</f>
        <v>REST</v>
      </c>
      <c r="E118" s="1073" t="str">
        <f>'MSW42'!E118</f>
        <v>PREVIOUS</v>
      </c>
      <c r="F118" s="1006" t="str">
        <f>'MSW42'!F118</f>
        <v>REP LOG</v>
      </c>
    </row>
    <row r="119">
      <c r="A119" s="1074">
        <f>'MSW42'!A119</f>
        <v>1</v>
      </c>
      <c r="B119" s="968">
        <f>'MSW42'!B119</f>
        <v>15</v>
      </c>
      <c r="C119" s="1075" t="str">
        <f>'MSW42'!C119</f>
        <v>10 - 15</v>
      </c>
      <c r="D119" s="1384" t="str">
        <f>'MSW42'!D119</f>
        <v>1-3 MIN</v>
      </c>
      <c r="E119" s="66" t="str">
        <f>'MSW42'!E119</f>
        <v/>
      </c>
      <c r="F119" s="1011"/>
    </row>
    <row r="120">
      <c r="A120" s="1074">
        <f>'MSW42'!A120</f>
        <v>2</v>
      </c>
      <c r="B120" s="968">
        <f>'MSW42'!B120</f>
        <v>12.5</v>
      </c>
      <c r="C120" s="1075" t="str">
        <f>'MSW42'!C120</f>
        <v>10 - 15</v>
      </c>
      <c r="D120" s="1384" t="str">
        <f>'MSW42'!D120</f>
        <v>1-3 MIN</v>
      </c>
      <c r="E120" s="66" t="str">
        <f>'MSW42'!E120</f>
        <v/>
      </c>
      <c r="F120" s="1011"/>
    </row>
    <row r="121">
      <c r="A121" s="1078">
        <f>'MSW42'!A121</f>
        <v>3</v>
      </c>
      <c r="B121" s="972">
        <f>'MSW42'!B121</f>
        <v>7.5</v>
      </c>
      <c r="C121" s="1079" t="str">
        <f>'MSW42'!C121</f>
        <v>10 - 15</v>
      </c>
      <c r="D121" s="1402" t="str">
        <f>'MSW42'!D121</f>
        <v>1-3 MIN</v>
      </c>
      <c r="E121" s="72" t="str">
        <f>'MSW42'!E121</f>
        <v/>
      </c>
      <c r="F121" s="1017" t="str">
        <f>'MSW42'!F121</f>
        <v/>
      </c>
    </row>
    <row r="122">
      <c r="A122" t="str">
        <f>'MSW42'!A122</f>
        <v/>
      </c>
    </row>
    <row r="124">
      <c r="A124" s="1442" t="str">
        <f>'MSW42'!A124</f>
        <v>4.  TRICEP OVERHEAD ROPE EXTENSION</v>
      </c>
      <c r="B124" s="13"/>
      <c r="C124" s="13"/>
      <c r="D124" s="13"/>
      <c r="E124" s="13"/>
      <c r="F124" s="57"/>
    </row>
    <row r="125">
      <c r="A125" s="961" t="str">
        <f>'MSW42'!A125</f>
        <v>CURRENT MAX</v>
      </c>
      <c r="B125" s="1443">
        <f>'MSW42'!B125</f>
        <v>105</v>
      </c>
      <c r="C125" s="13"/>
      <c r="D125" s="13"/>
      <c r="E125" s="13"/>
      <c r="F125" s="57"/>
    </row>
    <row r="126">
      <c r="A126" s="1444" t="str">
        <f>'MSW42'!A126</f>
        <v>SET</v>
      </c>
      <c r="B126" s="1445" t="str">
        <f>'MSW42'!B126</f>
        <v>WEIGHT</v>
      </c>
      <c r="C126" s="1445" t="str">
        <f>'MSW42'!C126</f>
        <v>REPS</v>
      </c>
      <c r="D126" s="1446" t="str">
        <f>'MSW42'!D126</f>
        <v>REST</v>
      </c>
      <c r="E126" s="1447" t="str">
        <f>'MSW42'!E126</f>
        <v>PREVIOUS</v>
      </c>
      <c r="F126" s="1448" t="str">
        <f>'MSW42'!F126</f>
        <v>REP LOG</v>
      </c>
    </row>
    <row r="127">
      <c r="A127" s="387">
        <f>'MSW42'!A127</f>
        <v>1</v>
      </c>
      <c r="B127" s="388">
        <f>'MSW42'!B127</f>
        <v>105</v>
      </c>
      <c r="C127" s="1449" t="str">
        <f>'MSW42'!C127</f>
        <v>10 - 15</v>
      </c>
      <c r="D127" s="1433" t="str">
        <f>'MSW42'!D127</f>
        <v>1-3 MIN</v>
      </c>
      <c r="E127" s="1450" t="str">
        <f>'MSW42'!E127</f>
        <v/>
      </c>
      <c r="F127" s="1451" t="str">
        <f>'MSW42'!F127</f>
        <v/>
      </c>
    </row>
    <row r="128">
      <c r="A128" s="387">
        <f>'MSW42'!A128</f>
        <v>2</v>
      </c>
      <c r="B128" s="388">
        <f>'MSW42'!B128</f>
        <v>85</v>
      </c>
      <c r="C128" s="1449" t="str">
        <f>'MSW42'!C128</f>
        <v>10 - 15</v>
      </c>
      <c r="D128" s="1433" t="str">
        <f>'MSW42'!D128</f>
        <v>1-3 MIN</v>
      </c>
      <c r="E128" s="1450" t="str">
        <f>'MSW42'!E128</f>
        <v/>
      </c>
      <c r="F128" s="1451" t="str">
        <f>'MSW42'!F128</f>
        <v/>
      </c>
    </row>
    <row r="129">
      <c r="A129" s="394">
        <f>'MSW42'!A129</f>
        <v>3</v>
      </c>
      <c r="B129" s="395">
        <f>'MSW42'!B129</f>
        <v>70</v>
      </c>
      <c r="C129" s="1461" t="str">
        <f>'MSW42'!C129</f>
        <v>10 - 15</v>
      </c>
      <c r="D129" s="1456" t="str">
        <f>'MSW42'!D129</f>
        <v>1-3 MIN</v>
      </c>
      <c r="E129" s="1470" t="str">
        <f>'MSW42'!E129</f>
        <v/>
      </c>
      <c r="F129" s="1451" t="str">
        <f>'MSW42'!F129</f>
        <v/>
      </c>
    </row>
    <row r="130">
      <c r="A130" t="str">
        <f>'MSW42'!A130</f>
        <v/>
      </c>
    </row>
    <row r="132">
      <c r="A132" s="1217" t="str">
        <f>'MSW42'!A132</f>
        <v>5. ALTERNATING DUMBBELL BICEP CURLS</v>
      </c>
      <c r="B132" s="53"/>
      <c r="C132" s="53"/>
      <c r="D132" s="53"/>
      <c r="E132" s="53"/>
      <c r="F132" s="54"/>
    </row>
    <row r="133">
      <c r="A133" s="961" t="str">
        <f>'MSW42'!A133</f>
        <v>CURRENT MAX</v>
      </c>
      <c r="B133" s="839">
        <f>'MSW42'!B133</f>
        <v>45</v>
      </c>
      <c r="F133" s="28"/>
    </row>
    <row r="134">
      <c r="A134" s="962" t="str">
        <f>'MSW42'!A134</f>
        <v>SET</v>
      </c>
      <c r="B134" s="963" t="str">
        <f>'MSW42'!B134</f>
        <v>WEIGHT</v>
      </c>
      <c r="C134" s="963" t="str">
        <f>'MSW42'!C134</f>
        <v>REPS</v>
      </c>
      <c r="D134" s="963" t="str">
        <f>'MSW42'!D134</f>
        <v>REST</v>
      </c>
      <c r="E134" s="1073" t="str">
        <f>'MSW42'!E134</f>
        <v>PREVIOUS</v>
      </c>
      <c r="F134" s="1006" t="str">
        <f>'MSW42'!F134</f>
        <v>REP LOG</v>
      </c>
    </row>
    <row r="135">
      <c r="A135" s="967">
        <f>'MSW42'!A135</f>
        <v>1</v>
      </c>
      <c r="B135" s="968">
        <f>'MSW42'!B135</f>
        <v>40</v>
      </c>
      <c r="C135" s="1067" t="str">
        <f>'MSW42'!C135</f>
        <v>10 - 15</v>
      </c>
      <c r="D135" s="1076" t="str">
        <f>'MSW42'!D135</f>
        <v>1 MIN</v>
      </c>
      <c r="E135" s="1235" t="str">
        <f>'MSW42'!E135</f>
        <v/>
      </c>
      <c r="F135" s="984"/>
    </row>
    <row r="136">
      <c r="A136" s="967">
        <f>'MSW42'!A136</f>
        <v>2</v>
      </c>
      <c r="B136" s="968">
        <f>'MSW42'!B136</f>
        <v>15</v>
      </c>
      <c r="C136" s="1067" t="str">
        <f>'MSW42'!C136</f>
        <v>10 - 15</v>
      </c>
      <c r="D136" s="1076" t="str">
        <f>'MSW42'!D136</f>
        <v>1 MIN</v>
      </c>
      <c r="E136" s="1235" t="str">
        <f>'MSW42'!E136</f>
        <v/>
      </c>
      <c r="F136" s="984"/>
    </row>
    <row r="137">
      <c r="A137" s="971">
        <f>'MSW42'!A137</f>
        <v>3</v>
      </c>
      <c r="B137" s="972">
        <f>'MSW42'!B137</f>
        <v>10</v>
      </c>
      <c r="C137" s="1220" t="str">
        <f>'MSW42'!C137</f>
        <v>10 - 15</v>
      </c>
      <c r="D137" s="1080" t="str">
        <f>'MSW42'!D137</f>
        <v>1 MIN</v>
      </c>
      <c r="E137" s="1271" t="str">
        <f>'MSW42'!E137</f>
        <v/>
      </c>
      <c r="F137" s="984"/>
    </row>
    <row r="138">
      <c r="A138" t="str">
        <f>'MSW42'!A138</f>
        <v/>
      </c>
    </row>
    <row r="140">
      <c r="A140" s="1149" t="str">
        <f>'MSW42'!A140</f>
        <v>WORKOUT COMPLETE!</v>
      </c>
      <c r="B140" s="36"/>
      <c r="C140" s="36"/>
      <c r="D140" s="36"/>
      <c r="E140" s="36"/>
      <c r="F140" s="37"/>
    </row>
    <row r="141">
      <c r="A141" s="623" t="str">
        <f>'MSW42'!A141</f>
        <v/>
      </c>
    </row>
    <row r="142">
      <c r="A142" s="1275" t="str">
        <f>'MSW42'!A142</f>
        <v>WANT TO LEARN MORE?</v>
      </c>
      <c r="B142" s="25"/>
      <c r="C142" s="25"/>
      <c r="D142" s="25"/>
      <c r="E142" s="25"/>
      <c r="F142" s="26"/>
    </row>
    <row r="143">
      <c r="A143" s="529"/>
      <c r="F143" s="28"/>
    </row>
    <row r="144">
      <c r="A144" s="1276" t="str">
        <f>'MSW42'!A144</f>
        <v/>
      </c>
      <c r="B144" s="999" t="str">
        <f>'MSW42'!B144</f>
        <v/>
      </c>
      <c r="C144" s="1150" t="str">
        <f>'MSW42'!C144</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44" s="28"/>
    </row>
    <row r="145">
      <c r="A145" s="1276" t="str">
        <f>'MSW42'!A145</f>
        <v/>
      </c>
      <c r="B145" s="999" t="str">
        <f>'MSW42'!B145</f>
        <v/>
      </c>
      <c r="F145" s="28"/>
    </row>
    <row r="146">
      <c r="A146" s="1276" t="str">
        <f>'MSW42'!A146</f>
        <v/>
      </c>
      <c r="B146" s="999" t="str">
        <f>'MSW42'!B146</f>
        <v/>
      </c>
      <c r="F146" s="28"/>
    </row>
    <row r="147">
      <c r="A147" s="1276" t="str">
        <f>'MSW42'!A147</f>
        <v/>
      </c>
      <c r="B147" s="999" t="str">
        <f>'MSW42'!B147</f>
        <v/>
      </c>
      <c r="F147" s="28"/>
    </row>
    <row r="148">
      <c r="A148" s="1276" t="str">
        <f>'MSW42'!A148</f>
        <v/>
      </c>
      <c r="B148" s="999" t="str">
        <f>'MSW42'!B148</f>
        <v/>
      </c>
      <c r="F148" s="28"/>
    </row>
    <row r="149">
      <c r="A149" s="1276" t="str">
        <f>'MSW42'!A149</f>
        <v/>
      </c>
      <c r="B149" s="999" t="str">
        <f>'MSW42'!B149</f>
        <v/>
      </c>
      <c r="F149" s="28"/>
    </row>
    <row r="150">
      <c r="A150" s="1277" t="str">
        <f>'MSW42'!A150</f>
        <v/>
      </c>
      <c r="B150" s="999" t="str">
        <f>'MSW42'!B150</f>
        <v/>
      </c>
      <c r="F150" s="28"/>
    </row>
    <row r="151">
      <c r="A151" s="1276" t="str">
        <f>'MSW42'!A151</f>
        <v/>
      </c>
      <c r="B151" s="999" t="str">
        <f>'MSW42'!B151</f>
        <v/>
      </c>
      <c r="F151" s="28"/>
    </row>
    <row r="152">
      <c r="A152" s="1276" t="str">
        <f>'MSW42'!A152</f>
        <v/>
      </c>
      <c r="B152" s="999" t="str">
        <f>'MSW42'!B152</f>
        <v/>
      </c>
      <c r="F152" s="28"/>
    </row>
    <row r="153">
      <c r="A153" s="1278" t="str">
        <f>'MSW42'!A153</f>
        <v/>
      </c>
      <c r="B153" s="999" t="str">
        <f>'MSW42'!B153</f>
        <v/>
      </c>
      <c r="F153" s="28"/>
    </row>
    <row r="154">
      <c r="A154" s="1276" t="str">
        <f>'MSW42'!A154</f>
        <v/>
      </c>
      <c r="B154" s="999" t="str">
        <f>'MSW42'!B154</f>
        <v/>
      </c>
      <c r="F154" s="28"/>
    </row>
    <row r="155">
      <c r="A155" s="1276" t="str">
        <f>'MSW42'!A155</f>
        <v/>
      </c>
      <c r="B155" s="999" t="str">
        <f>'MSW42'!B155</f>
        <v/>
      </c>
      <c r="F155" s="28"/>
    </row>
    <row r="156">
      <c r="A156" s="1276" t="str">
        <f>'MSW42'!A156</f>
        <v/>
      </c>
      <c r="B156" s="999" t="str">
        <f>'MSW42'!B156</f>
        <v/>
      </c>
      <c r="F156" s="28"/>
    </row>
    <row r="157">
      <c r="A157" s="1276" t="str">
        <f>'MSW42'!A157</f>
        <v/>
      </c>
      <c r="B157" s="999" t="str">
        <f>'MSW42'!B157</f>
        <v/>
      </c>
      <c r="F157" s="28"/>
    </row>
    <row r="158">
      <c r="A158" s="1279" t="str">
        <f>'MSW42'!A158</f>
        <v/>
      </c>
      <c r="B158" s="1280" t="str">
        <f>'MSW42'!B158</f>
        <v/>
      </c>
      <c r="C158" s="11"/>
      <c r="D158" s="11"/>
      <c r="E158" s="11"/>
      <c r="F158" s="46"/>
    </row>
    <row r="159">
      <c r="A159" s="3" t="str">
        <f>'MSW42'!A159</f>
        <v/>
      </c>
    </row>
  </sheetData>
  <mergeCells count="77">
    <mergeCell ref="A97:F97"/>
    <mergeCell ref="A98:F98"/>
    <mergeCell ref="B79:F79"/>
    <mergeCell ref="A84:F85"/>
    <mergeCell ref="A86:F86"/>
    <mergeCell ref="B87:F87"/>
    <mergeCell ref="A92:F93"/>
    <mergeCell ref="A94:F94"/>
    <mergeCell ref="A95:F96"/>
    <mergeCell ref="A124:F124"/>
    <mergeCell ref="B125:F125"/>
    <mergeCell ref="A106:F107"/>
    <mergeCell ref="A108:F108"/>
    <mergeCell ref="B109:F109"/>
    <mergeCell ref="A114:F115"/>
    <mergeCell ref="A116:F116"/>
    <mergeCell ref="B117:F117"/>
    <mergeCell ref="A122:F123"/>
    <mergeCell ref="C144:F158"/>
    <mergeCell ref="A159:F159"/>
    <mergeCell ref="A130:F131"/>
    <mergeCell ref="A132:F132"/>
    <mergeCell ref="B133:F133"/>
    <mergeCell ref="A138:F139"/>
    <mergeCell ref="A140:F140"/>
    <mergeCell ref="A141:F141"/>
    <mergeCell ref="A142:F143"/>
    <mergeCell ref="A1:M8"/>
    <mergeCell ref="A9:F9"/>
    <mergeCell ref="G9:G11"/>
    <mergeCell ref="H9:M9"/>
    <mergeCell ref="A10:F11"/>
    <mergeCell ref="H10:M10"/>
    <mergeCell ref="G12:M14"/>
    <mergeCell ref="A12:F12"/>
    <mergeCell ref="A13:F13"/>
    <mergeCell ref="A15:F15"/>
    <mergeCell ref="G15:G24"/>
    <mergeCell ref="A16:F16"/>
    <mergeCell ref="B17:F17"/>
    <mergeCell ref="A22:F26"/>
    <mergeCell ref="A27:F27"/>
    <mergeCell ref="B28:F28"/>
    <mergeCell ref="A34:F34"/>
    <mergeCell ref="A37:F37"/>
    <mergeCell ref="B40:F40"/>
    <mergeCell ref="A41:F41"/>
    <mergeCell ref="A42:F42"/>
    <mergeCell ref="B43:F43"/>
    <mergeCell ref="A48:F49"/>
    <mergeCell ref="A50:F50"/>
    <mergeCell ref="B51:F51"/>
    <mergeCell ref="A56:F56"/>
    <mergeCell ref="A57:F57"/>
    <mergeCell ref="A58:F59"/>
    <mergeCell ref="H15:M15"/>
    <mergeCell ref="H16:M16"/>
    <mergeCell ref="I17:M17"/>
    <mergeCell ref="G25:M85"/>
    <mergeCell ref="G86:G88"/>
    <mergeCell ref="H86:M86"/>
    <mergeCell ref="I87:M87"/>
    <mergeCell ref="G106:M159"/>
    <mergeCell ref="G89:G90"/>
    <mergeCell ref="G92:M96"/>
    <mergeCell ref="G97:G105"/>
    <mergeCell ref="H97:M97"/>
    <mergeCell ref="H98:M98"/>
    <mergeCell ref="B99:F99"/>
    <mergeCell ref="I99:M99"/>
    <mergeCell ref="A60:F60"/>
    <mergeCell ref="A61:F61"/>
    <mergeCell ref="A62:F62"/>
    <mergeCell ref="B63:F63"/>
    <mergeCell ref="B75:F75"/>
    <mergeCell ref="A76:F77"/>
    <mergeCell ref="A78:F78"/>
  </mergeCells>
  <dataValidations>
    <dataValidation type="decimal" allowBlank="1" showDropDown="1" showInputMessage="1" showErrorMessage="1" prompt="Enter a number between 0 and 30" sqref="F14 F18:F21 M18:M24 F29:F33 F35:F36 F38:F39 F44:F47 F52:F55 F64:F74 F80:F83 F88:F91 M88:M91 F100:F105 M100:M105 F110:F113 F118:F121 F126:F129 F134:F137">
      <formula1>0.0</formula1>
      <formula2>30.0</formula2>
    </dataValidation>
    <dataValidation type="decimal" operator="greaterThan" allowBlank="1" showDropDown="1" showErrorMessage="1" sqref="M11">
      <formula1>0.0</formula1>
    </dataValidation>
  </dataValidations>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293" t="s">
        <v>382</v>
      </c>
      <c r="B9" s="36"/>
      <c r="C9" s="36"/>
      <c r="D9" s="36"/>
      <c r="E9" s="36"/>
      <c r="F9" s="37"/>
      <c r="G9" s="419"/>
      <c r="H9" s="24" t="s">
        <v>35</v>
      </c>
      <c r="I9" s="25"/>
      <c r="J9" s="25"/>
      <c r="K9" s="25"/>
      <c r="L9" s="25"/>
      <c r="M9" s="26"/>
    </row>
    <row r="10">
      <c r="A10" s="719" t="str">
        <f>HYPERLINK("https://goo.gl/forms/3ibooB993Hi7SS2d2","PRESS TO RECORD BODY WEIGHT")</f>
        <v>PRESS TO RECORD BODY WEIGHT</v>
      </c>
      <c r="B10" s="25"/>
      <c r="C10" s="25"/>
      <c r="D10" s="25"/>
      <c r="E10" s="25"/>
      <c r="F10" s="26"/>
      <c r="G10" s="419"/>
      <c r="H10" s="147" t="s">
        <v>383</v>
      </c>
      <c r="M10" s="28"/>
    </row>
    <row r="11">
      <c r="A11" s="336"/>
      <c r="B11" s="11"/>
      <c r="C11" s="11"/>
      <c r="D11" s="11"/>
      <c r="E11" s="11"/>
      <c r="F11" s="46"/>
      <c r="G11" s="419"/>
      <c r="H11" s="29" t="s">
        <v>384</v>
      </c>
      <c r="I11" s="30"/>
      <c r="J11" s="30"/>
      <c r="K11" s="30"/>
      <c r="L11" s="30"/>
      <c r="M11" s="31"/>
    </row>
    <row r="12">
      <c r="A12" s="720" t="s">
        <v>69</v>
      </c>
      <c r="B12" s="36"/>
      <c r="C12" s="36"/>
      <c r="D12" s="36"/>
      <c r="E12" s="36"/>
      <c r="F12" s="37"/>
      <c r="G12" s="419"/>
      <c r="H12" s="419"/>
      <c r="I12" s="419"/>
      <c r="J12" s="419"/>
      <c r="K12" s="419"/>
      <c r="L12" s="717"/>
      <c r="M12" s="419"/>
    </row>
    <row r="13">
      <c r="A13" s="721" t="s">
        <v>149</v>
      </c>
      <c r="B13" s="36"/>
      <c r="C13" s="36"/>
      <c r="D13" s="36"/>
      <c r="E13" s="36"/>
      <c r="F13" s="37"/>
      <c r="G13" s="419"/>
      <c r="H13" s="419"/>
      <c r="I13" s="419"/>
      <c r="J13" s="419"/>
      <c r="K13" s="419"/>
      <c r="L13" s="717"/>
      <c r="M13" s="419"/>
    </row>
    <row r="14">
      <c r="A14" s="653"/>
      <c r="B14" s="653"/>
      <c r="C14" s="653"/>
      <c r="D14" s="653"/>
      <c r="E14" s="654"/>
      <c r="F14" s="141"/>
      <c r="G14" s="419"/>
      <c r="H14" s="419"/>
      <c r="I14" s="419"/>
      <c r="J14" s="419"/>
      <c r="K14" s="419"/>
      <c r="L14" s="717"/>
      <c r="M14" s="419"/>
    </row>
    <row r="15">
      <c r="A15" s="50" t="s">
        <v>47</v>
      </c>
      <c r="B15" s="36"/>
      <c r="C15" s="36"/>
      <c r="D15" s="36"/>
      <c r="E15" s="36"/>
      <c r="F15" s="37"/>
      <c r="G15" s="722"/>
      <c r="H15" s="429" t="s">
        <v>118</v>
      </c>
      <c r="I15" s="36"/>
      <c r="J15" s="36"/>
      <c r="K15" s="36"/>
      <c r="L15" s="36"/>
      <c r="M15" s="37"/>
    </row>
    <row r="16">
      <c r="A16" s="657"/>
      <c r="B16" s="657"/>
      <c r="C16" s="657"/>
      <c r="D16" s="657"/>
      <c r="E16" s="657"/>
      <c r="F16" s="657"/>
      <c r="G16" s="722"/>
      <c r="H16" s="657"/>
      <c r="I16" s="657"/>
      <c r="J16" s="657"/>
      <c r="K16" s="657"/>
      <c r="L16" s="657"/>
      <c r="M16" s="657"/>
    </row>
    <row r="17">
      <c r="A17" s="657"/>
      <c r="B17" s="657"/>
      <c r="C17" s="657"/>
      <c r="D17" s="657"/>
      <c r="E17" s="657"/>
      <c r="F17" s="657"/>
      <c r="G17" s="722"/>
      <c r="H17" s="657"/>
      <c r="I17" s="657"/>
      <c r="J17" s="657"/>
      <c r="K17" s="657"/>
      <c r="L17" s="657"/>
      <c r="M17" s="657"/>
    </row>
    <row r="18">
      <c r="A18" s="51" t="s">
        <v>48</v>
      </c>
      <c r="B18" s="36"/>
      <c r="C18" s="36"/>
      <c r="D18" s="36"/>
      <c r="E18" s="36"/>
      <c r="F18" s="37"/>
      <c r="G18" s="722"/>
      <c r="H18" s="51" t="s">
        <v>48</v>
      </c>
      <c r="I18" s="36"/>
      <c r="J18" s="36"/>
      <c r="K18" s="36"/>
      <c r="L18" s="36"/>
      <c r="M18" s="37"/>
    </row>
    <row r="19">
      <c r="A19" s="93" t="str">
        <f>HYPERLINK("https://youtu.be/iLgUDezDMbU","1. BENCH PRESS")</f>
        <v>1. BENCH PRESS</v>
      </c>
      <c r="B19" s="53"/>
      <c r="C19" s="53"/>
      <c r="D19" s="53"/>
      <c r="E19" s="53"/>
      <c r="F19" s="54"/>
      <c r="G19" s="722"/>
      <c r="H19" s="93" t="str">
        <f>HYPERLINK("https://youtu.be/75e_H9Vq_Lw","1. MACHINE PRESS")</f>
        <v>1. MACHINE PRESS</v>
      </c>
      <c r="I19" s="53"/>
      <c r="J19" s="53"/>
      <c r="K19" s="53"/>
      <c r="L19" s="53"/>
      <c r="M19" s="54"/>
    </row>
    <row r="20">
      <c r="A20" s="226" t="s">
        <v>119</v>
      </c>
      <c r="B20" s="691">
        <f>'WEEK 42'!B17</f>
        <v>265</v>
      </c>
      <c r="C20" s="13"/>
      <c r="D20" s="13"/>
      <c r="E20" s="13"/>
      <c r="F20" s="57"/>
      <c r="G20" s="722"/>
      <c r="H20" s="226" t="s">
        <v>119</v>
      </c>
      <c r="I20" s="691" t="str">
        <f>IF('WEEK 41'!P34="",'WEEK 41'!P21,'WEEK 41'!P34)</f>
        <v/>
      </c>
      <c r="J20" s="13"/>
      <c r="K20" s="13"/>
      <c r="L20" s="13"/>
      <c r="M20" s="57"/>
    </row>
    <row r="21">
      <c r="A21" s="96" t="s">
        <v>50</v>
      </c>
      <c r="B21" s="97" t="s">
        <v>51</v>
      </c>
      <c r="C21" s="97" t="s">
        <v>52</v>
      </c>
      <c r="D21" s="97" t="s">
        <v>53</v>
      </c>
      <c r="E21" s="341" t="s">
        <v>54</v>
      </c>
      <c r="F21" s="235" t="s">
        <v>55</v>
      </c>
      <c r="G21" s="723"/>
      <c r="H21" s="96" t="s">
        <v>50</v>
      </c>
      <c r="I21" s="97" t="s">
        <v>51</v>
      </c>
      <c r="J21" s="97" t="s">
        <v>52</v>
      </c>
      <c r="K21" s="97" t="s">
        <v>53</v>
      </c>
      <c r="L21" s="341" t="s">
        <v>54</v>
      </c>
      <c r="M21" s="235" t="s">
        <v>55</v>
      </c>
    </row>
    <row r="22">
      <c r="A22" s="725">
        <v>1.0</v>
      </c>
      <c r="B22" s="1473">
        <f>IF( 'WEEK 43'!B20&lt;125,45, mround('WEEK 43'!B20*0.9*0.35,5))</f>
        <v>85</v>
      </c>
      <c r="C22" s="344">
        <v>6.0</v>
      </c>
      <c r="D22" s="343" t="s">
        <v>150</v>
      </c>
      <c r="E22" s="66" t="str">
        <f>IF('WEEK 43'!B22='WEEK 40'!B22,'WEEK 40'!F22,"")</f>
        <v/>
      </c>
      <c r="F22" s="85"/>
      <c r="G22" s="423"/>
      <c r="H22" s="725">
        <v>1.0</v>
      </c>
      <c r="I22" s="344">
        <f>mround('WEEK 43'!I20*0.9*0.35,5)</f>
        <v>0</v>
      </c>
      <c r="J22" s="344">
        <v>6.0</v>
      </c>
      <c r="K22" s="343" t="s">
        <v>150</v>
      </c>
      <c r="L22" s="66" t="str">
        <f>IF('WEEK 43'!I22='WEEK 40'!I22,'WEEK 40'!M22,"")</f>
        <v/>
      </c>
      <c r="M22" s="85"/>
    </row>
    <row r="23">
      <c r="A23" s="725">
        <v>2.0</v>
      </c>
      <c r="B23" s="1474">
        <f>IF( 'WEEK 43'!B20&lt;70,MROUND('WEEK 43'!B20*0.78,5),MROUND('WEEK 43'!B20*0.9*0.72,5))</f>
        <v>170</v>
      </c>
      <c r="C23" s="344">
        <v>1.0</v>
      </c>
      <c r="D23" s="343" t="s">
        <v>151</v>
      </c>
      <c r="E23" s="66">
        <f>IF('WEEK 43'!B23='WEEK 40'!B23,'WEEK 40'!F23,"")</f>
        <v>1</v>
      </c>
      <c r="F23" s="85"/>
      <c r="G23" s="423"/>
      <c r="H23" s="725">
        <v>2.0</v>
      </c>
      <c r="I23" s="344">
        <f>mround('WEEK 43'!I20*0.9*0.72,5)</f>
        <v>0</v>
      </c>
      <c r="J23" s="344">
        <v>1.0</v>
      </c>
      <c r="K23" s="343" t="s">
        <v>151</v>
      </c>
      <c r="L23" s="66" t="str">
        <f>IF('WEEK 43'!I23='WEEK 40'!I23,'WEEK 40'!M23,"")</f>
        <v/>
      </c>
      <c r="M23" s="85"/>
    </row>
    <row r="24">
      <c r="A24" s="725">
        <v>3.0</v>
      </c>
      <c r="B24" s="344">
        <f>mround('WEEK 37'!B20*0.9*0.9,5)</f>
        <v>210</v>
      </c>
      <c r="C24" s="344">
        <v>1.0</v>
      </c>
      <c r="D24" s="343" t="s">
        <v>57</v>
      </c>
      <c r="E24" s="66">
        <f>IF('WEEK 43'!B24='WEEK 40'!B24,'WEEK 40'!F24,"")</f>
        <v>1</v>
      </c>
      <c r="F24" s="85"/>
      <c r="G24" s="423"/>
      <c r="H24" s="725">
        <v>3.0</v>
      </c>
      <c r="I24" s="344">
        <f>mround('WEEK 43'!I20*0.9*0.9,5)</f>
        <v>0</v>
      </c>
      <c r="J24" s="344">
        <v>1.0</v>
      </c>
      <c r="K24" s="343" t="s">
        <v>57</v>
      </c>
      <c r="L24" s="66" t="str">
        <f>IF('WEEK 43'!I24='WEEK 40'!I24,'WEEK 40'!M24,"")</f>
        <v/>
      </c>
      <c r="M24" s="85"/>
    </row>
    <row r="25">
      <c r="A25" s="730" t="s">
        <v>152</v>
      </c>
      <c r="B25" s="13"/>
      <c r="C25" s="13"/>
      <c r="D25" s="13"/>
      <c r="E25" s="13"/>
      <c r="F25" s="57"/>
      <c r="G25" s="731" t="s">
        <v>123</v>
      </c>
      <c r="H25" s="730" t="s">
        <v>152</v>
      </c>
      <c r="I25" s="13"/>
      <c r="J25" s="13"/>
      <c r="K25" s="13"/>
      <c r="L25" s="13"/>
      <c r="M25" s="57"/>
    </row>
    <row r="26">
      <c r="A26" s="96" t="s">
        <v>50</v>
      </c>
      <c r="B26" s="97" t="s">
        <v>51</v>
      </c>
      <c r="C26" s="97" t="s">
        <v>52</v>
      </c>
      <c r="D26" s="97" t="s">
        <v>53</v>
      </c>
      <c r="E26" s="341" t="s">
        <v>54</v>
      </c>
      <c r="F26" s="235" t="s">
        <v>55</v>
      </c>
      <c r="H26" s="96" t="s">
        <v>50</v>
      </c>
      <c r="I26" s="97" t="s">
        <v>51</v>
      </c>
      <c r="J26" s="97" t="s">
        <v>52</v>
      </c>
      <c r="K26" s="97" t="s">
        <v>53</v>
      </c>
      <c r="L26" s="341" t="s">
        <v>54</v>
      </c>
      <c r="M26" s="235" t="s">
        <v>55</v>
      </c>
    </row>
    <row r="27">
      <c r="A27" s="342">
        <v>1.0</v>
      </c>
      <c r="B27" s="348">
        <f>mround('WEEK 43'!B20*1*0.9,5)</f>
        <v>240</v>
      </c>
      <c r="C27" s="437" t="s">
        <v>65</v>
      </c>
      <c r="D27" s="343" t="s">
        <v>122</v>
      </c>
      <c r="E27" s="66" t="str">
        <f>IF('WEEK 43'!B27='WEEK 40'!B27,'WEEK 40'!F27,"")</f>
        <v/>
      </c>
      <c r="F27" s="85"/>
      <c r="G27" s="423"/>
      <c r="H27" s="725">
        <v>1.0</v>
      </c>
      <c r="I27" s="348">
        <f>mround('WEEK 43'!I20*1*0.9,5)</f>
        <v>0</v>
      </c>
      <c r="J27" s="437" t="s">
        <v>65</v>
      </c>
      <c r="K27" s="343" t="s">
        <v>122</v>
      </c>
      <c r="L27" s="66" t="str">
        <f>IF('WEEK 43'!I27='WEEK 40'!I27,'WEEK 40'!M27,"")</f>
        <v/>
      </c>
      <c r="M27" s="85"/>
    </row>
    <row r="28">
      <c r="A28" s="725">
        <v>2.0</v>
      </c>
      <c r="B28" s="348">
        <f>IF('WEEK 43'!F27&lt;3,MROUND('WEEK 43'!B27*0.75,5),IF('WEEK 43'!F27&lt;6,MROUND('WEEK 43'!B27*0.85,5),mround('WEEK 43'!B27*0.9,5)))</f>
        <v>205</v>
      </c>
      <c r="C28" s="437" t="s">
        <v>65</v>
      </c>
      <c r="D28" s="343" t="s">
        <v>122</v>
      </c>
      <c r="E28" s="66" t="str">
        <f>IF('WEEK 43'!B28='WEEK 40'!B28,'WEEK 40'!F28,"")</f>
        <v/>
      </c>
      <c r="F28" s="85"/>
      <c r="G28" s="722"/>
      <c r="H28" s="725">
        <v>2.0</v>
      </c>
      <c r="I28" s="348">
        <f>IF('WEEK 43'!M27&lt;3,MROUND('WEEK 43'!I27*0.75,5),IF('WEEK 43'!M27&lt;6,MROUND('WEEK 43'!I27*0.85,5),mround('WEEK 43'!I27*0.9,5)))</f>
        <v>0</v>
      </c>
      <c r="J28" s="437" t="s">
        <v>65</v>
      </c>
      <c r="K28" s="343" t="s">
        <v>122</v>
      </c>
      <c r="L28" s="66" t="str">
        <f>IF('WEEK 43'!I28='WEEK 40'!I28,'WEEK 40'!M28,"")</f>
        <v/>
      </c>
      <c r="M28" s="85"/>
    </row>
    <row r="29">
      <c r="A29" s="485">
        <v>3.0</v>
      </c>
      <c r="B29" s="732">
        <f>IF('WEEK 43'!F28&lt;3,MROUND('WEEK 43'!B28*0.75,5),IF('WEEK 43'!F28&lt;6,MROUND('WEEK 43'!B28*0.85,5),mround('WEEK 43'!B28*0.9,5)))</f>
        <v>185</v>
      </c>
      <c r="C29" s="733" t="s">
        <v>65</v>
      </c>
      <c r="D29" s="486" t="s">
        <v>122</v>
      </c>
      <c r="E29" s="66" t="str">
        <f>IF('WEEK 43'!B29='WEEK 40'!B29,'WEEK 40'!F29,"")</f>
        <v/>
      </c>
      <c r="F29" s="85"/>
      <c r="G29" s="722"/>
      <c r="H29" s="735">
        <v>3.0</v>
      </c>
      <c r="I29" s="736">
        <f>IF('WEEK 43'!M28&lt;3,MROUND('WEEK 43'!I28*0.75,5),IF('WEEK 43'!M28&lt;6,MROUND('WEEK 43'!I28*0.85,5),mround('WEEK 43'!I28*0.9,5)))</f>
        <v>0</v>
      </c>
      <c r="J29" s="737" t="s">
        <v>65</v>
      </c>
      <c r="K29" s="738" t="s">
        <v>122</v>
      </c>
      <c r="L29" s="66" t="str">
        <f>IF('WEEK 43'!I29='WEEK 40'!I29,'WEEK 40'!M29,"")</f>
        <v/>
      </c>
      <c r="M29" s="330"/>
    </row>
    <row r="30">
      <c r="A30" s="740"/>
      <c r="B30" s="740"/>
      <c r="C30" s="740"/>
      <c r="D30" s="740"/>
      <c r="E30" s="741"/>
      <c r="F30" s="419"/>
      <c r="G30" s="722"/>
      <c r="H30" s="742"/>
      <c r="I30" s="742"/>
      <c r="J30" s="742"/>
      <c r="K30" s="742"/>
      <c r="L30" s="742"/>
      <c r="M30" s="742"/>
    </row>
    <row r="31">
      <c r="A31" s="740"/>
      <c r="B31" s="740"/>
      <c r="C31" s="740"/>
      <c r="D31" s="740"/>
      <c r="E31" s="741"/>
      <c r="F31" s="419"/>
      <c r="G31" s="419"/>
      <c r="H31" s="657"/>
      <c r="I31" s="657"/>
      <c r="J31" s="657"/>
      <c r="K31" s="657"/>
      <c r="L31" s="657"/>
      <c r="M31" s="657"/>
    </row>
    <row r="32">
      <c r="A32" s="440" t="str">
        <f>HYPERLINK("https://www.youtube.com/watch?v=mGv8D2DGyNQ","2. DB CHEST FLY")</f>
        <v>2. DB CHEST FLY</v>
      </c>
      <c r="B32" s="53"/>
      <c r="C32" s="53"/>
      <c r="D32" s="53"/>
      <c r="E32" s="53"/>
      <c r="F32" s="54"/>
      <c r="G32" s="419"/>
      <c r="H32" s="504" t="str">
        <f>HYPERLINK("https://www.youtube.com/watch?v=THb0dhfIu1k","2. MACHINE CHEST FLY")</f>
        <v>2. MACHINE CHEST FLY</v>
      </c>
      <c r="I32" s="53"/>
      <c r="J32" s="53"/>
      <c r="K32" s="53"/>
      <c r="L32" s="53"/>
      <c r="M32" s="54"/>
    </row>
    <row r="33">
      <c r="A33" s="226" t="s">
        <v>228</v>
      </c>
      <c r="B33" s="691">
        <f>if('WEEK 41'!I34="",'WEEK 41'!I21,'WEEK 41'!I34)</f>
        <v>90</v>
      </c>
      <c r="C33" s="13"/>
      <c r="D33" s="13"/>
      <c r="E33" s="13"/>
      <c r="F33" s="57"/>
      <c r="G33" s="419"/>
      <c r="H33" s="226" t="s">
        <v>228</v>
      </c>
      <c r="I33" s="548">
        <f>'WEEK 43'!B33</f>
        <v>90</v>
      </c>
      <c r="J33" s="13"/>
      <c r="K33" s="13"/>
      <c r="L33" s="13"/>
      <c r="M33" s="57"/>
    </row>
    <row r="34">
      <c r="A34" s="743" t="s">
        <v>50</v>
      </c>
      <c r="B34" s="744" t="s">
        <v>51</v>
      </c>
      <c r="C34" s="744" t="s">
        <v>52</v>
      </c>
      <c r="D34" s="744" t="s">
        <v>53</v>
      </c>
      <c r="E34" s="745" t="s">
        <v>54</v>
      </c>
      <c r="F34" s="746" t="s">
        <v>55</v>
      </c>
      <c r="G34" s="724"/>
      <c r="H34" s="96" t="s">
        <v>50</v>
      </c>
      <c r="I34" s="97" t="s">
        <v>51</v>
      </c>
      <c r="J34" s="97" t="s">
        <v>52</v>
      </c>
      <c r="K34" s="97" t="s">
        <v>53</v>
      </c>
      <c r="L34" s="341" t="s">
        <v>54</v>
      </c>
      <c r="M34" s="235" t="s">
        <v>55</v>
      </c>
    </row>
    <row r="35">
      <c r="A35" s="725">
        <v>1.0</v>
      </c>
      <c r="B35" s="254">
        <f>mround('WEEK 43'!B33*0.29,2.5)</f>
        <v>25</v>
      </c>
      <c r="C35" s="344">
        <v>15.0</v>
      </c>
      <c r="D35" s="343" t="s">
        <v>57</v>
      </c>
      <c r="E35" s="66" t="str">
        <f>IF('WEEK 43'!B35='WEEK 41'!B40,'WEEK 41'!F40,"")</f>
        <v/>
      </c>
      <c r="F35" s="85"/>
      <c r="G35" s="728"/>
      <c r="H35" s="240">
        <v>1.0</v>
      </c>
      <c r="I35" s="254">
        <f>mround('WEEK 43'!I33*2*0.75,10)</f>
        <v>140</v>
      </c>
      <c r="J35" s="241">
        <v>15.0</v>
      </c>
      <c r="K35" s="83" t="s">
        <v>57</v>
      </c>
      <c r="L35" s="66" t="str">
        <f>IF('WEEK 43'!I35='WEEK 41'!I40,'WEEK 41'!M40,"")</f>
        <v/>
      </c>
      <c r="M35" s="85"/>
    </row>
    <row r="36">
      <c r="A36" s="747">
        <v>2.0</v>
      </c>
      <c r="B36" s="662">
        <f>mround('WEEK 43'!B33*0.29,2.5)</f>
        <v>25</v>
      </c>
      <c r="C36" s="813">
        <v>15.0</v>
      </c>
      <c r="D36" s="486" t="s">
        <v>57</v>
      </c>
      <c r="E36" s="66" t="str">
        <f>IF('WEEK 43'!B36='WEEK 41'!B41,'WEEK 41'!F41,"")</f>
        <v/>
      </c>
      <c r="F36" s="85"/>
      <c r="G36" s="728"/>
      <c r="H36" s="661">
        <v>2.0</v>
      </c>
      <c r="I36" s="662">
        <f>mround('WEEK 43'!I33*2*0.75,10)</f>
        <v>140</v>
      </c>
      <c r="J36" s="662">
        <v>15.0</v>
      </c>
      <c r="K36" s="88" t="s">
        <v>57</v>
      </c>
      <c r="L36" s="66" t="str">
        <f>IF('WEEK 43'!I36='WEEK 41'!I41,'WEEK 41'!M41,"")</f>
        <v/>
      </c>
      <c r="M36" s="85"/>
    </row>
    <row r="39">
      <c r="A39" s="73" t="str">
        <f>HYPERLINK("https://youtu.be/hMUUvL3FlkE","3. MACHINE HIGH ROW")</f>
        <v>3. MACHINE HIGH ROW</v>
      </c>
      <c r="B39" s="53"/>
      <c r="C39" s="53"/>
      <c r="D39" s="53"/>
      <c r="E39" s="53"/>
      <c r="F39" s="54"/>
    </row>
    <row r="40">
      <c r="A40" s="226" t="s">
        <v>119</v>
      </c>
      <c r="B40" s="227">
        <f>'WEEK 42'!B43</f>
        <v>210</v>
      </c>
      <c r="C40" s="20"/>
      <c r="D40" s="20"/>
      <c r="E40" s="20"/>
      <c r="F40" s="95"/>
    </row>
    <row r="41">
      <c r="A41" s="231" t="s">
        <v>50</v>
      </c>
      <c r="B41" s="232" t="s">
        <v>51</v>
      </c>
      <c r="C41" s="232" t="s">
        <v>52</v>
      </c>
      <c r="D41" s="232" t="s">
        <v>53</v>
      </c>
      <c r="E41" s="233" t="s">
        <v>54</v>
      </c>
      <c r="F41" s="61" t="s">
        <v>55</v>
      </c>
    </row>
    <row r="42">
      <c r="A42" s="236">
        <v>1.0</v>
      </c>
      <c r="B42" s="237">
        <f>mround('WEEK 43'!B40*0.35,5)</f>
        <v>75</v>
      </c>
      <c r="C42" s="237">
        <v>6.0</v>
      </c>
      <c r="D42" s="238" t="s">
        <v>120</v>
      </c>
      <c r="E42" s="89" t="str">
        <f>IF('WEEK 39'!B47='WEEK 43'!B42,'WEEK 39'!F47,"")</f>
        <v/>
      </c>
      <c r="F42" s="67"/>
    </row>
    <row r="43">
      <c r="A43" s="236">
        <v>2.0</v>
      </c>
      <c r="B43" s="237">
        <f>mround('WEEK 43'!B40*0.65,5)</f>
        <v>135</v>
      </c>
      <c r="C43" s="238">
        <v>3.0</v>
      </c>
      <c r="D43" s="238" t="s">
        <v>121</v>
      </c>
      <c r="E43" s="89">
        <f>IF('WEEK 39'!B48='WEEK 43'!B43,'WEEK 39'!F48,"")</f>
        <v>3</v>
      </c>
      <c r="F43" s="67"/>
    </row>
    <row r="44">
      <c r="A44" s="242">
        <v>3.0</v>
      </c>
      <c r="B44" s="237">
        <f>mround('WEEK 43'!B40*0.9,5)</f>
        <v>190</v>
      </c>
      <c r="C44" s="63">
        <v>2.0</v>
      </c>
      <c r="D44" s="238" t="s">
        <v>121</v>
      </c>
      <c r="E44" s="89" t="str">
        <f>IF('WEEK 39'!B49='WEEK 43'!B44,'WEEK 39'!F49,"")</f>
        <v/>
      </c>
      <c r="F44" s="67"/>
    </row>
    <row r="45">
      <c r="A45" s="243">
        <v>4.0</v>
      </c>
      <c r="B45" s="237">
        <f>'WEEK 43'!B40</f>
        <v>210</v>
      </c>
      <c r="C45" s="257">
        <v>3.0</v>
      </c>
      <c r="D45" s="238" t="s">
        <v>122</v>
      </c>
      <c r="E45" s="89" t="str">
        <f>IF('WEEK 39'!B50='WEEK 43'!B45,'WEEK 39'!F50,"")</f>
        <v/>
      </c>
      <c r="F45" s="67"/>
    </row>
    <row r="46">
      <c r="A46" s="246" t="str">
        <f>IF('WEEK 43'!F45&lt;3,"PROCEED TO DOWN SETS","NEW 4 REP MAX ATTEMPT")</f>
        <v>NEW 4 REP MAX ATTEMPT</v>
      </c>
      <c r="B46" s="20"/>
      <c r="C46" s="20"/>
      <c r="D46" s="20"/>
      <c r="E46" s="20"/>
      <c r="F46" s="95"/>
    </row>
    <row r="47">
      <c r="A47" s="249">
        <f>if('WEEK 43'!F45&lt;=2,"",5)</f>
        <v>5</v>
      </c>
      <c r="B47" s="175">
        <f>IF('WEEK 43'!F45&lt;=2,"",'WEEK 43'!B45+5)</f>
        <v>215</v>
      </c>
      <c r="C47" s="238">
        <f>if('WEEK 43'!F45&lt;=2,"",4)</f>
        <v>4</v>
      </c>
      <c r="D47" s="238" t="str">
        <f>if('WEEK 43'!F45&lt;=2,"","1-5 MIN")</f>
        <v>1-5 MIN</v>
      </c>
      <c r="E47" s="89" t="str">
        <f>IF('WEEK 39'!B52='WEEK 43'!B47,'WEEK 39'!F52,"")</f>
        <v/>
      </c>
      <c r="F47" s="67"/>
    </row>
    <row r="48">
      <c r="A48" s="259" t="str">
        <f>IF('WEEK 43'!F47&lt;4,"","6")</f>
        <v>6</v>
      </c>
      <c r="B48" s="237">
        <f>IF('WEEK 43'!F47&lt;4,"",'WEEK 43'!B47+5)</f>
        <v>220</v>
      </c>
      <c r="C48" s="257" t="str">
        <f>IF('WEEK 43'!F47&lt;4,"","4")</f>
        <v>4</v>
      </c>
      <c r="D48" s="257" t="str">
        <f>IF('WEEK 43'!F47&lt;4,"","1-5 MIN")</f>
        <v>1-5 MIN</v>
      </c>
      <c r="E48" s="89" t="str">
        <f>IF('WEEK 39'!B53='WEEK 43'!B48,'WEEK 39'!F53,"")</f>
        <v/>
      </c>
      <c r="F48" s="67"/>
    </row>
    <row r="49">
      <c r="A49" s="246" t="s">
        <v>133</v>
      </c>
      <c r="B49" s="20"/>
      <c r="C49" s="20"/>
      <c r="D49" s="20"/>
      <c r="E49" s="20"/>
      <c r="F49" s="95"/>
    </row>
    <row r="50">
      <c r="A50" s="264">
        <f>IF('WEEK 43'!F47&gt;=1,7,IF('WEEK 43'!F45&lt;1,5,6))</f>
        <v>7</v>
      </c>
      <c r="B50" s="265">
        <f>MROUND('WEEK 43'!B52*0.8,5)</f>
        <v>175</v>
      </c>
      <c r="C50" s="266" t="s">
        <v>65</v>
      </c>
      <c r="D50" s="267" t="s">
        <v>127</v>
      </c>
      <c r="E50" s="89" t="str">
        <f>IF('WEEK 39'!B55='WEEK 43'!B50,'WEEK 39'!F55,"")</f>
        <v/>
      </c>
      <c r="F50" s="67"/>
    </row>
    <row r="51">
      <c r="A51" s="243">
        <f>IF('WEEK 43'!F47&gt;=1,8,IF('WEEK 43'!F45&lt;1,6,7))</f>
        <v>8</v>
      </c>
      <c r="B51" s="237">
        <f>mround('WEEK 43'!B52*0.7,5)</f>
        <v>155</v>
      </c>
      <c r="C51" s="245" t="s">
        <v>65</v>
      </c>
      <c r="D51" s="65" t="s">
        <v>127</v>
      </c>
      <c r="E51" s="89" t="str">
        <f>IF('WEEK 39'!B56='WEEK 43'!B51,'WEEK 39'!F56,"")</f>
        <v/>
      </c>
      <c r="F51" s="271"/>
    </row>
    <row r="52">
      <c r="A52" s="228" t="s">
        <v>124</v>
      </c>
      <c r="B52" s="549">
        <f>IF(OR(ISBLANK('WEEK 43'!F45),ISBLANK('WEEK 43'!F44),ISBLANK('WEEK 43'!F43)),"",IF('WEEK 43'!F48&gt;=4,'WEEK 43'!B48,IF('WEEK 43'!F47&gt;=1,'WEEK 43'!B47,IF('WEEK 43'!F45&lt;3,'WEEK 43'!B45-5,'WEEK 43'!B45))))</f>
        <v>220</v>
      </c>
      <c r="F52" s="28"/>
    </row>
    <row r="53">
      <c r="A53" s="750"/>
      <c r="B53" s="750"/>
      <c r="C53" s="750"/>
      <c r="D53" s="750"/>
      <c r="E53" s="750"/>
      <c r="F53" s="750"/>
    </row>
    <row r="54">
      <c r="A54" s="751" t="str">
        <f>HYPERLINK("https://www.youtube.com/watch?v=PnaDzYh2axA","4. LAT PULL DOWN")</f>
        <v>4. LAT PULL DOWN</v>
      </c>
      <c r="B54" s="13"/>
      <c r="C54" s="13"/>
      <c r="D54" s="13"/>
      <c r="E54" s="13"/>
      <c r="F54" s="57"/>
    </row>
    <row r="55">
      <c r="A55" s="226" t="s">
        <v>119</v>
      </c>
      <c r="B55" s="691">
        <f>'WEEK 42'!B51</f>
        <v>240</v>
      </c>
      <c r="C55" s="13"/>
      <c r="D55" s="13"/>
      <c r="E55" s="13"/>
      <c r="F55" s="57"/>
    </row>
    <row r="56">
      <c r="A56" s="96" t="s">
        <v>50</v>
      </c>
      <c r="B56" s="97" t="s">
        <v>51</v>
      </c>
      <c r="C56" s="97" t="s">
        <v>52</v>
      </c>
      <c r="D56" s="97" t="s">
        <v>53</v>
      </c>
      <c r="E56" s="341" t="s">
        <v>54</v>
      </c>
      <c r="F56" s="235" t="s">
        <v>55</v>
      </c>
    </row>
    <row r="57">
      <c r="A57" s="725">
        <v>1.0</v>
      </c>
      <c r="B57" s="344">
        <f> mround('WEEK 43'!B55*0.85,5)</f>
        <v>205</v>
      </c>
      <c r="C57" s="437" t="s">
        <v>65</v>
      </c>
      <c r="D57" s="343" t="s">
        <v>57</v>
      </c>
      <c r="E57" s="89" t="str">
        <f>IF('WEEK 42'!B53='WEEK 43'!B57,'WEEK 42'!F53,"")</f>
        <v/>
      </c>
      <c r="F57" s="85"/>
    </row>
    <row r="58">
      <c r="A58" s="725">
        <v>2.0</v>
      </c>
      <c r="B58" s="344">
        <f>IF('WEEK 43'!F57&lt;6,MROUND('WEEK 43'!B55*0.75,5),IF('WEEK 43'!F57&lt;=11,MROUND('WEEK 43'!B55*0.85,5),'WEEK 43'!B57))</f>
        <v>180</v>
      </c>
      <c r="C58" s="437" t="s">
        <v>65</v>
      </c>
      <c r="D58" s="343" t="s">
        <v>57</v>
      </c>
      <c r="E58" s="89" t="str">
        <f>IF('WEEK 42'!B54='WEEK 43'!B58,'WEEK 42'!F54,"")</f>
        <v/>
      </c>
      <c r="F58" s="85"/>
    </row>
    <row r="59">
      <c r="A59" s="753">
        <v>3.0</v>
      </c>
      <c r="B59" s="754">
        <f>IF('WEEK 43'!F58&lt;6,MROUND('WEEK 43'!B55*0.75,5),IF('WEEK 43'!F58&lt;=11,MROUND('WEEK 43'!B55*0.85,5),'WEEK 43'!B58))</f>
        <v>205</v>
      </c>
      <c r="C59" s="733" t="s">
        <v>65</v>
      </c>
      <c r="D59" s="486" t="s">
        <v>57</v>
      </c>
      <c r="E59" s="89" t="str">
        <f>IF('WEEK 42'!B55='WEEK 43'!B59,'WEEK 42'!F55,"")</f>
        <v/>
      </c>
      <c r="F59" s="85"/>
    </row>
    <row r="60">
      <c r="A60" s="756"/>
      <c r="B60" s="756"/>
      <c r="C60" s="756"/>
      <c r="D60" s="756"/>
      <c r="E60" s="757"/>
      <c r="F60" s="419"/>
    </row>
    <row r="61">
      <c r="A61" s="756"/>
      <c r="B61" s="756"/>
      <c r="C61" s="756"/>
      <c r="D61" s="756"/>
      <c r="E61" s="757"/>
      <c r="F61" s="419"/>
    </row>
    <row r="62">
      <c r="A62" s="73" t="str">
        <f>HYPERLINK("https://youtu.be/9YH1YvZbiY0","5. LOW ROW ")</f>
        <v>5. LOW ROW </v>
      </c>
      <c r="B62" s="53"/>
      <c r="C62" s="53"/>
      <c r="D62" s="53"/>
      <c r="E62" s="53"/>
      <c r="F62" s="54"/>
    </row>
    <row r="63">
      <c r="A63" s="226" t="s">
        <v>119</v>
      </c>
      <c r="B63" s="691" t="str">
        <f>'WEEK 42'!B40</f>
        <v/>
      </c>
      <c r="C63" s="13"/>
      <c r="D63" s="13"/>
      <c r="E63" s="13"/>
      <c r="F63" s="57"/>
    </row>
    <row r="64">
      <c r="A64" s="96" t="s">
        <v>50</v>
      </c>
      <c r="B64" s="97" t="s">
        <v>51</v>
      </c>
      <c r="C64" s="97" t="s">
        <v>52</v>
      </c>
      <c r="D64" s="97" t="s">
        <v>53</v>
      </c>
      <c r="E64" s="341" t="s">
        <v>54</v>
      </c>
      <c r="F64" s="235" t="s">
        <v>55</v>
      </c>
    </row>
    <row r="65">
      <c r="A65" s="725">
        <v>1.0</v>
      </c>
      <c r="B65" s="344">
        <f>mround('WEEK 43'!B63*0.8,5)</f>
        <v>0</v>
      </c>
      <c r="C65" s="437" t="s">
        <v>65</v>
      </c>
      <c r="D65" s="343" t="s">
        <v>127</v>
      </c>
      <c r="E65" s="89" t="str">
        <f>IF('WEEK 41'!B63='WEEK 43'!B65,'WEEK 41'!F63,"")</f>
        <v/>
      </c>
      <c r="F65" s="85"/>
    </row>
    <row r="66">
      <c r="A66" s="725">
        <v>2.0</v>
      </c>
      <c r="B66" s="344">
        <f>IF('WEEK 43'!F65&lt;6,MROUND('WEEK 43'!B63*0.75,5),IF('WEEK 43'!F65&lt;=11,MROUND('WEEK 43'!B63*0.75,5),'WEEK 43'!B65))</f>
        <v>0</v>
      </c>
      <c r="C66" s="437" t="s">
        <v>65</v>
      </c>
      <c r="D66" s="343" t="s">
        <v>127</v>
      </c>
      <c r="E66" s="89" t="str">
        <f>IF('WEEK 41'!B64='WEEK 43'!B66,'WEEK 41'!F64,"")</f>
        <v/>
      </c>
      <c r="F66" s="85"/>
    </row>
    <row r="67">
      <c r="A67" s="753">
        <v>3.0</v>
      </c>
      <c r="B67" s="754">
        <f>IF('WEEK 43'!F66&lt;6,MROUND('WEEK 43'!B66*0.8,5),IF('WEEK 43'!F66&lt;=11,MROUND('WEEK 43'!B63*0.75,5),'WEEK 43'!B66))</f>
        <v>0</v>
      </c>
      <c r="C67" s="733" t="s">
        <v>65</v>
      </c>
      <c r="D67" s="486" t="s">
        <v>127</v>
      </c>
      <c r="E67" s="89" t="str">
        <f>IF('WEEK 41'!B65='WEEK 43'!B67,'WEEK 41'!F65,"")</f>
        <v/>
      </c>
      <c r="F67" s="85"/>
    </row>
    <row r="68">
      <c r="A68" s="758"/>
      <c r="B68" s="736"/>
      <c r="C68" s="759"/>
      <c r="D68" s="760"/>
      <c r="E68" s="761"/>
      <c r="F68" s="762"/>
    </row>
    <row r="69">
      <c r="A69" s="310" t="str">
        <f>HYPERLINK("https://docs.google.com/a/fitnessresults.com/forms/d/e/1FAIpQLSd7MoczESe8Yjv6BKpmwAZGn9Aiymrs9-UdgfYIUpbr9t5NXg/viewform?usp=pp_url&amp;entry.93370101","CLICK TO COMPLETE WORKOUT")</f>
        <v>CLICK TO COMPLETE WORKOUT</v>
      </c>
      <c r="B69" s="36"/>
      <c r="C69" s="36"/>
      <c r="D69" s="36"/>
      <c r="E69" s="36"/>
      <c r="F69" s="37"/>
    </row>
    <row r="70">
      <c r="A70" s="763"/>
      <c r="B70" s="764"/>
      <c r="C70" s="764"/>
      <c r="D70" s="764"/>
      <c r="E70" s="764"/>
      <c r="F70" s="764"/>
    </row>
    <row r="71">
      <c r="A71" s="50" t="s">
        <v>128</v>
      </c>
      <c r="B71" s="36"/>
      <c r="C71" s="36"/>
      <c r="D71" s="36"/>
      <c r="E71" s="36"/>
      <c r="F71" s="37"/>
    </row>
    <row r="74">
      <c r="A74" s="1355" t="str">
        <f>HYPERLINK("https://www.youtube.com/watch?v=5UOeRbRoFOI","1. MACHINE SQUAT")</f>
        <v>1. MACHINE SQUAT</v>
      </c>
      <c r="B74" s="53"/>
      <c r="C74" s="53"/>
      <c r="D74" s="53"/>
      <c r="E74" s="53"/>
      <c r="F74" s="54"/>
    </row>
    <row r="75">
      <c r="A75" s="1262" t="s">
        <v>268</v>
      </c>
      <c r="B75" s="1035">
        <f>'WEEK 42'!B75</f>
        <v>35</v>
      </c>
      <c r="C75" s="13"/>
      <c r="D75" s="13"/>
      <c r="E75" s="13"/>
      <c r="F75" s="57"/>
    </row>
    <row r="76">
      <c r="A76" s="962" t="s">
        <v>50</v>
      </c>
      <c r="B76" s="1203" t="s">
        <v>51</v>
      </c>
      <c r="C76" s="963" t="s">
        <v>52</v>
      </c>
      <c r="D76" s="963" t="s">
        <v>53</v>
      </c>
      <c r="E76" s="1073" t="s">
        <v>54</v>
      </c>
      <c r="F76" s="1006" t="s">
        <v>55</v>
      </c>
    </row>
    <row r="77">
      <c r="A77" s="1307">
        <v>1.0</v>
      </c>
      <c r="B77" s="1015">
        <f>mround('WEEK 43'!B75*0.5,5)</f>
        <v>20</v>
      </c>
      <c r="C77" s="1234">
        <v>30.0</v>
      </c>
      <c r="D77" s="1234" t="s">
        <v>122</v>
      </c>
      <c r="E77" s="1077"/>
      <c r="F77" s="1131"/>
    </row>
    <row r="78">
      <c r="A78" s="967">
        <v>2.0</v>
      </c>
      <c r="B78" s="1015">
        <f>mround('WEEK 43'!B75*0.5,5)</f>
        <v>20</v>
      </c>
      <c r="C78" s="1067">
        <v>30.0</v>
      </c>
      <c r="D78" s="1234" t="s">
        <v>122</v>
      </c>
      <c r="E78" s="1077"/>
      <c r="F78" s="1131"/>
    </row>
    <row r="79">
      <c r="A79" s="1308">
        <v>3.0</v>
      </c>
      <c r="B79" s="1205">
        <f>mround('WEEK 43'!B75*0.5,5)</f>
        <v>20</v>
      </c>
      <c r="C79" s="1239">
        <v>30.0</v>
      </c>
      <c r="D79" s="1234" t="s">
        <v>122</v>
      </c>
      <c r="E79" s="1077"/>
      <c r="F79" s="1131"/>
    </row>
    <row r="80">
      <c r="A80" s="1308" t="str">
        <f>IF(OR(ISBLANK('WEEK 43'!F77),ISBLANK('WEEK 43'!F78),ISBLANK('WEEK 43'!F79),),"",IF('WEEK 43'!F79&lt;10,"",4))</f>
        <v/>
      </c>
      <c r="B80" s="1028" t="str">
        <f>IF(OR(ISBLANK('WEEK 43'!F77),ISBLANK('WEEK 43'!F78),ISBLANK('WEEK 43'!F79),),"",IF('WEEK 43'!F79&lt;10,"",IF('WEEK 43'!F79&gt;=10,B79,)))</f>
        <v/>
      </c>
      <c r="C80" s="1205" t="str">
        <f>IF(OR(ISBLANK('WEEK 43'!F77),ISBLANK('WEEK 43'!F78),ISBLANK('WEEK 43'!F79)),"",IF('WEEK 43'!F79&lt;10,"",30))</f>
        <v/>
      </c>
      <c r="D80" s="1234" t="str">
        <f>IF(OR(ISBLANK('WEEK 43'!F77),ISBLANK('WEEK 43'!F78),ISBLANK('WEEK 43'!F79)),"",IF('WEEK 43'!F79&gt;=10,"1-5 MIN",""))</f>
        <v/>
      </c>
      <c r="E80" s="1211"/>
      <c r="F80" s="1309"/>
    </row>
    <row r="81">
      <c r="A81" s="1308" t="str">
        <f>IF(OR(ISBLANK('WEEK 43'!F77),ISBLANK('WEEK 43'!F78),ISBLANK('WEEK 43'!F79),ISBLANK('WEEK 43'!F80)), "",IF('WEEK 43'!F80&gt;=10,"5",""))</f>
        <v/>
      </c>
      <c r="B81" s="1205" t="str">
        <f>IF(OR(ISBLANK('WEEK 43'!F77),ISBLANK('WEEK 43'!F78),ISBLANK('WEEK 43'!F79),ISBLANK('WEEK 43'!F80)),"",IF('WEEK 43'!F80&lt;10,"",IF('WEEK 43'!F80&gt;=10,B80,)))</f>
        <v/>
      </c>
      <c r="C81" s="1234" t="str">
        <f>IF(OR(ISBLANK('WEEK 43'!F77),ISBLANK('WEEK 43'!F78),ISBLANK('WEEK 43'!F79),ISBLANK('WEEK 43'!F80)), "",IF('WEEK 43'!F80&gt;=10,"30",""))</f>
        <v/>
      </c>
      <c r="D81" s="1234" t="str">
        <f>IF(OR(ISBLANK('WEEK 43'!F77),ISBLANK('WEEK 43'!F78),ISBLANK('WEEK 43'!F79),ISBLANK('WEEK 43'!F80)), "",IF('WEEK 43'!F80&gt;=10,"1-5 MIN",""))</f>
        <v/>
      </c>
      <c r="E81" s="1010"/>
      <c r="F81" s="1131"/>
    </row>
    <row r="82">
      <c r="A82" s="1310" t="str">
        <f>IF(OR(ISBLANK('WEEK 43'!F77),ISBLANK('WEEK 43'!F78),ISBLANK('WEEK 43'!F79),ISBLANK('WEEK 43'!F80),ISBLANK('WEEK 43'!F81)), "",IF('WEEK 43'!F81&lt;10,"","6"))</f>
        <v/>
      </c>
      <c r="B82" s="1205" t="str">
        <f>IF(OR(ISBLANK('WEEK 43'!F77),ISBLANK('WEEK 43'!F78),ISBLANK('WEEK 43'!F79),ISBLANK('WEEK 43'!F80),ISBLANK('WEEK 43'!F81)), "",IF('WEEK 43'!F81&lt;10,"",IF('WEEK 43'!F81&gt;=10,B81,)))</f>
        <v/>
      </c>
      <c r="C82" s="1311" t="str">
        <f>IF(OR(ISBLANK('WEEK 43'!F77),ISBLANK('WEEK 43'!F78),ISBLANK('WEEK 43'!F79),ISBLANK('WEEK 43'!F80),ISBLANK('WEEK 43'!F81)), "",IF('WEEK 43'!F81&gt;=10,"30",""))</f>
        <v/>
      </c>
      <c r="D82" s="1234" t="str">
        <f>IF(OR(ISBLANK('WEEK 43'!F77),ISBLANK('WEEK 43'!F78),ISBLANK('WEEK 43'!F79),ISBLANK('WEEK 43'!F80),ISBLANK('WEEK 43'!F81)), "",IF('WEEK 43'!F81&gt;=10,"1-5 MIN",""))</f>
        <v/>
      </c>
      <c r="E82" s="1010"/>
      <c r="F82" s="1017"/>
    </row>
    <row r="83">
      <c r="A83" s="1310" t="str">
        <f>IF(OR(ISBLANK('WEEK 43'!F77),ISBLANK('WEEK 43'!F78),ISBLANK('WEEK 43'!F79),ISBLANK('WEEK 43'!F80),ISBLANK('WEEK 43'!F81),ISBLANK('WEEK 43'!F82)), "",IF('WEEK 43'!F82&lt;10,"",7))</f>
        <v/>
      </c>
      <c r="B83" s="1205" t="str">
        <f>IF(OR(ISBLANK('WEEK 43'!F77),ISBLANK('WEEK 43'!F78),ISBLANK('WEEK 43'!F79),ISBLANK('WEEK 43'!F80),ISBLANK('WEEK 43'!F81),ISBLANK('WEEK 43'!F82)), "",IF('WEEK 43'!F82&lt;10,"",IF('WEEK 43'!F82&gt;=10,B82,)))</f>
        <v/>
      </c>
      <c r="C83" s="1311" t="str">
        <f>IF(OR(ISBLANK('WEEK 43'!F77),ISBLANK('WEEK 43'!F78),ISBLANK('WEEK 43'!F79),ISBLANK('WEEK 43'!F80),ISBLANK('WEEK 43'!F81),ISBLANK('WEEK 43'!F82)), "",IF('WEEK 43'!F82&gt;=10,C82,""))</f>
        <v/>
      </c>
      <c r="D83" s="1234" t="str">
        <f>IF(OR(ISBLANK('WEEK 43'!F77),ISBLANK('WEEK 43'!F78),ISBLANK('WEEK 43'!F79),ISBLANK('WEEK 43'!F80),ISBLANK('WEEK 43'!F81),ISBLANK('WEEK 43'!F82)), "",IF('WEEK 43'!F82&gt;=10,D82,""))</f>
        <v/>
      </c>
      <c r="E83" s="1010"/>
      <c r="F83" s="1085"/>
    </row>
    <row r="84">
      <c r="A84" s="1310" t="str">
        <f>IF(OR(ISBLANK('WEEK 43'!F77),ISBLANK('WEEK 43'!F78),ISBLANK('WEEK 43'!F79),ISBLANK('WEEK 43'!F80),ISBLANK('WEEK 43'!F81),ISBLANK('WEEK 43'!F82),ISBLANK('WEEK 43'!F83)), "",IF('WEEK 43'!F83&lt;10,"","8"))</f>
        <v/>
      </c>
      <c r="B84" s="1205" t="str">
        <f>IF('WEEK 43'!F83&lt;10,"",IF('WEEK 43'!F83&gt;=10,B83,))</f>
        <v/>
      </c>
      <c r="C84" s="1311" t="str">
        <f>IF(OR(ISBLANK('WEEK 43'!F77),ISBLANK('WEEK 43'!F78),ISBLANK('WEEK 43'!F79),ISBLANK('WEEK 43'!F80),ISBLANK('WEEK 43'!F81),ISBLANK('WEEK 43'!F82),ISBLANK('WEEK 43'!F83)), "",IF('WEEK 43'!F83&gt;=10,"30",""))</f>
        <v/>
      </c>
      <c r="D84" s="1234" t="str">
        <f>IF(OR(ISBLANK('WEEK 43'!F77),ISBLANK('WEEK 43'!F78),ISBLANK('WEEK 43'!F79),ISBLANK('WEEK 43'!F80),ISBLANK('WEEK 43'!F81),ISBLANK('WEEK 43'!F82),ISBLANK('WEEK 43'!F83)), "",IF('WEEK 43'!F83&gt;=10,"1-5 MIN",""))</f>
        <v/>
      </c>
      <c r="E84" s="1312"/>
      <c r="F84" s="1313"/>
    </row>
    <row r="85">
      <c r="A85" s="1310" t="str">
        <f>IF(OR(ISBLANK('WEEK 43'!F77),ISBLANK('WEEK 43'!F78),ISBLANK('WEEK 43'!F79),ISBLANK('WEEK 43'!F80),ISBLANK('WEEK 43'!F81),ISBLANK('WEEK 43'!F82),ISBLANK('WEEK 43'!F83),ISBLANK('WEEK 43'!F84)), "",IF('WEEK 43'!F84&lt;10,"","9"))</f>
        <v/>
      </c>
      <c r="B85" s="1205" t="str">
        <f>IF('WEEK 43'!F84&lt;10,"",IF('WEEK 43'!F84&gt;=10,B84,))</f>
        <v/>
      </c>
      <c r="C85" s="1311" t="str">
        <f>IF(OR(ISBLANK('WEEK 43'!F77),ISBLANK('WEEK 43'!F78),ISBLANK('WEEK 43'!F79),ISBLANK('WEEK 43'!F80),ISBLANK('WEEK 43'!F81),ISBLANK('WEEK 43'!F82),ISBLANK('WEEK 43'!F83),ISBLANK('WEEK 43'!F84)), "",IF('WEEK 43'!F84&gt;=10,"30",""))</f>
        <v/>
      </c>
      <c r="D85" s="1234" t="str">
        <f>IF(OR(ISBLANK('WEEK 43'!F77),ISBLANK('WEEK 43'!F78),ISBLANK('WEEK 43'!F79),ISBLANK('WEEK 43'!F80),ISBLANK('WEEK 43'!F81),ISBLANK('WEEK 43'!F82),ISBLANK('WEEK 43'!F83),ISBLANK('WEEK 43'!F84)), "",IF('WEEK 43'!F84&gt;=10,"1-5 MIN",""))</f>
        <v/>
      </c>
      <c r="E85" s="1010"/>
      <c r="F85" s="1017"/>
    </row>
    <row r="86">
      <c r="A86" s="1326" t="str">
        <f>IF(OR(ISBLANK('WEEK 43'!F77),ISBLANK('WEEK 43'!F78),ISBLANK('WEEK 43'!F79),ISBLANK('WEEK 43'!F80),ISBLANK('WEEK 43'!F81),ISBLANK('WEEK 43'!F82),ISBLANK('WEEK 43'!F83),ISBLANK('WEEK 43'!F84),ISBLANK('WEEK 43'!F85)), "",IF('WEEK 43'!F85&lt;10,"","10"))</f>
        <v/>
      </c>
      <c r="B86" s="1327" t="str">
        <f>IF('WEEK 43'!F85&lt;10,"",IF('WEEK 43'!F85&gt;=10,B85,))</f>
        <v/>
      </c>
      <c r="C86" s="1328" t="str">
        <f>IF(OR(ISBLANK('WEEK 43'!F77),ISBLANK('WEEK 43'!F78),ISBLANK('WEEK 43'!F79),ISBLANK('WEEK 43'!F80),ISBLANK('WEEK 43'!F81),ISBLANK('WEEK 43'!F82),ISBLANK('WEEK 43'!F83),ISBLANK('WEEK 43'!F84),ISBLANK('WEEK 43'!F85)), "",IF('WEEK 43'!F85&gt;=10,"30",""))</f>
        <v/>
      </c>
      <c r="D86" s="1329" t="str">
        <f>IF(OR(ISBLANK('WEEK 43'!F77),ISBLANK('WEEK 43'!F78),ISBLANK('WEEK 43'!F79),ISBLANK('WEEK 43'!F80),ISBLANK('WEEK 43'!F81),ISBLANK('WEEK 43'!F82),ISBLANK('WEEK 43'!F83),ISBLANK('WEEK 43'!F84),ISBLANK('WEEK 43'!F85)), "",IF('WEEK 43'!F85&gt;=10,"1-5 MIN",""))</f>
        <v/>
      </c>
      <c r="E86" s="1065" t="str">
        <f>IF(OR(ISBLANK('WEEK 43'!F79),ISBLANK('WEEK 43'!F78),ISBLANK('WEEK 43'!F77)), "",)</f>
        <v/>
      </c>
      <c r="F86" s="1085"/>
    </row>
    <row r="87">
      <c r="A87" s="1330"/>
      <c r="B87" s="1330"/>
      <c r="C87" s="1330"/>
      <c r="D87" s="1330"/>
      <c r="E87" s="1330"/>
      <c r="F87" s="1330"/>
    </row>
    <row r="89">
      <c r="A89" s="310" t="str">
        <f>HYPERLINK("https://docs.google.com/a/fitnessresults.com/forms/d/e/1FAIpQLSd7MoczESe8Yjv6BKpmwAZGn9Aiymrs9-UdgfYIUpbr9t5NXg/viewform?usp=pp_url&amp;entry.93370101","CLICK TO COMPLETE WORKOUT")</f>
        <v>CLICK TO COMPLETE WORKOUT</v>
      </c>
      <c r="B89" s="36"/>
      <c r="C89" s="36"/>
      <c r="D89" s="36"/>
      <c r="E89" s="36"/>
      <c r="F89" s="37"/>
    </row>
    <row r="92">
      <c r="A92" s="1120" t="s">
        <v>62</v>
      </c>
      <c r="B92" s="36"/>
      <c r="C92" s="36"/>
      <c r="D92" s="36"/>
      <c r="E92" s="36"/>
      <c r="F92" s="37"/>
    </row>
    <row r="95">
      <c r="A95" s="44" t="s">
        <v>131</v>
      </c>
      <c r="B95" s="36"/>
      <c r="C95" s="36"/>
      <c r="D95" s="36"/>
      <c r="E95" s="36"/>
      <c r="F95" s="37"/>
      <c r="H95" s="44" t="s">
        <v>131</v>
      </c>
      <c r="I95" s="36"/>
      <c r="J95" s="36"/>
      <c r="K95" s="36"/>
      <c r="L95" s="36"/>
      <c r="M95" s="37"/>
    </row>
    <row r="96">
      <c r="A96" s="112" t="str">
        <f>HYPERLINK("https://www.youtube.com/watch?v=rmxOkkd2hUk","1. SHOULDER PRESS")</f>
        <v>1. SHOULDER PRESS</v>
      </c>
      <c r="B96" s="13"/>
      <c r="C96" s="13"/>
      <c r="D96" s="13"/>
      <c r="E96" s="13"/>
      <c r="F96" s="57"/>
      <c r="H96" s="1139" t="str">
        <f>HYPERLINK("https://www.youtube.com/watch?v=-cSBPE-y38M","1. MACHINE SHOULDER PRESS")</f>
        <v>1. MACHINE SHOULDER PRESS</v>
      </c>
      <c r="I96" s="13"/>
      <c r="J96" s="13"/>
      <c r="K96" s="13"/>
      <c r="L96" s="13"/>
      <c r="M96" s="57"/>
    </row>
    <row r="97">
      <c r="A97" s="226" t="s">
        <v>119</v>
      </c>
      <c r="B97" s="227">
        <f>'WEEK 42'!B99</f>
        <v>80</v>
      </c>
      <c r="C97" s="20"/>
      <c r="D97" s="20"/>
      <c r="E97" s="20"/>
      <c r="F97" s="95"/>
      <c r="H97" s="226" t="s">
        <v>119</v>
      </c>
      <c r="I97" s="227">
        <f>'WEEK 42'!I99</f>
        <v>228</v>
      </c>
      <c r="J97" s="20"/>
      <c r="K97" s="20"/>
      <c r="L97" s="20"/>
      <c r="M97" s="95"/>
    </row>
    <row r="98">
      <c r="A98" s="231" t="s">
        <v>50</v>
      </c>
      <c r="B98" s="232" t="s">
        <v>51</v>
      </c>
      <c r="C98" s="232" t="s">
        <v>52</v>
      </c>
      <c r="D98" s="232" t="s">
        <v>53</v>
      </c>
      <c r="E98" s="233" t="s">
        <v>54</v>
      </c>
      <c r="F98" s="61" t="s">
        <v>55</v>
      </c>
      <c r="H98" s="231" t="s">
        <v>50</v>
      </c>
      <c r="I98" s="232" t="s">
        <v>51</v>
      </c>
      <c r="J98" s="232" t="s">
        <v>52</v>
      </c>
      <c r="K98" s="232" t="s">
        <v>53</v>
      </c>
      <c r="L98" s="233" t="s">
        <v>54</v>
      </c>
      <c r="M98" s="61" t="s">
        <v>55</v>
      </c>
    </row>
    <row r="99">
      <c r="A99" s="1140">
        <v>1.0</v>
      </c>
      <c r="B99" s="237">
        <f>mround('WEEK 43'!B97*0.35,5)</f>
        <v>30</v>
      </c>
      <c r="C99" s="237">
        <v>6.0</v>
      </c>
      <c r="D99" s="238" t="s">
        <v>120</v>
      </c>
      <c r="E99" s="84">
        <f>IF('WEEK 40'!B104='WEEK 43'!B99,'WEEK 40'!F104,"")</f>
        <v>6</v>
      </c>
      <c r="F99" s="67"/>
      <c r="H99" s="1140">
        <v>1.0</v>
      </c>
      <c r="I99" s="237">
        <f>mround('WEEK 43'!I97*0.35,5)</f>
        <v>80</v>
      </c>
      <c r="J99" s="237">
        <v>6.0</v>
      </c>
      <c r="K99" s="238" t="s">
        <v>120</v>
      </c>
      <c r="L99" s="84" t="str">
        <f>IF('WEEK 40'!I104='WEEK 43'!I99,'WEEK 40'!M104,"")</f>
        <v/>
      </c>
      <c r="M99" s="67"/>
    </row>
    <row r="100">
      <c r="A100" s="236">
        <v>2.0</v>
      </c>
      <c r="B100" s="237">
        <f>mround('WEEK 43'!B97*0.65,5)</f>
        <v>50</v>
      </c>
      <c r="C100" s="237">
        <v>1.0</v>
      </c>
      <c r="D100" s="238" t="s">
        <v>121</v>
      </c>
      <c r="E100" s="84">
        <f>IF('WEEK 40'!B105='WEEK 43'!B100,'WEEK 40'!F105,"")</f>
        <v>1</v>
      </c>
      <c r="F100" s="67"/>
      <c r="H100" s="236">
        <v>2.0</v>
      </c>
      <c r="I100" s="237">
        <f>mround('WEEK 43'!I97*0.65,5)</f>
        <v>150</v>
      </c>
      <c r="J100" s="237">
        <v>1.0</v>
      </c>
      <c r="K100" s="238" t="s">
        <v>121</v>
      </c>
      <c r="L100" s="84" t="str">
        <f>IF('WEEK 40'!I105='WEEK 43'!I100,'WEEK 40'!M105,"")</f>
        <v/>
      </c>
      <c r="M100" s="67"/>
    </row>
    <row r="101">
      <c r="A101" s="242">
        <v>3.0</v>
      </c>
      <c r="B101" s="237">
        <f>mround('WEEK 43'!B97*0.9,5)</f>
        <v>70</v>
      </c>
      <c r="C101" s="82">
        <v>1.0</v>
      </c>
      <c r="D101" s="238" t="s">
        <v>121</v>
      </c>
      <c r="E101" s="84" t="str">
        <f>IF('WEEK 40'!B106='WEEK 43'!B101,'WEEK 40'!F106,"")</f>
        <v/>
      </c>
      <c r="F101" s="67"/>
      <c r="H101" s="242">
        <v>3.0</v>
      </c>
      <c r="I101" s="237">
        <f>mround('WEEK 43'!I97*0.9,5)</f>
        <v>205</v>
      </c>
      <c r="J101" s="82">
        <v>1.0</v>
      </c>
      <c r="K101" s="238" t="s">
        <v>121</v>
      </c>
      <c r="L101" s="84" t="str">
        <f>IF('WEEK 40'!I106='WEEK 43'!I101,'WEEK 40'!M106,"")</f>
        <v/>
      </c>
      <c r="M101" s="67"/>
    </row>
    <row r="102">
      <c r="A102" s="243">
        <v>4.0</v>
      </c>
      <c r="B102" s="237">
        <f>'WEEK 43'!B97</f>
        <v>80</v>
      </c>
      <c r="C102" s="257">
        <v>1.0</v>
      </c>
      <c r="D102" s="238" t="s">
        <v>122</v>
      </c>
      <c r="E102" s="84">
        <f>IF('WEEK 40'!B107='WEEK 43'!B102,'WEEK 40'!F107,"")</f>
        <v>1</v>
      </c>
      <c r="F102" s="67"/>
      <c r="H102" s="243">
        <v>4.0</v>
      </c>
      <c r="I102" s="237">
        <f>'WEEK 43'!I97</f>
        <v>228</v>
      </c>
      <c r="J102" s="257">
        <v>1.0</v>
      </c>
      <c r="K102" s="238" t="s">
        <v>122</v>
      </c>
      <c r="L102" s="84" t="str">
        <f>IF('WEEK 40'!I107='WEEK 43'!I102,'WEEK 40'!M107,"")</f>
        <v/>
      </c>
      <c r="M102" s="67"/>
    </row>
    <row r="103">
      <c r="A103" s="246" t="str">
        <f>IF('WEEK 43'!F102&lt;1,"PROCEED TO DOWN SETS","NEW 4 REP MAX ATTEMPT")</f>
        <v>PROCEED TO DOWN SETS</v>
      </c>
      <c r="B103" s="20"/>
      <c r="C103" s="20"/>
      <c r="D103" s="20"/>
      <c r="E103" s="20"/>
      <c r="F103" s="95"/>
      <c r="H103" s="246" t="str">
        <f>IF('WEEK 43'!M102&lt;1,"PROCEED TO DOWN SETS","NEW 4 REP MAX ATTEMPT")</f>
        <v>PROCEED TO DOWN SETS</v>
      </c>
      <c r="I103" s="20"/>
      <c r="J103" s="20"/>
      <c r="K103" s="20"/>
      <c r="L103" s="20"/>
      <c r="M103" s="95"/>
    </row>
    <row r="104">
      <c r="A104" s="249" t="str">
        <f>IF(OR(ISBLANK('WEEK 43'!F102),ISBLANK('WEEK 43'!F101),ISBLANK('WEEK 43'!F100)), "",if('WEEK 43'!F102&lt;1,"",5))</f>
        <v/>
      </c>
      <c r="B104" s="175" t="str">
        <f>IF('WEEK 43'!F102&lt;1,"",'WEEK 43'!B102+5)</f>
        <v/>
      </c>
      <c r="C104" s="238" t="str">
        <f>if('WEEK 43'!F102&lt;1,"",4)</f>
        <v/>
      </c>
      <c r="D104" s="238" t="str">
        <f>if('WEEK 43'!F102&lt;1,"","1-5 MIN")</f>
        <v/>
      </c>
      <c r="E104" s="84" t="str">
        <f>IF('WEEK 40'!B109='WEEK 43'!B104,'WEEK 40'!F109,"")</f>
        <v/>
      </c>
      <c r="F104" s="67"/>
      <c r="H104" s="249" t="str">
        <f>IF(OR(ISBLANK('WEEK 43'!M102),ISBLANK('WEEK 43'!M101),ISBLANK('WEEK 43'!M100)), "",if('WEEK 43'!M102&lt;1,"",5))</f>
        <v/>
      </c>
      <c r="I104" s="175" t="str">
        <f>IF('WEEK 43'!M102&lt;1,"",'WEEK 43'!I102+5)</f>
        <v/>
      </c>
      <c r="J104" s="238" t="str">
        <f>if('WEEK 43'!M102&lt;1,"",4)</f>
        <v/>
      </c>
      <c r="K104" s="238" t="str">
        <f>if('WEEK 43'!M102&lt;1,"","1-5 MIN")</f>
        <v/>
      </c>
      <c r="L104" s="84" t="str">
        <f>IF('WEEK 40'!I109='WEEK 43'!I104,'WEEK 40'!M109,"")</f>
        <v/>
      </c>
      <c r="M104" s="67"/>
    </row>
    <row r="105">
      <c r="A105" s="259" t="str">
        <f>IF(OR(ISBLANK('WEEK 43'!F101),ISBLANK('WEEK 43'!F102),ISBLANK('WEEK 43'!F104)), "",IF('WEEK 43'!F104&lt;4,"","6"))</f>
        <v/>
      </c>
      <c r="B105" s="237" t="str">
        <f>IF(OR(ISBLANK('WEEK 43'!F101),ISBLANK('WEEK 43'!F102),ISBLANK('WEEK 43'!F104)), "",IF('WEEK 43'!F104&lt;4,"",'WEEK 43'!B104+5))</f>
        <v/>
      </c>
      <c r="C105" s="257" t="str">
        <f>IF(OR(ISBLANK('WEEK 43'!F101),ISBLANK('WEEK 43'!F102),ISBLANK('WEEK 43'!F104)), "",IF('WEEK 43'!F104&lt;4,"","4"))</f>
        <v/>
      </c>
      <c r="D105" s="257" t="str">
        <f>IF(OR(ISBLANK('WEEK 43'!F101),ISBLANK('WEEK 43'!F102),ISBLANK('WEEK 43'!F104)), "",IF('WEEK 43'!F104&lt;4,"","1-5 MIN"))</f>
        <v/>
      </c>
      <c r="E105" s="84" t="str">
        <f>IF('WEEK 40'!B110='WEEK 43'!B105,'WEEK 40'!F110,"")</f>
        <v/>
      </c>
      <c r="F105" s="67"/>
      <c r="H105" s="259" t="str">
        <f>IF(OR(ISBLANK('WEEK 43'!M101),ISBLANK('WEEK 43'!M102),ISBLANK('WEEK 43'!M104)), "",IF('WEEK 43'!M104&lt;4,"","6"))</f>
        <v/>
      </c>
      <c r="I105" s="237" t="str">
        <f>IF(OR(ISBLANK('WEEK 43'!M101),ISBLANK('WEEK 43'!M102),ISBLANK('WEEK 43'!M104)), "",IF('WEEK 43'!M104&lt;4,"",'WEEK 43'!I104+5))</f>
        <v/>
      </c>
      <c r="J105" s="257" t="str">
        <f>IF(OR(ISBLANK('WEEK 43'!M101),ISBLANK('WEEK 43'!M102),ISBLANK('WEEK 43'!M104)), "",IF('WEEK 43'!M104&lt;4,"","4"))</f>
        <v/>
      </c>
      <c r="K105" s="257" t="str">
        <f>IF(OR(ISBLANK('WEEK 43'!M101),ISBLANK('WEEK 43'!M102),ISBLANK('WEEK 43'!M104)), "",IF('WEEK 43'!M104&lt;4,"","1-5 MIN"))</f>
        <v/>
      </c>
      <c r="L105" s="84" t="str">
        <f>IF('WEEK 40'!I110='WEEK 43'!I105,'WEEK 40'!M110,"")</f>
        <v/>
      </c>
      <c r="M105" s="67"/>
    </row>
    <row r="106">
      <c r="A106" s="246" t="s">
        <v>133</v>
      </c>
      <c r="B106" s="20"/>
      <c r="C106" s="20"/>
      <c r="D106" s="20"/>
      <c r="E106" s="20"/>
      <c r="F106" s="95"/>
      <c r="H106" s="246" t="s">
        <v>133</v>
      </c>
      <c r="I106" s="20"/>
      <c r="J106" s="20"/>
      <c r="K106" s="20"/>
      <c r="L106" s="20"/>
      <c r="M106" s="95"/>
    </row>
    <row r="107">
      <c r="A107" s="264" t="str">
        <f>IF(OR(ISBLANK('WEEK 43'!F102),ISBLANK('WEEK 43'!F101),ISBLANK('WEEK 43'!F100)),"",IF((AND(A104="",A105="")),5,IF((AND(A104&gt;1,A105="")),6,7)))</f>
        <v/>
      </c>
      <c r="B107" s="265">
        <f>MROUND('WEEK 43'!B109*0.9,5)</f>
        <v>0</v>
      </c>
      <c r="C107" s="266" t="s">
        <v>65</v>
      </c>
      <c r="D107" s="267" t="s">
        <v>127</v>
      </c>
      <c r="E107" s="84" t="str">
        <f>IF('WEEK 40'!B112='WEEK 43'!B107,'WEEK 40'!F112,"")</f>
        <v/>
      </c>
      <c r="F107" s="67"/>
      <c r="H107" s="264" t="str">
        <f>IF(OR(ISBLANK('WEEK 43'!M102),ISBLANK('WEEK 43'!M101),ISBLANK('WEEK 43'!M100)),"",IF((AND(H104="",H105="")),5,IF((AND(H104&gt;1,H105="")),6,7)))</f>
        <v/>
      </c>
      <c r="I107" s="265">
        <f>MROUND('WEEK 43'!I109*0.9,5)</f>
        <v>0</v>
      </c>
      <c r="J107" s="266" t="s">
        <v>65</v>
      </c>
      <c r="K107" s="267" t="s">
        <v>127</v>
      </c>
      <c r="L107" s="84" t="str">
        <f>IF('WEEK 40'!I112='WEEK 43'!I107,'WEEK 40'!M112,"")</f>
        <v/>
      </c>
      <c r="M107" s="67"/>
    </row>
    <row r="108">
      <c r="A108" s="243" t="str">
        <f>IF(OR(ISBLANK('WEEK 43'!F102),ISBLANK('WEEK 43'!F101),ISBLANK('WEEK 43'!F100)),"",IF((AND(A104="",A105="")),6,IF((AND(A104&gt;1,A105="")),7,8)))</f>
        <v/>
      </c>
      <c r="B108" s="237">
        <f>mround('WEEK 43'!B109*0.78,5)</f>
        <v>0</v>
      </c>
      <c r="C108" s="245" t="s">
        <v>65</v>
      </c>
      <c r="D108" s="65" t="s">
        <v>127</v>
      </c>
      <c r="E108" s="84" t="str">
        <f>IF('WEEK 40'!B113='WEEK 43'!B108,'WEEK 40'!F113,"")</f>
        <v/>
      </c>
      <c r="F108" s="271"/>
      <c r="H108" s="243" t="str">
        <f>IF(OR(ISBLANK('WEEK 43'!M102),ISBLANK('WEEK 43'!M101),ISBLANK('WEEK 43'!M100)),"",IF((AND(H104="",H105="")),6,IF((AND(H104&gt;1,H105="")),7,8)))</f>
        <v/>
      </c>
      <c r="I108" s="237">
        <f>mround('WEEK 43'!I109*0.78,5)</f>
        <v>0</v>
      </c>
      <c r="J108" s="245" t="s">
        <v>65</v>
      </c>
      <c r="K108" s="65" t="s">
        <v>127</v>
      </c>
      <c r="L108" s="84" t="str">
        <f>IF('WEEK 40'!I113='WEEK 43'!I108,'WEEK 40'!M113,"")</f>
        <v/>
      </c>
      <c r="M108" s="271"/>
    </row>
    <row r="109">
      <c r="A109" s="272" t="s">
        <v>124</v>
      </c>
      <c r="B109" s="273" t="str">
        <f>IF(OR(ISBLANK('WEEK 43'!F102),ISBLANK('WEEK 43'!F101),ISBLANK('WEEK 43'!F100)),"",IF('WEEK 43'!F105&gt;=1,'WEEK 43'!B105,IF('WEEK 43'!F104&gt;=4,'WEEK 43'!B104,IF('WEEK 43'!F102&lt;1,'WEEK 43'!B102-5,'WEEK 43'!B102))))</f>
        <v/>
      </c>
      <c r="C109" s="11"/>
      <c r="D109" s="11"/>
      <c r="E109" s="11"/>
      <c r="F109" s="46"/>
      <c r="H109" s="272" t="s">
        <v>124</v>
      </c>
      <c r="I109" s="273" t="str">
        <f>IF(OR(ISBLANK('WEEK 43'!M102),ISBLANK('WEEK 43'!M101),ISBLANK('WEEK 43'!M100)),"",IF('WEEK 43'!M105&gt;=1,'WEEK 43'!I105,IF('WEEK 43'!M104&gt;=4,'WEEK 43'!I104,IF('WEEK 43'!M102&lt;1,'WEEK 43'!I102-5,'WEEK 43'!I102))))</f>
        <v/>
      </c>
      <c r="J109" s="11"/>
      <c r="K109" s="11"/>
      <c r="L109" s="11"/>
      <c r="M109" s="46"/>
    </row>
    <row r="112">
      <c r="A112" s="361" t="str">
        <f>HYPERLINK("https://www.youtube.com/watch?v=gxWVN6F_uxo","2.  CABLE HIGH PULLEY ROW")</f>
        <v>2.  CABLE HIGH PULLEY ROW</v>
      </c>
      <c r="B112" s="53"/>
      <c r="C112" s="53"/>
      <c r="D112" s="53"/>
      <c r="E112" s="53"/>
      <c r="F112" s="54"/>
    </row>
    <row r="113">
      <c r="A113" s="226" t="s">
        <v>119</v>
      </c>
      <c r="B113" s="76">
        <f>IF('WEEK 37'!B130='WEEK 37'!B132,'WEEK 37'!B130+5,IF('WEEK 37'!F130&lt;=15,MROUND('WEEK 37'!B128*0.95,5),'WEEK 37'!B130))</f>
        <v>145</v>
      </c>
      <c r="C113" s="13"/>
      <c r="D113" s="13"/>
      <c r="E113" s="13"/>
      <c r="F113" s="57"/>
    </row>
    <row r="114">
      <c r="A114" s="77" t="s">
        <v>50</v>
      </c>
      <c r="B114" s="78" t="s">
        <v>51</v>
      </c>
      <c r="C114" s="78" t="s">
        <v>52</v>
      </c>
      <c r="D114" s="78" t="s">
        <v>53</v>
      </c>
      <c r="E114" s="80" t="s">
        <v>54</v>
      </c>
      <c r="F114" s="235" t="s">
        <v>55</v>
      </c>
    </row>
    <row r="115">
      <c r="A115" s="81">
        <v>1.0</v>
      </c>
      <c r="B115" s="82">
        <f> mround('WEEK 43'!B113,5)</f>
        <v>145</v>
      </c>
      <c r="C115" s="65" t="s">
        <v>61</v>
      </c>
      <c r="D115" s="83" t="s">
        <v>274</v>
      </c>
      <c r="E115" s="84" t="str">
        <f>IF('WEEK 37'!B130='WEEK 43'!B115,'WEEK 37'!F130,"")</f>
        <v/>
      </c>
      <c r="F115" s="85"/>
    </row>
    <row r="116">
      <c r="A116" s="81">
        <v>2.0</v>
      </c>
      <c r="B116" s="82">
        <f>if('WEEK 43'!F115&lt;10,mround(B115*0.8,5),IF('WEEK 43'!F115&lt;=14,MROUND('WEEK 43'!B115*0.95,5),'WEEK 43'!B115))</f>
        <v>115</v>
      </c>
      <c r="C116" s="65" t="s">
        <v>61</v>
      </c>
      <c r="D116" s="83" t="s">
        <v>274</v>
      </c>
      <c r="E116" s="84" t="str">
        <f>IF('WEEK 37'!B131='WEEK 43'!B116,'WEEK 37'!F131,"")</f>
        <v/>
      </c>
      <c r="F116" s="85"/>
    </row>
    <row r="117">
      <c r="A117" s="86">
        <v>3.0</v>
      </c>
      <c r="B117" s="87">
        <f>if('WEEK 43'!F116&lt;8,mround('WEEK 43'!B116*0.8,5),IF('WEEK 43'!F116&lt;=14,MROUND('WEEK 43'!B116*0.95,5),'WEEK 43'!B116))</f>
        <v>90</v>
      </c>
      <c r="C117" s="65" t="s">
        <v>61</v>
      </c>
      <c r="D117" s="83" t="s">
        <v>274</v>
      </c>
      <c r="E117" s="84" t="str">
        <f>IF('WEEK 37'!B132='WEEK 43'!B117,'WEEK 37'!F132,"")</f>
        <v/>
      </c>
      <c r="F117" s="85"/>
    </row>
    <row r="119">
      <c r="A119" s="513" t="str">
        <f>HYPERLINK("https://youtu.be/QUNZvtb6mnY","3. DUMBBELL SIDE LATERAL RAISE")</f>
        <v>3. DUMBBELL SIDE LATERAL RAISE</v>
      </c>
      <c r="B119" s="53"/>
      <c r="C119" s="53"/>
      <c r="D119" s="53"/>
      <c r="E119" s="53"/>
      <c r="F119" s="54"/>
    </row>
    <row r="120">
      <c r="A120" s="226" t="s">
        <v>134</v>
      </c>
      <c r="B120" s="90">
        <f>IF('WEEK 43'!B109="",B97,'WEEK 43'!B109)</f>
        <v>80</v>
      </c>
      <c r="C120" s="13"/>
      <c r="D120" s="13"/>
      <c r="E120" s="13"/>
      <c r="F120" s="57"/>
    </row>
    <row r="121">
      <c r="A121" s="376" t="s">
        <v>50</v>
      </c>
      <c r="B121" s="79" t="s">
        <v>51</v>
      </c>
      <c r="C121" s="79" t="s">
        <v>52</v>
      </c>
      <c r="D121" s="79" t="s">
        <v>53</v>
      </c>
      <c r="E121" s="98" t="s">
        <v>54</v>
      </c>
      <c r="F121" s="377" t="s">
        <v>55</v>
      </c>
    </row>
    <row r="122">
      <c r="A122" s="81">
        <v>1.0</v>
      </c>
      <c r="B122" s="82">
        <f>MROUND('WEEK 43'!B120*0.2,2.5)</f>
        <v>15</v>
      </c>
      <c r="C122" s="65" t="s">
        <v>61</v>
      </c>
      <c r="D122" s="83" t="s">
        <v>274</v>
      </c>
      <c r="E122" s="84" t="str">
        <f>IF('WEEK 42'!B119='WEEK 43'!B122,'WEEK 42'!F119,"")</f>
        <v/>
      </c>
      <c r="F122" s="796"/>
    </row>
    <row r="123">
      <c r="A123" s="81">
        <v>2.0</v>
      </c>
      <c r="B123" s="82">
        <f>if('WEEK 43'!F122&lt;12,mround('WEEK 43'!B122*0.8,2.5),'WEEK 43'!B122)</f>
        <v>12.5</v>
      </c>
      <c r="C123" s="65" t="s">
        <v>61</v>
      </c>
      <c r="D123" s="83" t="s">
        <v>274</v>
      </c>
      <c r="E123" s="84" t="str">
        <f>IF('WEEK 42'!B120='WEEK 43'!B123,'WEEK 42'!F120,"")</f>
        <v/>
      </c>
      <c r="F123" s="330"/>
    </row>
    <row r="124">
      <c r="A124" s="86">
        <v>3.0</v>
      </c>
      <c r="B124" s="87">
        <f>if('WEEK 43'!F123&lt;12,mround('WEEK 43'!B123*0.8,2.5),'WEEK 43'!B123)</f>
        <v>10</v>
      </c>
      <c r="C124" s="65" t="s">
        <v>61</v>
      </c>
      <c r="D124" s="83" t="s">
        <v>274</v>
      </c>
      <c r="E124" s="84" t="str">
        <f>IF('WEEK 42'!B121='WEEK 43'!B124,'WEEK 42'!F121,"")</f>
        <v/>
      </c>
      <c r="F124" s="85"/>
    </row>
    <row r="125">
      <c r="G125" s="697"/>
      <c r="H125" s="697"/>
      <c r="I125" s="697"/>
      <c r="J125" s="697"/>
      <c r="K125" s="697"/>
      <c r="L125" s="697"/>
      <c r="M125" s="697"/>
    </row>
    <row r="126">
      <c r="G126" s="697"/>
      <c r="H126" s="697"/>
      <c r="I126" s="697"/>
      <c r="J126" s="697"/>
      <c r="K126" s="697"/>
      <c r="L126" s="697"/>
      <c r="M126" s="697"/>
    </row>
    <row r="127">
      <c r="A127" s="73" t="str">
        <f>HYPERLINK("https://youtu.be/Yke__29qVfo","4. TRICEP PUSH DOWNS")</f>
        <v>4. TRICEP PUSH DOWNS</v>
      </c>
      <c r="B127" s="53"/>
      <c r="C127" s="53"/>
      <c r="D127" s="53"/>
      <c r="E127" s="53"/>
      <c r="F127" s="54"/>
      <c r="G127" s="1322"/>
      <c r="H127" s="621"/>
      <c r="I127" s="621"/>
      <c r="J127" s="621"/>
      <c r="K127" s="621"/>
      <c r="L127" s="621"/>
      <c r="M127" s="621"/>
    </row>
    <row r="128">
      <c r="A128" s="226" t="s">
        <v>119</v>
      </c>
      <c r="B128" s="90">
        <f>'WEEK 41'!B142</f>
        <v>90</v>
      </c>
      <c r="C128" s="13"/>
      <c r="D128" s="13"/>
      <c r="E128" s="13"/>
      <c r="F128" s="57"/>
      <c r="G128" s="529"/>
      <c r="H128" s="621"/>
      <c r="I128" s="621"/>
      <c r="J128" s="621"/>
      <c r="K128" s="621"/>
      <c r="L128" s="621"/>
      <c r="M128" s="621"/>
    </row>
    <row r="129">
      <c r="A129" s="77" t="s">
        <v>50</v>
      </c>
      <c r="B129" s="78" t="s">
        <v>51</v>
      </c>
      <c r="C129" s="78" t="s">
        <v>52</v>
      </c>
      <c r="D129" s="78" t="s">
        <v>53</v>
      </c>
      <c r="E129" s="80" t="s">
        <v>54</v>
      </c>
      <c r="F129" s="235" t="s">
        <v>55</v>
      </c>
      <c r="G129" s="529"/>
      <c r="H129" s="621"/>
      <c r="I129" s="621"/>
      <c r="J129" s="621"/>
      <c r="K129" s="621"/>
      <c r="L129" s="621"/>
      <c r="M129" s="621"/>
    </row>
    <row r="130">
      <c r="A130" s="81">
        <v>1.0</v>
      </c>
      <c r="B130" s="82">
        <f>mround('WEEK 43'!B128,5)</f>
        <v>90</v>
      </c>
      <c r="C130" s="65">
        <v>20.0</v>
      </c>
      <c r="D130" s="83" t="s">
        <v>58</v>
      </c>
      <c r="E130" s="84" t="str">
        <f>IF('WEEK 41'!B144='WEEK 43'!B130,'WEEK 41'!F144,"")</f>
        <v/>
      </c>
      <c r="F130" s="85"/>
      <c r="G130" s="529"/>
      <c r="H130" s="621"/>
      <c r="I130" s="621"/>
      <c r="J130" s="621"/>
      <c r="K130" s="621"/>
      <c r="L130" s="621"/>
      <c r="M130" s="621"/>
    </row>
    <row r="131">
      <c r="A131" s="81">
        <v>2.0</v>
      </c>
      <c r="B131" s="82">
        <f>if('WEEK 43'!F130&lt;10,mround('WEEK 43'!B130*0.8,5),IF('WEEK 43'!F130&lt;=14,MROUND('WEEK 43'!B128*0.95,5),'WEEK 43'!B130))</f>
        <v>70</v>
      </c>
      <c r="C131" s="65">
        <v>20.0</v>
      </c>
      <c r="D131" s="83" t="s">
        <v>58</v>
      </c>
      <c r="E131" s="84" t="str">
        <f>IF('WEEK 41'!B145='WEEK 43'!B131,'WEEK 41'!F145,"")</f>
        <v/>
      </c>
      <c r="F131" s="85"/>
      <c r="G131" s="529"/>
      <c r="H131" s="621"/>
      <c r="I131" s="621"/>
      <c r="J131" s="621"/>
      <c r="K131" s="621"/>
      <c r="L131" s="621"/>
      <c r="M131" s="621"/>
    </row>
    <row r="132">
      <c r="A132" s="629">
        <v>3.0</v>
      </c>
      <c r="B132" s="630">
        <f>if('WEEK 35'!F131&lt;10,mround('WEEK 35'!B131*0.8,5),IF('WEEK 35'!F131&lt;=14,MROUND('WEEK 35'!B131*0.95,5),'WEEK 35'!B131))</f>
        <v>20</v>
      </c>
      <c r="C132" s="631">
        <v>20.0</v>
      </c>
      <c r="D132" s="328" t="s">
        <v>58</v>
      </c>
      <c r="E132" s="84" t="str">
        <f>IF('WEEK 41'!B146='WEEK 43'!B132,'WEEK 41'!F146,"")</f>
        <v/>
      </c>
      <c r="F132" s="330"/>
      <c r="G132" s="529"/>
      <c r="H132" s="621"/>
      <c r="I132" s="621"/>
      <c r="J132" s="621"/>
      <c r="K132" s="621"/>
      <c r="L132" s="621"/>
      <c r="M132" s="621"/>
    </row>
    <row r="133">
      <c r="G133" s="529"/>
      <c r="H133" s="621"/>
      <c r="I133" s="621"/>
      <c r="J133" s="621"/>
      <c r="K133" s="621"/>
      <c r="L133" s="621"/>
      <c r="M133" s="621"/>
    </row>
    <row r="134">
      <c r="G134" s="141"/>
      <c r="H134" s="621"/>
      <c r="I134" s="621"/>
      <c r="J134" s="621"/>
      <c r="K134" s="621"/>
      <c r="L134" s="621"/>
      <c r="M134" s="621"/>
    </row>
    <row r="135">
      <c r="A135" s="75" t="str">
        <f>HYPERLINK("https://www.youtube.com/watch?v=9IqvmIhFxtY","5. BICEP CABLE CURL")</f>
        <v>5. BICEP CABLE CURL</v>
      </c>
      <c r="B135" s="53"/>
      <c r="C135" s="53"/>
      <c r="D135" s="53"/>
      <c r="E135" s="53"/>
      <c r="F135" s="54"/>
      <c r="G135" s="141"/>
      <c r="H135" s="75" t="str">
        <f>HYPERLINK("https://www.youtube.com/watch?v=Bi6Do6QIlpQ","5. BICEP EZ BAR CURL")</f>
        <v>5. BICEP EZ BAR CURL</v>
      </c>
      <c r="I135" s="53"/>
      <c r="J135" s="53"/>
      <c r="K135" s="53"/>
      <c r="L135" s="53"/>
      <c r="M135" s="54"/>
    </row>
    <row r="136">
      <c r="A136" s="226" t="s">
        <v>119</v>
      </c>
      <c r="B136" s="90">
        <f>IF('WEEK 41'!B152='WEEK 41'!B154,'WEEK 41'!B152+5,IF('WEEK 41'!F152&lt;=9,MROUND('WEEK 41'!B150*0.95,5),'WEEK 41'!B152))</f>
        <v>65</v>
      </c>
      <c r="C136" s="13"/>
      <c r="D136" s="13"/>
      <c r="E136" s="13"/>
      <c r="F136" s="57"/>
      <c r="G136" s="141"/>
      <c r="H136" s="226" t="s">
        <v>119</v>
      </c>
      <c r="I136" s="90">
        <f>IF('WEEK 41'!I152='WEEK 41'!I154,'WEEK 41'!I152+5,IF('WEEK 41'!M152&lt;=9,MROUND('WEEK 41'!I150*0.95,5),'WEEK 41'!I152))</f>
        <v>10</v>
      </c>
      <c r="J136" s="13"/>
      <c r="K136" s="13"/>
      <c r="L136" s="13"/>
      <c r="M136" s="57"/>
    </row>
    <row r="137">
      <c r="A137" s="77" t="s">
        <v>50</v>
      </c>
      <c r="B137" s="78" t="s">
        <v>51</v>
      </c>
      <c r="C137" s="78" t="s">
        <v>52</v>
      </c>
      <c r="D137" s="78" t="s">
        <v>53</v>
      </c>
      <c r="E137" s="80" t="s">
        <v>54</v>
      </c>
      <c r="F137" s="235" t="s">
        <v>55</v>
      </c>
      <c r="H137" s="77" t="s">
        <v>50</v>
      </c>
      <c r="I137" s="78" t="s">
        <v>51</v>
      </c>
      <c r="J137" s="78" t="s">
        <v>52</v>
      </c>
      <c r="K137" s="78" t="s">
        <v>53</v>
      </c>
      <c r="L137" s="80" t="s">
        <v>54</v>
      </c>
      <c r="M137" s="235" t="s">
        <v>55</v>
      </c>
    </row>
    <row r="138">
      <c r="A138" s="81">
        <v>1.0</v>
      </c>
      <c r="B138" s="82">
        <f>MROUND('WEEK 43'!B136,5)</f>
        <v>65</v>
      </c>
      <c r="C138" s="65" t="s">
        <v>61</v>
      </c>
      <c r="D138" s="83" t="s">
        <v>274</v>
      </c>
      <c r="E138" s="84" t="str">
        <f>IF('WEEK 41'!B152='WEEK 43'!B138,'WEEK 41'!F152,"")</f>
        <v/>
      </c>
      <c r="F138" s="85"/>
      <c r="H138" s="81">
        <v>1.0</v>
      </c>
      <c r="I138" s="82">
        <f>MROUND('WEEK 43'!I136,5)</f>
        <v>10</v>
      </c>
      <c r="J138" s="65" t="s">
        <v>61</v>
      </c>
      <c r="K138" s="83" t="s">
        <v>274</v>
      </c>
      <c r="L138" s="84" t="str">
        <f>IF('WEEK 41'!I152='WEEK 43'!I138,'WEEK 41'!M152,"")</f>
        <v/>
      </c>
      <c r="M138" s="85"/>
    </row>
    <row r="139">
      <c r="A139" s="81">
        <v>2.0</v>
      </c>
      <c r="B139" s="82">
        <f>if('WEEK 43'!F138&lt;10,mround('WEEK 43'!B138*0.8,5),IF('WEEK 43'!F138&lt;=15,MROUND('WEEK 43'!B136*0.95,5),'WEEK 43'!B138))</f>
        <v>50</v>
      </c>
      <c r="C139" s="65" t="s">
        <v>61</v>
      </c>
      <c r="D139" s="83" t="s">
        <v>274</v>
      </c>
      <c r="E139" s="84" t="str">
        <f>IF('WEEK 41'!B153='WEEK 43'!B139,'WEEK 41'!F153,"")</f>
        <v/>
      </c>
      <c r="F139" s="85"/>
      <c r="H139" s="81">
        <v>2.0</v>
      </c>
      <c r="I139" s="82">
        <f>if('WEEK 43'!M138&lt;10,mround('WEEK 43'!I138*0.8,5),IF('WEEK 43'!M138&lt;=15,MROUND('WEEK 43'!I136*0.95,5),'WEEK 43'!I138))</f>
        <v>10</v>
      </c>
      <c r="J139" s="65" t="s">
        <v>61</v>
      </c>
      <c r="K139" s="83" t="s">
        <v>274</v>
      </c>
      <c r="L139" s="84" t="str">
        <f>IF('WEEK 41'!I153='WEEK 43'!I139,'WEEK 41'!M153,"")</f>
        <v/>
      </c>
      <c r="M139" s="85"/>
    </row>
    <row r="140">
      <c r="A140" s="86">
        <v>3.0</v>
      </c>
      <c r="B140" s="87">
        <f>if('WEEK 43'!F139&lt;10,mround('WEEK 43'!B139*0.8,5),IF('WEEK 43'!F139&lt;=15,MROUND('WEEK 43'!B137*0.95,5),'WEEK 43'!B139))</f>
        <v>40</v>
      </c>
      <c r="C140" s="71" t="s">
        <v>61</v>
      </c>
      <c r="D140" s="88" t="s">
        <v>274</v>
      </c>
      <c r="E140" s="89" t="str">
        <f>IF('WEEK 41'!B154='WEEK 43'!B140,'WEEK 41'!F154,"")</f>
        <v/>
      </c>
      <c r="F140" s="85"/>
      <c r="H140" s="86">
        <v>3.0</v>
      </c>
      <c r="I140" s="87">
        <f>if('WEEK 43'!M139&lt;10,mround('WEEK 43'!I139*0.8,5),IF('WEEK 43'!M139&lt;=15,MROUND('WEEK 43'!I137*0.95,5),'WEEK 43'!I139))</f>
        <v>10</v>
      </c>
      <c r="J140" s="71" t="s">
        <v>61</v>
      </c>
      <c r="K140" s="88" t="s">
        <v>274</v>
      </c>
      <c r="L140" s="89" t="str">
        <f>IF('WEEK 41'!I154='WEEK 43'!I140,'WEEK 41'!M154,"")</f>
        <v/>
      </c>
      <c r="M140" s="85"/>
    </row>
    <row r="143">
      <c r="A143" s="1149" t="s">
        <v>135</v>
      </c>
      <c r="B143" s="36"/>
      <c r="C143" s="36"/>
      <c r="D143" s="36"/>
      <c r="E143" s="36"/>
      <c r="F143" s="37"/>
    </row>
    <row r="144">
      <c r="A144" s="623"/>
      <c r="B144" s="623"/>
      <c r="C144" s="623"/>
      <c r="D144" s="623"/>
      <c r="E144" s="1274"/>
      <c r="F144" s="623"/>
    </row>
    <row r="145">
      <c r="A145" s="1275" t="str">
        <f>HYPERLINK("https://www.amazon.com/30-Minute-Body-Investment-Champion/dp/0692791892/ref=sr_1_1?ie=UTF8&amp;qid=1490447969&amp;sr=8-1&amp;keywords=30+minute+body","WANT TO LEARN MORE?")</f>
        <v>WANT TO LEARN MORE?</v>
      </c>
      <c r="B145" s="25"/>
      <c r="C145" s="25"/>
      <c r="D145" s="25"/>
      <c r="E145" s="25"/>
      <c r="F145" s="26"/>
    </row>
    <row r="146">
      <c r="A146" s="529"/>
      <c r="F146" s="28"/>
    </row>
    <row r="147">
      <c r="A147" s="1276"/>
      <c r="B147" s="999"/>
      <c r="C147" s="1150" t="s">
        <v>67</v>
      </c>
      <c r="F147" s="28"/>
    </row>
    <row r="148">
      <c r="A148" s="1276"/>
      <c r="B148" s="999"/>
      <c r="F148" s="28"/>
    </row>
    <row r="149">
      <c r="A149" s="1276"/>
      <c r="B149" s="999"/>
      <c r="F149" s="28"/>
    </row>
    <row r="150">
      <c r="A150" s="1276"/>
      <c r="B150" s="999"/>
      <c r="F150" s="28"/>
    </row>
    <row r="151">
      <c r="A151" s="1276"/>
      <c r="B151" s="999"/>
      <c r="F151" s="28"/>
    </row>
    <row r="152">
      <c r="A152" s="1276"/>
      <c r="B152" s="999"/>
      <c r="F152" s="28"/>
    </row>
    <row r="153">
      <c r="A153" s="1277"/>
      <c r="B153" s="999"/>
      <c r="F153" s="28"/>
    </row>
    <row r="154">
      <c r="A154" s="1276"/>
      <c r="B154" s="999"/>
      <c r="F154" s="28"/>
    </row>
    <row r="155">
      <c r="A155" s="1276"/>
      <c r="B155" s="999"/>
      <c r="F155" s="28"/>
    </row>
    <row r="156">
      <c r="A156" s="1278"/>
      <c r="B156" s="999"/>
      <c r="F156" s="28"/>
    </row>
    <row r="157">
      <c r="A157" s="1276"/>
      <c r="B157" s="999"/>
      <c r="F157" s="28"/>
    </row>
    <row r="158">
      <c r="A158" s="1276"/>
      <c r="B158" s="999"/>
      <c r="F158" s="28"/>
    </row>
    <row r="159">
      <c r="A159" s="1276"/>
      <c r="B159" s="999"/>
      <c r="F159" s="28"/>
    </row>
    <row r="160">
      <c r="A160" s="1276"/>
      <c r="B160" s="999"/>
      <c r="F160" s="28"/>
    </row>
    <row r="161">
      <c r="A161" s="1279"/>
      <c r="B161" s="1280"/>
      <c r="C161" s="11"/>
      <c r="D161" s="11"/>
      <c r="E161" s="11"/>
      <c r="F161" s="46"/>
    </row>
  </sheetData>
  <mergeCells count="64">
    <mergeCell ref="A133:F134"/>
    <mergeCell ref="A135:F135"/>
    <mergeCell ref="H135:M135"/>
    <mergeCell ref="B136:F136"/>
    <mergeCell ref="I136:M136"/>
    <mergeCell ref="A143:F143"/>
    <mergeCell ref="A145:F146"/>
    <mergeCell ref="C147:F161"/>
    <mergeCell ref="B113:F113"/>
    <mergeCell ref="A119:F119"/>
    <mergeCell ref="B120:F120"/>
    <mergeCell ref="A125:F126"/>
    <mergeCell ref="A127:F127"/>
    <mergeCell ref="G127:G133"/>
    <mergeCell ref="B128:F128"/>
    <mergeCell ref="A9:F9"/>
    <mergeCell ref="H9:M9"/>
    <mergeCell ref="A10:F11"/>
    <mergeCell ref="H10:M10"/>
    <mergeCell ref="A12:F12"/>
    <mergeCell ref="A13:F13"/>
    <mergeCell ref="H15:M15"/>
    <mergeCell ref="A15:F15"/>
    <mergeCell ref="A18:F18"/>
    <mergeCell ref="H18:M18"/>
    <mergeCell ref="A19:F19"/>
    <mergeCell ref="H19:M19"/>
    <mergeCell ref="B20:F20"/>
    <mergeCell ref="I20:M20"/>
    <mergeCell ref="A25:F25"/>
    <mergeCell ref="G25:G26"/>
    <mergeCell ref="H25:M25"/>
    <mergeCell ref="A32:F32"/>
    <mergeCell ref="H32:M32"/>
    <mergeCell ref="B33:F33"/>
    <mergeCell ref="I33:M33"/>
    <mergeCell ref="A39:F39"/>
    <mergeCell ref="B40:F40"/>
    <mergeCell ref="A46:F46"/>
    <mergeCell ref="A49:F49"/>
    <mergeCell ref="B52:F52"/>
    <mergeCell ref="A54:F54"/>
    <mergeCell ref="B55:F55"/>
    <mergeCell ref="A62:F62"/>
    <mergeCell ref="B63:F63"/>
    <mergeCell ref="A69:F69"/>
    <mergeCell ref="A71:F71"/>
    <mergeCell ref="A74:F74"/>
    <mergeCell ref="B75:F75"/>
    <mergeCell ref="A89:F89"/>
    <mergeCell ref="A92:F92"/>
    <mergeCell ref="A95:F95"/>
    <mergeCell ref="H95:M95"/>
    <mergeCell ref="A96:F96"/>
    <mergeCell ref="H96:M96"/>
    <mergeCell ref="B97:F97"/>
    <mergeCell ref="I97:M97"/>
    <mergeCell ref="A103:F103"/>
    <mergeCell ref="H103:M103"/>
    <mergeCell ref="A106:F106"/>
    <mergeCell ref="H106:M106"/>
    <mergeCell ref="B109:F109"/>
    <mergeCell ref="I109:M109"/>
    <mergeCell ref="A112:F112"/>
  </mergeCells>
  <dataValidations>
    <dataValidation type="decimal" operator="greaterThanOrEqual" allowBlank="1" showDropDown="1" showErrorMessage="1" sqref="F121:F124">
      <formula1>0.0</formula1>
    </dataValidation>
  </dataValidations>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'MSW43'!A1</f>
        <v/>
      </c>
    </row>
    <row r="8">
      <c r="A8" s="11"/>
      <c r="B8" s="11"/>
      <c r="C8" s="11"/>
      <c r="D8" s="11"/>
      <c r="E8" s="11"/>
      <c r="F8" s="11"/>
      <c r="G8" s="11"/>
      <c r="H8" s="11"/>
      <c r="I8" s="11"/>
      <c r="J8" s="11"/>
      <c r="K8" s="11"/>
      <c r="L8" s="11"/>
      <c r="M8" s="11"/>
    </row>
    <row r="9">
      <c r="A9" s="1293" t="str">
        <f>'MSW43'!A9</f>
        <v>Week 43</v>
      </c>
      <c r="B9" s="36"/>
      <c r="C9" s="36"/>
      <c r="D9" s="36"/>
      <c r="E9" s="36"/>
      <c r="F9" s="37"/>
      <c r="G9" s="419" t="str">
        <f>'MSW43'!G9</f>
        <v/>
      </c>
      <c r="H9" s="24" t="s">
        <v>35</v>
      </c>
      <c r="I9" s="25"/>
      <c r="J9" s="25"/>
      <c r="K9" s="25"/>
      <c r="L9" s="25"/>
      <c r="M9" s="26"/>
    </row>
    <row r="10">
      <c r="A10" s="719" t="str">
        <f>'MSW43'!A10</f>
        <v>PRESS TO RECORD BODY WEIGHT</v>
      </c>
      <c r="B10" s="25"/>
      <c r="C10" s="25"/>
      <c r="D10" s="25"/>
      <c r="E10" s="25"/>
      <c r="F10" s="26"/>
      <c r="H10" s="27" t="s">
        <v>385</v>
      </c>
      <c r="M10" s="28"/>
    </row>
    <row r="11">
      <c r="A11" s="529"/>
      <c r="F11" s="28"/>
      <c r="H11" s="29" t="s">
        <v>386</v>
      </c>
      <c r="I11" s="30"/>
      <c r="J11" s="30"/>
      <c r="K11" s="30"/>
      <c r="L11" s="30"/>
      <c r="M11" s="31"/>
    </row>
    <row r="12">
      <c r="A12" s="720" t="str">
        <f>'MSW43'!A12</f>
        <v>This Weeks Goals</v>
      </c>
      <c r="B12" s="36"/>
      <c r="C12" s="36"/>
      <c r="D12" s="36"/>
      <c r="E12" s="36"/>
      <c r="F12" s="37"/>
      <c r="G12" s="419"/>
    </row>
    <row r="13">
      <c r="A13" s="721" t="str">
        <f>'MSW43'!A13</f>
        <v>This is what we call percentage week. For the most part we are going to work your body just under it's maximum potential and go for more repititions. There are however a few areas that are excluded from this principle but the general theme of the week is working under your max. </v>
      </c>
      <c r="B13" s="36"/>
      <c r="C13" s="36"/>
      <c r="D13" s="36"/>
      <c r="E13" s="36"/>
      <c r="F13" s="37"/>
    </row>
    <row r="14">
      <c r="A14" s="653" t="str">
        <f>'MSW43'!A14</f>
        <v/>
      </c>
    </row>
    <row r="15">
      <c r="A15" s="50" t="str">
        <f>'MSW43'!A15</f>
        <v>DAY 1 </v>
      </c>
      <c r="B15" s="36"/>
      <c r="C15" s="36"/>
      <c r="D15" s="36"/>
      <c r="E15" s="36"/>
      <c r="F15" s="37"/>
      <c r="G15" s="722" t="str">
        <f>'MSW43'!G15</f>
        <v/>
      </c>
      <c r="H15" s="429" t="str">
        <f>'MSW43'!H15</f>
        <v>ALTERNATE WORKOUTS</v>
      </c>
      <c r="I15" s="36"/>
      <c r="J15" s="36"/>
      <c r="K15" s="36"/>
      <c r="L15" s="36"/>
      <c r="M15" s="37"/>
    </row>
    <row r="16">
      <c r="A16" s="657" t="str">
        <f>'MSW43'!A16</f>
        <v/>
      </c>
      <c r="H16" s="657" t="str">
        <f>'MSW43'!H16</f>
        <v/>
      </c>
    </row>
    <row r="18">
      <c r="A18" s="51" t="str">
        <f>'MSW43'!A18</f>
        <v>CHEST &amp; BACK </v>
      </c>
      <c r="B18" s="36"/>
      <c r="C18" s="36"/>
      <c r="D18" s="36"/>
      <c r="E18" s="36"/>
      <c r="F18" s="37"/>
      <c r="H18" s="51" t="str">
        <f>'MSW43'!H18</f>
        <v>CHEST &amp; BACK </v>
      </c>
      <c r="I18" s="36"/>
      <c r="J18" s="36"/>
      <c r="K18" s="36"/>
      <c r="L18" s="36"/>
      <c r="M18" s="37"/>
    </row>
    <row r="19">
      <c r="A19" s="93" t="str">
        <f>'MSW43'!A19</f>
        <v>1. BENCH PRESS</v>
      </c>
      <c r="B19" s="53"/>
      <c r="C19" s="53"/>
      <c r="D19" s="53"/>
      <c r="E19" s="53"/>
      <c r="F19" s="54"/>
      <c r="H19" s="93" t="str">
        <f>'MSW43'!H19</f>
        <v>1. MACHINE PRESS</v>
      </c>
      <c r="I19" s="53"/>
      <c r="J19" s="53"/>
      <c r="K19" s="53"/>
      <c r="L19" s="53"/>
      <c r="M19" s="54"/>
    </row>
    <row r="20">
      <c r="A20" s="226" t="str">
        <f>'MSW43'!A20</f>
        <v>CURRENT MAX</v>
      </c>
      <c r="B20" s="691">
        <f>'MSW43'!B20</f>
        <v>265</v>
      </c>
      <c r="C20" s="13"/>
      <c r="D20" s="13"/>
      <c r="E20" s="13"/>
      <c r="F20" s="57"/>
      <c r="H20" s="226" t="str">
        <f>'MSW43'!H20</f>
        <v>CURRENT MAX</v>
      </c>
      <c r="I20" s="691" t="str">
        <f>'MSW43'!I20</f>
        <v/>
      </c>
      <c r="J20" s="13"/>
      <c r="K20" s="13"/>
      <c r="L20" s="13"/>
      <c r="M20" s="57"/>
    </row>
    <row r="21">
      <c r="A21" s="96" t="str">
        <f>'MSW43'!A21</f>
        <v>SET</v>
      </c>
      <c r="B21" s="97" t="str">
        <f>'MSW43'!B21</f>
        <v>WEIGHT</v>
      </c>
      <c r="C21" s="97" t="str">
        <f>'MSW43'!C21</f>
        <v>REPS</v>
      </c>
      <c r="D21" s="97" t="str">
        <f>'MSW43'!D21</f>
        <v>REST</v>
      </c>
      <c r="E21" s="341" t="str">
        <f>'MSW43'!E21</f>
        <v>PREVIOUS</v>
      </c>
      <c r="F21" s="235" t="str">
        <f>'MSW43'!F21</f>
        <v>REP LOG</v>
      </c>
      <c r="H21" s="96" t="str">
        <f>'MSW43'!H21</f>
        <v>SET</v>
      </c>
      <c r="I21" s="97" t="str">
        <f>'MSW43'!I21</f>
        <v>WEIGHT</v>
      </c>
      <c r="J21" s="97" t="str">
        <f>'MSW43'!J21</f>
        <v>REPS</v>
      </c>
      <c r="K21" s="97" t="str">
        <f>'MSW43'!K21</f>
        <v>REST</v>
      </c>
      <c r="L21" s="341" t="str">
        <f>'MSW43'!L21</f>
        <v>PREVIOUS</v>
      </c>
      <c r="M21" s="235" t="str">
        <f>'MSW43'!M21</f>
        <v>REP LOG</v>
      </c>
    </row>
    <row r="22">
      <c r="A22" s="725">
        <f>'MSW43'!A22</f>
        <v>1</v>
      </c>
      <c r="B22" s="344">
        <f>'MSW43'!B22</f>
        <v>85</v>
      </c>
      <c r="C22" s="344">
        <f>'MSW43'!C22</f>
        <v>6</v>
      </c>
      <c r="D22" s="343" t="str">
        <f>'MSW43'!D22</f>
        <v>30 sec</v>
      </c>
      <c r="E22" s="66" t="str">
        <f>'MSW43'!E22</f>
        <v/>
      </c>
      <c r="F22" s="85">
        <v>1.0</v>
      </c>
      <c r="H22" s="725">
        <f>'MSW43'!H22</f>
        <v>1</v>
      </c>
      <c r="I22" s="344">
        <f>'MSW43'!I22</f>
        <v>0</v>
      </c>
      <c r="J22" s="344">
        <f>'MSW43'!J22</f>
        <v>6</v>
      </c>
      <c r="K22" s="343" t="str">
        <f>'MSW43'!K22</f>
        <v>30 sec</v>
      </c>
      <c r="L22" s="66" t="str">
        <f>'MSW43'!L22</f>
        <v/>
      </c>
      <c r="M22" s="85" t="str">
        <f>'MSW43'!M22</f>
        <v/>
      </c>
    </row>
    <row r="23">
      <c r="A23" s="725">
        <f>'MSW43'!A23</f>
        <v>2</v>
      </c>
      <c r="B23" s="344">
        <f>'MSW43'!B23</f>
        <v>170</v>
      </c>
      <c r="C23" s="344">
        <f>'MSW43'!C23</f>
        <v>1</v>
      </c>
      <c r="D23" s="343" t="str">
        <f>'MSW43'!D23</f>
        <v>45 sec</v>
      </c>
      <c r="E23" s="66">
        <f>'MSW43'!E23</f>
        <v>1</v>
      </c>
      <c r="F23" s="85">
        <v>1.0</v>
      </c>
      <c r="H23" s="725">
        <f>'MSW43'!H23</f>
        <v>2</v>
      </c>
      <c r="I23" s="344">
        <f>'MSW43'!I23</f>
        <v>0</v>
      </c>
      <c r="J23" s="344">
        <f>'MSW43'!J23</f>
        <v>1</v>
      </c>
      <c r="K23" s="343" t="str">
        <f>'MSW43'!K23</f>
        <v>45 sec</v>
      </c>
      <c r="L23" s="66" t="str">
        <f>'MSW43'!L23</f>
        <v/>
      </c>
      <c r="M23" s="85" t="str">
        <f>'MSW43'!M23</f>
        <v/>
      </c>
    </row>
    <row r="24">
      <c r="A24" s="725">
        <f>'MSW43'!A24</f>
        <v>3</v>
      </c>
      <c r="B24" s="344">
        <f>'MSW43'!B24</f>
        <v>210</v>
      </c>
      <c r="C24" s="344">
        <f>'MSW43'!C24</f>
        <v>1</v>
      </c>
      <c r="D24" s="343" t="str">
        <f>'MSW43'!D24</f>
        <v>1 MIN</v>
      </c>
      <c r="E24" s="66">
        <f>'MSW43'!E24</f>
        <v>1</v>
      </c>
      <c r="F24" s="85">
        <v>1.0</v>
      </c>
      <c r="H24" s="725">
        <f>'MSW43'!H24</f>
        <v>3</v>
      </c>
      <c r="I24" s="344">
        <f>'MSW43'!I24</f>
        <v>0</v>
      </c>
      <c r="J24" s="344">
        <f>'MSW43'!J24</f>
        <v>1</v>
      </c>
      <c r="K24" s="343" t="str">
        <f>'MSW43'!K24</f>
        <v>1 MIN</v>
      </c>
      <c r="L24" s="66" t="str">
        <f>'MSW43'!L24</f>
        <v/>
      </c>
      <c r="M24" s="85" t="str">
        <f>'MSW43'!M24</f>
        <v/>
      </c>
    </row>
    <row r="25">
      <c r="A25" s="730">
        <v>3.0</v>
      </c>
      <c r="B25" s="13"/>
      <c r="C25" s="13"/>
      <c r="D25" s="13"/>
      <c r="E25" s="13"/>
      <c r="F25" s="57"/>
      <c r="G25" s="731" t="str">
        <f>'MSW43'!G25</f>
        <v>ALTERNATE</v>
      </c>
      <c r="H25" s="730" t="str">
        <f>'MSW43'!H25</f>
        <v>Working Set</v>
      </c>
      <c r="I25" s="13"/>
      <c r="J25" s="13"/>
      <c r="K25" s="13"/>
      <c r="L25" s="13"/>
      <c r="M25" s="57"/>
    </row>
    <row r="26">
      <c r="A26" s="96" t="str">
        <f>'MSW43'!A26</f>
        <v>SET</v>
      </c>
      <c r="B26" s="97" t="str">
        <f>'MSW43'!B26</f>
        <v>WEIGHT</v>
      </c>
      <c r="C26" s="97" t="str">
        <f>'MSW43'!C26</f>
        <v>REPS</v>
      </c>
      <c r="D26" s="97" t="str">
        <f>'MSW43'!D26</f>
        <v>REST</v>
      </c>
      <c r="E26" s="341" t="str">
        <f>'MSW43'!E26</f>
        <v>PREVIOUS</v>
      </c>
      <c r="F26" s="235" t="str">
        <f>'MSW43'!F26</f>
        <v>REP LOG</v>
      </c>
      <c r="H26" s="96" t="str">
        <f>'MSW43'!H26</f>
        <v>SET</v>
      </c>
      <c r="I26" s="97" t="str">
        <f>'MSW43'!I26</f>
        <v>WEIGHT</v>
      </c>
      <c r="J26" s="97" t="str">
        <f>'MSW43'!J26</f>
        <v>REPS</v>
      </c>
      <c r="K26" s="97" t="str">
        <f>'MSW43'!K26</f>
        <v>REST</v>
      </c>
      <c r="L26" s="341" t="str">
        <f>'MSW43'!L26</f>
        <v>PREVIOUS</v>
      </c>
      <c r="M26" s="235" t="str">
        <f>'MSW43'!M26</f>
        <v>REP LOG</v>
      </c>
    </row>
    <row r="27">
      <c r="A27" s="342">
        <f>'MSW43'!A27</f>
        <v>1</v>
      </c>
      <c r="B27" s="348">
        <f>'MSW43'!B27</f>
        <v>240</v>
      </c>
      <c r="C27" s="437" t="str">
        <f>'MSW43'!C27</f>
        <v>REP OUT</v>
      </c>
      <c r="D27" s="343" t="str">
        <f>'MSW43'!D27</f>
        <v>1-5 MIN</v>
      </c>
      <c r="E27" s="66" t="str">
        <f>'MSW43'!E27</f>
        <v/>
      </c>
      <c r="F27" s="85">
        <v>3.0</v>
      </c>
      <c r="G27" s="423" t="str">
        <f>'MSW43'!G27</f>
        <v/>
      </c>
      <c r="H27" s="725">
        <f>'MSW43'!H27</f>
        <v>1</v>
      </c>
      <c r="I27" s="348">
        <f>'MSW43'!I27</f>
        <v>0</v>
      </c>
      <c r="J27" s="437" t="str">
        <f>'MSW43'!J27</f>
        <v>REP OUT</v>
      </c>
      <c r="K27" s="343" t="str">
        <f>'MSW43'!K27</f>
        <v>1-5 MIN</v>
      </c>
      <c r="L27" s="66" t="str">
        <f>'MSW43'!L27</f>
        <v/>
      </c>
      <c r="M27" s="85" t="str">
        <f>'MSW43'!M27</f>
        <v/>
      </c>
    </row>
    <row r="28">
      <c r="A28" s="725">
        <f>'MSW43'!A28</f>
        <v>2</v>
      </c>
      <c r="B28" s="348">
        <f>'MSW43'!B28</f>
        <v>205</v>
      </c>
      <c r="C28" s="437" t="str">
        <f>'MSW43'!C28</f>
        <v>REP OUT</v>
      </c>
      <c r="D28" s="343" t="str">
        <f>'MSW43'!D28</f>
        <v>1-5 MIN</v>
      </c>
      <c r="E28" s="66" t="str">
        <f>'MSW43'!E28</f>
        <v/>
      </c>
      <c r="F28" s="85">
        <v>11.0</v>
      </c>
      <c r="H28" s="725">
        <f>'MSW43'!H28</f>
        <v>2</v>
      </c>
      <c r="I28" s="348">
        <f>'MSW43'!I28</f>
        <v>0</v>
      </c>
      <c r="J28" s="437" t="str">
        <f>'MSW43'!J28</f>
        <v>REP OUT</v>
      </c>
      <c r="K28" s="343" t="str">
        <f>'MSW43'!K28</f>
        <v>1-5 MIN</v>
      </c>
      <c r="L28" s="66" t="str">
        <f>'MSW43'!L28</f>
        <v/>
      </c>
      <c r="M28" s="85" t="str">
        <f>'MSW43'!M28</f>
        <v/>
      </c>
    </row>
    <row r="29">
      <c r="A29" s="485">
        <f>'MSW43'!A29</f>
        <v>3</v>
      </c>
      <c r="B29" s="732">
        <f>'MSW43'!B29</f>
        <v>185</v>
      </c>
      <c r="C29" s="733" t="str">
        <f>'MSW43'!C29</f>
        <v>REP OUT</v>
      </c>
      <c r="D29" s="486" t="str">
        <f>'MSW43'!D29</f>
        <v>1-5 MIN</v>
      </c>
      <c r="E29" s="72" t="str">
        <f>'MSW43'!E29</f>
        <v/>
      </c>
      <c r="F29" s="85" t="str">
        <f>'MSW43'!F29</f>
        <v/>
      </c>
      <c r="H29" s="735">
        <f>'MSW43'!H29</f>
        <v>3</v>
      </c>
      <c r="I29" s="736">
        <f>'MSW43'!I29</f>
        <v>0</v>
      </c>
      <c r="J29" s="737" t="str">
        <f>'MSW43'!J29</f>
        <v>REP OUT</v>
      </c>
      <c r="K29" s="738" t="str">
        <f>'MSW43'!K29</f>
        <v>1-5 MIN</v>
      </c>
      <c r="L29" s="66" t="str">
        <f>'MSW43'!L29</f>
        <v/>
      </c>
      <c r="M29" s="330" t="str">
        <f>'MSW43'!M29</f>
        <v/>
      </c>
    </row>
    <row r="30">
      <c r="A30" s="740" t="str">
        <f>'MSW43'!A30</f>
        <v/>
      </c>
      <c r="H30" s="742" t="str">
        <f>'MSW43'!H30</f>
        <v/>
      </c>
      <c r="I30" s="25"/>
      <c r="J30" s="25"/>
      <c r="K30" s="25"/>
      <c r="L30" s="25"/>
      <c r="M30" s="25"/>
    </row>
    <row r="32">
      <c r="A32" s="440" t="str">
        <f>'MSW43'!A32</f>
        <v>2. DB CHEST FLY</v>
      </c>
      <c r="B32" s="53"/>
      <c r="C32" s="53"/>
      <c r="D32" s="53"/>
      <c r="E32" s="53"/>
      <c r="F32" s="54"/>
      <c r="H32" s="504" t="str">
        <f>'MSW43'!H32</f>
        <v>2. MACHINE CHEST FLY</v>
      </c>
      <c r="I32" s="53"/>
      <c r="J32" s="53"/>
      <c r="K32" s="53"/>
      <c r="L32" s="53"/>
      <c r="M32" s="54"/>
    </row>
    <row r="33">
      <c r="A33" s="226" t="str">
        <f>'MSW43'!A33</f>
        <v>DB INCL PRSS MAX</v>
      </c>
      <c r="B33" s="691">
        <f>'MSW43'!B33</f>
        <v>90</v>
      </c>
      <c r="C33" s="13"/>
      <c r="D33" s="13"/>
      <c r="E33" s="13"/>
      <c r="F33" s="57"/>
      <c r="H33" s="226" t="str">
        <f>'MSW43'!H33</f>
        <v>DB INCL PRSS MAX</v>
      </c>
      <c r="I33" s="548">
        <f>'MSW43'!I33</f>
        <v>90</v>
      </c>
      <c r="J33" s="13"/>
      <c r="K33" s="13"/>
      <c r="L33" s="13"/>
      <c r="M33" s="57"/>
    </row>
    <row r="34">
      <c r="A34" s="743" t="str">
        <f>'MSW43'!A34</f>
        <v>SET</v>
      </c>
      <c r="B34" s="744" t="str">
        <f>'MSW43'!B34</f>
        <v>WEIGHT</v>
      </c>
      <c r="C34" s="744" t="str">
        <f>'MSW43'!C34</f>
        <v>REPS</v>
      </c>
      <c r="D34" s="744" t="str">
        <f>'MSW43'!D34</f>
        <v>REST</v>
      </c>
      <c r="E34" s="745" t="str">
        <f>'MSW43'!E34</f>
        <v>PREVIOUS</v>
      </c>
      <c r="F34" s="746" t="str">
        <f>'MSW43'!F34</f>
        <v>REP LOG</v>
      </c>
      <c r="H34" s="96" t="str">
        <f>'MSW43'!H34</f>
        <v>SET</v>
      </c>
      <c r="I34" s="97" t="str">
        <f>'MSW43'!I34</f>
        <v>WEIGHT</v>
      </c>
      <c r="J34" s="97" t="str">
        <f>'MSW43'!J34</f>
        <v>REPS</v>
      </c>
      <c r="K34" s="97" t="str">
        <f>'MSW43'!K34</f>
        <v>REST</v>
      </c>
      <c r="L34" s="341" t="str">
        <f>'MSW43'!L34</f>
        <v>PREVIOUS</v>
      </c>
      <c r="M34" s="235" t="str">
        <f>'MSW43'!M34</f>
        <v>REP LOG</v>
      </c>
    </row>
    <row r="35">
      <c r="A35" s="725">
        <f>'MSW43'!A35</f>
        <v>1</v>
      </c>
      <c r="B35" s="254">
        <f>'MSW43'!B35</f>
        <v>25</v>
      </c>
      <c r="C35" s="344">
        <f>'MSW43'!C35</f>
        <v>15</v>
      </c>
      <c r="D35" s="343" t="str">
        <f>'MSW43'!D35</f>
        <v>1 MIN</v>
      </c>
      <c r="E35" s="66" t="str">
        <f>'MSW43'!E35</f>
        <v/>
      </c>
      <c r="F35" s="85" t="str">
        <f>'MSW43'!F35</f>
        <v/>
      </c>
      <c r="H35" s="240">
        <f>'MSW43'!H35</f>
        <v>1</v>
      </c>
      <c r="I35" s="254">
        <f>'MSW43'!I35</f>
        <v>140</v>
      </c>
      <c r="J35" s="241">
        <f>'MSW43'!J35</f>
        <v>15</v>
      </c>
      <c r="K35" s="83" t="str">
        <f>'MSW43'!K35</f>
        <v>1 MIN</v>
      </c>
      <c r="L35" s="66" t="str">
        <f>'MSW43'!L35</f>
        <v/>
      </c>
      <c r="M35" s="85" t="str">
        <f>'MSW43'!M35</f>
        <v/>
      </c>
    </row>
    <row r="36">
      <c r="A36" s="747">
        <f>'MSW43'!A36</f>
        <v>2</v>
      </c>
      <c r="B36" s="662">
        <f>'MSW43'!B36</f>
        <v>25</v>
      </c>
      <c r="C36" s="813">
        <f>'MSW43'!C36</f>
        <v>15</v>
      </c>
      <c r="D36" s="486" t="str">
        <f>'MSW43'!D36</f>
        <v>1 MIN</v>
      </c>
      <c r="E36" s="72" t="str">
        <f>'MSW43'!E36</f>
        <v/>
      </c>
      <c r="F36" s="85" t="str">
        <f>'MSW43'!F36</f>
        <v/>
      </c>
      <c r="H36" s="661">
        <f>'MSW43'!H36</f>
        <v>2</v>
      </c>
      <c r="I36" s="662">
        <f>'MSW43'!I36</f>
        <v>140</v>
      </c>
      <c r="J36" s="662">
        <f>'MSW43'!J36</f>
        <v>15</v>
      </c>
      <c r="K36" s="88" t="str">
        <f>'MSW43'!K36</f>
        <v>1 MIN</v>
      </c>
      <c r="L36" s="72" t="str">
        <f>'MSW43'!L36</f>
        <v/>
      </c>
      <c r="M36" s="85" t="str">
        <f>'MSW43'!M36</f>
        <v/>
      </c>
    </row>
    <row r="37">
      <c r="A37" t="str">
        <f>'MSW43'!A37</f>
        <v/>
      </c>
      <c r="G37" t="str">
        <f>'MSW43'!G37</f>
        <v/>
      </c>
    </row>
    <row r="39">
      <c r="A39" s="73" t="str">
        <f>'MSW43'!A39</f>
        <v>3. MACHINE HIGH ROW</v>
      </c>
      <c r="B39" s="53"/>
      <c r="C39" s="53"/>
      <c r="D39" s="53"/>
      <c r="E39" s="53"/>
      <c r="F39" s="54"/>
    </row>
    <row r="40">
      <c r="A40" s="226" t="str">
        <f>'MSW43'!A40</f>
        <v>CURRENT MAX</v>
      </c>
      <c r="B40" s="227">
        <f>'MSW43'!B40</f>
        <v>210</v>
      </c>
      <c r="C40" s="20"/>
      <c r="D40" s="20"/>
      <c r="E40" s="20"/>
      <c r="F40" s="95"/>
    </row>
    <row r="41">
      <c r="A41" s="231" t="str">
        <f>'MSW43'!A41</f>
        <v>SET</v>
      </c>
      <c r="B41" s="232" t="str">
        <f>'MSW43'!B41</f>
        <v>WEIGHT</v>
      </c>
      <c r="C41" s="232" t="str">
        <f>'MSW43'!C41</f>
        <v>REPS</v>
      </c>
      <c r="D41" s="232" t="str">
        <f>'MSW43'!D41</f>
        <v>REST</v>
      </c>
      <c r="E41" s="233" t="str">
        <f>'MSW43'!E41</f>
        <v>PREVIOUS</v>
      </c>
      <c r="F41" s="61" t="str">
        <f>'MSW43'!F41</f>
        <v>REP LOG</v>
      </c>
    </row>
    <row r="42">
      <c r="A42" s="236">
        <f>'MSW43'!A42</f>
        <v>1</v>
      </c>
      <c r="B42" s="237">
        <f>'MSW43'!B42</f>
        <v>75</v>
      </c>
      <c r="C42" s="237">
        <f>'MSW43'!C42</f>
        <v>6</v>
      </c>
      <c r="D42" s="1387" t="str">
        <f>'MSW43'!D42</f>
        <v>30s</v>
      </c>
      <c r="E42" s="84" t="str">
        <f>'MSW43'!E42</f>
        <v/>
      </c>
      <c r="F42" s="67">
        <v>6.0</v>
      </c>
    </row>
    <row r="43">
      <c r="A43" s="236">
        <f>'MSW43'!A43</f>
        <v>2</v>
      </c>
      <c r="B43" s="237">
        <f>'MSW43'!B43</f>
        <v>135</v>
      </c>
      <c r="C43" s="238">
        <f>'MSW43'!C43</f>
        <v>3</v>
      </c>
      <c r="D43" s="1387" t="str">
        <f>'MSW43'!D43</f>
        <v>1-2 MIN</v>
      </c>
      <c r="E43" s="84">
        <f>'MSW43'!E43</f>
        <v>3</v>
      </c>
      <c r="F43" s="67">
        <v>3.0</v>
      </c>
    </row>
    <row r="44">
      <c r="A44" s="242">
        <f>'MSW43'!A44</f>
        <v>3</v>
      </c>
      <c r="B44" s="237">
        <f>'MSW43'!B44</f>
        <v>190</v>
      </c>
      <c r="C44" s="63">
        <f>'MSW43'!C44</f>
        <v>2</v>
      </c>
      <c r="D44" s="1387" t="str">
        <f>'MSW43'!D44</f>
        <v>1-2 MIN</v>
      </c>
      <c r="E44" s="84" t="str">
        <f>'MSW43'!E44</f>
        <v/>
      </c>
      <c r="F44" s="67">
        <v>2.0</v>
      </c>
    </row>
    <row r="45">
      <c r="A45" s="243">
        <f>'MSW43'!A45</f>
        <v>4</v>
      </c>
      <c r="B45" s="237">
        <f>'MSW43'!B45</f>
        <v>210</v>
      </c>
      <c r="C45" s="257">
        <f>'MSW43'!C45</f>
        <v>3</v>
      </c>
      <c r="D45" s="1387" t="str">
        <f>'MSW43'!D45</f>
        <v>1-5 MIN</v>
      </c>
      <c r="E45" s="84" t="str">
        <f>'MSW43'!E45</f>
        <v/>
      </c>
      <c r="F45" s="67">
        <v>3.0</v>
      </c>
    </row>
    <row r="46">
      <c r="A46" s="246" t="str">
        <f>'MSW43'!A46</f>
        <v>NEW 4 REP MAX ATTEMPT</v>
      </c>
      <c r="B46" s="20"/>
      <c r="C46" s="20"/>
      <c r="D46" s="20"/>
      <c r="E46" s="20"/>
      <c r="F46" s="95"/>
    </row>
    <row r="47">
      <c r="A47" s="249">
        <f>'MSW43'!A47</f>
        <v>5</v>
      </c>
      <c r="B47" s="175">
        <f>'MSW43'!B47</f>
        <v>215</v>
      </c>
      <c r="C47" s="238">
        <f>'MSW43'!C47</f>
        <v>4</v>
      </c>
      <c r="D47" s="1387" t="str">
        <f>'MSW43'!D47</f>
        <v>1-5 MIN</v>
      </c>
      <c r="E47" s="1475" t="str">
        <f>'MSW43'!E47</f>
        <v/>
      </c>
      <c r="F47" s="1389">
        <v>4.0</v>
      </c>
    </row>
    <row r="48">
      <c r="A48" s="259" t="str">
        <f>'MSW43'!A48</f>
        <v>6</v>
      </c>
      <c r="B48" s="237">
        <f>'MSW43'!B48</f>
        <v>220</v>
      </c>
      <c r="C48" s="257" t="str">
        <f>'MSW43'!C48</f>
        <v>4</v>
      </c>
      <c r="D48" s="1391" t="str">
        <f>'MSW43'!D48</f>
        <v>1-5 MIN</v>
      </c>
      <c r="E48" s="1475" t="str">
        <f>'MSW43'!E48</f>
        <v/>
      </c>
      <c r="F48" s="1389">
        <v>4.0</v>
      </c>
    </row>
    <row r="49">
      <c r="A49" s="246" t="str">
        <f>'MSW43'!A49</f>
        <v>DOWN SETS</v>
      </c>
      <c r="B49" s="20"/>
      <c r="C49" s="20"/>
      <c r="D49" s="20"/>
      <c r="E49" s="20"/>
      <c r="F49" s="95"/>
    </row>
    <row r="50">
      <c r="A50" s="264">
        <f>'MSW43'!A50</f>
        <v>7</v>
      </c>
      <c r="B50" s="265">
        <f>'MSW43'!B50</f>
        <v>175</v>
      </c>
      <c r="C50" s="266" t="str">
        <f>'MSW43'!C50</f>
        <v>REP OUT</v>
      </c>
      <c r="D50" s="267" t="str">
        <f>'MSW43'!D50</f>
        <v>1-3 MIN</v>
      </c>
      <c r="E50" s="84" t="str">
        <f>'MSW43'!E50</f>
        <v/>
      </c>
      <c r="F50" s="67">
        <v>15.0</v>
      </c>
    </row>
    <row r="51">
      <c r="A51" s="243">
        <f>'MSW43'!A51</f>
        <v>8</v>
      </c>
      <c r="B51" s="866">
        <f>'MSW43'!B51</f>
        <v>155</v>
      </c>
      <c r="C51" s="1476" t="str">
        <f>'MSW43'!C51</f>
        <v>REP OUT</v>
      </c>
      <c r="D51" s="631" t="str">
        <f>'MSW43'!D51</f>
        <v>1-3 MIN</v>
      </c>
      <c r="E51" s="632" t="str">
        <f>'MSW43'!E51</f>
        <v/>
      </c>
      <c r="F51" s="271">
        <v>15.0</v>
      </c>
    </row>
    <row r="52">
      <c r="A52" s="1477" t="str">
        <f>'MSW43'!A52</f>
        <v>FINAL MAX</v>
      </c>
      <c r="B52" s="1478">
        <f>'MSW43'!B52</f>
        <v>220</v>
      </c>
      <c r="C52" s="36"/>
      <c r="D52" s="36"/>
      <c r="E52" s="36"/>
      <c r="F52" s="37"/>
    </row>
    <row r="53">
      <c r="A53" s="750" t="str">
        <f>'MSW43'!A53</f>
        <v/>
      </c>
      <c r="B53" s="36"/>
      <c r="C53" s="36"/>
      <c r="D53" s="36"/>
      <c r="E53" s="36"/>
      <c r="F53" s="36"/>
    </row>
    <row r="54">
      <c r="A54" s="751" t="str">
        <f>'MSW43'!A54</f>
        <v>4. LAT PULL DOWN</v>
      </c>
      <c r="B54" s="13"/>
      <c r="C54" s="13"/>
      <c r="D54" s="13"/>
      <c r="E54" s="13"/>
      <c r="F54" s="57"/>
    </row>
    <row r="55">
      <c r="A55" s="226" t="str">
        <f>'MSW43'!A55</f>
        <v>CURRENT MAX</v>
      </c>
      <c r="B55" s="691">
        <f>'MSW43'!B55</f>
        <v>240</v>
      </c>
      <c r="C55" s="13"/>
      <c r="D55" s="13"/>
      <c r="E55" s="13"/>
      <c r="F55" s="57"/>
    </row>
    <row r="56">
      <c r="A56" s="96" t="str">
        <f>'MSW43'!A56</f>
        <v>SET</v>
      </c>
      <c r="B56" s="97" t="str">
        <f>'MSW43'!B56</f>
        <v>WEIGHT</v>
      </c>
      <c r="C56" s="97" t="str">
        <f>'MSW43'!C56</f>
        <v>REPS</v>
      </c>
      <c r="D56" s="97" t="str">
        <f>'MSW43'!D56</f>
        <v>REST</v>
      </c>
      <c r="E56" s="341" t="str">
        <f>'MSW43'!E56</f>
        <v>PREVIOUS</v>
      </c>
      <c r="F56" s="235" t="str">
        <f>'MSW43'!F56</f>
        <v>REP LOG</v>
      </c>
    </row>
    <row r="57">
      <c r="A57" s="725">
        <f>'MSW43'!A57</f>
        <v>1</v>
      </c>
      <c r="B57" s="344">
        <f>'MSW43'!B57</f>
        <v>205</v>
      </c>
      <c r="C57" s="437" t="str">
        <f>'MSW43'!C57</f>
        <v>REP OUT</v>
      </c>
      <c r="D57" s="343" t="str">
        <f>'MSW43'!D57</f>
        <v>1 MIN</v>
      </c>
      <c r="E57" s="1475" t="str">
        <f>'MSW43'!E57</f>
        <v/>
      </c>
      <c r="F57" s="628">
        <v>5.0</v>
      </c>
    </row>
    <row r="58">
      <c r="A58" s="725">
        <f>'MSW43'!A58</f>
        <v>2</v>
      </c>
      <c r="B58" s="344">
        <f>'MSW43'!B58</f>
        <v>180</v>
      </c>
      <c r="C58" s="437" t="str">
        <f>'MSW43'!C58</f>
        <v>REP OUT</v>
      </c>
      <c r="D58" s="343" t="str">
        <f>'MSW43'!D58</f>
        <v>1 MIN</v>
      </c>
      <c r="E58" s="1475" t="str">
        <f>'MSW43'!E58</f>
        <v/>
      </c>
      <c r="F58" s="628">
        <v>6.0</v>
      </c>
    </row>
    <row r="59">
      <c r="A59" s="753">
        <f>'MSW43'!A59</f>
        <v>3</v>
      </c>
      <c r="B59" s="754">
        <f>'MSW43'!B59</f>
        <v>205</v>
      </c>
      <c r="C59" s="733" t="str">
        <f>'MSW43'!C59</f>
        <v>REP OUT</v>
      </c>
      <c r="D59" s="486" t="str">
        <f>'MSW43'!D59</f>
        <v>1 MIN</v>
      </c>
      <c r="E59" s="1479" t="str">
        <f>'MSW43'!E59</f>
        <v/>
      </c>
      <c r="F59" s="628">
        <v>8.0</v>
      </c>
    </row>
    <row r="60">
      <c r="A60" s="756" t="str">
        <f>'MSW43'!A60</f>
        <v/>
      </c>
    </row>
    <row r="62">
      <c r="A62" s="73" t="str">
        <f>'MSW43'!A62</f>
        <v>5. LOW ROW </v>
      </c>
      <c r="B62" s="53"/>
      <c r="C62" s="53"/>
      <c r="D62" s="53"/>
      <c r="E62" s="53"/>
      <c r="F62" s="54"/>
    </row>
    <row r="63">
      <c r="A63" s="226" t="str">
        <f>'MSW43'!A63</f>
        <v>CURRENT MAX</v>
      </c>
      <c r="B63" s="691" t="str">
        <f>'MSW43'!B63</f>
        <v/>
      </c>
      <c r="C63" s="13"/>
      <c r="D63" s="13"/>
      <c r="E63" s="13"/>
      <c r="F63" s="57"/>
    </row>
    <row r="64">
      <c r="A64" s="96" t="str">
        <f>'MSW43'!A64</f>
        <v>SET</v>
      </c>
      <c r="B64" s="97" t="str">
        <f>'MSW43'!B64</f>
        <v>WEIGHT</v>
      </c>
      <c r="C64" s="97" t="str">
        <f>'MSW43'!C64</f>
        <v>REPS</v>
      </c>
      <c r="D64" s="97" t="str">
        <f>'MSW43'!D64</f>
        <v>REST</v>
      </c>
      <c r="E64" s="1480" t="str">
        <f>'MSW43'!E64</f>
        <v>PREVIOUS</v>
      </c>
      <c r="F64" s="377" t="str">
        <f>'MSW43'!F64</f>
        <v>REP LOG</v>
      </c>
    </row>
    <row r="65">
      <c r="A65" s="725">
        <f>'MSW43'!A65</f>
        <v>1</v>
      </c>
      <c r="B65" s="344">
        <f>'MSW43'!B65</f>
        <v>0</v>
      </c>
      <c r="C65" s="437" t="str">
        <f>'MSW43'!C65</f>
        <v>REP OUT</v>
      </c>
      <c r="D65" s="345" t="str">
        <f>'MSW43'!D65</f>
        <v>1-3 MIN</v>
      </c>
      <c r="E65" s="84" t="str">
        <f>'MSW43'!E65</f>
        <v/>
      </c>
      <c r="F65" s="85" t="str">
        <f>'MSW43'!F65</f>
        <v/>
      </c>
    </row>
    <row r="66">
      <c r="A66" s="725">
        <f>'MSW43'!A66</f>
        <v>2</v>
      </c>
      <c r="B66" s="344">
        <f>'MSW43'!B66</f>
        <v>0</v>
      </c>
      <c r="C66" s="437" t="str">
        <f>'MSW43'!C66</f>
        <v>REP OUT</v>
      </c>
      <c r="D66" s="345" t="str">
        <f>'MSW43'!D66</f>
        <v>1-3 MIN</v>
      </c>
      <c r="E66" s="84" t="str">
        <f>'MSW43'!E66</f>
        <v/>
      </c>
      <c r="F66" s="85" t="str">
        <f>'MSW43'!F66</f>
        <v/>
      </c>
    </row>
    <row r="67">
      <c r="A67" s="753">
        <f>'MSW43'!A67</f>
        <v>3</v>
      </c>
      <c r="B67" s="754">
        <f>'MSW43'!B67</f>
        <v>0</v>
      </c>
      <c r="C67" s="733" t="str">
        <f>'MSW43'!C67</f>
        <v>REP OUT</v>
      </c>
      <c r="D67" s="488" t="str">
        <f>'MSW43'!D67</f>
        <v>1-3 MIN</v>
      </c>
      <c r="E67" s="89" t="str">
        <f>'MSW43'!E67</f>
        <v/>
      </c>
      <c r="F67" s="85" t="str">
        <f>'MSW43'!F67</f>
        <v/>
      </c>
    </row>
    <row r="68">
      <c r="A68" s="1157" t="str">
        <f>'MSW43'!A68</f>
        <v/>
      </c>
      <c r="F68" s="39"/>
    </row>
    <row r="69">
      <c r="A69" s="310" t="str">
        <f>'MSW43'!A69</f>
        <v>CLICK TO COMPLETE WORKOUT</v>
      </c>
      <c r="B69" s="36"/>
      <c r="C69" s="36"/>
      <c r="D69" s="36"/>
      <c r="E69" s="36"/>
      <c r="F69" s="37"/>
    </row>
    <row r="70">
      <c r="A70" s="763" t="str">
        <f>'MSW43'!A70</f>
        <v/>
      </c>
      <c r="B70" s="11"/>
      <c r="C70" s="11"/>
      <c r="D70" s="11"/>
      <c r="E70" s="11"/>
      <c r="F70" s="11"/>
    </row>
    <row r="71">
      <c r="A71" s="50" t="str">
        <f>'MSW43'!A71</f>
        <v>DAY 2 </v>
      </c>
      <c r="B71" s="36"/>
      <c r="C71" s="36"/>
      <c r="D71" s="36"/>
      <c r="E71" s="36"/>
      <c r="F71" s="37"/>
    </row>
    <row r="72">
      <c r="A72" t="str">
        <f>'MSW43'!A72</f>
        <v/>
      </c>
    </row>
    <row r="74">
      <c r="A74" s="1355" t="str">
        <f>'MSW43'!A74</f>
        <v>1. MACHINE SQUAT</v>
      </c>
      <c r="B74" s="53"/>
      <c r="C74" s="53"/>
      <c r="D74" s="53"/>
      <c r="E74" s="53"/>
      <c r="F74" s="54"/>
    </row>
    <row r="75">
      <c r="A75" s="1268" t="str">
        <f>'MSW43'!A75</f>
        <v>2 REP MAX</v>
      </c>
      <c r="B75" s="1035">
        <f>'MSW43'!B75</f>
        <v>35</v>
      </c>
      <c r="C75" s="13"/>
      <c r="D75" s="13"/>
      <c r="E75" s="13"/>
      <c r="F75" s="57"/>
    </row>
    <row r="76">
      <c r="A76" s="962" t="str">
        <f>'MSW43'!A76</f>
        <v>SET</v>
      </c>
      <c r="B76" s="1481" t="str">
        <f>'MSW43'!B76</f>
        <v>WEIGHT</v>
      </c>
      <c r="C76" s="963" t="str">
        <f>'MSW43'!C76</f>
        <v>REPS</v>
      </c>
      <c r="D76" s="963" t="str">
        <f>'MSW43'!D76</f>
        <v>REST</v>
      </c>
      <c r="E76" s="1073" t="str">
        <f>'MSW43'!E76</f>
        <v>PREVIOUS</v>
      </c>
      <c r="F76" s="1006" t="str">
        <f>'MSW43'!F76</f>
        <v>REP LOG</v>
      </c>
    </row>
    <row r="77">
      <c r="A77" s="1307">
        <f>'MSW43'!A77</f>
        <v>1</v>
      </c>
      <c r="B77" s="1482">
        <f>'MSW43'!B77</f>
        <v>20</v>
      </c>
      <c r="C77" s="1234">
        <f>'MSW43'!C77</f>
        <v>30</v>
      </c>
      <c r="D77" s="1234" t="str">
        <f>'MSW43'!D77</f>
        <v>1-5 MIN</v>
      </c>
      <c r="E77" s="1077" t="str">
        <f>'MSW43'!E77</f>
        <v/>
      </c>
      <c r="F77" s="1131"/>
    </row>
    <row r="78">
      <c r="A78" s="967">
        <f>'MSW43'!A78</f>
        <v>2</v>
      </c>
      <c r="B78" s="1015">
        <f>'MSW43'!B78</f>
        <v>20</v>
      </c>
      <c r="C78" s="1067">
        <f>'MSW43'!C78</f>
        <v>30</v>
      </c>
      <c r="D78" s="1234" t="str">
        <f>'MSW43'!D78</f>
        <v>1-5 MIN</v>
      </c>
      <c r="E78" s="1077" t="str">
        <f>'MSW43'!E78</f>
        <v/>
      </c>
      <c r="F78" s="1131"/>
    </row>
    <row r="79">
      <c r="A79" s="1308">
        <f>'MSW43'!A79</f>
        <v>3</v>
      </c>
      <c r="B79" s="1205">
        <f>'MSW43'!B79</f>
        <v>20</v>
      </c>
      <c r="C79" s="1239">
        <f>'MSW43'!C79</f>
        <v>30</v>
      </c>
      <c r="D79" s="1234" t="str">
        <f>'MSW43'!D79</f>
        <v>1-5 MIN</v>
      </c>
      <c r="E79" s="1077" t="str">
        <f>'MSW43'!E79</f>
        <v/>
      </c>
      <c r="F79" s="1131"/>
    </row>
    <row r="80">
      <c r="A80" s="1308" t="str">
        <f>'MSW43'!A80</f>
        <v/>
      </c>
      <c r="B80" s="1028" t="str">
        <f>'MSW43'!B80</f>
        <v/>
      </c>
      <c r="C80" s="1205" t="str">
        <f>'MSW43'!C80</f>
        <v/>
      </c>
      <c r="D80" s="1234" t="str">
        <f>'MSW43'!D80</f>
        <v/>
      </c>
      <c r="E80" s="1211" t="str">
        <f>'MSW43'!E80</f>
        <v/>
      </c>
      <c r="F80" s="1309"/>
    </row>
    <row r="81">
      <c r="A81" s="1308" t="str">
        <f>'MSW43'!A81</f>
        <v/>
      </c>
      <c r="B81" s="1205" t="str">
        <f>'MSW43'!B81</f>
        <v/>
      </c>
      <c r="C81" s="1234" t="str">
        <f>'MSW43'!C81</f>
        <v/>
      </c>
      <c r="D81" s="1234" t="str">
        <f>'MSW43'!D81</f>
        <v/>
      </c>
      <c r="E81" s="1010" t="str">
        <f>'MSW43'!E81</f>
        <v/>
      </c>
      <c r="F81" s="1131"/>
    </row>
    <row r="82">
      <c r="A82" s="1310" t="str">
        <f>'MSW43'!A82</f>
        <v/>
      </c>
      <c r="B82" s="1205" t="str">
        <f>'MSW43'!B82</f>
        <v/>
      </c>
      <c r="C82" s="1311" t="str">
        <f>'MSW43'!C82</f>
        <v/>
      </c>
      <c r="D82" s="1234" t="str">
        <f>'MSW43'!D82</f>
        <v/>
      </c>
      <c r="E82" s="1010" t="str">
        <f>'MSW43'!E82</f>
        <v/>
      </c>
      <c r="F82" s="1011"/>
    </row>
    <row r="83">
      <c r="A83" s="1310" t="str">
        <f>'MSW43'!A83</f>
        <v/>
      </c>
      <c r="B83" s="1205" t="str">
        <f>'MSW43'!B83</f>
        <v/>
      </c>
      <c r="C83" s="1311" t="str">
        <f>'MSW43'!C83</f>
        <v/>
      </c>
      <c r="D83" s="1234" t="str">
        <f>'MSW43'!D83</f>
        <v/>
      </c>
      <c r="E83" s="1010" t="str">
        <f>'MSW43'!E83</f>
        <v/>
      </c>
      <c r="F83" s="1483"/>
    </row>
    <row r="84">
      <c r="A84" s="1310" t="str">
        <f>'MSW43'!A84</f>
        <v/>
      </c>
      <c r="B84" s="1205" t="str">
        <f>'MSW43'!B84</f>
        <v/>
      </c>
      <c r="C84" s="1311" t="str">
        <f>'MSW43'!C84</f>
        <v/>
      </c>
      <c r="D84" s="1234" t="str">
        <f>'MSW43'!D84</f>
        <v/>
      </c>
      <c r="E84" s="1312" t="str">
        <f>'MSW43'!E84</f>
        <v/>
      </c>
      <c r="F84" s="1484"/>
    </row>
    <row r="85">
      <c r="A85" s="1310" t="str">
        <f>'MSW43'!A85</f>
        <v/>
      </c>
      <c r="B85" s="1205" t="str">
        <f>'MSW43'!B85</f>
        <v/>
      </c>
      <c r="C85" s="1311" t="str">
        <f>'MSW43'!C85</f>
        <v/>
      </c>
      <c r="D85" s="1234" t="str">
        <f>'MSW43'!D85</f>
        <v/>
      </c>
      <c r="E85" s="1010" t="str">
        <f>'MSW43'!E85</f>
        <v/>
      </c>
      <c r="F85" s="1011"/>
    </row>
    <row r="86">
      <c r="A86" s="1326" t="str">
        <f>'MSW43'!A86</f>
        <v/>
      </c>
      <c r="B86" s="1327" t="str">
        <f>'MSW43'!B86</f>
        <v/>
      </c>
      <c r="C86" s="1328" t="str">
        <f>'MSW43'!C86</f>
        <v/>
      </c>
      <c r="D86" s="1329" t="str">
        <f>'MSW43'!D86</f>
        <v/>
      </c>
      <c r="E86" s="1065" t="str">
        <f>'MSW43'!E86</f>
        <v/>
      </c>
      <c r="F86" s="1085" t="str">
        <f>'MSW43'!F86</f>
        <v/>
      </c>
    </row>
    <row r="87">
      <c r="A87" s="1330" t="str">
        <f>'MSW43'!A87</f>
        <v/>
      </c>
      <c r="B87" s="25"/>
      <c r="C87" s="25"/>
      <c r="D87" s="25"/>
      <c r="E87" s="25"/>
      <c r="F87" s="25"/>
    </row>
    <row r="89">
      <c r="A89" s="310" t="str">
        <f>'MSW43'!A89</f>
        <v>CLICK TO COMPLETE WORKOUT</v>
      </c>
      <c r="B89" s="36"/>
      <c r="C89" s="36"/>
      <c r="D89" s="36"/>
      <c r="E89" s="36"/>
      <c r="F89" s="37"/>
    </row>
    <row r="90">
      <c r="A90" t="str">
        <f>'MSW43'!A90</f>
        <v/>
      </c>
    </row>
    <row r="92">
      <c r="A92" s="1120" t="str">
        <f>'MSW43'!A92</f>
        <v>DAY 3</v>
      </c>
      <c r="B92" s="36"/>
      <c r="C92" s="36"/>
      <c r="D92" s="36"/>
      <c r="E92" s="36"/>
      <c r="F92" s="37"/>
    </row>
    <row r="93">
      <c r="A93" t="str">
        <f>'MSW43'!A93</f>
        <v/>
      </c>
    </row>
    <row r="95">
      <c r="A95" s="44" t="str">
        <f>'MSW43'!A95</f>
        <v>SHOULDERS &amp; ARMS</v>
      </c>
      <c r="B95" s="36"/>
      <c r="C95" s="36"/>
      <c r="D95" s="36"/>
      <c r="E95" s="36"/>
      <c r="F95" s="37"/>
      <c r="G95" t="str">
        <f>'MSW43'!G95</f>
        <v/>
      </c>
      <c r="H95" s="44" t="str">
        <f>'MSW43'!H95</f>
        <v>SHOULDERS &amp; ARMS</v>
      </c>
      <c r="I95" s="36"/>
      <c r="J95" s="36"/>
      <c r="K95" s="36"/>
      <c r="L95" s="36"/>
      <c r="M95" s="37"/>
    </row>
    <row r="96">
      <c r="A96" s="112" t="str">
        <f>'MSW43'!A96</f>
        <v>1. SHOULDER PRESS</v>
      </c>
      <c r="B96" s="13"/>
      <c r="C96" s="13"/>
      <c r="D96" s="13"/>
      <c r="E96" s="13"/>
      <c r="F96" s="57"/>
      <c r="H96" s="1139" t="str">
        <f>'MSW43'!H96</f>
        <v>1. MACHINE SHOULDER PRESS</v>
      </c>
      <c r="I96" s="13"/>
      <c r="J96" s="13"/>
      <c r="K96" s="13"/>
      <c r="L96" s="13"/>
      <c r="M96" s="57"/>
    </row>
    <row r="97">
      <c r="A97" s="226" t="str">
        <f>'MSW43'!A97</f>
        <v>CURRENT MAX</v>
      </c>
      <c r="B97" s="227">
        <f>'MSW43'!B97</f>
        <v>80</v>
      </c>
      <c r="C97" s="20"/>
      <c r="D97" s="20"/>
      <c r="E97" s="20"/>
      <c r="F97" s="95"/>
      <c r="H97" s="226" t="str">
        <f>'MSW43'!H97</f>
        <v>CURRENT MAX</v>
      </c>
      <c r="I97" s="227">
        <f>'MSW43'!I97</f>
        <v>228</v>
      </c>
      <c r="J97" s="20"/>
      <c r="K97" s="20"/>
      <c r="L97" s="20"/>
      <c r="M97" s="95"/>
    </row>
    <row r="98">
      <c r="A98" s="231" t="str">
        <f>'MSW43'!A98</f>
        <v>SET</v>
      </c>
      <c r="B98" s="232" t="str">
        <f>'MSW43'!B98</f>
        <v>WEIGHT</v>
      </c>
      <c r="C98" s="232" t="str">
        <f>'MSW43'!C98</f>
        <v>REPS</v>
      </c>
      <c r="D98" s="232" t="str">
        <f>'MSW43'!D98</f>
        <v>REST</v>
      </c>
      <c r="E98" s="233" t="str">
        <f>'MSW43'!E98</f>
        <v>PREVIOUS</v>
      </c>
      <c r="F98" s="61" t="str">
        <f>'MSW43'!F98</f>
        <v>REP LOG</v>
      </c>
      <c r="H98" s="231" t="str">
        <f>'MSW43'!H98</f>
        <v>SET</v>
      </c>
      <c r="I98" s="232" t="str">
        <f>'MSW43'!I98</f>
        <v>WEIGHT</v>
      </c>
      <c r="J98" s="232" t="str">
        <f>'MSW43'!J98</f>
        <v>REPS</v>
      </c>
      <c r="K98" s="232" t="str">
        <f>'MSW43'!K98</f>
        <v>REST</v>
      </c>
      <c r="L98" s="233" t="str">
        <f>'MSW43'!L98</f>
        <v>PREVIOUS</v>
      </c>
      <c r="M98" s="61" t="str">
        <f>'MSW43'!M98</f>
        <v>REP LOG</v>
      </c>
    </row>
    <row r="99">
      <c r="A99" s="1140">
        <f>'MSW43'!A99</f>
        <v>1</v>
      </c>
      <c r="B99" s="237">
        <f>'MSW43'!B99</f>
        <v>30</v>
      </c>
      <c r="C99" s="237">
        <f>'MSW43'!C99</f>
        <v>6</v>
      </c>
      <c r="D99" s="238" t="str">
        <f>'MSW43'!D99</f>
        <v>30s</v>
      </c>
      <c r="E99" s="84">
        <f>'MSW43'!E99</f>
        <v>6</v>
      </c>
      <c r="F99" s="67"/>
      <c r="H99" s="1140">
        <f>'MSW43'!H99</f>
        <v>1</v>
      </c>
      <c r="I99" s="237">
        <f>'MSW43'!I99</f>
        <v>80</v>
      </c>
      <c r="J99" s="237">
        <f>'MSW43'!J99</f>
        <v>6</v>
      </c>
      <c r="K99" s="238" t="str">
        <f>'MSW43'!K99</f>
        <v>30s</v>
      </c>
      <c r="L99" s="84" t="str">
        <f>'MSW43'!L99</f>
        <v/>
      </c>
      <c r="M99" s="67"/>
    </row>
    <row r="100">
      <c r="A100" s="236">
        <f>'MSW43'!A100</f>
        <v>2</v>
      </c>
      <c r="B100" s="237">
        <f>'MSW43'!B100</f>
        <v>50</v>
      </c>
      <c r="C100" s="237">
        <f>'MSW43'!C100</f>
        <v>1</v>
      </c>
      <c r="D100" s="238" t="str">
        <f>'MSW43'!D100</f>
        <v>1-2 MIN</v>
      </c>
      <c r="E100" s="84">
        <f>'MSW43'!E100</f>
        <v>1</v>
      </c>
      <c r="F100" s="67"/>
      <c r="H100" s="236">
        <f>'MSW43'!H100</f>
        <v>2</v>
      </c>
      <c r="I100" s="237">
        <f>'MSW43'!I100</f>
        <v>150</v>
      </c>
      <c r="J100" s="237">
        <f>'MSW43'!J100</f>
        <v>1</v>
      </c>
      <c r="K100" s="238" t="str">
        <f>'MSW43'!K100</f>
        <v>1-2 MIN</v>
      </c>
      <c r="L100" s="84" t="str">
        <f>'MSW43'!L100</f>
        <v/>
      </c>
      <c r="M100" s="67"/>
    </row>
    <row r="101">
      <c r="A101" s="242">
        <f>'MSW43'!A101</f>
        <v>3</v>
      </c>
      <c r="B101" s="237">
        <f>'MSW43'!B101</f>
        <v>70</v>
      </c>
      <c r="C101" s="82">
        <f>'MSW43'!C101</f>
        <v>1</v>
      </c>
      <c r="D101" s="238" t="str">
        <f>'MSW43'!D101</f>
        <v>1-2 MIN</v>
      </c>
      <c r="E101" s="84" t="str">
        <f>'MSW43'!E101</f>
        <v/>
      </c>
      <c r="F101" s="67"/>
      <c r="H101" s="242">
        <f>'MSW43'!H101</f>
        <v>3</v>
      </c>
      <c r="I101" s="237">
        <f>'MSW43'!I101</f>
        <v>205</v>
      </c>
      <c r="J101" s="82">
        <f>'MSW43'!J101</f>
        <v>1</v>
      </c>
      <c r="K101" s="238" t="str">
        <f>'MSW43'!K101</f>
        <v>1-2 MIN</v>
      </c>
      <c r="L101" s="84" t="str">
        <f>'MSW43'!L101</f>
        <v/>
      </c>
      <c r="M101" s="67"/>
    </row>
    <row r="102">
      <c r="A102" s="243">
        <f>'MSW43'!A102</f>
        <v>4</v>
      </c>
      <c r="B102" s="237">
        <f>'MSW43'!B102</f>
        <v>80</v>
      </c>
      <c r="C102" s="257">
        <f>'MSW43'!C102</f>
        <v>1</v>
      </c>
      <c r="D102" s="238" t="str">
        <f>'MSW43'!D102</f>
        <v>1-5 MIN</v>
      </c>
      <c r="E102" s="84">
        <f>'MSW43'!E102</f>
        <v>1</v>
      </c>
      <c r="F102" s="67"/>
      <c r="H102" s="243">
        <f>'MSW43'!H102</f>
        <v>4</v>
      </c>
      <c r="I102" s="237">
        <f>'MSW43'!I102</f>
        <v>228</v>
      </c>
      <c r="J102" s="257">
        <f>'MSW43'!J102</f>
        <v>1</v>
      </c>
      <c r="K102" s="238" t="str">
        <f>'MSW43'!K102</f>
        <v>1-5 MIN</v>
      </c>
      <c r="L102" s="84" t="str">
        <f>'MSW43'!L102</f>
        <v/>
      </c>
      <c r="M102" s="67"/>
    </row>
    <row r="103">
      <c r="A103" s="246" t="str">
        <f>'MSW43'!A103</f>
        <v>PROCEED TO DOWN SETS</v>
      </c>
      <c r="B103" s="20"/>
      <c r="C103" s="20"/>
      <c r="D103" s="20"/>
      <c r="E103" s="20"/>
      <c r="F103" s="95"/>
      <c r="H103" s="246" t="str">
        <f>'MSW43'!H103</f>
        <v>PROCEED TO DOWN SETS</v>
      </c>
      <c r="I103" s="20"/>
      <c r="J103" s="20"/>
      <c r="K103" s="20"/>
      <c r="L103" s="20"/>
      <c r="M103" s="95"/>
    </row>
    <row r="104">
      <c r="A104" s="249" t="str">
        <f>'MSW43'!A104</f>
        <v/>
      </c>
      <c r="B104" s="175" t="str">
        <f>'MSW43'!B104</f>
        <v/>
      </c>
      <c r="C104" s="238" t="str">
        <f>'MSW43'!C104</f>
        <v/>
      </c>
      <c r="D104" s="238" t="str">
        <f>'MSW43'!D104</f>
        <v/>
      </c>
      <c r="E104" s="84" t="str">
        <f>'MSW43'!E104</f>
        <v/>
      </c>
      <c r="F104" s="67"/>
      <c r="H104" s="249" t="str">
        <f>'MSW43'!H104</f>
        <v/>
      </c>
      <c r="I104" s="175" t="str">
        <f>'MSW43'!I104</f>
        <v/>
      </c>
      <c r="J104" s="238" t="str">
        <f>'MSW43'!J104</f>
        <v/>
      </c>
      <c r="K104" s="238" t="str">
        <f>'MSW43'!K104</f>
        <v/>
      </c>
      <c r="L104" s="84" t="str">
        <f>'MSW43'!L104</f>
        <v/>
      </c>
      <c r="M104" s="67"/>
    </row>
    <row r="105">
      <c r="A105" s="259" t="str">
        <f>'MSW43'!A105</f>
        <v/>
      </c>
      <c r="B105" s="237" t="str">
        <f>'MSW43'!B105</f>
        <v/>
      </c>
      <c r="C105" s="257" t="str">
        <f>'MSW43'!C105</f>
        <v/>
      </c>
      <c r="D105" s="257" t="str">
        <f>'MSW43'!D105</f>
        <v/>
      </c>
      <c r="E105" s="84" t="str">
        <f>'MSW43'!E105</f>
        <v/>
      </c>
      <c r="F105" s="67"/>
      <c r="H105" s="259" t="str">
        <f>'MSW43'!H105</f>
        <v/>
      </c>
      <c r="I105" s="237" t="str">
        <f>'MSW43'!I105</f>
        <v/>
      </c>
      <c r="J105" s="257" t="str">
        <f>'MSW43'!J105</f>
        <v/>
      </c>
      <c r="K105" s="257" t="str">
        <f>'MSW43'!K105</f>
        <v/>
      </c>
      <c r="L105" s="84" t="str">
        <f>'MSW43'!L105</f>
        <v/>
      </c>
      <c r="M105" s="67"/>
    </row>
    <row r="106">
      <c r="A106" s="246" t="str">
        <f>'MSW43'!A106</f>
        <v>DOWN SETS</v>
      </c>
      <c r="B106" s="20"/>
      <c r="C106" s="20"/>
      <c r="D106" s="20"/>
      <c r="E106" s="20"/>
      <c r="F106" s="95"/>
      <c r="H106" s="246" t="str">
        <f>'MSW43'!H106</f>
        <v>DOWN SETS</v>
      </c>
      <c r="I106" s="20"/>
      <c r="J106" s="20"/>
      <c r="K106" s="20"/>
      <c r="L106" s="20"/>
      <c r="M106" s="95"/>
    </row>
    <row r="107">
      <c r="A107" s="264" t="str">
        <f>'MSW43'!A107</f>
        <v/>
      </c>
      <c r="B107" s="265">
        <f>'MSW43'!B107</f>
        <v>0</v>
      </c>
      <c r="C107" s="266" t="str">
        <f>'MSW43'!C107</f>
        <v>REP OUT</v>
      </c>
      <c r="D107" s="267" t="str">
        <f>'MSW43'!D107</f>
        <v>1-3 MIN</v>
      </c>
      <c r="E107" s="84" t="str">
        <f>'MSW43'!E107</f>
        <v/>
      </c>
      <c r="F107" s="67" t="str">
        <f>'MSW43'!F107</f>
        <v/>
      </c>
      <c r="H107" s="264" t="str">
        <f>'MSW43'!H107</f>
        <v/>
      </c>
      <c r="I107" s="265">
        <f>'MSW43'!I107</f>
        <v>0</v>
      </c>
      <c r="J107" s="266" t="str">
        <f>'MSW43'!J107</f>
        <v>REP OUT</v>
      </c>
      <c r="K107" s="267" t="str">
        <f>'MSW43'!K107</f>
        <v>1-3 MIN</v>
      </c>
      <c r="L107" s="84" t="str">
        <f>'MSW43'!L107</f>
        <v/>
      </c>
      <c r="M107" s="67" t="str">
        <f>'MSW43'!M107</f>
        <v/>
      </c>
    </row>
    <row r="108">
      <c r="A108" s="243" t="str">
        <f>'MSW43'!A108</f>
        <v/>
      </c>
      <c r="B108" s="237">
        <f>'MSW43'!B108</f>
        <v>0</v>
      </c>
      <c r="C108" s="245" t="str">
        <f>'MSW43'!C108</f>
        <v>REP OUT</v>
      </c>
      <c r="D108" s="65" t="str">
        <f>'MSW43'!D108</f>
        <v>1-3 MIN</v>
      </c>
      <c r="E108" s="84" t="str">
        <f>'MSW43'!E108</f>
        <v/>
      </c>
      <c r="F108" s="271" t="str">
        <f>'MSW43'!F108</f>
        <v/>
      </c>
      <c r="H108" s="243" t="str">
        <f>'MSW43'!H108</f>
        <v/>
      </c>
      <c r="I108" s="237">
        <f>'MSW43'!I108</f>
        <v>0</v>
      </c>
      <c r="J108" s="245" t="str">
        <f>'MSW43'!J108</f>
        <v>REP OUT</v>
      </c>
      <c r="K108" s="65" t="str">
        <f>'MSW43'!K108</f>
        <v>1-3 MIN</v>
      </c>
      <c r="L108" s="84" t="str">
        <f>'MSW43'!L108</f>
        <v/>
      </c>
      <c r="M108" s="271" t="str">
        <f>'MSW43'!M108</f>
        <v/>
      </c>
    </row>
    <row r="109">
      <c r="A109" s="272" t="str">
        <f>'MSW43'!A109</f>
        <v>FINAL MAX</v>
      </c>
      <c r="B109" s="273" t="str">
        <f>'MSW43'!B109</f>
        <v/>
      </c>
      <c r="C109" s="11"/>
      <c r="D109" s="11"/>
      <c r="E109" s="11"/>
      <c r="F109" s="46"/>
      <c r="H109" s="272" t="str">
        <f>'MSW43'!H109</f>
        <v>FINAL MAX</v>
      </c>
      <c r="I109" s="273" t="str">
        <f>'MSW43'!I109</f>
        <v/>
      </c>
      <c r="J109" s="11"/>
      <c r="K109" s="11"/>
      <c r="L109" s="11"/>
      <c r="M109" s="46"/>
    </row>
    <row r="110">
      <c r="A110" t="str">
        <f>'MSW43'!A110</f>
        <v/>
      </c>
      <c r="G110" t="str">
        <f>'MSW43'!G110</f>
        <v/>
      </c>
    </row>
    <row r="112">
      <c r="A112" s="361" t="str">
        <f>'MSW43'!A112</f>
        <v>2.  CABLE HIGH PULLEY ROW</v>
      </c>
      <c r="B112" s="53"/>
      <c r="C112" s="53"/>
      <c r="D112" s="53"/>
      <c r="E112" s="53"/>
      <c r="F112" s="54"/>
    </row>
    <row r="113">
      <c r="A113" s="226" t="str">
        <f>'MSW43'!A113</f>
        <v>CURRENT MAX</v>
      </c>
      <c r="B113" s="76">
        <f>'MSW43'!B113</f>
        <v>145</v>
      </c>
      <c r="C113" s="13"/>
      <c r="D113" s="13"/>
      <c r="E113" s="13"/>
      <c r="F113" s="57"/>
    </row>
    <row r="114">
      <c r="A114" s="77" t="str">
        <f>'MSW43'!A114</f>
        <v>SET</v>
      </c>
      <c r="B114" s="78" t="str">
        <f>'MSW43'!B114</f>
        <v>WEIGHT</v>
      </c>
      <c r="C114" s="78" t="str">
        <f>'MSW43'!C114</f>
        <v>REPS</v>
      </c>
      <c r="D114" s="78" t="str">
        <f>'MSW43'!D114</f>
        <v>REST</v>
      </c>
      <c r="E114" s="80" t="str">
        <f>'MSW43'!E114</f>
        <v>PREVIOUS</v>
      </c>
      <c r="F114" s="235" t="str">
        <f>'MSW43'!F114</f>
        <v>REP LOG</v>
      </c>
    </row>
    <row r="115">
      <c r="A115" s="81">
        <f>'MSW43'!A115</f>
        <v>1</v>
      </c>
      <c r="B115" s="82">
        <f>'MSW43'!B115</f>
        <v>145</v>
      </c>
      <c r="C115" s="65" t="str">
        <f>'MSW43'!C115</f>
        <v>10 - 15</v>
      </c>
      <c r="D115" s="83" t="str">
        <f>'MSW43'!D115</f>
        <v>1-2MIN</v>
      </c>
      <c r="E115" s="84" t="str">
        <f>'MSW43'!E115</f>
        <v/>
      </c>
      <c r="F115" s="85"/>
    </row>
    <row r="116">
      <c r="A116" s="81">
        <f>'MSW43'!A116</f>
        <v>2</v>
      </c>
      <c r="B116" s="82">
        <f>'MSW43'!B116</f>
        <v>115</v>
      </c>
      <c r="C116" s="65" t="str">
        <f>'MSW43'!C116</f>
        <v>10 - 15</v>
      </c>
      <c r="D116" s="83" t="str">
        <f>'MSW43'!D116</f>
        <v>1-2MIN</v>
      </c>
      <c r="E116" s="84" t="str">
        <f>'MSW43'!E116</f>
        <v/>
      </c>
      <c r="F116" s="85"/>
    </row>
    <row r="117">
      <c r="A117" s="86">
        <f>'MSW43'!A117</f>
        <v>3</v>
      </c>
      <c r="B117" s="87">
        <f>'MSW43'!B117</f>
        <v>90</v>
      </c>
      <c r="C117" s="71" t="str">
        <f>'MSW43'!C117</f>
        <v>10 - 15</v>
      </c>
      <c r="D117" s="88" t="str">
        <f>'MSW43'!D117</f>
        <v>1-2MIN</v>
      </c>
      <c r="E117" s="89" t="str">
        <f>'MSW43'!E117</f>
        <v/>
      </c>
      <c r="F117" s="85" t="str">
        <f>'MSW43'!F117</f>
        <v/>
      </c>
    </row>
    <row r="118">
      <c r="A118" t="str">
        <f>'MSW43'!A118</f>
        <v/>
      </c>
    </row>
    <row r="119">
      <c r="A119" s="513" t="str">
        <f>'MSW43'!A119</f>
        <v>3. DUMBBELL SIDE LATERAL RAISE</v>
      </c>
      <c r="B119" s="53"/>
      <c r="C119" s="53"/>
      <c r="D119" s="53"/>
      <c r="E119" s="53"/>
      <c r="F119" s="54"/>
    </row>
    <row r="120">
      <c r="A120" s="226" t="str">
        <f>'MSW43'!A120</f>
        <v>SHLDR PRSS MAX</v>
      </c>
      <c r="B120" s="90">
        <f>'MSW43'!B120</f>
        <v>80</v>
      </c>
      <c r="C120" s="13"/>
      <c r="D120" s="13"/>
      <c r="E120" s="13"/>
      <c r="F120" s="57"/>
    </row>
    <row r="121">
      <c r="A121" s="376" t="str">
        <f>'MSW43'!A121</f>
        <v>SET</v>
      </c>
      <c r="B121" s="79" t="str">
        <f>'MSW43'!B121</f>
        <v>WEIGHT</v>
      </c>
      <c r="C121" s="79" t="str">
        <f>'MSW43'!C121</f>
        <v>REPS</v>
      </c>
      <c r="D121" s="79" t="str">
        <f>'MSW43'!D121</f>
        <v>REST</v>
      </c>
      <c r="E121" s="98" t="str">
        <f>'MSW43'!E121</f>
        <v>PREVIOUS</v>
      </c>
      <c r="F121" s="377" t="str">
        <f>'MSW43'!F121</f>
        <v>REP LOG</v>
      </c>
    </row>
    <row r="122">
      <c r="A122" s="81">
        <f>'MSW43'!A122</f>
        <v>1</v>
      </c>
      <c r="B122" s="82">
        <f>'MSW43'!B122</f>
        <v>15</v>
      </c>
      <c r="C122" s="65" t="str">
        <f>'MSW43'!C122</f>
        <v>10 - 15</v>
      </c>
      <c r="D122" s="83" t="str">
        <f>'MSW43'!D122</f>
        <v>1-2MIN</v>
      </c>
      <c r="E122" s="378" t="str">
        <f>'MSW43'!E122</f>
        <v/>
      </c>
      <c r="F122" s="796"/>
    </row>
    <row r="123">
      <c r="A123" s="81">
        <f>'MSW43'!A123</f>
        <v>2</v>
      </c>
      <c r="B123" s="82">
        <f>'MSW43'!B123</f>
        <v>12.5</v>
      </c>
      <c r="C123" s="65" t="str">
        <f>'MSW43'!C123</f>
        <v>10 - 15</v>
      </c>
      <c r="D123" s="83" t="str">
        <f>'MSW43'!D123</f>
        <v>1-2MIN</v>
      </c>
      <c r="E123" s="378" t="str">
        <f>'MSW43'!E123</f>
        <v/>
      </c>
      <c r="F123" s="330"/>
    </row>
    <row r="124">
      <c r="A124" s="86">
        <f>'MSW43'!A124</f>
        <v>3</v>
      </c>
      <c r="B124" s="87">
        <f>'MSW43'!B124</f>
        <v>10</v>
      </c>
      <c r="C124" s="71" t="str">
        <f>'MSW43'!C124</f>
        <v>10 - 15</v>
      </c>
      <c r="D124" s="88" t="str">
        <f>'MSW43'!D124</f>
        <v>1-2MIN</v>
      </c>
      <c r="E124" s="379" t="str">
        <f>'MSW43'!E124</f>
        <v/>
      </c>
      <c r="F124" s="85" t="str">
        <f>'MSW43'!F124</f>
        <v/>
      </c>
    </row>
    <row r="125">
      <c r="A125" t="str">
        <f>'MSW43'!A125</f>
        <v/>
      </c>
    </row>
    <row r="127">
      <c r="A127" s="73" t="str">
        <f>'MSW43'!A127</f>
        <v>4. TRICEP PUSH DOWNS</v>
      </c>
      <c r="B127" s="53"/>
      <c r="C127" s="53"/>
      <c r="D127" s="53"/>
      <c r="E127" s="53"/>
      <c r="F127" s="54"/>
    </row>
    <row r="128">
      <c r="A128" s="226" t="str">
        <f>'MSW43'!A128</f>
        <v>CURRENT MAX</v>
      </c>
      <c r="B128" s="90">
        <f>'MSW43'!B128</f>
        <v>90</v>
      </c>
      <c r="C128" s="13"/>
      <c r="D128" s="13"/>
      <c r="E128" s="13"/>
      <c r="F128" s="57"/>
    </row>
    <row r="129">
      <c r="A129" s="77" t="str">
        <f>'MSW43'!A129</f>
        <v>SET</v>
      </c>
      <c r="B129" s="78" t="str">
        <f>'MSW43'!B129</f>
        <v>WEIGHT</v>
      </c>
      <c r="C129" s="78" t="str">
        <f>'MSW43'!C129</f>
        <v>REPS</v>
      </c>
      <c r="D129" s="78" t="str">
        <f>'MSW43'!D129</f>
        <v>REST</v>
      </c>
      <c r="E129" s="80" t="str">
        <f>'MSW43'!E129</f>
        <v>PREVIOUS</v>
      </c>
      <c r="F129" s="235" t="str">
        <f>'MSW43'!F129</f>
        <v>REP LOG</v>
      </c>
    </row>
    <row r="130">
      <c r="A130" s="81">
        <f>'MSW43'!A130</f>
        <v>1</v>
      </c>
      <c r="B130" s="82">
        <f>'MSW43'!B130</f>
        <v>90</v>
      </c>
      <c r="C130" s="65">
        <f>'MSW43'!C130</f>
        <v>20</v>
      </c>
      <c r="D130" s="83" t="str">
        <f>'MSW43'!D130</f>
        <v>1MIN</v>
      </c>
      <c r="E130" s="84" t="str">
        <f>'MSW43'!E130</f>
        <v/>
      </c>
      <c r="F130" s="85" t="str">
        <f>'MSW43'!F130</f>
        <v/>
      </c>
    </row>
    <row r="131">
      <c r="A131" s="81">
        <f>'MSW43'!A131</f>
        <v>2</v>
      </c>
      <c r="B131" s="82">
        <f>'MSW43'!B131</f>
        <v>70</v>
      </c>
      <c r="C131" s="65">
        <f>'MSW43'!C131</f>
        <v>20</v>
      </c>
      <c r="D131" s="83" t="str">
        <f>'MSW43'!D131</f>
        <v>1MIN</v>
      </c>
      <c r="E131" s="84" t="str">
        <f>'MSW43'!E131</f>
        <v/>
      </c>
      <c r="F131" s="85" t="str">
        <f>'MSW43'!F131</f>
        <v/>
      </c>
    </row>
    <row r="132">
      <c r="A132" s="86">
        <f>'MSW43'!A132</f>
        <v>3</v>
      </c>
      <c r="B132" s="87">
        <f>'MSW43'!B132</f>
        <v>20</v>
      </c>
      <c r="C132" s="71">
        <f>'MSW43'!C132</f>
        <v>20</v>
      </c>
      <c r="D132" s="88" t="str">
        <f>'MSW43'!D132</f>
        <v>1MIN</v>
      </c>
      <c r="E132" s="89" t="str">
        <f>'MSW43'!E132</f>
        <v/>
      </c>
      <c r="F132" s="85" t="str">
        <f>'MSW43'!F132</f>
        <v/>
      </c>
    </row>
    <row r="133">
      <c r="A133" t="str">
        <f>'MSW43'!A133</f>
        <v/>
      </c>
    </row>
    <row r="135">
      <c r="A135" s="75" t="str">
        <f>'MSW43'!A135</f>
        <v>5. BICEP CABLE CURL</v>
      </c>
      <c r="B135" s="53"/>
      <c r="C135" s="53"/>
      <c r="D135" s="53"/>
      <c r="E135" s="53"/>
      <c r="F135" s="54"/>
      <c r="G135" s="141" t="str">
        <f>'MSW43'!G135</f>
        <v/>
      </c>
      <c r="H135" s="75" t="str">
        <f>'MSW43'!H135</f>
        <v>5. BICEP EZ BAR CURL</v>
      </c>
      <c r="I135" s="53"/>
      <c r="J135" s="53"/>
      <c r="K135" s="53"/>
      <c r="L135" s="53"/>
      <c r="M135" s="54"/>
    </row>
    <row r="136">
      <c r="A136" s="226" t="str">
        <f>'MSW43'!A136</f>
        <v>CURRENT MAX</v>
      </c>
      <c r="B136" s="90">
        <f>'MSW43'!B136</f>
        <v>65</v>
      </c>
      <c r="C136" s="13"/>
      <c r="D136" s="13"/>
      <c r="E136" s="13"/>
      <c r="F136" s="57"/>
      <c r="H136" s="226" t="str">
        <f>'MSW43'!H136</f>
        <v>CURRENT MAX</v>
      </c>
      <c r="I136" s="90">
        <f>'MSW43'!I136</f>
        <v>10</v>
      </c>
      <c r="J136" s="13"/>
      <c r="K136" s="13"/>
      <c r="L136" s="13"/>
      <c r="M136" s="57"/>
    </row>
    <row r="137">
      <c r="A137" s="77" t="str">
        <f>'MSW43'!A137</f>
        <v>SET</v>
      </c>
      <c r="B137" s="78" t="str">
        <f>'MSW43'!B137</f>
        <v>WEIGHT</v>
      </c>
      <c r="C137" s="78" t="str">
        <f>'MSW43'!C137</f>
        <v>REPS</v>
      </c>
      <c r="D137" s="78" t="str">
        <f>'MSW43'!D137</f>
        <v>REST</v>
      </c>
      <c r="E137" s="80" t="str">
        <f>'MSW43'!E137</f>
        <v>PREVIOUS</v>
      </c>
      <c r="F137" s="235" t="str">
        <f>'MSW43'!F137</f>
        <v>REP LOG</v>
      </c>
      <c r="H137" s="77" t="str">
        <f>'MSW43'!H137</f>
        <v>SET</v>
      </c>
      <c r="I137" s="78" t="str">
        <f>'MSW43'!I137</f>
        <v>WEIGHT</v>
      </c>
      <c r="J137" s="78" t="str">
        <f>'MSW43'!J137</f>
        <v>REPS</v>
      </c>
      <c r="K137" s="78" t="str">
        <f>'MSW43'!K137</f>
        <v>REST</v>
      </c>
      <c r="L137" s="80" t="str">
        <f>'MSW43'!L137</f>
        <v>PREVIOUS</v>
      </c>
      <c r="M137" s="235" t="str">
        <f>'MSW43'!M137</f>
        <v>REP LOG</v>
      </c>
    </row>
    <row r="138">
      <c r="A138" s="81">
        <f>'MSW43'!A138</f>
        <v>1</v>
      </c>
      <c r="B138" s="82">
        <f>'MSW43'!B138</f>
        <v>65</v>
      </c>
      <c r="C138" s="65" t="str">
        <f>'MSW43'!C138</f>
        <v>10 - 15</v>
      </c>
      <c r="D138" s="83" t="str">
        <f>'MSW43'!D138</f>
        <v>1-2MIN</v>
      </c>
      <c r="E138" s="84" t="str">
        <f>'MSW43'!E138</f>
        <v/>
      </c>
      <c r="F138" s="85" t="str">
        <f>'MSW43'!F138</f>
        <v/>
      </c>
      <c r="H138" s="81">
        <f>'MSW43'!H138</f>
        <v>1</v>
      </c>
      <c r="I138" s="82">
        <f>'MSW43'!I138</f>
        <v>10</v>
      </c>
      <c r="J138" s="65" t="str">
        <f>'MSW43'!J138</f>
        <v>10 - 15</v>
      </c>
      <c r="K138" s="83" t="str">
        <f>'MSW43'!K138</f>
        <v>1-2MIN</v>
      </c>
      <c r="L138" s="84" t="str">
        <f>'MSW43'!L138</f>
        <v/>
      </c>
      <c r="M138" s="85" t="str">
        <f>'MSW43'!M138</f>
        <v/>
      </c>
    </row>
    <row r="139">
      <c r="A139" s="81">
        <f>'MSW43'!A139</f>
        <v>2</v>
      </c>
      <c r="B139" s="82">
        <f>'MSW43'!B139</f>
        <v>50</v>
      </c>
      <c r="C139" s="65" t="str">
        <f>'MSW43'!C139</f>
        <v>10 - 15</v>
      </c>
      <c r="D139" s="83" t="str">
        <f>'MSW43'!D139</f>
        <v>1-2MIN</v>
      </c>
      <c r="E139" s="84" t="str">
        <f>'MSW43'!E139</f>
        <v/>
      </c>
      <c r="F139" s="85" t="str">
        <f>'MSW43'!F139</f>
        <v/>
      </c>
      <c r="H139" s="81">
        <f>'MSW43'!H139</f>
        <v>2</v>
      </c>
      <c r="I139" s="82">
        <f>'MSW43'!I139</f>
        <v>10</v>
      </c>
      <c r="J139" s="65" t="str">
        <f>'MSW43'!J139</f>
        <v>10 - 15</v>
      </c>
      <c r="K139" s="83" t="str">
        <f>'MSW43'!K139</f>
        <v>1-2MIN</v>
      </c>
      <c r="L139" s="84" t="str">
        <f>'MSW43'!L139</f>
        <v/>
      </c>
      <c r="M139" s="85" t="str">
        <f>'MSW43'!M139</f>
        <v/>
      </c>
    </row>
    <row r="140">
      <c r="A140" s="86">
        <f>'MSW43'!A140</f>
        <v>3</v>
      </c>
      <c r="B140" s="87">
        <f>'MSW43'!B140</f>
        <v>40</v>
      </c>
      <c r="C140" s="71" t="str">
        <f>'MSW43'!C140</f>
        <v>10 - 15</v>
      </c>
      <c r="D140" s="88" t="str">
        <f>'MSW43'!D140</f>
        <v>1-2MIN</v>
      </c>
      <c r="E140" s="89" t="str">
        <f>'MSW43'!E140</f>
        <v/>
      </c>
      <c r="F140" s="85" t="str">
        <f>'MSW43'!F140</f>
        <v/>
      </c>
      <c r="H140" s="86">
        <f>'MSW43'!H140</f>
        <v>3</v>
      </c>
      <c r="I140" s="87">
        <f>'MSW43'!I140</f>
        <v>10</v>
      </c>
      <c r="J140" s="71" t="str">
        <f>'MSW43'!J140</f>
        <v>10 - 15</v>
      </c>
      <c r="K140" s="88" t="str">
        <f>'MSW43'!K140</f>
        <v>1-2MIN</v>
      </c>
      <c r="L140" s="89" t="str">
        <f>'MSW43'!L140</f>
        <v/>
      </c>
      <c r="M140" s="85" t="str">
        <f>'MSW43'!M140</f>
        <v/>
      </c>
    </row>
    <row r="141">
      <c r="A141" t="str">
        <f>'MSW43'!A141</f>
        <v/>
      </c>
      <c r="G141" t="str">
        <f>'MSW43'!G141</f>
        <v/>
      </c>
    </row>
    <row r="143">
      <c r="A143" s="1149" t="str">
        <f>'MSW43'!A143</f>
        <v>WORKOUT COMPLETE!</v>
      </c>
      <c r="B143" s="36"/>
      <c r="C143" s="36"/>
      <c r="D143" s="36"/>
      <c r="E143" s="36"/>
      <c r="F143" s="37"/>
    </row>
    <row r="144">
      <c r="A144" s="623" t="str">
        <f>'MSW43'!A144</f>
        <v/>
      </c>
    </row>
    <row r="145">
      <c r="A145" s="1275" t="str">
        <f>'MSW43'!A145</f>
        <v>WANT TO LEARN MORE?</v>
      </c>
      <c r="B145" s="25"/>
      <c r="C145" s="25"/>
      <c r="D145" s="25"/>
      <c r="E145" s="25"/>
      <c r="F145" s="26"/>
    </row>
    <row r="146">
      <c r="A146" s="529"/>
      <c r="F146" s="28"/>
    </row>
    <row r="147">
      <c r="A147" s="1276" t="str">
        <f>'MSW43'!A147</f>
        <v/>
      </c>
      <c r="B147" s="999" t="str">
        <f>'MSW43'!B147</f>
        <v/>
      </c>
      <c r="C147" s="1150" t="str">
        <f>'MSW43'!C147</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47" s="28"/>
    </row>
    <row r="148">
      <c r="A148" s="1276" t="str">
        <f>'MSW43'!A148</f>
        <v/>
      </c>
      <c r="B148" s="999" t="str">
        <f>'MSW43'!B148</f>
        <v/>
      </c>
      <c r="F148" s="28"/>
    </row>
    <row r="149">
      <c r="A149" s="1276" t="str">
        <f>'MSW43'!A149</f>
        <v/>
      </c>
      <c r="B149" s="999" t="str">
        <f>'MSW43'!B149</f>
        <v/>
      </c>
      <c r="F149" s="28"/>
    </row>
    <row r="150">
      <c r="A150" s="1276" t="str">
        <f>'MSW43'!A150</f>
        <v/>
      </c>
      <c r="B150" s="999" t="str">
        <f>'MSW43'!B150</f>
        <v/>
      </c>
      <c r="F150" s="28"/>
    </row>
    <row r="151">
      <c r="A151" s="1276" t="str">
        <f>'MSW43'!A151</f>
        <v/>
      </c>
      <c r="B151" s="999" t="str">
        <f>'MSW43'!B151</f>
        <v/>
      </c>
      <c r="F151" s="28"/>
    </row>
    <row r="152">
      <c r="A152" s="1276" t="str">
        <f>'MSW43'!A152</f>
        <v/>
      </c>
      <c r="B152" s="999" t="str">
        <f>'MSW43'!B152</f>
        <v/>
      </c>
      <c r="F152" s="28"/>
    </row>
    <row r="153">
      <c r="A153" s="1277" t="str">
        <f>'MSW43'!A153</f>
        <v/>
      </c>
      <c r="B153" s="999" t="str">
        <f>'MSW43'!B153</f>
        <v/>
      </c>
      <c r="F153" s="28"/>
    </row>
    <row r="154">
      <c r="A154" s="1276" t="str">
        <f>'MSW43'!A154</f>
        <v/>
      </c>
      <c r="B154" s="999" t="str">
        <f>'MSW43'!B154</f>
        <v/>
      </c>
      <c r="F154" s="28"/>
    </row>
    <row r="155">
      <c r="A155" s="1276" t="str">
        <f>'MSW43'!A155</f>
        <v/>
      </c>
      <c r="B155" s="999" t="str">
        <f>'MSW43'!B155</f>
        <v/>
      </c>
      <c r="F155" s="28"/>
    </row>
    <row r="156">
      <c r="A156" s="1278" t="str">
        <f>'MSW43'!A156</f>
        <v/>
      </c>
      <c r="B156" s="999" t="str">
        <f>'MSW43'!B156</f>
        <v/>
      </c>
      <c r="F156" s="28"/>
    </row>
    <row r="157">
      <c r="A157" s="1276" t="str">
        <f>'MSW43'!A157</f>
        <v/>
      </c>
      <c r="B157" s="999" t="str">
        <f>'MSW43'!B157</f>
        <v/>
      </c>
      <c r="F157" s="28"/>
    </row>
    <row r="158">
      <c r="A158" s="1276" t="str">
        <f>'MSW43'!A158</f>
        <v/>
      </c>
      <c r="B158" s="999" t="str">
        <f>'MSW43'!B158</f>
        <v/>
      </c>
      <c r="F158" s="28"/>
    </row>
    <row r="159">
      <c r="A159" s="1276" t="str">
        <f>'MSW43'!A159</f>
        <v/>
      </c>
      <c r="B159" s="999" t="str">
        <f>'MSW43'!B159</f>
        <v/>
      </c>
      <c r="F159" s="28"/>
    </row>
    <row r="160">
      <c r="A160" s="1276" t="str">
        <f>'MSW43'!A160</f>
        <v/>
      </c>
      <c r="B160" s="999" t="str">
        <f>'MSW43'!B160</f>
        <v/>
      </c>
      <c r="F160" s="28"/>
    </row>
    <row r="161">
      <c r="A161" s="1279" t="str">
        <f>'MSW43'!A161</f>
        <v/>
      </c>
      <c r="B161" s="1280" t="str">
        <f>'MSW43'!B161</f>
        <v/>
      </c>
      <c r="C161" s="11"/>
      <c r="D161" s="11"/>
      <c r="E161" s="11"/>
      <c r="F161" s="46"/>
    </row>
    <row r="162">
      <c r="A162" t="str">
        <f>'MSW43'!A162</f>
        <v/>
      </c>
    </row>
  </sheetData>
  <mergeCells count="92">
    <mergeCell ref="A70:F70"/>
    <mergeCell ref="A71:F71"/>
    <mergeCell ref="A72:F73"/>
    <mergeCell ref="A74:F74"/>
    <mergeCell ref="B75:F75"/>
    <mergeCell ref="A87:F88"/>
    <mergeCell ref="A89:F89"/>
    <mergeCell ref="A90:F91"/>
    <mergeCell ref="A92:F92"/>
    <mergeCell ref="G95:G109"/>
    <mergeCell ref="A96:F96"/>
    <mergeCell ref="B97:F97"/>
    <mergeCell ref="A103:F103"/>
    <mergeCell ref="A106:F106"/>
    <mergeCell ref="B109:F109"/>
    <mergeCell ref="A110:F111"/>
    <mergeCell ref="A112:F112"/>
    <mergeCell ref="B113:F113"/>
    <mergeCell ref="A118:F118"/>
    <mergeCell ref="A119:F119"/>
    <mergeCell ref="B120:F120"/>
    <mergeCell ref="A141:F142"/>
    <mergeCell ref="A143:F143"/>
    <mergeCell ref="A144:F144"/>
    <mergeCell ref="A145:F146"/>
    <mergeCell ref="C147:F161"/>
    <mergeCell ref="A162:F162"/>
    <mergeCell ref="A125:F126"/>
    <mergeCell ref="A127:F127"/>
    <mergeCell ref="B128:F128"/>
    <mergeCell ref="A133:F134"/>
    <mergeCell ref="A135:F135"/>
    <mergeCell ref="G135:G140"/>
    <mergeCell ref="B136:F136"/>
    <mergeCell ref="G12:M14"/>
    <mergeCell ref="H15:M15"/>
    <mergeCell ref="H16:M17"/>
    <mergeCell ref="H18:M18"/>
    <mergeCell ref="H19:M19"/>
    <mergeCell ref="I20:M20"/>
    <mergeCell ref="H25:M25"/>
    <mergeCell ref="G110:M134"/>
    <mergeCell ref="H135:M135"/>
    <mergeCell ref="I136:M136"/>
    <mergeCell ref="G141:M162"/>
    <mergeCell ref="H30:M31"/>
    <mergeCell ref="H32:M32"/>
    <mergeCell ref="I33:M33"/>
    <mergeCell ref="G37:M94"/>
    <mergeCell ref="H95:M95"/>
    <mergeCell ref="H96:M96"/>
    <mergeCell ref="I97:M97"/>
    <mergeCell ref="A1:M8"/>
    <mergeCell ref="A9:F9"/>
    <mergeCell ref="G9:G11"/>
    <mergeCell ref="H9:M9"/>
    <mergeCell ref="A10:F11"/>
    <mergeCell ref="H10:M10"/>
    <mergeCell ref="A14:F14"/>
    <mergeCell ref="A12:F12"/>
    <mergeCell ref="A13:F13"/>
    <mergeCell ref="A15:F15"/>
    <mergeCell ref="G15:G24"/>
    <mergeCell ref="A16:F17"/>
    <mergeCell ref="A18:F18"/>
    <mergeCell ref="A19:F19"/>
    <mergeCell ref="B20:F20"/>
    <mergeCell ref="A25:F25"/>
    <mergeCell ref="G25:G26"/>
    <mergeCell ref="G27:G36"/>
    <mergeCell ref="A30:F31"/>
    <mergeCell ref="A32:F32"/>
    <mergeCell ref="B33:F33"/>
    <mergeCell ref="A37:F38"/>
    <mergeCell ref="A39:F39"/>
    <mergeCell ref="B40:F40"/>
    <mergeCell ref="A46:F46"/>
    <mergeCell ref="A49:F49"/>
    <mergeCell ref="B52:F52"/>
    <mergeCell ref="A53:F53"/>
    <mergeCell ref="A93:F94"/>
    <mergeCell ref="A95:F95"/>
    <mergeCell ref="A54:F54"/>
    <mergeCell ref="B55:F55"/>
    <mergeCell ref="A60:F61"/>
    <mergeCell ref="A62:F62"/>
    <mergeCell ref="B63:F63"/>
    <mergeCell ref="A68:F68"/>
    <mergeCell ref="A69:F69"/>
    <mergeCell ref="H103:M103"/>
    <mergeCell ref="H106:M106"/>
    <mergeCell ref="I109:M109"/>
  </mergeCells>
  <dataValidations>
    <dataValidation type="decimal" allowBlank="1" showDropDown="1" showInputMessage="1" showErrorMessage="1" prompt="Enter a number between 0 and 30" sqref="F21:F24 M21:M24 F26:F29 M26:M29 F34:F36 M34:M36 F41:F45 F47:F48 F50:F51 F56:F59 F64:F67 F76:F86 F98:F102 M98:M102 F104:F105 M104:M105 F107:F108 M107:M108 F114:F117 F121:F124 F129:F132 F137:F140 M137:M140">
      <formula1>0.0</formula1>
      <formula2>30.0</formula2>
    </dataValidation>
    <dataValidation type="decimal" operator="greaterThan" allowBlank="1" showDropDown="1" showErrorMessage="1" sqref="M11">
      <formula1>0.0</formula1>
    </dataValidation>
  </dataValidations>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305" t="s">
        <v>387</v>
      </c>
      <c r="B9" s="36"/>
      <c r="C9" s="36"/>
      <c r="D9" s="36"/>
      <c r="E9" s="36"/>
      <c r="F9" s="37"/>
      <c r="G9" s="987"/>
      <c r="H9" s="24" t="s">
        <v>35</v>
      </c>
      <c r="I9" s="25"/>
      <c r="J9" s="25"/>
      <c r="K9" s="25"/>
      <c r="L9" s="25"/>
      <c r="M9" s="26"/>
    </row>
    <row r="10">
      <c r="A10" s="991" t="str">
        <f>HYPERLINK("https://goo.gl/forms/3ibooB993Hi7SS2d2","PRESS TO RECORD BODY WEIGHT")</f>
        <v>PRESS TO RECORD BODY WEIGHT</v>
      </c>
      <c r="F10" s="28"/>
      <c r="G10" s="987"/>
      <c r="H10" s="147" t="s">
        <v>388</v>
      </c>
      <c r="M10" s="28"/>
    </row>
    <row r="11">
      <c r="A11" s="336"/>
      <c r="B11" s="11"/>
      <c r="C11" s="11"/>
      <c r="D11" s="11"/>
      <c r="E11" s="11"/>
      <c r="F11" s="46"/>
      <c r="G11" s="987"/>
      <c r="H11" s="29" t="s">
        <v>389</v>
      </c>
      <c r="I11" s="30"/>
      <c r="J11" s="30"/>
      <c r="K11" s="30"/>
      <c r="L11" s="30"/>
      <c r="M11" s="31"/>
    </row>
    <row r="12">
      <c r="A12" s="992" t="s">
        <v>69</v>
      </c>
      <c r="B12" s="11"/>
      <c r="C12" s="11"/>
      <c r="D12" s="11"/>
      <c r="E12" s="11"/>
      <c r="F12" s="46"/>
      <c r="G12" s="987"/>
      <c r="H12" s="987"/>
      <c r="I12" s="987"/>
      <c r="J12" s="987"/>
      <c r="K12" s="987"/>
      <c r="L12" s="987"/>
      <c r="M12" s="987"/>
    </row>
    <row r="13">
      <c r="A13" s="1128" t="s">
        <v>190</v>
      </c>
      <c r="B13" s="11"/>
      <c r="C13" s="11"/>
      <c r="D13" s="11"/>
      <c r="E13" s="11"/>
      <c r="F13" s="46"/>
      <c r="G13" s="987"/>
      <c r="H13" s="987"/>
      <c r="I13" s="987"/>
      <c r="J13" s="987"/>
      <c r="K13" s="987"/>
      <c r="L13" s="987"/>
      <c r="M13" s="987"/>
    </row>
    <row r="14">
      <c r="A14" s="994"/>
      <c r="B14" s="994"/>
      <c r="C14" s="994"/>
      <c r="D14" s="994"/>
      <c r="E14" s="994"/>
      <c r="F14" s="995"/>
      <c r="G14" s="987"/>
      <c r="H14" s="989"/>
      <c r="I14" s="989"/>
      <c r="J14" s="989"/>
      <c r="K14" s="989"/>
      <c r="L14" s="989"/>
      <c r="M14" s="989"/>
    </row>
    <row r="15">
      <c r="A15" s="996" t="s">
        <v>47</v>
      </c>
      <c r="B15" s="11"/>
      <c r="C15" s="11"/>
      <c r="D15" s="11"/>
      <c r="E15" s="11"/>
      <c r="F15" s="46"/>
      <c r="G15" s="997"/>
      <c r="H15" s="998" t="s">
        <v>118</v>
      </c>
      <c r="I15" s="11"/>
      <c r="J15" s="11"/>
      <c r="K15" s="11"/>
      <c r="L15" s="11"/>
      <c r="M15" s="46"/>
    </row>
    <row r="16">
      <c r="A16" s="987"/>
      <c r="B16" s="987"/>
      <c r="C16" s="987"/>
      <c r="D16" s="987"/>
      <c r="E16" s="987"/>
      <c r="F16" s="987"/>
      <c r="G16" s="623"/>
      <c r="H16" s="987"/>
      <c r="I16" s="987"/>
      <c r="J16" s="987"/>
      <c r="K16" s="987"/>
      <c r="L16" s="987"/>
      <c r="M16" s="987"/>
    </row>
    <row r="19">
      <c r="A19" s="51" t="s">
        <v>48</v>
      </c>
      <c r="B19" s="36"/>
      <c r="C19" s="36"/>
      <c r="D19" s="36"/>
      <c r="E19" s="36"/>
      <c r="F19" s="37"/>
      <c r="H19" s="51" t="s">
        <v>48</v>
      </c>
      <c r="I19" s="36"/>
      <c r="J19" s="36"/>
      <c r="K19" s="36"/>
      <c r="L19" s="36"/>
      <c r="M19" s="37"/>
      <c r="N19" s="141"/>
      <c r="O19" s="51" t="s">
        <v>48</v>
      </c>
      <c r="P19" s="36"/>
      <c r="Q19" s="36"/>
      <c r="R19" s="36"/>
      <c r="S19" s="36"/>
      <c r="T19" s="37"/>
    </row>
    <row r="20">
      <c r="A20" s="225" t="str">
        <f>HYPERLINK("https://www.youtube.com/watch?v=iLgUDezDMbU","1. BENCH PRESS")</f>
        <v>1. BENCH PRESS</v>
      </c>
      <c r="B20" s="13"/>
      <c r="C20" s="13"/>
      <c r="D20" s="13"/>
      <c r="E20" s="13"/>
      <c r="F20" s="57"/>
      <c r="H20" s="52" t="str">
        <f>HYPERLINK("https://youtu.be/ujVN-A0Z-ic","1. DUMBBELL INCLINE PRESS")</f>
        <v>1. DUMBBELL INCLINE PRESS</v>
      </c>
      <c r="I20" s="53"/>
      <c r="J20" s="53"/>
      <c r="K20" s="53"/>
      <c r="L20" s="53"/>
      <c r="M20" s="54"/>
      <c r="O20" s="52" t="str">
        <f>HYPERLINK("https://youtu.be/75e_H9Vq_Lw","1. MACHINE PRESS")</f>
        <v>1. MACHINE PRESS</v>
      </c>
      <c r="P20" s="53"/>
      <c r="Q20" s="53"/>
      <c r="R20" s="53"/>
      <c r="S20" s="53"/>
      <c r="T20" s="54"/>
    </row>
    <row r="21">
      <c r="A21" s="226" t="s">
        <v>119</v>
      </c>
      <c r="B21" s="227" t="str">
        <f>'MSW19'!B20</f>
        <v/>
      </c>
      <c r="C21" s="20"/>
      <c r="D21" s="20"/>
      <c r="E21" s="20"/>
      <c r="F21" s="95"/>
      <c r="H21" s="228" t="s">
        <v>119</v>
      </c>
      <c r="I21" s="229">
        <f>IF('WEEK 39'!B34="",'WEEK 39'!B21,'WEEK 39'!B34)</f>
        <v>90</v>
      </c>
      <c r="J21" s="16"/>
      <c r="K21" s="16"/>
      <c r="L21" s="16"/>
      <c r="M21" s="230"/>
      <c r="O21" s="228" t="s">
        <v>119</v>
      </c>
      <c r="P21" s="229" t="str">
        <f>'WEEK 40'!I20</f>
        <v/>
      </c>
      <c r="Q21" s="16"/>
      <c r="R21" s="16"/>
      <c r="S21" s="16"/>
      <c r="T21" s="230"/>
    </row>
    <row r="22">
      <c r="A22" s="231" t="s">
        <v>50</v>
      </c>
      <c r="B22" s="232" t="s">
        <v>51</v>
      </c>
      <c r="C22" s="232" t="s">
        <v>52</v>
      </c>
      <c r="D22" s="232" t="s">
        <v>53</v>
      </c>
      <c r="E22" s="233" t="s">
        <v>54</v>
      </c>
      <c r="F22" s="61" t="s">
        <v>55</v>
      </c>
      <c r="H22" s="96" t="s">
        <v>50</v>
      </c>
      <c r="I22" s="97" t="s">
        <v>51</v>
      </c>
      <c r="J22" s="97" t="s">
        <v>52</v>
      </c>
      <c r="K22" s="97" t="s">
        <v>53</v>
      </c>
      <c r="L22" s="98" t="s">
        <v>54</v>
      </c>
      <c r="M22" s="235" t="s">
        <v>55</v>
      </c>
      <c r="O22" s="96" t="s">
        <v>50</v>
      </c>
      <c r="P22" s="97" t="s">
        <v>51</v>
      </c>
      <c r="Q22" s="97" t="s">
        <v>52</v>
      </c>
      <c r="R22" s="97" t="s">
        <v>53</v>
      </c>
      <c r="S22" s="98" t="s">
        <v>54</v>
      </c>
      <c r="T22" s="235" t="s">
        <v>55</v>
      </c>
    </row>
    <row r="23">
      <c r="A23" s="236">
        <v>1.0</v>
      </c>
      <c r="B23" s="237">
        <f>IF( 'WEEK 44'!B20&lt;125,45,mround('WEEK 44'!B21*0.35,5))</f>
        <v>45</v>
      </c>
      <c r="C23" s="237">
        <v>6.0</v>
      </c>
      <c r="D23" s="238" t="s">
        <v>120</v>
      </c>
      <c r="E23" s="66" t="str">
        <f>IF('WEEK 44'!B23='WEEK 42'!B23,'WEEK 42'!F23,"")</f>
        <v/>
      </c>
      <c r="F23" s="67">
        <v>6.0</v>
      </c>
      <c r="H23" s="244">
        <v>1.0</v>
      </c>
      <c r="I23" s="241">
        <f>mround('WEEK 44'!I21*0.35,5)</f>
        <v>30</v>
      </c>
      <c r="J23" s="63">
        <v>6.0</v>
      </c>
      <c r="K23" s="83" t="s">
        <v>127</v>
      </c>
      <c r="L23" s="66" t="str">
        <f>IF('WEEK 44'!I23='WEEK 42'!I23,'WEEK 42'!M23,"")</f>
        <v/>
      </c>
      <c r="M23" s="85"/>
      <c r="O23" s="244">
        <v>1.0</v>
      </c>
      <c r="P23" s="241">
        <f>mround('WEEK 44'!P21*0.35,5)</f>
        <v>0</v>
      </c>
      <c r="Q23" s="63">
        <v>6.0</v>
      </c>
      <c r="R23" s="83" t="s">
        <v>127</v>
      </c>
      <c r="S23" s="66" t="str">
        <f>IF('WEEK 44'!P23='WEEK 42'!P23,'WEEK 42'!T23,"")</f>
        <v/>
      </c>
      <c r="T23" s="85">
        <v>6.0</v>
      </c>
    </row>
    <row r="24">
      <c r="A24" s="236">
        <v>2.0</v>
      </c>
      <c r="B24" s="237">
        <f>mround('WEEK 44'!B21*0.8,5)</f>
        <v>215</v>
      </c>
      <c r="C24" s="237">
        <v>1.0</v>
      </c>
      <c r="D24" s="238" t="s">
        <v>121</v>
      </c>
      <c r="E24" s="66" t="str">
        <f>IF('WEEK 44'!B24='WEEK 42'!B24,'WEEK 42'!F24,"")</f>
        <v/>
      </c>
      <c r="F24" s="67">
        <v>1.0</v>
      </c>
      <c r="G24" s="1129" t="s">
        <v>191</v>
      </c>
      <c r="H24" s="240">
        <v>2.0</v>
      </c>
      <c r="I24" s="241">
        <f>mround('WEEK 44'!I21*0.65,5)</f>
        <v>60</v>
      </c>
      <c r="J24" s="241">
        <v>1.0</v>
      </c>
      <c r="K24" s="83" t="s">
        <v>127</v>
      </c>
      <c r="L24" s="66" t="str">
        <f>IF('WEEK 44'!I24='WEEK 42'!I24,'WEEK 42'!M24,"")</f>
        <v/>
      </c>
      <c r="M24" s="85"/>
      <c r="O24" s="240">
        <v>2.0</v>
      </c>
      <c r="P24" s="241">
        <f>mround('WEEK 44'!P21*0.65,5)</f>
        <v>0</v>
      </c>
      <c r="Q24" s="241">
        <v>1.0</v>
      </c>
      <c r="R24" s="83" t="s">
        <v>127</v>
      </c>
      <c r="S24" s="66" t="str">
        <f>IF('WEEK 44'!P24='WEEK 42'!P24,'WEEK 42'!T24,"")</f>
        <v/>
      </c>
      <c r="T24" s="85">
        <v>1.0</v>
      </c>
    </row>
    <row r="25">
      <c r="A25" s="242">
        <v>3.0</v>
      </c>
      <c r="B25" s="237">
        <f>mround('WEEK 44'!B21*0.9,5)</f>
        <v>245</v>
      </c>
      <c r="C25" s="82">
        <v>1.0</v>
      </c>
      <c r="D25" s="238" t="s">
        <v>121</v>
      </c>
      <c r="E25" s="66" t="str">
        <f>IF('WEEK 44'!B25='WEEK 42'!B25,'WEEK 42'!F25,"")</f>
        <v/>
      </c>
      <c r="F25" s="67">
        <v>1.0</v>
      </c>
      <c r="H25" s="240">
        <v>3.0</v>
      </c>
      <c r="I25" s="241">
        <f>mround('WEEK 44'!I21*0.85,5)</f>
        <v>75</v>
      </c>
      <c r="J25" s="63">
        <v>1.0</v>
      </c>
      <c r="K25" s="83" t="s">
        <v>127</v>
      </c>
      <c r="L25" s="66" t="str">
        <f>IF('WEEK 44'!I25='WEEK 42'!I25,'WEEK 42'!M25,"")</f>
        <v/>
      </c>
      <c r="M25" s="85"/>
      <c r="O25" s="240">
        <v>3.0</v>
      </c>
      <c r="P25" s="241">
        <f>mround('WEEK 44'!P21*0.85,5)</f>
        <v>0</v>
      </c>
      <c r="Q25" s="241">
        <v>1.0</v>
      </c>
      <c r="R25" s="83" t="s">
        <v>127</v>
      </c>
      <c r="S25" s="66" t="str">
        <f>IF('WEEK 44'!P25='WEEK 42'!P25,'WEEK 42'!T25,"")</f>
        <v/>
      </c>
      <c r="T25" s="85">
        <v>1.0</v>
      </c>
    </row>
    <row r="26">
      <c r="A26" s="243">
        <v>4.0</v>
      </c>
      <c r="B26" s="237">
        <f>'WEEK 44'!B21</f>
        <v>270</v>
      </c>
      <c r="C26" s="175">
        <v>1.0</v>
      </c>
      <c r="D26" s="238" t="s">
        <v>122</v>
      </c>
      <c r="E26" s="66" t="str">
        <f>IF('WEEK 44'!B26='WEEK 42'!B26,'WEEK 42'!F26,"")</f>
        <v/>
      </c>
      <c r="F26" s="67">
        <v>1.0</v>
      </c>
      <c r="H26" s="240">
        <v>4.0</v>
      </c>
      <c r="I26" s="241">
        <f>mround('WEEK 44'!I21*1,5)</f>
        <v>90</v>
      </c>
      <c r="J26" s="245" t="s">
        <v>65</v>
      </c>
      <c r="K26" s="83" t="s">
        <v>127</v>
      </c>
      <c r="L26" s="66" t="str">
        <f>IF('WEEK 44'!I26='WEEK 42'!I26,'WEEK 42'!M26,"")</f>
        <v/>
      </c>
      <c r="M26" s="85"/>
      <c r="O26" s="240">
        <v>4.0</v>
      </c>
      <c r="P26" s="241">
        <f>mround('WEEK 44'!P21*1,5)</f>
        <v>0</v>
      </c>
      <c r="Q26" s="245" t="s">
        <v>65</v>
      </c>
      <c r="R26" s="83" t="s">
        <v>127</v>
      </c>
      <c r="S26" s="66" t="str">
        <f>IF('WEEK 44'!P26='WEEK 42'!P26,'WEEK 42'!T26,"")</f>
        <v/>
      </c>
      <c r="T26" s="85">
        <v>8.0</v>
      </c>
    </row>
    <row r="27">
      <c r="A27" s="246" t="str">
        <f>IF('WEEK 44'!F26&lt;1,"PROCEED TO DOWN SETS","NEW 1 REP MAX ATTEMPT")</f>
        <v>PROCEED TO DOWN SETS</v>
      </c>
      <c r="B27" s="20"/>
      <c r="C27" s="20"/>
      <c r="D27" s="20"/>
      <c r="E27" s="20"/>
      <c r="F27" s="95"/>
      <c r="H27" s="248" t="str">
        <f>IF(OR(ISBLANK('WEEK 44'!M26),ISBLANK('WEEK 44'!M25),ISBLANK('WEEK 44'!M24)),"PROCEED TO DOWNSETS",if('WEEK 44'!M26&gt;=6,"NEW 4 REP MAX ATTEMPT","PROCEED TO DOWN SETS"))</f>
        <v>PROCEED TO DOWNSETS</v>
      </c>
      <c r="M27" s="28"/>
      <c r="N27" s="247" t="s">
        <v>123</v>
      </c>
      <c r="O27" s="248" t="str">
        <f>IF(OR(ISBLANK('WEEK 44'!T26),ISBLANK('WEEK 44'!T25),ISBLANK('WEEK 44'!T24)),"PROCEED TO DOWNSETS",if('WEEK 44'!T26&gt;=6,"NEW 4 REP MAX ATTEMPT","PROCEED TO DOWN SETS"))</f>
        <v>PROCEED TO DOWNSETS</v>
      </c>
      <c r="T27" s="28"/>
    </row>
    <row r="28">
      <c r="A28" s="249" t="str">
        <f>if('WEEK 44'!F26&lt;1,"",5)</f>
        <v/>
      </c>
      <c r="B28" s="175" t="str">
        <f>IF('WEEK 44'!F26&lt;1,"",'WEEK 44'!B26+5)</f>
        <v/>
      </c>
      <c r="C28" s="238" t="str">
        <f>if('WEEK 44'!F26&lt;1,"",1)</f>
        <v/>
      </c>
      <c r="D28" s="238" t="str">
        <f>if('WEEK 44'!F26&lt;1,"","1-5 MIN")</f>
        <v/>
      </c>
      <c r="E28" s="66" t="str">
        <f>IF('WEEK 44'!B28='WEEK 42'!B28,'WEEK 42'!F28,"")</f>
        <v/>
      </c>
      <c r="F28" s="67"/>
      <c r="H28" s="251" t="str">
        <f>IF(OR(ISBLANK('WEEK 44'!M26),ISBLANK('WEEK 44'!M25),ISBLANK('WEEK 44'!M24)),"",IF('WEEK 44'!M26&gt;=6,5,""))</f>
        <v/>
      </c>
      <c r="I28" s="252" t="str">
        <f>IF(OR(ISBLANK('WEEK 44'!M26),ISBLANK('WEEK 44'!M25),ISBLANK('WEEK 44'!M24)),"",IF('WEEK 44'!M26&gt;=6,'WEEK 44'!I21+5,""))</f>
        <v/>
      </c>
      <c r="J28" s="253" t="str">
        <f>IF(OR(ISBLANK('WEEK 44'!M26),ISBLANK('WEEK 44'!M25),ISBLANK('WEEK 44'!M24)),"",IF('WEEK 44'!M26&gt;=6,"REP OUT",""))</f>
        <v/>
      </c>
      <c r="K28" s="254" t="str">
        <f>IF(OR(ISBLANK('WEEK 44'!M26),ISBLANK('WEEK 44'!M25),ISBLANK('WEEK 44'!M24)),"",IF('WEEK 44'!M26&gt;5,"1-3 MIN",""))</f>
        <v/>
      </c>
      <c r="L28" s="66" t="str">
        <f>IF('WEEK 44'!I28='WEEK 42'!I28,'WEEK 42'!M28,"")</f>
        <v/>
      </c>
      <c r="M28" s="67"/>
      <c r="O28" s="251" t="str">
        <f>IF(OR(ISBLANK('WEEK 44'!T26),ISBLANK('WEEK 44'!T25),ISBLANK('WEEK 44'!T24)),"",IF('WEEK 44'!T26&gt;=6,5,""))</f>
        <v/>
      </c>
      <c r="P28" s="252" t="str">
        <f>IF(OR(ISBLANK('WEEK 44'!T26),ISBLANK('WEEK 44'!T25),ISBLANK('WEEK 44'!T24)),"",IF('WEEK 44'!T26&gt;=6,'WEEK 44'!P21+5,""))</f>
        <v/>
      </c>
      <c r="Q28" s="253" t="str">
        <f>IF(OR(ISBLANK('WEEK 44'!T26),ISBLANK('WEEK 44'!T25),ISBLANK('WEEK 44'!T24)),"",IF('WEEK 44'!T26&gt;=6,"REP OUT",""))</f>
        <v/>
      </c>
      <c r="R28" s="254" t="str">
        <f>IF(OR(ISBLANK('WEEK 44'!T26),ISBLANK('WEEK 44'!T25),ISBLANK('WEEK 44'!T24)),"",IF('WEEK 44'!T26&gt;5,"1-3 MIN",""))</f>
        <v/>
      </c>
      <c r="S28" s="66" t="str">
        <f>IF('WEEK 44'!P28='WEEK 42'!P28,'WEEK 42'!T28,"")</f>
        <v/>
      </c>
      <c r="T28" s="665">
        <v>4.0</v>
      </c>
    </row>
    <row r="29">
      <c r="A29" s="256" t="str">
        <f>IF('WEEK 44'!F28&lt;1,"","6")</f>
        <v/>
      </c>
      <c r="B29" s="237" t="str">
        <f>IF('WEEK 44'!F28&lt;1,"",'WEEK 44'!B28+5)</f>
        <v/>
      </c>
      <c r="C29" s="257" t="str">
        <f>IF('WEEK 44'!F28&lt;1,"","1")</f>
        <v/>
      </c>
      <c r="D29" s="257" t="str">
        <f>IF('WEEK 44'!F28&lt;1,"","1-5 MIN")</f>
        <v/>
      </c>
      <c r="E29" s="66" t="str">
        <f>IF('WEEK 44'!B29='WEEK 42'!B29,'WEEK 42'!F29,"")</f>
        <v/>
      </c>
      <c r="F29" s="67"/>
      <c r="H29" s="260" t="str">
        <f>IF(OR(ISBLANK('WEEK 44'!M26),ISBLANK('WEEK 44'!M25),ISBLANK('WEEK 44'!M24)),"FILL OUT REP LOG FIRST","DOWN SETS")</f>
        <v>FILL OUT REP LOG FIRST</v>
      </c>
      <c r="I29" s="16"/>
      <c r="J29" s="16"/>
      <c r="K29" s="16"/>
      <c r="L29" s="16"/>
      <c r="M29" s="230"/>
      <c r="N29" s="141"/>
      <c r="O29" s="260" t="str">
        <f>IF(OR(ISBLANK('WEEK 44'!T26),ISBLANK('WEEK 44'!T25),ISBLANK('WEEK 44'!T24)),"FILL OUT REP LOG FIRST","DOWN SETS")</f>
        <v>FILL OUT REP LOG FIRST</v>
      </c>
      <c r="P29" s="16"/>
      <c r="Q29" s="16"/>
      <c r="R29" s="16"/>
      <c r="S29" s="16"/>
      <c r="T29" s="230"/>
    </row>
    <row r="30">
      <c r="A30" s="246" t="str">
        <f>IF(OR(ISBLANK('WEEK 44'!F26),ISBLANK('WEEK 44'!F25),ISBLANK('WEEK 44'!F24)),"FILL OUT REP LOG FOR DOWN SETS","DOWN SETS")</f>
        <v>DOWN SETS</v>
      </c>
      <c r="B30" s="20"/>
      <c r="C30" s="20"/>
      <c r="D30" s="20"/>
      <c r="E30" s="20"/>
      <c r="F30" s="95"/>
      <c r="H30" s="91" t="str">
        <f>IF('WEEK 44'!M28&gt;=4,"",IF(OR(ISBLANK('WEEK 44'!M26),ISBLANK('WEEK 44'!M25),ISBLANK('WEEK 44'!M24)),"",IF('WEEK 44'!M26&gt;5,6,5)))</f>
        <v/>
      </c>
      <c r="I30" s="261" t="str">
        <f>IF('WEEK 44'!M28&gt;=4,"",IF(OR(ISBLANK('WEEK 44'!M26),ISBLANK('WEEK 44'!M25),ISBLANK('WEEK 44'!M24)),"",IF('WEEK 44'!M26&lt;6,mround('WEEK 44'!I21*0.8,5),IF('WEEK 44'!M26&lt;10,mround('WEEK 44'!I21*0.93,5),mround('WEEK 44'!I21*0.7,5)))))</f>
        <v/>
      </c>
      <c r="J30" s="262" t="str">
        <f>IF('WEEK 44'!M28&gt;=4,"",IF(OR(ISBLANK('WEEK 44'!M26),ISBLANK('WEEK 44'!M25),ISBLANK('WEEK 44'!M24)),"","REP OUT"))</f>
        <v/>
      </c>
      <c r="K30" s="65" t="str">
        <f>IF('WEEK 44'!M28&gt;=4,"",IF(OR(ISBLANK('WEEK 44'!M26),ISBLANK('WEEK 44'!M25),ISBLANK('WEEK 44'!M24)),"","1-3 MIN"))</f>
        <v/>
      </c>
      <c r="L30" s="66" t="str">
        <f>IF('WEEK 44'!I30='WEEK 42'!I30,'WEEK 42'!M30,"")</f>
        <v/>
      </c>
      <c r="M30" s="263"/>
      <c r="O30" s="91" t="str">
        <f>IF('WEEK 44'!T28&gt;=4,"",IF(OR(ISBLANK('WEEK 44'!T26),ISBLANK('WEEK 44'!T25),ISBLANK('WEEK 44'!T24)),"",IF('WEEK 44'!T26&gt;5,6,5)))</f>
        <v/>
      </c>
      <c r="P30" s="261" t="str">
        <f>IF('WEEK 44'!T28&gt;=4,"",IF(OR(ISBLANK('WEEK 44'!T26),ISBLANK('WEEK 44'!T25),ISBLANK('WEEK 44'!T24)),"",IF('WEEK 44'!T26&lt;6,mround('WEEK 44'!P21*0.8,5),IF('WEEK 44'!T26&lt;10,mround('WEEK 44'!P21*0.93,5),mround('WEEK 44'!P21*0.7,5)))))</f>
        <v/>
      </c>
      <c r="Q30" s="262" t="str">
        <f>IF('WEEK 44'!T28&gt;=4,"",IF(OR(ISBLANK('WEEK 44'!T26),ISBLANK('WEEK 44'!T25),ISBLANK('WEEK 44'!T24)),"","REP OUT"))</f>
        <v/>
      </c>
      <c r="R30" s="65" t="str">
        <f>IF('WEEK 44'!T28&gt;=4,"",IF(OR(ISBLANK('WEEK 44'!T26),ISBLANK('WEEK 44'!T25),ISBLANK('WEEK 44'!T24)),"","1-3 MIN"))</f>
        <v/>
      </c>
      <c r="S30" s="66" t="str">
        <f>IF('WEEK 44'!P30='WEEK 42'!P30,'WEEK 42'!T30,"")</f>
        <v/>
      </c>
      <c r="T30" s="263"/>
    </row>
    <row r="31">
      <c r="A31" s="264">
        <f>IF(OR(ISBLANK('WEEK 44'!F26),ISBLANK('WEEK 44'!F25),ISBLANK('WEEK 44'!F24)),"",IF((AND('WEEK 44'!A28="",'WEEK 44'!A29="")),5,IF((AND('WEEK 44'!A28&gt;1,'WEEK 44'!A29="")),6,7)))</f>
        <v>5</v>
      </c>
      <c r="B31" s="265">
        <f>IF(OR(ISBLANK('WEEK 44'!F26),ISBLANK('WEEK 44'!F25),ISBLANK('WEEK 44'!F24)),"",MROUND('WEEK 44'!B33*0.9,5))</f>
        <v>240</v>
      </c>
      <c r="C31" s="266" t="str">
        <f>IF(OR(ISBLANK('WEEK 44'!F26),ISBLANK('WEEK 44'!F25),ISBLANK('WEEK 44'!F24)),"","REP OUT")</f>
        <v>REP OUT</v>
      </c>
      <c r="D31" s="267" t="str">
        <f>IF(OR(ISBLANK('WEEK 44'!F26),ISBLANK('WEEK 44'!F25),ISBLANK('WEEK 44'!F24)),"","1-3 MIN")</f>
        <v>1-3 MIN</v>
      </c>
      <c r="E31" s="66" t="str">
        <f>IF('WEEK 44'!B31='WEEK 42'!B31,'WEEK 42'!F31,"")</f>
        <v/>
      </c>
      <c r="F31" s="67"/>
      <c r="H31" s="269" t="str">
        <f>IF('WEEK 44'!M28&gt;=4,"",IF(OR(ISBLANK('WEEK 44'!M26),ISBLANK('WEEK 44'!M25),ISBLANK('WEEK 44'!M24)),"",IF('WEEK 44'!M26&gt;5,7,6)))</f>
        <v/>
      </c>
      <c r="I31" s="254" t="str">
        <f>IF('WEEK 44'!M28&gt;=4,"",IF(OR(ISBLANK('WEEK 44'!M26),ISBLANK('WEEK 44'!M25),ISBLANK('WEEK 44'!M24)),"",IF('WEEK 44'!M26&lt;6,mround('WEEK 44'!I21*0.65,5),IF('WEEK 44'!M26&lt;10,mround('WEEK 44'!I21*0.7,5),mround('WEEK 44'!I21*0.65,5)))))</f>
        <v/>
      </c>
      <c r="J31" s="253" t="str">
        <f>IF('WEEK 44'!M28&gt;=4,"",IF(OR(ISBLANK('WEEK 44'!M26),ISBLANK('WEEK 44'!M25),ISBLANK('WEEK 44'!M24)),"","REP OUT"))</f>
        <v/>
      </c>
      <c r="K31" s="65" t="str">
        <f>IF('WEEK 44'!M28&gt;=4,"",IF(OR(ISBLANK('WEEK 44'!M26),ISBLANK('WEEK 44'!M25),ISBLANK('WEEK 44'!M24)),"","1-3 MIN"))</f>
        <v/>
      </c>
      <c r="L31" s="66" t="str">
        <f>IF('WEEK 44'!I31='WEEK 42'!I31,'WEEK 42'!M31,"")</f>
        <v/>
      </c>
      <c r="M31" s="270"/>
      <c r="O31" s="269" t="str">
        <f>IF('WEEK 44'!T28&gt;=4,"",IF(OR(ISBLANK('WEEK 44'!T26),ISBLANK('WEEK 44'!T25),ISBLANK('WEEK 44'!T24)),"",IF('WEEK 44'!T26&gt;5,7,6)))</f>
        <v/>
      </c>
      <c r="P31" s="254" t="str">
        <f>IF('WEEK 44'!T28&gt;=4,"",IF(OR(ISBLANK('WEEK 44'!T26),ISBLANK('WEEK 44'!T25),ISBLANK('WEEK 44'!T24)),"",IF('WEEK 44'!T26&lt;6,mround('WEEK 44'!P21*0.65,5),IF('WEEK 44'!T26&lt;10,mround('WEEK 44'!P21*0.7,5),mround('WEEK 44'!P21*0.65,5)))))</f>
        <v/>
      </c>
      <c r="Q31" s="253" t="str">
        <f>IF('WEEK 44'!T28&gt;=4,"",IF(OR(ISBLANK('WEEK 44'!T26),ISBLANK('WEEK 44'!T25),ISBLANK('WEEK 44'!T24)),"","REP OUT"))</f>
        <v/>
      </c>
      <c r="R31" s="65" t="str">
        <f>IF('WEEK 44'!T28&gt;=4,"",IF(OR(ISBLANK('WEEK 44'!T26),ISBLANK('WEEK 44'!T25),ISBLANK('WEEK 44'!T24)),"","1 MIN"))</f>
        <v/>
      </c>
      <c r="S31" s="66" t="str">
        <f>IF('WEEK 44'!P31='WEEK 42'!P31,'WEEK 42'!T31,"")</f>
        <v/>
      </c>
      <c r="T31" s="270"/>
    </row>
    <row r="32">
      <c r="A32" s="243">
        <f>IF(OR(ISBLANK('WEEK 44'!F26),ISBLANK('WEEK 44'!F25),ISBLANK('WEEK 44'!F24)),"",IF((AND('WEEK 44'!A28="",'WEEK 44'!A29="")),6,IF((AND('WEEK 44'!A28&gt;1,'WEEK 44'!A29="")),7,8)))</f>
        <v>6</v>
      </c>
      <c r="B32" s="237">
        <f>IF(OR(ISBLANK('WEEK 44'!F26),ISBLANK('WEEK 44'!F25),ISBLANK('WEEK 44'!F24)),"",mround('WEEK 44'!B33*0.78,5))</f>
        <v>205</v>
      </c>
      <c r="C32" s="245" t="str">
        <f>IF(OR(ISBLANK('WEEK 44'!F26),ISBLANK('WEEK 44'!F25),ISBLANK('WEEK 44'!F24)),"","REP OUT")</f>
        <v>REP OUT</v>
      </c>
      <c r="D32" s="65" t="str">
        <f>IF(OR(ISBLANK('WEEK 44'!F26),ISBLANK('WEEK 44'!F25),ISBLANK('WEEK 44'!F24)),"","1-3 MIN")</f>
        <v>1-3 MIN</v>
      </c>
      <c r="E32" s="66" t="str">
        <f>IF('WEEK 44'!B32='WEEK 42'!B32,'WEEK 42'!F32,"")</f>
        <v/>
      </c>
      <c r="F32" s="271"/>
      <c r="H32" s="269" t="str">
        <f>IF('WEEK 44'!M28&lt;4,"",IF(OR(ISBLANK('WEEK 44'!M26),ISBLANK('WEEK 44'!M25),ISBLANK('WEEK 44'!M24)),"",IF('WEEK 44'!M28&gt;3,6,5)))</f>
        <v/>
      </c>
      <c r="I32" s="254" t="str">
        <f>IF('WEEK 44'!M28&lt;4,"",IF(OR(ISBLANK('WEEK 44'!M26),ISBLANK('WEEK 44'!M25),ISBLANK('WEEK 44'!M24)),"",IF('WEEK 44'!M28&lt;6,mround('WEEK 44'!I34*0.7,5),IF('WEEK 44'!M28&lt;10,mround('WEEK 44'!I34*0.8,5),mround(I34*0.93,5)))))</f>
        <v/>
      </c>
      <c r="J32" s="253" t="str">
        <f>IF('WEEK 44'!M28&lt;4,"",IF(OR(ISBLANK('WEEK 44'!M26),ISBLANK('WEEK 44'!M25),ISBLANK('WEEK 44'!M24)),"","REP OUT"))</f>
        <v/>
      </c>
      <c r="K32" s="65" t="str">
        <f>IF('WEEK 44'!M28&lt;4,"",IF(OR(ISBLANK('WEEK 44'!M26),ISBLANK('WEEK 44'!M25),ISBLANK('WEEK 44'!M24)),"","1-3 MIN"))</f>
        <v/>
      </c>
      <c r="L32" s="66" t="str">
        <f>IF('WEEK 44'!I32='WEEK 42'!I32,'WEEK 42'!M32,"")</f>
        <v/>
      </c>
      <c r="M32" s="270"/>
      <c r="N32" s="141"/>
      <c r="O32" s="269" t="str">
        <f>IF('WEEK 44'!T28&lt;4,"",IF(OR(ISBLANK('WEEK 44'!T26),ISBLANK('WEEK 44'!T25),ISBLANK('WEEK 44'!T24)),"",IF('WEEK 44'!T28&gt;3,6,5)))</f>
        <v/>
      </c>
      <c r="P32" s="254" t="str">
        <f>IF('WEEK 44'!T28&lt;4,"",IF(OR(ISBLANK('WEEK 44'!T26),ISBLANK('WEEK 44'!T25),ISBLANK('WEEK 44'!T24)),"",IF('WEEK 44'!T28&lt;6,mround('WEEK 44'!P34*0.7,5),IF('WEEK 44'!T28&lt;10,mround('WEEK 44'!P34*0.8,5),mround(P34*0.93,5)))))</f>
        <v/>
      </c>
      <c r="Q32" s="253" t="str">
        <f>IF('WEEK 44'!T28&lt;4,"",IF(OR(ISBLANK('WEEK 44'!T26),ISBLANK('WEEK 44'!T25),ISBLANK('WEEK 44'!T24)),"","REP OUT"))</f>
        <v/>
      </c>
      <c r="R32" s="65" t="str">
        <f>IF('WEEK 44'!T28&lt;4,"",IF(OR(ISBLANK('WEEK 44'!T26),ISBLANK('WEEK 44'!T25),ISBLANK('WEEK 44'!T24)),"","1-3 MIN"))</f>
        <v/>
      </c>
      <c r="S32" s="66" t="str">
        <f>IF('WEEK 44'!P32='WEEK 42'!P32,'WEEK 42'!T32,"")</f>
        <v/>
      </c>
      <c r="T32" s="263"/>
    </row>
    <row r="33">
      <c r="A33" s="272" t="s">
        <v>124</v>
      </c>
      <c r="B33" s="273">
        <f>IF(OR(ISBLANK('WEEK 44'!F26),ISBLANK('WEEK 44'!F25),ISBLANK('WEEK 44'!F24)),"",IF('WEEK 44'!F29&gt;=1,'WEEK 44'!B29,IF('WEEK 44'!F28&gt;=1,'WEEK 44'!B28,IF('WEEK 44'!F26&lt;1,'WEEK 44'!B26-5,'WEEK 44'!B26))))</f>
        <v>265</v>
      </c>
      <c r="C33" s="11"/>
      <c r="D33" s="11"/>
      <c r="E33" s="11"/>
      <c r="F33" s="46"/>
      <c r="H33" s="269" t="str">
        <f>IF('WEEK 44'!M28&lt;4,"",IF(OR(ISBLANK('WEEK 44'!M26),ISBLANK('WEEK 44'!M25),ISBLANK('WEEK 44'!M24)),"",IF('WEEK 44'!M28&gt;3,7,"")))</f>
        <v/>
      </c>
      <c r="I33" s="254" t="str">
        <f>IF('WEEK 44'!M28&lt;4,"",IF(OR(ISBLANK('WEEK 44'!M26),ISBLANK('WEEK 44'!M25),ISBLANK('WEEK 44'!M24)),"",IF('WEEK 44'!M28&lt;6,mround('WEEK 44'!I34*0.65,5),IF('WEEK 44'!M28&lt;10,mround('WEEK 44'!I34*0.7,5),mround(I34*0.75,5)))))</f>
        <v/>
      </c>
      <c r="J33" s="253" t="str">
        <f>IF('WEEK 44'!M28&lt;4,"",IF(OR(ISBLANK('WEEK 44'!M26),ISBLANK('WEEK 44'!M25),ISBLANK('WEEK 44'!M24)),"","REP OUT"))</f>
        <v/>
      </c>
      <c r="K33" s="65" t="str">
        <f>IF('WEEK 44'!M28&lt;4,"",IF(OR(ISBLANK('WEEK 44'!M26),ISBLANK('WEEK 44'!M25),ISBLANK('WEEK 44'!M24)),"","1-3 MIN"))</f>
        <v/>
      </c>
      <c r="L33" s="66" t="str">
        <f>IF('WEEK 44'!I33='WEEK 42'!I33,'WEEK 42'!M33,"")</f>
        <v/>
      </c>
      <c r="M33" s="270"/>
      <c r="N33" s="141"/>
      <c r="O33" s="269" t="str">
        <f>IF('WEEK 44'!T28&lt;4,"",IF(OR(ISBLANK('WEEK 44'!T26),ISBLANK('WEEK 44'!T25),ISBLANK('WEEK 44'!T24)),"",IF('WEEK 44'!T28&gt;3,7,"")))</f>
        <v/>
      </c>
      <c r="P33" s="254" t="str">
        <f>IF('WEEK 44'!T28&lt;4,"",IF(OR(ISBLANK('WEEK 44'!T26),ISBLANK('WEEK 44'!T25),ISBLANK('WEEK 44'!T24)),"",IF('WEEK 44'!T28&lt;6,mround('WEEK 44'!P34*0.65,5),IF('WEEK 44'!T28&lt;10,mround('WEEK 44'!P34*0.7,5),mround(P34*0.75,5)))))</f>
        <v/>
      </c>
      <c r="Q33" s="253" t="str">
        <f>IF('WEEK 44'!T28&lt;4,"",IF(OR(ISBLANK('WEEK 44'!T26),ISBLANK('WEEK 44'!T25),ISBLANK('WEEK 44'!T24)),"","REP OUT"))</f>
        <v/>
      </c>
      <c r="R33" s="65" t="str">
        <f>IF('WEEK 44'!T28&lt;4,"",IF(OR(ISBLANK('WEEK 44'!T26),ISBLANK('WEEK 44'!T25),ISBLANK('WEEK 44'!T24)),"","1-3 MIN"))</f>
        <v/>
      </c>
      <c r="S33" s="66" t="str">
        <f>IF('WEEK 44'!P33='WEEK 42'!P33,'WEEK 42'!T33,"")</f>
        <v/>
      </c>
      <c r="T33" s="263"/>
    </row>
    <row r="34">
      <c r="H34" s="280" t="s">
        <v>124</v>
      </c>
      <c r="I34" s="273" t="str">
        <f>IF(OR(ISBLANK('WEEK 44'!M24),ISBLANK('WEEK 44'!M25),ISBLANK('WEEK 44'!M26)),"",IF('WEEK 44'!M28&gt;=4,'WEEK 44'!I28,IF('WEEK 44'!M26&lt;=3,'WEEK 44'!I26-5,'WEEK 44'!I26)))</f>
        <v/>
      </c>
      <c r="J34" s="11"/>
      <c r="K34" s="11"/>
      <c r="L34" s="11"/>
      <c r="M34" s="46"/>
      <c r="N34" s="141"/>
      <c r="O34" s="280" t="s">
        <v>124</v>
      </c>
      <c r="P34" s="273" t="str">
        <f>IF(OR(ISBLANK('WEEK 44'!T24),ISBLANK('WEEK 44'!T25),ISBLANK('WEEK 44'!T26)),"",IF('WEEK 44'!T28&gt;=4,'WEEK 44'!P28,IF('WEEK 44'!T26&lt;=3,'WEEK 44'!P26-5,'WEEK 44'!P26)))</f>
        <v/>
      </c>
      <c r="Q34" s="11"/>
      <c r="R34" s="11"/>
      <c r="S34" s="11"/>
      <c r="T34" s="46"/>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c r="N37" s="660"/>
    </row>
    <row r="38">
      <c r="A38" s="226" t="s">
        <v>228</v>
      </c>
      <c r="B38" s="548">
        <f>IF('WEEK 44'!I34="",'WEEK 44'!I21,'WEEK 44'!I34)</f>
        <v>90</v>
      </c>
      <c r="C38" s="13"/>
      <c r="D38" s="13"/>
      <c r="E38" s="13"/>
      <c r="F38" s="57"/>
      <c r="H38" s="226" t="s">
        <v>228</v>
      </c>
      <c r="I38" s="548">
        <f>'WEEK 44'!B38</f>
        <v>90</v>
      </c>
      <c r="J38" s="13"/>
      <c r="K38" s="13"/>
      <c r="L38" s="13"/>
      <c r="M38" s="57"/>
      <c r="N38" s="141"/>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44'!B38*0.29,2.5)</f>
        <v>25</v>
      </c>
      <c r="C40" s="241">
        <v>15.0</v>
      </c>
      <c r="D40" s="83" t="s">
        <v>127</v>
      </c>
      <c r="E40" s="84" t="str">
        <f>IF('WEEK 43'!B35='WEEK 44'!B40,'WEEK 43'!F35,"")</f>
        <v/>
      </c>
      <c r="F40" s="85"/>
      <c r="H40" s="240">
        <v>1.0</v>
      </c>
      <c r="I40" s="254">
        <f>mround('WEEK 44'!I38*2*0.75,10)</f>
        <v>140</v>
      </c>
      <c r="J40" s="241">
        <v>15.0</v>
      </c>
      <c r="K40" s="83" t="s">
        <v>127</v>
      </c>
      <c r="L40" s="84" t="str">
        <f>IF('WEEK 43'!I35='WEEK 44'!I40,'WEEK 43'!M35,"")</f>
        <v/>
      </c>
      <c r="M40" s="85"/>
    </row>
    <row r="41">
      <c r="A41" s="661">
        <v>2.0</v>
      </c>
      <c r="B41" s="662">
        <f>mround('WEEK 44'!B38*0.29,2.5)</f>
        <v>25</v>
      </c>
      <c r="C41" s="662">
        <v>15.0</v>
      </c>
      <c r="D41" s="88" t="s">
        <v>127</v>
      </c>
      <c r="E41" s="89" t="str">
        <f>IF('WEEK 43'!B36='WEEK 44'!B41,'WEEK 43'!F36,"")</f>
        <v/>
      </c>
      <c r="F41" s="85"/>
      <c r="H41" s="661">
        <v>2.0</v>
      </c>
      <c r="I41" s="662">
        <f>mround('WEEK 44'!I38*2*0.75,10)</f>
        <v>140</v>
      </c>
      <c r="J41" s="662">
        <v>15.0</v>
      </c>
      <c r="K41" s="88" t="s">
        <v>127</v>
      </c>
      <c r="L41" s="89" t="str">
        <f>IF('WEEK 43'!I36='WEEK 44'!I41,'WEEK 43'!M36,"")</f>
        <v/>
      </c>
      <c r="M41" s="85"/>
    </row>
    <row r="44">
      <c r="A44" s="1176" t="str">
        <f>HYPERLINK("https://www.youtube.com/watch?v=JDPkRuVBZ90","3. SUPER SET")</f>
        <v>3. SUPER SET</v>
      </c>
      <c r="B44" s="36"/>
      <c r="C44" s="36"/>
      <c r="D44" s="36"/>
      <c r="E44" s="36"/>
      <c r="F44" s="37"/>
    </row>
    <row r="45">
      <c r="A45" s="1177" t="s">
        <v>119</v>
      </c>
      <c r="B45" s="1178">
        <f>'WEEK 43'!B55</f>
        <v>240</v>
      </c>
      <c r="C45" s="46"/>
      <c r="D45" s="1178" t="str">
        <f>'WEEK 43'!B63</f>
        <v/>
      </c>
      <c r="E45" s="11"/>
      <c r="F45" s="46"/>
    </row>
    <row r="46">
      <c r="A46" s="1179" t="s">
        <v>50</v>
      </c>
      <c r="B46" s="1180" t="s">
        <v>200</v>
      </c>
      <c r="C46" s="1181" t="s">
        <v>51</v>
      </c>
      <c r="D46" s="1181" t="s">
        <v>52</v>
      </c>
      <c r="E46" s="1182" t="s">
        <v>54</v>
      </c>
      <c r="F46" s="1006" t="s">
        <v>55</v>
      </c>
    </row>
    <row r="47">
      <c r="A47" s="1183">
        <v>1.0</v>
      </c>
      <c r="B47" s="1184" t="str">
        <f>HYPERLINK("https://www.youtube.com/watch?v=PnaDzYh2axA","LAT PULL DOWN")</f>
        <v>LAT PULL DOWN</v>
      </c>
      <c r="C47" s="1185">
        <f>MROUND('WEEK 44'!B45*0.45,5)</f>
        <v>110</v>
      </c>
      <c r="D47" s="1186">
        <v>20.0</v>
      </c>
      <c r="E47" s="1187"/>
      <c r="F47" s="1188"/>
    </row>
    <row r="48">
      <c r="A48" s="1189"/>
      <c r="B48" s="1190" t="str">
        <f>HYPERLINK("https://www.youtube.com/watch?v=9YH1YvZbiY0","LOW ROW")</f>
        <v>LOW ROW</v>
      </c>
      <c r="C48" s="1191">
        <f>MROUND('WEEK 44'!D45*0.45,5)</f>
        <v>0</v>
      </c>
      <c r="D48" s="1192">
        <v>20.0</v>
      </c>
      <c r="E48" s="1193"/>
      <c r="F48" s="1188"/>
    </row>
    <row r="49">
      <c r="A49" s="1194" t="s">
        <v>201</v>
      </c>
      <c r="B49" s="11"/>
      <c r="C49" s="11"/>
      <c r="D49" s="11"/>
      <c r="E49" s="11"/>
      <c r="F49" s="46"/>
    </row>
    <row r="50">
      <c r="A50" s="1195">
        <v>2.0</v>
      </c>
      <c r="B50" s="1184" t="str">
        <f>HYPERLINK("https://www.youtube.com/watch?v=PnaDzYh2axA","LAT PULL DOWN")</f>
        <v>LAT PULL DOWN</v>
      </c>
      <c r="C50" s="1185">
        <f>IF('WEEK 44'!F47&gt;=15,'WEEK 44'!C47,MROUND('WEEK 44'!C47*0.9,5))</f>
        <v>100</v>
      </c>
      <c r="D50" s="1186">
        <v>20.0</v>
      </c>
      <c r="E50" s="1187"/>
      <c r="F50" s="1188"/>
    </row>
    <row r="51">
      <c r="A51" s="1196"/>
      <c r="B51" s="1190" t="str">
        <f>HYPERLINK("https://www.youtube.com/watch?v=9YH1YvZbiY0","LOW ROW")</f>
        <v>LOW ROW</v>
      </c>
      <c r="C51" s="1191">
        <f>IF('WEEK 44'!F48&gt;=15,'WEEK 44'!C48,MROUND('WEEK 44'!C48*0.9,5))</f>
        <v>0</v>
      </c>
      <c r="D51" s="1192">
        <v>20.0</v>
      </c>
      <c r="E51" s="1193"/>
      <c r="F51" s="1188"/>
    </row>
    <row r="52">
      <c r="A52" s="1194" t="s">
        <v>201</v>
      </c>
      <c r="B52" s="11"/>
      <c r="C52" s="11"/>
      <c r="D52" s="11"/>
      <c r="E52" s="11"/>
      <c r="F52" s="46"/>
    </row>
    <row r="53">
      <c r="A53" s="1195">
        <v>3.0</v>
      </c>
      <c r="B53" s="1184" t="str">
        <f>HYPERLINK("https://www.youtube.com/watch?v=PnaDzYh2axA","LAT PULL DOWN")</f>
        <v>LAT PULL DOWN</v>
      </c>
      <c r="C53" s="1185">
        <f>IF('WEEK 44'!F50&gt;=15,'WEEK 44'!C50,MROUND('WEEK 44'!C50*0.9,5))</f>
        <v>90</v>
      </c>
      <c r="D53" s="1186">
        <v>20.0</v>
      </c>
      <c r="E53" s="1187"/>
      <c r="F53" s="1133"/>
    </row>
    <row r="54">
      <c r="A54" s="1196"/>
      <c r="B54" s="1190" t="str">
        <f>HYPERLINK("https://www.youtube.com/watch?v=9YH1YvZbiY0","LOW ROW")</f>
        <v>LOW ROW</v>
      </c>
      <c r="C54" s="1191">
        <f>IF('WEEK 44'!F51&gt;=15,'WEEK 44'!C51,MROUND('WEEK 44'!C51*0.9,5))</f>
        <v>0</v>
      </c>
      <c r="D54" s="1192">
        <v>20.0</v>
      </c>
      <c r="E54" s="1193"/>
      <c r="F54" s="1133"/>
    </row>
    <row r="55">
      <c r="A55" s="1194" t="s">
        <v>201</v>
      </c>
      <c r="B55" s="11"/>
      <c r="C55" s="11"/>
      <c r="D55" s="11"/>
      <c r="E55" s="11"/>
      <c r="F55" s="46"/>
    </row>
    <row r="56">
      <c r="A56" s="1197">
        <v>4.0</v>
      </c>
      <c r="B56" s="1184" t="str">
        <f>HYPERLINK("https://www.youtube.com/watch?v=PnaDzYh2axA","LAT PULL DOWN")</f>
        <v>LAT PULL DOWN</v>
      </c>
      <c r="C56" s="1185">
        <f>IF('WEEK 44'!F53&gt;=15,'WEEK 44'!C53,MROUND('WEEK 44'!C53*0.9,5))</f>
        <v>80</v>
      </c>
      <c r="D56" s="1186">
        <v>20.0</v>
      </c>
      <c r="E56" s="1187"/>
      <c r="F56" s="1133"/>
    </row>
    <row r="57">
      <c r="A57" s="1196"/>
      <c r="B57" s="1190" t="str">
        <f>HYPERLINK("https://www.youtube.com/watch?v=9YH1YvZbiY0","LOW ROW")</f>
        <v>LOW ROW</v>
      </c>
      <c r="C57" s="1191">
        <f>IF('WEEK 44'!F54&gt;=15,'WEEK 44'!C54,MROUND('WEEK 44'!C54*0.9,5))</f>
        <v>0</v>
      </c>
      <c r="D57" s="1192">
        <v>20.0</v>
      </c>
      <c r="E57" s="1193"/>
      <c r="F57" s="1133"/>
    </row>
    <row r="59">
      <c r="A59" s="103"/>
      <c r="B59" s="103"/>
      <c r="C59" s="103"/>
      <c r="D59" s="103"/>
      <c r="E59" s="222"/>
      <c r="F59" s="103"/>
    </row>
    <row r="60">
      <c r="A60" s="310" t="str">
        <f>HYPERLINK("https://docs.google.com/a/fitnessresults.com/forms/d/e/1FAIpQLSd7MoczESe8Yjv6BKpmwAZGn9Aiymrs9-UdgfYIUpbr9t5NXg/viewform?usp=pp_url&amp;entry.93370101","CLICK TO COMPLETE WORKOUT")</f>
        <v>CLICK TO COMPLETE WORKOUT</v>
      </c>
      <c r="B60" s="36"/>
      <c r="C60" s="36"/>
      <c r="D60" s="36"/>
      <c r="E60" s="36"/>
      <c r="F60" s="37"/>
    </row>
    <row r="62">
      <c r="A62" s="224" t="s">
        <v>128</v>
      </c>
      <c r="B62" s="36"/>
      <c r="C62" s="36"/>
      <c r="D62" s="36"/>
      <c r="E62" s="36"/>
      <c r="F62" s="37"/>
    </row>
    <row r="65">
      <c r="A65" s="960" t="str">
        <f>HYPERLINK("https://www.youtube.com/watch?v=dVterVQksD4","1. LEG PRESS")</f>
        <v>1. LEG PRESS</v>
      </c>
      <c r="B65" s="53"/>
      <c r="C65" s="53"/>
      <c r="D65" s="53"/>
      <c r="E65" s="53"/>
      <c r="F65" s="53"/>
    </row>
    <row r="66">
      <c r="A66" s="1262" t="s">
        <v>119</v>
      </c>
      <c r="B66" s="1463">
        <f>'WEEK 30'!B85</f>
        <v>250</v>
      </c>
      <c r="F66" s="28"/>
    </row>
    <row r="67">
      <c r="A67" s="231" t="s">
        <v>50</v>
      </c>
      <c r="B67" s="232" t="s">
        <v>51</v>
      </c>
      <c r="C67" s="232" t="s">
        <v>52</v>
      </c>
      <c r="D67" s="232" t="s">
        <v>53</v>
      </c>
      <c r="E67" s="233" t="s">
        <v>54</v>
      </c>
      <c r="F67" s="61" t="s">
        <v>55</v>
      </c>
    </row>
    <row r="68">
      <c r="A68" s="236">
        <v>1.0</v>
      </c>
      <c r="B68" s="237">
        <f>mround('WEEK 44'!B66*0.35,5)</f>
        <v>90</v>
      </c>
      <c r="C68" s="238">
        <v>10.0</v>
      </c>
      <c r="D68" s="238" t="s">
        <v>120</v>
      </c>
      <c r="E68" s="66" t="str">
        <f>IF('WEEK 30'!B77='WEEK 44'!B68,'WEEK 30'!F77,"")</f>
        <v/>
      </c>
      <c r="F68" s="1485"/>
      <c r="G68" s="1486"/>
    </row>
    <row r="69">
      <c r="A69" s="236">
        <v>2.0</v>
      </c>
      <c r="B69" s="237">
        <f>mround('WEEK 44'!B66*0.65,5)</f>
        <v>165</v>
      </c>
      <c r="C69" s="238">
        <v>10.0</v>
      </c>
      <c r="D69" s="238" t="s">
        <v>121</v>
      </c>
      <c r="E69" s="66" t="str">
        <f>IF('WEEK 30'!B78='WEEK 44'!B69,'WEEK 30'!F78,"")</f>
        <v/>
      </c>
      <c r="F69" s="67"/>
    </row>
    <row r="70">
      <c r="A70" s="242">
        <v>3.0</v>
      </c>
      <c r="B70" s="237">
        <f>mround('WEEK 44'!B66*0.9,5)</f>
        <v>225</v>
      </c>
      <c r="C70" s="238">
        <v>10.0</v>
      </c>
      <c r="D70" s="238" t="s">
        <v>121</v>
      </c>
      <c r="E70" s="66" t="str">
        <f>IF('WEEK 30'!B79='WEEK 44'!B70,'WEEK 30'!F79,"")</f>
        <v/>
      </c>
      <c r="F70" s="67"/>
    </row>
    <row r="71">
      <c r="A71" s="249">
        <v>4.0</v>
      </c>
      <c r="B71" s="175">
        <f>if('WEEK 44'!F70&lt;20,MROUND('WEEK 44'!B70-('WEEK 44'!B70*3%),5),'WEEK 44'!B66)</f>
        <v>220</v>
      </c>
      <c r="C71" s="238">
        <v>10.0</v>
      </c>
      <c r="D71" s="238" t="s">
        <v>122</v>
      </c>
      <c r="E71" s="66" t="str">
        <f>IF('WEEK 30'!B80='WEEK 44'!B71,'WEEK 30'!F80,"")</f>
        <v/>
      </c>
      <c r="F71" s="67"/>
    </row>
    <row r="72">
      <c r="A72" s="249">
        <v>5.0</v>
      </c>
      <c r="B72" s="175">
        <f>IF((AND('WEEK 44'!B71&lt;='WEEK 44'!B70,'WEEK 44'!F71&gt;=20)),'WEEK 44'!B71,IF('WEEK 44'!F71&lt;20,MROUND('WEEK 44'!B71-('WEEK 44'!B71*20%),5),if( 'WEEK 44'!F71&lt;20,,MROUND('WEEK 44'!B71-('WEEK 44'!B71*1.5%),5),MROUND('WEEK 44'!B71+('WEEK 44'!B71*1.5%),5))))</f>
        <v>175</v>
      </c>
      <c r="C72" s="238">
        <v>10.0</v>
      </c>
      <c r="D72" s="238" t="s">
        <v>122</v>
      </c>
      <c r="E72" s="66" t="str">
        <f>IF('WEEK 30'!B81='WEEK 44'!B72,'WEEK 30'!F81,"")</f>
        <v/>
      </c>
      <c r="F72" s="1037"/>
    </row>
    <row r="73">
      <c r="A73" s="249">
        <f>if('WEEK 44'!F71&lt;20,6,6)</f>
        <v>6</v>
      </c>
      <c r="B73" s="175">
        <f>IF((AND('WEEK 44'!B72&lt;='WEEK 44'!B71,'WEEK 44'!F72&gt;=20)),'WEEK 44'!B72,IF('WEEK 44'!F72&lt;20,MROUND('WEEK 44'!B72-('WEEK 44'!B72*20%),5),if( 'WEEK 44'!F72&lt;20,,MROUND('WEEK 44'!B72-('WEEK 44'!B72*1.5%),5),MROUND('WEEK 44'!B72+('WEEK 44'!B72*1.5%),5))))</f>
        <v>140</v>
      </c>
      <c r="C73" s="238">
        <v>10.0</v>
      </c>
      <c r="D73" s="238" t="s">
        <v>122</v>
      </c>
      <c r="E73" s="66" t="str">
        <f>IF('WEEK 30'!B82='WEEK 44'!B73,'WEEK 30'!F82,"")</f>
        <v/>
      </c>
      <c r="F73" s="67"/>
    </row>
    <row r="74">
      <c r="A74" s="1038">
        <f>IF('WEEK 44'!F73&lt;20,7,"7")</f>
        <v>7</v>
      </c>
      <c r="B74" s="175">
        <f>IF((AND('WEEK 44'!B73&lt;='WEEK 44'!B72,'WEEK 44'!F73&gt;=20)),'WEEK 44'!B73,IF('WEEK 44'!F73&lt;20,MROUND('WEEK 44'!B73-('WEEK 44'!B73*20%),5),if( 'WEEK 44'!F73&lt;20,,MROUND('WEEK 44'!B73-('WEEK 44'!B73*1.5%),5),MROUND('WEEK 44'!B73+('WEEK 44'!B73*1.5%),5))))</f>
        <v>110</v>
      </c>
      <c r="C74" s="238">
        <v>10.0</v>
      </c>
      <c r="D74" s="238" t="s">
        <v>122</v>
      </c>
      <c r="E74" s="66" t="str">
        <f>IF('WEEK 30'!B83='WEEK 44'!B74,'WEEK 30'!F83,"")</f>
        <v/>
      </c>
      <c r="F74" s="67"/>
    </row>
    <row r="75">
      <c r="A75" s="249">
        <f>IF('WEEK 44'!F74&lt;20,8,"8")</f>
        <v>8</v>
      </c>
      <c r="B75" s="175">
        <f>IF((AND('WEEK 44'!B74&lt;='WEEK 44'!B73,'WEEK 44'!F74&gt;=20)),'WEEK 44'!B74,IF('WEEK 44'!F74&lt;20,MROUND('WEEK 44'!B74-('WEEK 44'!B74*20%),5),if( 'WEEK 44'!F74&lt;20,,MROUND('WEEK 44'!B74-('WEEK 44'!B74*1.5%),5),MROUND('WEEK 44'!B74+('WEEK 44'!B74*1.5%),5))))</f>
        <v>90</v>
      </c>
      <c r="C75" s="238">
        <v>10.0</v>
      </c>
      <c r="D75" s="238" t="s">
        <v>122</v>
      </c>
      <c r="E75" s="66" t="str">
        <f>IF('WEEK 30'!B84='WEEK 44'!B75,'WEEK 30'!F84,"")</f>
        <v/>
      </c>
      <c r="F75" s="67"/>
    </row>
    <row r="76">
      <c r="A76" s="1038">
        <f>IF('WEEK 44'!F75&lt;20,9,"9")</f>
        <v>9</v>
      </c>
      <c r="B76" s="175">
        <f>IF((AND('WEEK 44'!B75&lt;='WEEK 44'!B74,'WEEK 44'!F75&gt;=20)),'WEEK 44'!B75,IF('WEEK 44'!F75&lt;20,MROUND('WEEK 44'!B75-('WEEK 44'!B75*20%),5),if( 'WEEK 44'!F75&lt;20,,MROUND('WEEK 44'!B75-('WEEK 44'!B75*1.5%),5),MROUND('WEEK 44'!B75+('WEEK 44'!B75*1.5%),5))))</f>
        <v>70</v>
      </c>
      <c r="C76" s="238">
        <v>10.0</v>
      </c>
      <c r="D76" s="238" t="s">
        <v>122</v>
      </c>
      <c r="E76" s="66"/>
      <c r="F76" s="67"/>
    </row>
    <row r="77">
      <c r="A77" s="1038" t="str">
        <f>IF('WEEK 44'!F76&lt;20,"10","10")</f>
        <v>10</v>
      </c>
      <c r="B77" s="175">
        <f>IF((AND('WEEK 44'!B76&lt;='WEEK 44'!B75,'WEEK 44'!F76&gt;=20)),'WEEK 44'!B76,IF('WEEK 44'!F76&lt;20,MROUND('WEEK 44'!B76-('WEEK 44'!B76*20%),5),if( 'WEEK 44'!F76&lt;20,,MROUND('WEEK 44'!B76-('WEEK 44'!B76*1.5%),5),MROUND('WEEK 44'!B76+('WEEK 44'!B76*1.5%),5))))</f>
        <v>55</v>
      </c>
      <c r="C77" s="238">
        <v>10.0</v>
      </c>
      <c r="D77" s="238" t="s">
        <v>122</v>
      </c>
      <c r="E77" s="66"/>
      <c r="F77" s="67"/>
    </row>
    <row r="78">
      <c r="A78" s="272" t="s">
        <v>183</v>
      </c>
      <c r="B78" s="1109">
        <f>IF(OR(ISBLANK('WEEK 44'!F68),ISBLANK('WEEK 44'!F69)),'WEEK 44'!B66,IF((AND('WEEK 44'!F77&gt;=20,'WEEK 44'!B77&gt;'WEEK 44'!B76)),'WEEK 44'!B77,IF((AND('WEEK 44'!F76&gt;=20,'WEEK 44'!B76&gt;'WEEK 44'!B75)),'WEEK 44'!B76,IF((AND('WEEK 44'!F75&gt;=20,'WEEK 44'!B75&gt;'WEEK 44'!B74)),'WEEK 44'!B75,IF((AND('WEEK 44'!F74&gt;=20,'WEEK 44'!B74&gt;'WEEK 44'!B73)),'WEEK 44'!B74,IF((AND('WEEK 44'!F73&gt;=20,'WEEK 44'!B73&gt;'WEEK 44'!B72)),'WEEK 44'!B73,IF((AND('WEEK 44'!F72&gt;=20,'WEEK 44'!B72&gt;'WEEK 44'!B71)),'WEEK 44'!B72,IF((AND('WEEK 44'!F71&gt;=20,'WEEK 44'!B71&gt;'WEEK 44'!B70)),'WEEK 44'!B71,IF((AND('WEEK 44'!F70&gt;=20,'WEEK 44'!B70&gt;'WEEK 44'!B69)),'WEEK 44'!B70,IF((AND('WEEK 44'!F69&gt;=20,'WEEK 44'!B69&gt;'WEEK 44'!B68)),'WEEK 44'!B69))))))))))</f>
        <v>250</v>
      </c>
      <c r="C78" s="11"/>
      <c r="D78" s="11"/>
      <c r="E78" s="11"/>
      <c r="F78" s="46"/>
    </row>
    <row r="81">
      <c r="A81" s="1285" t="str">
        <f>HYPERLINK("https://www.youtube.com/watch?v=NZ9KiFtbiMs","2. LEG EXTENSION")</f>
        <v>2. LEG EXTENSION</v>
      </c>
      <c r="B81" s="53"/>
      <c r="C81" s="53"/>
      <c r="D81" s="53"/>
      <c r="E81" s="53"/>
      <c r="F81" s="54"/>
    </row>
    <row r="82">
      <c r="A82" s="1045" t="s">
        <v>119</v>
      </c>
      <c r="B82" s="1367">
        <f>IF('WEEK 42'!B81='WEEK 42'!B83,'WEEK 42'!B81+5,IF('WEEK 42'!F81&lt;=9,MROUND('WEEK 42'!B79*0.95,5),'WEEK 42'!B81))</f>
        <v>110</v>
      </c>
      <c r="C82" s="20"/>
      <c r="D82" s="20"/>
      <c r="E82" s="20"/>
      <c r="F82" s="95"/>
    </row>
    <row r="83">
      <c r="A83" s="567" t="s">
        <v>50</v>
      </c>
      <c r="B83" s="568" t="s">
        <v>51</v>
      </c>
      <c r="C83" s="568" t="s">
        <v>52</v>
      </c>
      <c r="D83" s="568" t="s">
        <v>53</v>
      </c>
      <c r="E83" s="1047" t="s">
        <v>54</v>
      </c>
      <c r="F83" s="1048" t="s">
        <v>55</v>
      </c>
    </row>
    <row r="84">
      <c r="A84" s="1049">
        <v>1.0</v>
      </c>
      <c r="B84" s="1050">
        <f>'WEEK 44'!B82</f>
        <v>110</v>
      </c>
      <c r="C84" s="1051" t="s">
        <v>61</v>
      </c>
      <c r="D84" s="1430" t="s">
        <v>121</v>
      </c>
      <c r="E84" s="1130" t="str">
        <f>IF('WEEK 42'!B81='WEEK 44'!B84,'WEEK 42'!F81,"")</f>
        <v/>
      </c>
      <c r="F84" s="1017"/>
    </row>
    <row r="85">
      <c r="A85" s="1049">
        <v>2.0</v>
      </c>
      <c r="B85" s="1050">
        <f>if('WEEK 44'!F84&lt;12,mround('WEEK 44'!B84*0.8,5),IF('WEEK 44'!F84&lt;=14,MROUND('WEEK 44'!B84*0.95,5),'WEEK 44'!B84))</f>
        <v>90</v>
      </c>
      <c r="C85" s="1051" t="s">
        <v>61</v>
      </c>
      <c r="D85" s="1430" t="s">
        <v>121</v>
      </c>
      <c r="E85" s="1130" t="str">
        <f>IF('WEEK 42'!B82='WEEK 44'!B85,'WEEK 42'!F82,"")</f>
        <v/>
      </c>
      <c r="F85" s="1017"/>
    </row>
    <row r="86">
      <c r="A86" s="1053">
        <v>3.0</v>
      </c>
      <c r="B86" s="1054">
        <f>if('WEEK 44'!F85&lt;12,mround('WEEK 44'!B85*0.8,5),IF('WEEK 44'!F85&lt;=14,MROUND('WEEK 44'!B85*0.95,5),'WEEK 44'!B85))</f>
        <v>70</v>
      </c>
      <c r="C86" s="1055" t="s">
        <v>61</v>
      </c>
      <c r="D86" s="1453" t="s">
        <v>121</v>
      </c>
      <c r="E86" s="1348" t="str">
        <f>IF('WEEK 42'!B83='WEEK 44'!B86,'WEEK 42'!F83,"")</f>
        <v/>
      </c>
      <c r="F86" s="1017"/>
    </row>
    <row r="89">
      <c r="A89" s="323" t="str">
        <f>HYPERLINK("https://www.youtube.com/watch?v=XepOfsnGFJg","3. MACHINE LEG CURL")</f>
        <v>3. MACHINE LEG CURL</v>
      </c>
      <c r="B89" s="53"/>
      <c r="C89" s="53"/>
      <c r="D89" s="53"/>
      <c r="E89" s="53"/>
      <c r="F89" s="54"/>
      <c r="G89" s="141"/>
      <c r="H89" s="323" t="str">
        <f>HYPERLINK("https://youtu.be/kmN9cJ79PDE","3. PRONE LEG CURL")</f>
        <v>3. PRONE LEG CURL</v>
      </c>
      <c r="I89" s="53"/>
      <c r="J89" s="53"/>
      <c r="K89" s="53"/>
      <c r="L89" s="53"/>
      <c r="M89" s="54"/>
    </row>
    <row r="90">
      <c r="A90" s="1045" t="s">
        <v>119</v>
      </c>
      <c r="B90" s="1367">
        <f>IF('WEEK 42'!B89='WEEK 42'!B91,'WEEK 42'!B89+5,IF('WEEK 42'!F89&lt;=9,MROUND('WEEK 42'!B87*0.95,5),'WEEK 42'!B89))</f>
        <v>105</v>
      </c>
      <c r="C90" s="20"/>
      <c r="D90" s="20"/>
      <c r="E90" s="20"/>
      <c r="F90" s="95"/>
      <c r="H90" s="1045" t="s">
        <v>119</v>
      </c>
      <c r="I90" s="1046">
        <f>'WEEK 44'!B90</f>
        <v>105</v>
      </c>
      <c r="J90" s="13"/>
      <c r="K90" s="13"/>
      <c r="L90" s="13"/>
      <c r="M90" s="57"/>
    </row>
    <row r="91">
      <c r="A91" s="567" t="s">
        <v>50</v>
      </c>
      <c r="B91" s="568" t="s">
        <v>51</v>
      </c>
      <c r="C91" s="568" t="s">
        <v>52</v>
      </c>
      <c r="D91" s="568" t="s">
        <v>53</v>
      </c>
      <c r="E91" s="1047" t="s">
        <v>54</v>
      </c>
      <c r="F91" s="1048" t="s">
        <v>55</v>
      </c>
      <c r="H91" s="567" t="s">
        <v>50</v>
      </c>
      <c r="I91" s="568" t="s">
        <v>51</v>
      </c>
      <c r="J91" s="568" t="s">
        <v>52</v>
      </c>
      <c r="K91" s="568" t="s">
        <v>53</v>
      </c>
      <c r="L91" s="1047" t="s">
        <v>54</v>
      </c>
      <c r="M91" s="1048" t="s">
        <v>55</v>
      </c>
    </row>
    <row r="92">
      <c r="A92" s="1049">
        <v>1.0</v>
      </c>
      <c r="B92" s="1050">
        <f>'WEEK 44'!B90</f>
        <v>105</v>
      </c>
      <c r="C92" s="1051" t="s">
        <v>61</v>
      </c>
      <c r="D92" s="1430" t="s">
        <v>121</v>
      </c>
      <c r="E92" s="1130" t="str">
        <f>IF('WEEK 42'!B89='WEEK 44'!B92,'WEEK 42'!F89,"")</f>
        <v/>
      </c>
      <c r="F92" s="1017"/>
      <c r="G92" s="434" t="s">
        <v>123</v>
      </c>
      <c r="H92" s="1049">
        <v>1.0</v>
      </c>
      <c r="I92" s="1050">
        <f>'WEEK 44'!I90</f>
        <v>105</v>
      </c>
      <c r="J92" s="1051" t="s">
        <v>61</v>
      </c>
      <c r="K92" s="1430" t="s">
        <v>121</v>
      </c>
      <c r="L92" s="1130" t="str">
        <f>IF('WEEK 42'!I89='WEEK 44'!I92,'WEEK 42'!M89,"")</f>
        <v/>
      </c>
      <c r="M92" s="1017"/>
    </row>
    <row r="93">
      <c r="A93" s="1049">
        <v>2.0</v>
      </c>
      <c r="B93" s="1050">
        <f>if('WEEK 44'!F92&lt;12,mround('WEEK 44'!B92*0.8,5),IF('WEEK 44'!F92&lt;=14,MROUND('WEEK 44'!B92*0.95,5),'WEEK 44'!B92))</f>
        <v>85</v>
      </c>
      <c r="C93" s="1051" t="s">
        <v>61</v>
      </c>
      <c r="D93" s="1430" t="s">
        <v>121</v>
      </c>
      <c r="E93" s="1130" t="str">
        <f>IF('WEEK 42'!B90='WEEK 44'!B93,'WEEK 42'!F90,"")</f>
        <v/>
      </c>
      <c r="F93" s="1017"/>
      <c r="H93" s="1049">
        <v>2.0</v>
      </c>
      <c r="I93" s="1050">
        <f>if('WEEK 44'!M92&lt;12,mround('WEEK 44'!I92*0.8,5),IF('WEEK 44'!M92&lt;=14,MROUND('WEEK 44'!I92*0.95,5),'WEEK 44'!I92))</f>
        <v>85</v>
      </c>
      <c r="J93" s="1051" t="s">
        <v>61</v>
      </c>
      <c r="K93" s="1430" t="s">
        <v>121</v>
      </c>
      <c r="L93" s="1130" t="str">
        <f>IF('WEEK 42'!I90='WEEK 44'!I93,'WEEK 42'!M90,"")</f>
        <v/>
      </c>
      <c r="M93" s="1017"/>
    </row>
    <row r="94">
      <c r="A94" s="1053">
        <v>3.0</v>
      </c>
      <c r="B94" s="1054">
        <f>if('WEEK 44'!F93&lt;12,mround('WEEK 44'!B93*0.8,5),IF('WEEK 44'!F93&lt;=14,MROUND('WEEK 44'!B93*0.95,5),'WEEK 44'!B93))</f>
        <v>70</v>
      </c>
      <c r="C94" s="1055" t="s">
        <v>61</v>
      </c>
      <c r="D94" s="1453" t="s">
        <v>121</v>
      </c>
      <c r="E94" s="1348" t="str">
        <f>IF('WEEK 42'!B91='WEEK 44'!B94,'WEEK 42'!F91,"")</f>
        <v/>
      </c>
      <c r="F94" s="1017"/>
      <c r="G94" s="682"/>
      <c r="H94" s="1053">
        <v>3.0</v>
      </c>
      <c r="I94" s="1054">
        <f>if('WEEK 44'!M93&lt;12,mround('WEEK 44'!I93*0.8,5),IF('WEEK 44'!M93&lt;=14,MROUND('WEEK 44'!I93*0.95,5),'WEEK 44'!I93))</f>
        <v>70</v>
      </c>
      <c r="J94" s="1055" t="s">
        <v>61</v>
      </c>
      <c r="K94" s="1453" t="s">
        <v>121</v>
      </c>
      <c r="L94" s="1348" t="str">
        <f>IF('WEEK 42'!I91='WEEK 44'!I94,'WEEK 42'!M91,"")</f>
        <v/>
      </c>
      <c r="M94" s="1017"/>
    </row>
    <row r="95">
      <c r="A95" s="849"/>
      <c r="B95" s="849"/>
      <c r="C95" s="849"/>
      <c r="D95" s="849"/>
      <c r="E95" s="849"/>
      <c r="F95" s="849"/>
      <c r="H95" s="849"/>
      <c r="I95" s="850"/>
      <c r="J95" s="850"/>
      <c r="K95" s="850"/>
      <c r="L95" s="850"/>
      <c r="M95" s="850"/>
    </row>
    <row r="97">
      <c r="A97" s="1120" t="s">
        <v>62</v>
      </c>
      <c r="B97" s="36"/>
      <c r="C97" s="36"/>
      <c r="D97" s="36"/>
      <c r="E97" s="36"/>
      <c r="F97" s="37"/>
    </row>
    <row r="100">
      <c r="A100" s="51" t="s">
        <v>131</v>
      </c>
      <c r="B100" s="36"/>
      <c r="C100" s="36"/>
      <c r="D100" s="36"/>
      <c r="E100" s="36"/>
      <c r="F100" s="37"/>
    </row>
    <row r="101">
      <c r="A101" s="960" t="str">
        <f>HYPERLINK("https://youtu.be/ZhZ733bUA9Q","1. SHOULDER CLEANS")</f>
        <v>1. SHOULDER CLEANS</v>
      </c>
      <c r="B101" s="53"/>
      <c r="C101" s="53"/>
      <c r="D101" s="53"/>
      <c r="E101" s="53"/>
      <c r="F101" s="54"/>
    </row>
    <row r="102">
      <c r="A102" s="961" t="s">
        <v>119</v>
      </c>
      <c r="B102" s="76">
        <f>IF('WEEK 38'!B118='WEEK 38'!B120,'WEEK 38'!B118+5,IF('WEEK 38'!F118&lt;=15,MROUND('WEEK 38'!B116*0.85,5),'WEEK 38'!B118))</f>
        <v>25</v>
      </c>
      <c r="C102" s="13"/>
      <c r="D102" s="13"/>
      <c r="E102" s="13"/>
      <c r="F102" s="57"/>
    </row>
    <row r="103">
      <c r="A103" s="962" t="s">
        <v>50</v>
      </c>
      <c r="B103" s="963" t="s">
        <v>51</v>
      </c>
      <c r="C103" s="963" t="s">
        <v>52</v>
      </c>
      <c r="D103" s="981" t="s">
        <v>53</v>
      </c>
      <c r="E103" s="965" t="s">
        <v>54</v>
      </c>
      <c r="F103" s="966" t="s">
        <v>55</v>
      </c>
    </row>
    <row r="104">
      <c r="A104" s="967">
        <v>1.0</v>
      </c>
      <c r="B104" s="968">
        <f>MROUND('WEEK 44'!B102,2.5)</f>
        <v>25</v>
      </c>
      <c r="C104" s="968">
        <v>20.0</v>
      </c>
      <c r="D104" s="969" t="s">
        <v>57</v>
      </c>
      <c r="E104" s="1130" t="str">
        <f>IF('WEEK 38'!B118='WEEK 44'!B104,'WEEK 38'!F118,"")</f>
        <v/>
      </c>
      <c r="F104" s="982"/>
    </row>
    <row r="105">
      <c r="A105" s="967">
        <v>2.0</v>
      </c>
      <c r="B105" s="968">
        <f>if('WEEK 44'!F104&lt;20,mround('WEEK 44'!B104*0.75,5),'WEEK 44'!B104)</f>
        <v>25</v>
      </c>
      <c r="C105" s="968">
        <v>20.0</v>
      </c>
      <c r="D105" s="969" t="s">
        <v>57</v>
      </c>
      <c r="E105" s="1130" t="str">
        <f>IF('WEEK 38'!B119='WEEK 44'!B105,'WEEK 38'!F119,"")</f>
        <v/>
      </c>
      <c r="F105" s="983"/>
    </row>
    <row r="106">
      <c r="A106" s="971">
        <v>3.0</v>
      </c>
      <c r="B106" s="972">
        <f>if('WEEK 44'!F105&lt;20,mround('WEEK 44'!B105*0.6,5),'WEEK 44'!B105)</f>
        <v>25</v>
      </c>
      <c r="C106" s="972">
        <v>20.0</v>
      </c>
      <c r="D106" s="973" t="s">
        <v>57</v>
      </c>
      <c r="E106" s="1348" t="str">
        <f>IF('WEEK 38'!B120='WEEK 44'!B106,'WEEK 38'!F120,"")</f>
        <v/>
      </c>
      <c r="F106" s="984"/>
    </row>
    <row r="107">
      <c r="A107" s="212"/>
    </row>
    <row r="109">
      <c r="A109" s="687" t="str">
        <f>HYPERLINK("https://www.youtube.com/watch?v=XDLQt1j3qUU","2. DUMBBELL REAR DELT FLY ")</f>
        <v>2. DUMBBELL REAR DELT FLY </v>
      </c>
      <c r="B109" s="53"/>
      <c r="C109" s="53"/>
      <c r="D109" s="53"/>
      <c r="E109" s="53"/>
      <c r="F109" s="54"/>
    </row>
    <row r="110">
      <c r="A110" s="226" t="s">
        <v>145</v>
      </c>
      <c r="B110" s="691">
        <f>IF('WEEK 43'!B109="",'WEEK 43'!B97,'WEEK 43'!B109)</f>
        <v>80</v>
      </c>
      <c r="C110" s="13"/>
      <c r="D110" s="13"/>
      <c r="E110" s="13"/>
      <c r="F110" s="57"/>
    </row>
    <row r="111">
      <c r="A111" s="96" t="s">
        <v>50</v>
      </c>
      <c r="B111" s="97" t="s">
        <v>51</v>
      </c>
      <c r="C111" s="97" t="s">
        <v>52</v>
      </c>
      <c r="D111" s="97" t="s">
        <v>53</v>
      </c>
      <c r="E111" s="341" t="s">
        <v>54</v>
      </c>
      <c r="F111" s="235" t="s">
        <v>55</v>
      </c>
    </row>
    <row r="112">
      <c r="A112" s="556">
        <v>1.0</v>
      </c>
      <c r="B112" s="237">
        <f>MROUND('WEEK 44'!B110*0.2,2.5)</f>
        <v>15</v>
      </c>
      <c r="C112" s="65">
        <v>20.0</v>
      </c>
      <c r="D112" s="693" t="s">
        <v>146</v>
      </c>
      <c r="E112" s="1130" t="str">
        <f>IF('WEEK 42'!B111='WEEK 44'!B112,'WEEK 42'!F111,"")</f>
        <v/>
      </c>
      <c r="F112" s="694"/>
    </row>
    <row r="113">
      <c r="A113" s="556">
        <v>2.0</v>
      </c>
      <c r="B113" s="237">
        <f>if('WEEK 44'!F112&lt;10,mround('WEEK 44'!B112*0.8,5),IF('WEEK 44'!F112&lt;=15,MROUND('WEEK 44'!B112*0.95,5),'WEEK 44'!B112))</f>
        <v>15</v>
      </c>
      <c r="C113" s="65">
        <v>20.0</v>
      </c>
      <c r="D113" s="693" t="s">
        <v>146</v>
      </c>
      <c r="E113" s="1130" t="str">
        <f>IF('WEEK 42'!B112='WEEK 44'!B113,'WEEK 42'!F112,"")</f>
        <v/>
      </c>
      <c r="F113" s="694"/>
    </row>
    <row r="114">
      <c r="A114" s="561">
        <v>3.0</v>
      </c>
      <c r="B114" s="371">
        <f>if('WEEK 44'!F113&lt;10,mround('WEEK 44'!B113*0.8,5),IF('WEEK 44'!F113&lt;=15,MROUND('WEEK 44'!B113*0.95,5),'WEEK 44'!B113))</f>
        <v>15</v>
      </c>
      <c r="C114" s="71">
        <v>20.0</v>
      </c>
      <c r="D114" s="794" t="s">
        <v>146</v>
      </c>
      <c r="E114" s="1348" t="str">
        <f>IF('WEEK 42'!B113='WEEK 44'!B114,'WEEK 42'!F113,"")</f>
        <v/>
      </c>
      <c r="F114" s="694"/>
    </row>
    <row r="115">
      <c r="A115" s="292"/>
      <c r="B115" s="292"/>
      <c r="C115" s="292"/>
      <c r="D115" s="292"/>
      <c r="E115" s="292"/>
      <c r="F115" s="292"/>
    </row>
    <row r="116">
      <c r="A116" s="292"/>
      <c r="B116" s="292"/>
      <c r="C116" s="292"/>
      <c r="D116" s="292"/>
      <c r="E116" s="292"/>
      <c r="F116" s="292"/>
    </row>
    <row r="117">
      <c r="A117" s="513" t="str">
        <f>HYPERLINK("https://youtu.be/QUNZvtb6mnY","3. DUMBBELL SIDE LATERAL RAISE")</f>
        <v>3. DUMBBELL SIDE LATERAL RAISE</v>
      </c>
      <c r="B117" s="53"/>
      <c r="C117" s="53"/>
      <c r="D117" s="53"/>
      <c r="E117" s="53"/>
      <c r="F117" s="54"/>
    </row>
    <row r="118">
      <c r="A118" s="226" t="s">
        <v>134</v>
      </c>
      <c r="B118" s="90">
        <f>IF('WEEK 43'!B109="",'WEEK 43'!B97,'WEEK 43'!B109)</f>
        <v>80</v>
      </c>
      <c r="C118" s="13"/>
      <c r="D118" s="13"/>
      <c r="E118" s="13"/>
      <c r="F118" s="57"/>
    </row>
    <row r="119">
      <c r="A119" s="376" t="s">
        <v>50</v>
      </c>
      <c r="B119" s="79" t="s">
        <v>51</v>
      </c>
      <c r="C119" s="79" t="s">
        <v>52</v>
      </c>
      <c r="D119" s="79" t="s">
        <v>53</v>
      </c>
      <c r="E119" s="98" t="s">
        <v>54</v>
      </c>
      <c r="F119" s="377" t="s">
        <v>55</v>
      </c>
    </row>
    <row r="120">
      <c r="A120" s="81">
        <v>1.0</v>
      </c>
      <c r="B120" s="82">
        <f> mround('WEEK 44'!B118*0.2,5)</f>
        <v>15</v>
      </c>
      <c r="C120" s="65">
        <v>20.0</v>
      </c>
      <c r="D120" s="83" t="s">
        <v>57</v>
      </c>
      <c r="E120" s="84" t="str">
        <f>IF('WEEK 43'!B122='WEEK 44'!B120,'WEEK 43'!F122,"")</f>
        <v/>
      </c>
      <c r="F120" s="330"/>
    </row>
    <row r="121">
      <c r="A121" s="81">
        <v>2.0</v>
      </c>
      <c r="B121" s="82">
        <f>if('WEEK 44'!F120&lt;15,mround('WEEK 44'!B118*0.15,2.5),'WEEK 44'!B120)</f>
        <v>12.5</v>
      </c>
      <c r="C121" s="65">
        <v>20.0</v>
      </c>
      <c r="D121" s="83" t="s">
        <v>57</v>
      </c>
      <c r="E121" s="84" t="str">
        <f>IF('WEEK 43'!B123='WEEK 44'!B121,'WEEK 43'!F123,"")</f>
        <v/>
      </c>
      <c r="F121" s="330"/>
    </row>
    <row r="122">
      <c r="A122" s="86">
        <v>3.0</v>
      </c>
      <c r="B122" s="87">
        <f>if('WEEK 44'!F121&lt;15,mround('WEEK 44'!B118*0.1,2.5),'WEEK 44'!B121)</f>
        <v>12.5</v>
      </c>
      <c r="C122" s="71">
        <v>20.0</v>
      </c>
      <c r="D122" s="88" t="s">
        <v>57</v>
      </c>
      <c r="E122" s="89" t="str">
        <f>IF('WEEK 43'!B124='WEEK 44'!B122,'WEEK 43'!F124,"")</f>
        <v/>
      </c>
      <c r="F122" s="85"/>
    </row>
    <row r="123">
      <c r="A123" s="696"/>
    </row>
    <row r="125">
      <c r="A125" s="73" t="str">
        <f>HYPERLINK("https://youtu.be/Yke__29qVfo","4. TRICEP PUSH DOWNS")</f>
        <v>4. TRICEP PUSH DOWNS</v>
      </c>
      <c r="B125" s="53"/>
      <c r="C125" s="53"/>
      <c r="D125" s="53"/>
      <c r="E125" s="53"/>
      <c r="F125" s="54"/>
    </row>
    <row r="126">
      <c r="A126" s="226" t="s">
        <v>119</v>
      </c>
      <c r="B126" s="90">
        <f>IF('WEEK 43'!B130='WEEK 43'!B132,'WEEK 43'!B130+5,IF('WEEK 43'!F130&lt;=9,MROUND('WEEK 43'!B128*0.95,5),'WEEK 43'!B130))</f>
        <v>85</v>
      </c>
      <c r="C126" s="13"/>
      <c r="D126" s="13"/>
      <c r="E126" s="13"/>
      <c r="F126" s="57"/>
    </row>
    <row r="127">
      <c r="A127" s="77" t="s">
        <v>50</v>
      </c>
      <c r="B127" s="78" t="s">
        <v>51</v>
      </c>
      <c r="C127" s="78" t="s">
        <v>52</v>
      </c>
      <c r="D127" s="78" t="s">
        <v>53</v>
      </c>
      <c r="E127" s="80" t="s">
        <v>54</v>
      </c>
      <c r="F127" s="235" t="s">
        <v>55</v>
      </c>
    </row>
    <row r="128">
      <c r="A128" s="81">
        <v>1.0</v>
      </c>
      <c r="B128" s="82">
        <f>'WEEK 44'!B126</f>
        <v>85</v>
      </c>
      <c r="C128" s="65">
        <v>20.0</v>
      </c>
      <c r="D128" s="83" t="s">
        <v>58</v>
      </c>
      <c r="E128" s="84" t="str">
        <f>IF('WEEK 43'!B130='WEEK 44'!B128,'WEEK 43'!F130,"")</f>
        <v/>
      </c>
      <c r="F128" s="85"/>
    </row>
    <row r="129">
      <c r="A129" s="81">
        <v>2.0</v>
      </c>
      <c r="B129" s="82">
        <f>if('WEEK 44'!F128&lt;10,mround('WEEK 44'!B128*0.8,5),IF('WEEK 44'!F128&lt;=14,MROUND('WEEK 44'!B126*0.95,5),'WEEK 44'!B128))</f>
        <v>70</v>
      </c>
      <c r="C129" s="65">
        <v>20.0</v>
      </c>
      <c r="D129" s="83" t="s">
        <v>58</v>
      </c>
      <c r="E129" s="84" t="str">
        <f>IF('WEEK 43'!B131='WEEK 44'!B129,'WEEK 43'!F131,"")</f>
        <v/>
      </c>
      <c r="F129" s="85"/>
    </row>
    <row r="130">
      <c r="A130" s="86">
        <v>3.0</v>
      </c>
      <c r="B130" s="87">
        <f>if('WEEK 44'!F129&lt;10,mround('WEEK 44'!B129*0.8,5),IF('WEEK 44'!F129&lt;=14,MROUND('WEEK 44'!B129*0.95,5),'WEEK 44'!B129))</f>
        <v>55</v>
      </c>
      <c r="C130" s="71">
        <v>20.0</v>
      </c>
      <c r="D130" s="88" t="s">
        <v>58</v>
      </c>
      <c r="E130" s="89" t="str">
        <f>IF('WEEK 43'!B132='WEEK 44'!B130,'WEEK 43'!F132,"")</f>
        <v/>
      </c>
      <c r="F130" s="85"/>
    </row>
    <row r="133">
      <c r="A133" s="75" t="str">
        <f>HYPERLINK("https://www.youtube.com/watch?v=9IqvmIhFxtY","5. BICEP CABLE CURL")</f>
        <v>5. BICEP CABLE CURL</v>
      </c>
      <c r="B133" s="53"/>
      <c r="C133" s="53"/>
      <c r="D133" s="53"/>
      <c r="E133" s="53"/>
      <c r="F133" s="54"/>
      <c r="H133" s="75" t="str">
        <f>HYPERLINK("https://www.youtube.com/watch?v=Bi6Do6QIlpQ","5. BICEP EZ BAR CURL")</f>
        <v>5. BICEP EZ BAR CURL</v>
      </c>
      <c r="I133" s="53"/>
      <c r="J133" s="53"/>
      <c r="K133" s="53"/>
      <c r="L133" s="53"/>
      <c r="M133" s="54"/>
    </row>
    <row r="134">
      <c r="A134" s="226" t="s">
        <v>119</v>
      </c>
      <c r="B134" s="90">
        <f>IF('WEEK 43'!B138='WEEK 43'!B140,'WEEK 43'!B138+5,IF('WEEK 43'!F138&lt;=9,MROUND('WEEK 43'!B136*0.95,5),'WEEK 43'!B138))</f>
        <v>60</v>
      </c>
      <c r="C134" s="13"/>
      <c r="D134" s="13"/>
      <c r="E134" s="13"/>
      <c r="F134" s="57"/>
      <c r="H134" s="226" t="s">
        <v>119</v>
      </c>
      <c r="I134" s="90">
        <f>IF('WEEK 43'!I138='WEEK 43'!I140,'WEEK 43'!I138+5,IF('WEEK 43'!M138&lt;=9,MROUND('WEEK 43'!I136*0.95,5),'WEEK 43'!I138))</f>
        <v>15</v>
      </c>
      <c r="J134" s="13"/>
      <c r="K134" s="13"/>
      <c r="L134" s="13"/>
      <c r="M134" s="57"/>
    </row>
    <row r="135">
      <c r="A135" s="77" t="s">
        <v>50</v>
      </c>
      <c r="B135" s="78" t="s">
        <v>51</v>
      </c>
      <c r="C135" s="78" t="s">
        <v>52</v>
      </c>
      <c r="D135" s="78" t="s">
        <v>53</v>
      </c>
      <c r="E135" s="80" t="s">
        <v>54</v>
      </c>
      <c r="F135" s="235" t="s">
        <v>55</v>
      </c>
      <c r="H135" s="77" t="s">
        <v>50</v>
      </c>
      <c r="I135" s="78" t="s">
        <v>51</v>
      </c>
      <c r="J135" s="78" t="s">
        <v>52</v>
      </c>
      <c r="K135" s="78" t="s">
        <v>53</v>
      </c>
      <c r="L135" s="80" t="s">
        <v>54</v>
      </c>
      <c r="M135" s="235" t="s">
        <v>55</v>
      </c>
    </row>
    <row r="136">
      <c r="A136" s="81">
        <v>1.0</v>
      </c>
      <c r="B136" s="82">
        <f>'WEEK 44'!B134</f>
        <v>60</v>
      </c>
      <c r="C136" s="65">
        <v>20.0</v>
      </c>
      <c r="D136" s="83" t="s">
        <v>58</v>
      </c>
      <c r="E136" s="84" t="str">
        <f>IF('WEEK 43'!B138='WEEK 44'!B136,'WEEK 43'!F138,"")</f>
        <v/>
      </c>
      <c r="F136" s="85"/>
      <c r="H136" s="81">
        <v>1.0</v>
      </c>
      <c r="I136" s="82">
        <f>MROUND('WEEK 44'!I134,5)</f>
        <v>15</v>
      </c>
      <c r="J136" s="65" t="s">
        <v>61</v>
      </c>
      <c r="K136" s="83" t="s">
        <v>274</v>
      </c>
      <c r="L136" s="84" t="str">
        <f>IF('WEEK 43'!I138='WEEK 44'!I136,'WEEK 43'!M138,"")</f>
        <v/>
      </c>
      <c r="M136" s="85"/>
    </row>
    <row r="137">
      <c r="A137" s="81">
        <v>2.0</v>
      </c>
      <c r="B137" s="82">
        <f>if('WEEK 44'!F136&lt;10,mround('WEEK 44'!B136*0.8,5),IF('WEEK 44'!F136&lt;=14,MROUND('WEEK 44'!B134*0.95,5),'WEEK 44'!B136))</f>
        <v>50</v>
      </c>
      <c r="C137" s="65">
        <v>20.0</v>
      </c>
      <c r="D137" s="83" t="s">
        <v>58</v>
      </c>
      <c r="E137" s="84" t="str">
        <f>IF('WEEK 43'!B139='WEEK 44'!B137,'WEEK 43'!F139,"")</f>
        <v/>
      </c>
      <c r="F137" s="85"/>
      <c r="H137" s="81">
        <v>2.0</v>
      </c>
      <c r="I137" s="82">
        <f>if('WEEK 44'!M136&lt;10,mround('WEEK 44'!I136*0.8,5),IF('WEEK 44'!M136&lt;=15,MROUND('WEEK 44'!I134*0.95,5),'WEEK 44'!I136))</f>
        <v>10</v>
      </c>
      <c r="J137" s="65" t="s">
        <v>61</v>
      </c>
      <c r="K137" s="83" t="s">
        <v>274</v>
      </c>
      <c r="L137" s="84" t="str">
        <f>IF('WEEK 43'!I139='WEEK 44'!I137,'WEEK 43'!M139,"")</f>
        <v/>
      </c>
      <c r="M137" s="85"/>
    </row>
    <row r="138">
      <c r="A138" s="629">
        <v>3.0</v>
      </c>
      <c r="B138" s="630">
        <f>if('WEEK 44'!F137&lt;10,mround('WEEK 44'!B137*0.8,5),IF('WEEK 44'!F137&lt;=14,MROUND('WEEK 44'!B137*0.95,5),'WEEK 44'!B137))</f>
        <v>40</v>
      </c>
      <c r="C138" s="631">
        <v>20.0</v>
      </c>
      <c r="D138" s="328" t="s">
        <v>58</v>
      </c>
      <c r="E138" s="84" t="str">
        <f>IF('WEEK 43'!B140='WEEK 44'!B138,'WEEK 43'!F140,"")</f>
        <v/>
      </c>
      <c r="F138" s="330"/>
      <c r="H138" s="86">
        <v>3.0</v>
      </c>
      <c r="I138" s="87">
        <f>if('WEEK 44'!M137&lt;10,mround('WEEK 44'!I137*0.8,5),IF('WEEK 44'!M137&lt;=15,MROUND('WEEK 44'!I135*0.95,5),'WEEK 44'!I137))</f>
        <v>10</v>
      </c>
      <c r="J138" s="71" t="s">
        <v>61</v>
      </c>
      <c r="K138" s="88" t="s">
        <v>274</v>
      </c>
      <c r="L138" s="89" t="str">
        <f>IF('WEEK 43'!I140='WEEK 44'!I138,'WEEK 43'!M140,"")</f>
        <v/>
      </c>
      <c r="M138" s="85"/>
    </row>
    <row r="139">
      <c r="A139" s="633"/>
      <c r="B139" s="633"/>
      <c r="C139" s="633"/>
      <c r="D139" s="633"/>
      <c r="E139" s="633"/>
      <c r="F139" s="633"/>
    </row>
    <row r="140">
      <c r="A140" s="945"/>
      <c r="B140" s="945"/>
      <c r="C140" s="945"/>
      <c r="D140" s="945"/>
      <c r="E140" s="945"/>
      <c r="F140" s="945"/>
    </row>
    <row r="141">
      <c r="A141" s="581" t="str">
        <f>HYPERLINK("https://docs.google.com/a/fitnessresults.com/forms/d/e/1FAIpQLSd7MoczESe8Yjv6BKpmwAZGn9Aiymrs9-UdgfYIUpbr9t5NXg/viewform?usp=pp_url&amp;entry.93370101","CLICK TO COMPLETE WORKOUT")</f>
        <v>CLICK TO COMPLETE WORKOUT</v>
      </c>
      <c r="B141" s="25"/>
      <c r="C141" s="25"/>
      <c r="D141" s="25"/>
      <c r="E141" s="25"/>
      <c r="F141" s="26"/>
    </row>
    <row r="142">
      <c r="A142" s="336"/>
      <c r="B142" s="11"/>
      <c r="C142" s="11"/>
      <c r="D142" s="11"/>
      <c r="E142" s="11"/>
      <c r="F142" s="46"/>
    </row>
    <row r="143">
      <c r="A143" s="683"/>
    </row>
    <row r="144">
      <c r="A144" s="1487" t="str">
        <f>HYPERLINK("https://www.amazon.com/30-Minute-Body-Investment-Champion/dp/0692791892/ref=sr_1_1?ie=UTF8&amp;qid=1490447969&amp;sr=8-1&amp;keywords=30+minute+body","WANT TO LEARN MORE?")</f>
        <v>WANT TO LEARN MORE?</v>
      </c>
      <c r="B144" s="25"/>
      <c r="C144" s="25"/>
      <c r="D144" s="25"/>
      <c r="E144" s="25"/>
      <c r="F144" s="26"/>
    </row>
    <row r="145">
      <c r="A145" s="529"/>
      <c r="F145" s="28"/>
    </row>
    <row r="146">
      <c r="A146" s="645"/>
      <c r="B146" s="646"/>
      <c r="C146" s="1488" t="s">
        <v>67</v>
      </c>
      <c r="F146" s="28"/>
    </row>
    <row r="147">
      <c r="A147" s="645"/>
      <c r="B147" s="646"/>
      <c r="C147" s="529"/>
      <c r="F147" s="28"/>
    </row>
    <row r="148">
      <c r="A148" s="645"/>
      <c r="B148" s="646"/>
      <c r="C148" s="529"/>
      <c r="F148" s="28"/>
    </row>
    <row r="149">
      <c r="A149" s="645"/>
      <c r="B149" s="646"/>
      <c r="C149" s="529"/>
      <c r="F149" s="28"/>
    </row>
    <row r="150">
      <c r="A150" s="645"/>
      <c r="B150" s="646"/>
      <c r="C150" s="529"/>
      <c r="F150" s="28"/>
    </row>
    <row r="151">
      <c r="A151" s="645"/>
      <c r="B151" s="646"/>
      <c r="C151" s="529"/>
      <c r="F151" s="28"/>
    </row>
    <row r="152">
      <c r="A152" s="647"/>
      <c r="B152" s="646"/>
      <c r="C152" s="529"/>
      <c r="F152" s="28"/>
    </row>
    <row r="153">
      <c r="A153" s="645"/>
      <c r="B153" s="646"/>
      <c r="C153" s="529"/>
      <c r="F153" s="28"/>
    </row>
    <row r="154">
      <c r="A154" s="645"/>
      <c r="B154" s="646"/>
      <c r="C154" s="529"/>
      <c r="F154" s="28"/>
    </row>
    <row r="155">
      <c r="A155" s="648"/>
      <c r="B155" s="646"/>
      <c r="C155" s="529"/>
      <c r="F155" s="28"/>
    </row>
    <row r="156">
      <c r="A156" s="645"/>
      <c r="B156" s="646"/>
      <c r="C156" s="529"/>
      <c r="F156" s="28"/>
    </row>
    <row r="157">
      <c r="A157" s="645"/>
      <c r="B157" s="646"/>
      <c r="C157" s="529"/>
      <c r="F157" s="28"/>
    </row>
    <row r="158">
      <c r="A158" s="645"/>
      <c r="B158" s="646"/>
      <c r="C158" s="529"/>
      <c r="F158" s="28"/>
    </row>
    <row r="159">
      <c r="A159" s="645"/>
      <c r="B159" s="646"/>
      <c r="C159" s="529"/>
      <c r="F159" s="28"/>
    </row>
    <row r="160">
      <c r="A160" s="645"/>
      <c r="B160" s="642"/>
      <c r="C160" s="336"/>
      <c r="D160" s="11"/>
      <c r="E160" s="11"/>
      <c r="F160" s="46"/>
    </row>
    <row r="161">
      <c r="A161" s="1489"/>
      <c r="B161" s="1489"/>
      <c r="C161" s="807"/>
      <c r="D161" s="807"/>
      <c r="E161" s="807"/>
      <c r="F161" s="807"/>
    </row>
  </sheetData>
  <mergeCells count="82">
    <mergeCell ref="G24:G25"/>
    <mergeCell ref="A27:F27"/>
    <mergeCell ref="A30:F30"/>
    <mergeCell ref="B33:F33"/>
    <mergeCell ref="G37:G41"/>
    <mergeCell ref="B38:F38"/>
    <mergeCell ref="A44:F44"/>
    <mergeCell ref="A53:A54"/>
    <mergeCell ref="A56:A57"/>
    <mergeCell ref="B45:C45"/>
    <mergeCell ref="D45:F45"/>
    <mergeCell ref="A47:A48"/>
    <mergeCell ref="A49:F49"/>
    <mergeCell ref="A50:A51"/>
    <mergeCell ref="A52:F52"/>
    <mergeCell ref="A55:F55"/>
    <mergeCell ref="A60:F60"/>
    <mergeCell ref="A62:F62"/>
    <mergeCell ref="A65:F65"/>
    <mergeCell ref="B66:F66"/>
    <mergeCell ref="B78:F78"/>
    <mergeCell ref="A81:F81"/>
    <mergeCell ref="B82:F82"/>
    <mergeCell ref="A89:F89"/>
    <mergeCell ref="G89:G91"/>
    <mergeCell ref="H89:M89"/>
    <mergeCell ref="B90:F90"/>
    <mergeCell ref="I90:M90"/>
    <mergeCell ref="G92:G93"/>
    <mergeCell ref="G94:G95"/>
    <mergeCell ref="A97:F97"/>
    <mergeCell ref="A100:F100"/>
    <mergeCell ref="A101:F101"/>
    <mergeCell ref="B102:F102"/>
    <mergeCell ref="A107:F108"/>
    <mergeCell ref="A109:F109"/>
    <mergeCell ref="B110:F110"/>
    <mergeCell ref="A133:F133"/>
    <mergeCell ref="B134:F134"/>
    <mergeCell ref="A141:F142"/>
    <mergeCell ref="A143:F143"/>
    <mergeCell ref="A144:F145"/>
    <mergeCell ref="C146:F160"/>
    <mergeCell ref="A117:F117"/>
    <mergeCell ref="B118:F118"/>
    <mergeCell ref="A123:F124"/>
    <mergeCell ref="A125:F125"/>
    <mergeCell ref="B126:F126"/>
    <mergeCell ref="A131:F132"/>
    <mergeCell ref="H133:M133"/>
    <mergeCell ref="I134:M134"/>
    <mergeCell ref="A9:F9"/>
    <mergeCell ref="H9:M9"/>
    <mergeCell ref="A10:F11"/>
    <mergeCell ref="H10:M10"/>
    <mergeCell ref="A12:F12"/>
    <mergeCell ref="A13:F13"/>
    <mergeCell ref="H15:M15"/>
    <mergeCell ref="A20:F20"/>
    <mergeCell ref="B21:F21"/>
    <mergeCell ref="O20:T20"/>
    <mergeCell ref="P21:T21"/>
    <mergeCell ref="N19:N26"/>
    <mergeCell ref="N27:N28"/>
    <mergeCell ref="N29:N31"/>
    <mergeCell ref="N38:N41"/>
    <mergeCell ref="A15:F15"/>
    <mergeCell ref="A19:F19"/>
    <mergeCell ref="H19:M19"/>
    <mergeCell ref="O19:T19"/>
    <mergeCell ref="H20:M20"/>
    <mergeCell ref="I21:M21"/>
    <mergeCell ref="O27:T27"/>
    <mergeCell ref="H37:M37"/>
    <mergeCell ref="I38:M38"/>
    <mergeCell ref="H27:M27"/>
    <mergeCell ref="H29:M29"/>
    <mergeCell ref="O29:T29"/>
    <mergeCell ref="I34:M34"/>
    <mergeCell ref="P34:T34"/>
    <mergeCell ref="A35:N36"/>
    <mergeCell ref="A37:F37"/>
  </mergeCells>
  <dataValidations>
    <dataValidation type="decimal" operator="greaterThanOrEqual" allowBlank="1" showDropDown="1" showErrorMessage="1" sqref="M22:M26 F39:F41 F119:F122">
      <formula1>0.0</formula1>
    </dataValidation>
    <dataValidation type="decimal" operator="greaterThanOrEqual" allowBlank="1" showDropDown="1" sqref="F22:F26 F28 F31 F59 F67:F71 F73">
      <formula1>0.0</formula1>
    </dataValidation>
  </dataValidations>
  <drawing r:id="rId2"/>
  <legacyDrawing r:id="rId3"/>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'MSW44'!A1</f>
        <v/>
      </c>
    </row>
    <row r="8">
      <c r="A8" s="11"/>
      <c r="B8" s="11"/>
      <c r="C8" s="11"/>
      <c r="D8" s="11"/>
      <c r="E8" s="11"/>
      <c r="F8" s="11"/>
      <c r="G8" s="11"/>
      <c r="H8" s="11"/>
      <c r="I8" s="11"/>
      <c r="J8" s="11"/>
      <c r="K8" s="11"/>
      <c r="L8" s="11"/>
      <c r="M8" s="11"/>
      <c r="N8" s="11"/>
      <c r="O8" s="11"/>
      <c r="P8" s="11"/>
      <c r="Q8" s="11"/>
      <c r="R8" s="11"/>
      <c r="S8" s="11"/>
      <c r="T8" s="11"/>
    </row>
    <row r="9">
      <c r="A9" s="1305" t="str">
        <f>'MSW44'!A9</f>
        <v>Week 44</v>
      </c>
      <c r="B9" s="36"/>
      <c r="C9" s="36"/>
      <c r="D9" s="36"/>
      <c r="E9" s="36"/>
      <c r="F9" s="37"/>
      <c r="G9" s="987" t="str">
        <f>'MSW44'!G9</f>
        <v/>
      </c>
      <c r="H9" s="24" t="s">
        <v>35</v>
      </c>
      <c r="I9" s="25"/>
      <c r="J9" s="25"/>
      <c r="K9" s="25"/>
      <c r="L9" s="25"/>
      <c r="M9" s="26"/>
      <c r="N9" t="str">
        <f>'MSW44'!N15</f>
        <v/>
      </c>
    </row>
    <row r="10">
      <c r="A10" s="991" t="str">
        <f>'MSW44'!A10</f>
        <v>PRESS TO RECORD BODY WEIGHT</v>
      </c>
      <c r="F10" s="28"/>
      <c r="H10" s="27" t="s">
        <v>390</v>
      </c>
      <c r="M10" s="28"/>
    </row>
    <row r="11">
      <c r="A11" s="336"/>
      <c r="B11" s="11"/>
      <c r="C11" s="11"/>
      <c r="D11" s="11"/>
      <c r="E11" s="11"/>
      <c r="F11" s="46"/>
      <c r="H11" s="29" t="s">
        <v>391</v>
      </c>
      <c r="I11" s="30"/>
      <c r="J11" s="30"/>
      <c r="K11" s="30"/>
      <c r="L11" s="30"/>
      <c r="M11" s="31"/>
    </row>
    <row r="12">
      <c r="A12" s="992" t="str">
        <f>'MSW44'!A12</f>
        <v>This Weeks Goals</v>
      </c>
      <c r="B12" s="11"/>
      <c r="C12" s="11"/>
      <c r="D12" s="11"/>
      <c r="E12" s="11"/>
      <c r="F12" s="46"/>
      <c r="G12" s="987"/>
    </row>
    <row r="13">
      <c r="A13" s="1128" t="str">
        <f>'MSW44'!A13</f>
        <v>This week you will be attempting new max weights as well as experiencing high reps on leg day. Stay focused and remember rest and recovery are key to your results. Good luck!</v>
      </c>
      <c r="B13" s="11"/>
      <c r="C13" s="11"/>
      <c r="D13" s="11"/>
      <c r="E13" s="11"/>
      <c r="F13" s="46"/>
    </row>
    <row r="14">
      <c r="A14" s="994" t="str">
        <f>'MSW44'!A14</f>
        <v/>
      </c>
      <c r="B14" s="11"/>
      <c r="C14" s="11"/>
      <c r="D14" s="11"/>
      <c r="E14" s="11"/>
      <c r="F14" s="11"/>
    </row>
    <row r="15">
      <c r="A15" s="996" t="str">
        <f>'MSW44'!A15</f>
        <v>DAY 1 </v>
      </c>
      <c r="B15" s="11"/>
      <c r="C15" s="11"/>
      <c r="D15" s="11"/>
      <c r="E15" s="11"/>
      <c r="F15" s="46"/>
      <c r="G15" s="997" t="str">
        <f>'MSW44'!G15</f>
        <v/>
      </c>
      <c r="H15" s="1466" t="str">
        <f>'MSW44'!H15</f>
        <v>ALTERNATE WORKOUTS</v>
      </c>
      <c r="I15" s="36"/>
      <c r="J15" s="36"/>
      <c r="K15" s="36"/>
      <c r="L15" s="36"/>
      <c r="M15" s="37"/>
    </row>
    <row r="16">
      <c r="A16" s="987" t="str">
        <f>'MSW44'!A16</f>
        <v/>
      </c>
    </row>
    <row r="19">
      <c r="A19" s="51" t="str">
        <f>'MSW44'!A19</f>
        <v>CHEST &amp; BACK </v>
      </c>
      <c r="B19" s="36"/>
      <c r="C19" s="36"/>
      <c r="D19" s="36"/>
      <c r="E19" s="36"/>
      <c r="F19" s="37"/>
      <c r="G19" t="str">
        <f>'MSW44'!G19</f>
        <v/>
      </c>
      <c r="H19" s="51" t="str">
        <f>'MSW44'!H19</f>
        <v>CHEST &amp; BACK </v>
      </c>
      <c r="I19" s="36"/>
      <c r="J19" s="36"/>
      <c r="K19" s="36"/>
      <c r="L19" s="36"/>
      <c r="M19" s="37"/>
      <c r="N19" s="141" t="str">
        <f>'MSW44'!N19</f>
        <v/>
      </c>
      <c r="O19" s="51" t="str">
        <f>'MSW44'!O19</f>
        <v>CHEST &amp; BACK </v>
      </c>
      <c r="P19" s="36"/>
      <c r="Q19" s="36"/>
      <c r="R19" s="36"/>
      <c r="S19" s="36"/>
      <c r="T19" s="37"/>
    </row>
    <row r="20">
      <c r="A20" s="225" t="str">
        <f>'MSW44'!A20</f>
        <v>1. BENCH PRESS</v>
      </c>
      <c r="B20" s="13"/>
      <c r="C20" s="13"/>
      <c r="D20" s="13"/>
      <c r="E20" s="13"/>
      <c r="F20" s="57"/>
      <c r="H20" s="52" t="str">
        <f>'MSW44'!H20</f>
        <v>1. DUMBBELL INCLINE PRESS</v>
      </c>
      <c r="I20" s="53"/>
      <c r="J20" s="53"/>
      <c r="K20" s="53"/>
      <c r="L20" s="53"/>
      <c r="M20" s="54"/>
      <c r="O20" s="52" t="str">
        <f>'MSW44'!O20</f>
        <v>1. MACHINE PRESS</v>
      </c>
      <c r="P20" s="53"/>
      <c r="Q20" s="53"/>
      <c r="R20" s="53"/>
      <c r="S20" s="53"/>
      <c r="T20" s="54"/>
    </row>
    <row r="21">
      <c r="A21" s="226" t="str">
        <f>'MSW44'!A21</f>
        <v>CURRENT MAX</v>
      </c>
      <c r="B21" s="227">
        <v>270.0</v>
      </c>
      <c r="C21" s="20"/>
      <c r="D21" s="20"/>
      <c r="E21" s="20"/>
      <c r="F21" s="95"/>
      <c r="H21" s="228" t="str">
        <f>'MSW44'!H21</f>
        <v>CURRENT MAX</v>
      </c>
      <c r="I21" s="229">
        <f>'MSW44'!I21</f>
        <v>90</v>
      </c>
      <c r="J21" s="16"/>
      <c r="K21" s="16"/>
      <c r="L21" s="16"/>
      <c r="M21" s="230"/>
      <c r="O21" s="228" t="str">
        <f>'MSW44'!O21</f>
        <v>CURRENT MAX</v>
      </c>
      <c r="P21" s="229" t="str">
        <f>'MSW44'!P21</f>
        <v/>
      </c>
      <c r="Q21" s="16"/>
      <c r="R21" s="16"/>
      <c r="S21" s="16"/>
      <c r="T21" s="230"/>
    </row>
    <row r="22">
      <c r="A22" s="231" t="str">
        <f>'MSW44'!A22</f>
        <v>SET</v>
      </c>
      <c r="B22" s="232" t="str">
        <f>'MSW44'!B22</f>
        <v>WEIGHT</v>
      </c>
      <c r="C22" s="232" t="str">
        <f>'MSW44'!C22</f>
        <v>REPS</v>
      </c>
      <c r="D22" s="232" t="str">
        <f>'MSW44'!D22</f>
        <v>REST</v>
      </c>
      <c r="E22" s="233" t="str">
        <f>'MSW44'!E22</f>
        <v>PREVIOUS</v>
      </c>
      <c r="F22" s="61" t="str">
        <f>'MSW44'!F22</f>
        <v>REP LOG</v>
      </c>
      <c r="H22" s="96" t="str">
        <f>'MSW44'!H22</f>
        <v>SET</v>
      </c>
      <c r="I22" s="97" t="str">
        <f>'MSW44'!I22</f>
        <v>WEIGHT</v>
      </c>
      <c r="J22" s="97" t="str">
        <f>'MSW44'!J22</f>
        <v>REPS</v>
      </c>
      <c r="K22" s="97" t="str">
        <f>'MSW44'!K22</f>
        <v>REST</v>
      </c>
      <c r="L22" s="98" t="str">
        <f>'MSW44'!L22</f>
        <v>PREVIOUS</v>
      </c>
      <c r="M22" s="235" t="str">
        <f>'MSW44'!M22</f>
        <v>REP LOG</v>
      </c>
      <c r="O22" s="96" t="str">
        <f>'MSW44'!O22</f>
        <v>SET</v>
      </c>
      <c r="P22" s="97" t="str">
        <f>'MSW44'!P22</f>
        <v>WEIGHT</v>
      </c>
      <c r="Q22" s="97" t="str">
        <f>'MSW44'!Q22</f>
        <v>REPS</v>
      </c>
      <c r="R22" s="97" t="str">
        <f>'MSW44'!R22</f>
        <v>REST</v>
      </c>
      <c r="S22" s="98" t="str">
        <f>'MSW44'!S22</f>
        <v>PREVIOUS</v>
      </c>
      <c r="T22" s="235" t="str">
        <f>'MSW44'!T22</f>
        <v>REP LOG</v>
      </c>
    </row>
    <row r="23">
      <c r="A23" s="236">
        <f>'MSW44'!A23</f>
        <v>1</v>
      </c>
      <c r="B23" s="237">
        <f>'MSW44'!B23</f>
        <v>45</v>
      </c>
      <c r="C23" s="237">
        <f>'MSW44'!C23</f>
        <v>6</v>
      </c>
      <c r="D23" s="238" t="str">
        <f>'MSW44'!D23</f>
        <v>30s</v>
      </c>
      <c r="E23" s="66" t="str">
        <f>'MSW44'!E23</f>
        <v/>
      </c>
      <c r="F23" s="67">
        <v>6.0</v>
      </c>
      <c r="H23" s="244">
        <f>'MSW44'!H23</f>
        <v>1</v>
      </c>
      <c r="I23" s="241">
        <f>'MSW44'!I23</f>
        <v>30</v>
      </c>
      <c r="J23" s="63">
        <f>'MSW44'!J23</f>
        <v>6</v>
      </c>
      <c r="K23" s="83" t="str">
        <f>'MSW44'!K23</f>
        <v>1-3 MIN</v>
      </c>
      <c r="L23" s="66" t="str">
        <f>'MSW44'!L23</f>
        <v/>
      </c>
      <c r="M23" s="85" t="str">
        <f>'MSW44'!M23</f>
        <v/>
      </c>
      <c r="O23" s="244">
        <f>'MSW44'!O23</f>
        <v>1</v>
      </c>
      <c r="P23" s="241">
        <f>'MSW44'!P23</f>
        <v>0</v>
      </c>
      <c r="Q23" s="63">
        <f>'MSW44'!Q23</f>
        <v>6</v>
      </c>
      <c r="R23" s="83" t="str">
        <f>'MSW44'!R23</f>
        <v>1-3 MIN</v>
      </c>
      <c r="S23" s="66" t="str">
        <f>'MSW44'!S23</f>
        <v/>
      </c>
      <c r="T23" s="85"/>
    </row>
    <row r="24">
      <c r="A24" s="236">
        <f>'MSW44'!A24</f>
        <v>2</v>
      </c>
      <c r="B24" s="237">
        <f>'MSW44'!B24</f>
        <v>215</v>
      </c>
      <c r="C24" s="237">
        <f>'MSW44'!C24</f>
        <v>1</v>
      </c>
      <c r="D24" s="238" t="str">
        <f>'MSW44'!D24</f>
        <v>1-2 MIN</v>
      </c>
      <c r="E24" s="66" t="str">
        <f>'MSW44'!E24</f>
        <v/>
      </c>
      <c r="F24" s="67">
        <v>1.0</v>
      </c>
      <c r="G24" s="1129" t="str">
        <f>'MSW44'!G24</f>
        <v>Alternate</v>
      </c>
      <c r="H24" s="240">
        <f>'MSW44'!H24</f>
        <v>2</v>
      </c>
      <c r="I24" s="241">
        <f>'MSW44'!I24</f>
        <v>60</v>
      </c>
      <c r="J24" s="241">
        <f>'MSW44'!J24</f>
        <v>1</v>
      </c>
      <c r="K24" s="83" t="str">
        <f>'MSW44'!K24</f>
        <v>1-3 MIN</v>
      </c>
      <c r="L24" s="66" t="str">
        <f>'MSW44'!L24</f>
        <v/>
      </c>
      <c r="M24" s="85" t="str">
        <f>'MSW44'!M24</f>
        <v/>
      </c>
      <c r="O24" s="240">
        <f>'MSW44'!O24</f>
        <v>2</v>
      </c>
      <c r="P24" s="241">
        <f>'MSW44'!P24</f>
        <v>0</v>
      </c>
      <c r="Q24" s="241">
        <f>'MSW44'!Q24</f>
        <v>1</v>
      </c>
      <c r="R24" s="83" t="str">
        <f>'MSW44'!R24</f>
        <v>1-3 MIN</v>
      </c>
      <c r="S24" s="66" t="str">
        <f>'MSW44'!S24</f>
        <v/>
      </c>
      <c r="T24" s="85"/>
    </row>
    <row r="25">
      <c r="A25" s="242">
        <f>'MSW44'!A25</f>
        <v>3</v>
      </c>
      <c r="B25" s="237">
        <f>'MSW44'!B25</f>
        <v>245</v>
      </c>
      <c r="C25" s="82">
        <f>'MSW44'!C25</f>
        <v>1</v>
      </c>
      <c r="D25" s="238" t="str">
        <f>'MSW44'!D25</f>
        <v>1-2 MIN</v>
      </c>
      <c r="E25" s="66" t="str">
        <f>'MSW44'!E25</f>
        <v/>
      </c>
      <c r="F25" s="67">
        <v>1.0</v>
      </c>
      <c r="H25" s="240">
        <f>'MSW44'!H25</f>
        <v>3</v>
      </c>
      <c r="I25" s="241">
        <f>'MSW44'!I25</f>
        <v>75</v>
      </c>
      <c r="J25" s="63">
        <f>'MSW44'!J25</f>
        <v>1</v>
      </c>
      <c r="K25" s="83" t="str">
        <f>'MSW44'!K25</f>
        <v>1-3 MIN</v>
      </c>
      <c r="L25" s="66" t="str">
        <f>'MSW44'!L25</f>
        <v/>
      </c>
      <c r="M25" s="85" t="str">
        <f>'MSW44'!M25</f>
        <v/>
      </c>
      <c r="O25" s="240">
        <f>'MSW44'!O25</f>
        <v>3</v>
      </c>
      <c r="P25" s="241">
        <f>'MSW44'!P25</f>
        <v>0</v>
      </c>
      <c r="Q25" s="241">
        <f>'MSW44'!Q25</f>
        <v>1</v>
      </c>
      <c r="R25" s="83" t="str">
        <f>'MSW44'!R25</f>
        <v>1-3 MIN</v>
      </c>
      <c r="S25" s="66" t="str">
        <f>'MSW44'!S25</f>
        <v/>
      </c>
      <c r="T25" s="85"/>
    </row>
    <row r="26">
      <c r="A26" s="243">
        <f>'MSW44'!A26</f>
        <v>4</v>
      </c>
      <c r="B26" s="237">
        <f>'MSW44'!B26</f>
        <v>270</v>
      </c>
      <c r="C26" s="175">
        <f>'MSW44'!C26</f>
        <v>1</v>
      </c>
      <c r="D26" s="238" t="str">
        <f>'MSW44'!D26</f>
        <v>1-5 MIN</v>
      </c>
      <c r="E26" s="66" t="str">
        <f>'MSW44'!E26</f>
        <v/>
      </c>
      <c r="F26" s="67">
        <v>0.0</v>
      </c>
      <c r="G26" t="str">
        <f>'MSW44'!G26</f>
        <v/>
      </c>
      <c r="H26" s="240">
        <f>'MSW44'!H26</f>
        <v>4</v>
      </c>
      <c r="I26" s="241">
        <f>'MSW44'!I26</f>
        <v>90</v>
      </c>
      <c r="J26" s="245" t="str">
        <f>'MSW44'!J26</f>
        <v>REP OUT</v>
      </c>
      <c r="K26" s="83" t="str">
        <f>'MSW44'!K26</f>
        <v>1-3 MIN</v>
      </c>
      <c r="L26" s="66" t="str">
        <f>'MSW44'!L26</f>
        <v/>
      </c>
      <c r="M26" s="85" t="str">
        <f>'MSW44'!M26</f>
        <v/>
      </c>
      <c r="O26" s="240">
        <f>'MSW44'!O26</f>
        <v>4</v>
      </c>
      <c r="P26" s="241">
        <f>'MSW44'!P26</f>
        <v>0</v>
      </c>
      <c r="Q26" s="245" t="str">
        <f>'MSW44'!Q26</f>
        <v>REP OUT</v>
      </c>
      <c r="R26" s="83" t="str">
        <f>'MSW44'!R26</f>
        <v>1-3 MIN</v>
      </c>
      <c r="S26" s="66" t="str">
        <f>'MSW44'!S26</f>
        <v/>
      </c>
      <c r="T26" s="85"/>
    </row>
    <row r="27">
      <c r="A27" s="246" t="str">
        <f>'MSW44'!A27</f>
        <v>PROCEED TO DOWN SETS</v>
      </c>
      <c r="B27" s="20"/>
      <c r="C27" s="20"/>
      <c r="D27" s="20"/>
      <c r="E27" s="20"/>
      <c r="F27" s="95"/>
      <c r="H27" s="248" t="str">
        <f>'MSW44'!H27</f>
        <v>PROCEED TO DOWNSETS</v>
      </c>
      <c r="M27" s="28"/>
      <c r="N27" s="247" t="str">
        <f>'MSW44'!N27</f>
        <v>ALTERNATE</v>
      </c>
      <c r="O27" s="248" t="str">
        <f>'MSW44'!O27</f>
        <v>PROCEED TO DOWNSETS</v>
      </c>
      <c r="T27" s="28"/>
    </row>
    <row r="28">
      <c r="A28" s="249" t="str">
        <f>'MSW44'!A28</f>
        <v/>
      </c>
      <c r="B28" s="175" t="str">
        <f>'MSW44'!B28</f>
        <v/>
      </c>
      <c r="C28" s="238" t="str">
        <f>'MSW44'!C28</f>
        <v/>
      </c>
      <c r="D28" s="238" t="str">
        <f>'MSW44'!D28</f>
        <v/>
      </c>
      <c r="E28" s="66" t="str">
        <f>'MSW44'!E28</f>
        <v/>
      </c>
      <c r="F28" s="67" t="str">
        <f>'MSW44'!F28</f>
        <v/>
      </c>
      <c r="H28" s="251" t="str">
        <f>'MSW44'!H28</f>
        <v/>
      </c>
      <c r="I28" s="252" t="str">
        <f>'MSW44'!I28</f>
        <v/>
      </c>
      <c r="J28" s="253" t="str">
        <f>'MSW44'!J28</f>
        <v/>
      </c>
      <c r="K28" s="254" t="str">
        <f>'MSW44'!K28</f>
        <v/>
      </c>
      <c r="L28" s="66" t="str">
        <f>'MSW44'!L28</f>
        <v/>
      </c>
      <c r="M28" s="67" t="str">
        <f>'MSW44'!M28</f>
        <v/>
      </c>
      <c r="O28" s="251" t="str">
        <f>'MSW44'!O28</f>
        <v/>
      </c>
      <c r="P28" s="252" t="str">
        <f>'MSW44'!P28</f>
        <v/>
      </c>
      <c r="Q28" s="253" t="str">
        <f>'MSW44'!Q28</f>
        <v/>
      </c>
      <c r="R28" s="254" t="str">
        <f>'MSW44'!R28</f>
        <v/>
      </c>
      <c r="S28" s="66" t="str">
        <f>'MSW44'!S28</f>
        <v/>
      </c>
      <c r="T28" s="665"/>
    </row>
    <row r="29">
      <c r="A29" s="256" t="str">
        <f>'MSW44'!A29</f>
        <v/>
      </c>
      <c r="B29" s="237" t="str">
        <f>'MSW44'!B29</f>
        <v/>
      </c>
      <c r="C29" s="257" t="str">
        <f>'MSW44'!C29</f>
        <v/>
      </c>
      <c r="D29" s="257" t="str">
        <f>'MSW44'!D29</f>
        <v/>
      </c>
      <c r="E29" s="66" t="str">
        <f>'MSW44'!E29</f>
        <v/>
      </c>
      <c r="F29" s="67" t="str">
        <f>'MSW44'!F29</f>
        <v/>
      </c>
      <c r="H29" s="260" t="str">
        <f>'MSW44'!H29</f>
        <v>FILL OUT REP LOG FIRST</v>
      </c>
      <c r="I29" s="16"/>
      <c r="J29" s="16"/>
      <c r="K29" s="16"/>
      <c r="L29" s="16"/>
      <c r="M29" s="230"/>
      <c r="N29" s="141" t="str">
        <f>'MSW44'!N29</f>
        <v/>
      </c>
      <c r="O29" s="260" t="str">
        <f>'MSW44'!O29</f>
        <v>FILL OUT REP LOG FIRST</v>
      </c>
      <c r="P29" s="16"/>
      <c r="Q29" s="16"/>
      <c r="R29" s="16"/>
      <c r="S29" s="16"/>
      <c r="T29" s="230"/>
    </row>
    <row r="30">
      <c r="A30" s="246" t="str">
        <f>'MSW44'!A30</f>
        <v>DOWN SETS</v>
      </c>
      <c r="B30" s="20"/>
      <c r="C30" s="20"/>
      <c r="D30" s="20"/>
      <c r="E30" s="20"/>
      <c r="F30" s="95"/>
      <c r="H30" s="91" t="str">
        <f>'MSW44'!H30</f>
        <v/>
      </c>
      <c r="I30" s="261" t="str">
        <f>'MSW44'!I30</f>
        <v/>
      </c>
      <c r="J30" s="262" t="str">
        <f>'MSW44'!J30</f>
        <v/>
      </c>
      <c r="K30" s="65" t="str">
        <f>'MSW44'!K30</f>
        <v/>
      </c>
      <c r="L30" s="66" t="str">
        <f>'MSW44'!L30</f>
        <v/>
      </c>
      <c r="M30" s="263" t="str">
        <f>'MSW44'!M30</f>
        <v/>
      </c>
      <c r="O30" s="91" t="str">
        <f>'MSW44'!O30</f>
        <v/>
      </c>
      <c r="P30" s="261" t="str">
        <f>'MSW44'!P30</f>
        <v/>
      </c>
      <c r="Q30" s="262" t="str">
        <f>'MSW44'!Q30</f>
        <v/>
      </c>
      <c r="R30" s="65" t="str">
        <f>'MSW44'!R30</f>
        <v/>
      </c>
      <c r="S30" s="66" t="str">
        <f>'MSW44'!S30</f>
        <v/>
      </c>
      <c r="T30" s="263" t="str">
        <f>'MSW44'!T30</f>
        <v/>
      </c>
    </row>
    <row r="31">
      <c r="A31" s="264">
        <f>'MSW44'!A31</f>
        <v>5</v>
      </c>
      <c r="B31" s="265">
        <f>'MSW44'!B31</f>
        <v>240</v>
      </c>
      <c r="C31" s="266" t="str">
        <f>'MSW44'!C31</f>
        <v>REP OUT</v>
      </c>
      <c r="D31" s="267" t="str">
        <f>'MSW44'!D31</f>
        <v>1-3 MIN</v>
      </c>
      <c r="E31" s="66" t="str">
        <f>'MSW44'!E31</f>
        <v/>
      </c>
      <c r="F31" s="67">
        <v>3.0</v>
      </c>
      <c r="H31" s="269" t="str">
        <f>'MSW44'!H31</f>
        <v/>
      </c>
      <c r="I31" s="254" t="str">
        <f>'MSW44'!I31</f>
        <v/>
      </c>
      <c r="J31" s="253" t="str">
        <f>'MSW44'!J31</f>
        <v/>
      </c>
      <c r="K31" s="65" t="str">
        <f>'MSW44'!K31</f>
        <v/>
      </c>
      <c r="L31" s="66" t="str">
        <f>'MSW44'!L31</f>
        <v/>
      </c>
      <c r="M31" s="270" t="str">
        <f>'MSW44'!M31</f>
        <v/>
      </c>
      <c r="O31" s="269" t="str">
        <f>'MSW44'!O31</f>
        <v/>
      </c>
      <c r="P31" s="254" t="str">
        <f>'MSW44'!P31</f>
        <v/>
      </c>
      <c r="Q31" s="253" t="str">
        <f>'MSW44'!Q31</f>
        <v/>
      </c>
      <c r="R31" s="65" t="str">
        <f>'MSW44'!R31</f>
        <v/>
      </c>
      <c r="S31" s="66" t="str">
        <f>'MSW44'!S31</f>
        <v/>
      </c>
      <c r="T31" s="270" t="str">
        <f>'MSW44'!T31</f>
        <v/>
      </c>
    </row>
    <row r="32">
      <c r="A32" s="243">
        <f>'MSW44'!A32</f>
        <v>6</v>
      </c>
      <c r="B32" s="237">
        <f>'MSW44'!B32</f>
        <v>205</v>
      </c>
      <c r="C32" s="245" t="str">
        <f>'MSW44'!C32</f>
        <v>REP OUT</v>
      </c>
      <c r="D32" s="65" t="str">
        <f>'MSW44'!D32</f>
        <v>1-3 MIN</v>
      </c>
      <c r="E32" s="66" t="str">
        <f>'MSW44'!E32</f>
        <v/>
      </c>
      <c r="F32" s="271" t="str">
        <f>'MSW44'!F32</f>
        <v/>
      </c>
      <c r="H32" s="269" t="str">
        <f>'MSW44'!H32</f>
        <v/>
      </c>
      <c r="I32" s="254" t="str">
        <f>'MSW44'!I32</f>
        <v/>
      </c>
      <c r="J32" s="253" t="str">
        <f>'MSW44'!J32</f>
        <v/>
      </c>
      <c r="K32" s="65" t="str">
        <f>'MSW44'!K32</f>
        <v/>
      </c>
      <c r="L32" s="66" t="str">
        <f>'MSW44'!L32</f>
        <v/>
      </c>
      <c r="M32" s="270" t="str">
        <f>'MSW44'!M32</f>
        <v/>
      </c>
      <c r="O32" s="269" t="str">
        <f>'MSW44'!O32</f>
        <v/>
      </c>
      <c r="P32" s="254" t="str">
        <f>'MSW44'!P32</f>
        <v/>
      </c>
      <c r="Q32" s="253" t="str">
        <f>'MSW44'!Q32</f>
        <v/>
      </c>
      <c r="R32" s="65" t="str">
        <f>'MSW44'!R32</f>
        <v/>
      </c>
      <c r="S32" s="66" t="str">
        <f>'MSW44'!S32</f>
        <v/>
      </c>
      <c r="T32" s="263" t="str">
        <f>'MSW44'!T32</f>
        <v/>
      </c>
    </row>
    <row r="33">
      <c r="A33" s="272" t="str">
        <f>'MSW44'!A33</f>
        <v>FINAL MAX</v>
      </c>
      <c r="B33" s="273">
        <f>'MSW44'!B33</f>
        <v>265</v>
      </c>
      <c r="C33" s="11"/>
      <c r="D33" s="11"/>
      <c r="E33" s="11"/>
      <c r="F33" s="46"/>
      <c r="H33" s="269" t="str">
        <f>'MSW44'!H33</f>
        <v/>
      </c>
      <c r="I33" s="254" t="str">
        <f>'MSW44'!I33</f>
        <v/>
      </c>
      <c r="J33" s="253" t="str">
        <f>'MSW44'!J33</f>
        <v/>
      </c>
      <c r="K33" s="65" t="str">
        <f>'MSW44'!K33</f>
        <v/>
      </c>
      <c r="L33" s="66" t="str">
        <f>'MSW44'!L33</f>
        <v/>
      </c>
      <c r="M33" s="270" t="str">
        <f>'MSW44'!M33</f>
        <v/>
      </c>
      <c r="O33" s="269" t="str">
        <f>'MSW44'!O33</f>
        <v/>
      </c>
      <c r="P33" s="254" t="str">
        <f>'MSW44'!P33</f>
        <v/>
      </c>
      <c r="Q33" s="253" t="str">
        <f>'MSW44'!Q33</f>
        <v/>
      </c>
      <c r="R33" s="65" t="str">
        <f>'MSW44'!R33</f>
        <v/>
      </c>
      <c r="S33" s="66" t="str">
        <f>'MSW44'!S33</f>
        <v/>
      </c>
      <c r="T33" s="263" t="str">
        <f>'MSW44'!T33</f>
        <v/>
      </c>
    </row>
    <row r="34">
      <c r="A34" t="str">
        <f>'MSW44'!A34</f>
        <v/>
      </c>
      <c r="H34" s="280" t="str">
        <f>'MSW44'!H34</f>
        <v>FINAL MAX</v>
      </c>
      <c r="I34" s="273" t="str">
        <f>'MSW44'!I34</f>
        <v/>
      </c>
      <c r="J34" s="11"/>
      <c r="K34" s="11"/>
      <c r="L34" s="11"/>
      <c r="M34" s="46"/>
      <c r="O34" s="280" t="str">
        <f>'MSW44'!O34</f>
        <v>FINAL MAX</v>
      </c>
      <c r="P34" s="273" t="str">
        <f>'MSW44'!P34</f>
        <v/>
      </c>
      <c r="Q34" s="11"/>
      <c r="R34" s="11"/>
      <c r="S34" s="11"/>
      <c r="T34" s="46"/>
    </row>
    <row r="35">
      <c r="A35" s="658" t="str">
        <f>'MSW44'!A35</f>
        <v/>
      </c>
      <c r="O35" t="str">
        <f>'MSW44'!O35</f>
        <v/>
      </c>
    </row>
    <row r="37">
      <c r="A37" s="440" t="str">
        <f>'MSW44'!A37</f>
        <v>2. DUMBBELL CHEST FLY</v>
      </c>
      <c r="B37" s="53"/>
      <c r="C37" s="53"/>
      <c r="D37" s="53"/>
      <c r="E37" s="53"/>
      <c r="F37" s="54"/>
      <c r="G37" s="659" t="str">
        <f>'MSW44'!G37</f>
        <v/>
      </c>
      <c r="H37" s="504" t="str">
        <f>'MSW44'!H37</f>
        <v>2. MACHINE CHEST FLY</v>
      </c>
      <c r="I37" s="53"/>
      <c r="J37" s="53"/>
      <c r="K37" s="53"/>
      <c r="L37" s="53"/>
      <c r="M37" s="54"/>
      <c r="N37" s="660" t="str">
        <f>'MSW44'!N37</f>
        <v/>
      </c>
    </row>
    <row r="38">
      <c r="A38" s="226" t="str">
        <f>'MSW44'!A38</f>
        <v>DB INCL PRSS MAX</v>
      </c>
      <c r="B38" s="548">
        <f>'MSW44'!B38</f>
        <v>90</v>
      </c>
      <c r="C38" s="13"/>
      <c r="D38" s="13"/>
      <c r="E38" s="13"/>
      <c r="F38" s="57"/>
      <c r="H38" s="226" t="str">
        <f>'MSW44'!H38</f>
        <v>DB INCL PRSS MAX</v>
      </c>
      <c r="I38" s="548">
        <f>'MSW44'!I38</f>
        <v>90</v>
      </c>
      <c r="J38" s="13"/>
      <c r="K38" s="13"/>
      <c r="L38" s="13"/>
      <c r="M38" s="57"/>
    </row>
    <row r="39">
      <c r="A39" s="96" t="str">
        <f>'MSW44'!A39</f>
        <v>SET</v>
      </c>
      <c r="B39" s="97" t="str">
        <f>'MSW44'!B39</f>
        <v>WEIGHT</v>
      </c>
      <c r="C39" s="97" t="str">
        <f>'MSW44'!C39</f>
        <v>REPS</v>
      </c>
      <c r="D39" s="97" t="str">
        <f>'MSW44'!D39</f>
        <v>REST</v>
      </c>
      <c r="E39" s="98" t="str">
        <f>'MSW44'!E39</f>
        <v>PREVIOUS</v>
      </c>
      <c r="F39" s="235" t="str">
        <f>'MSW44'!F39</f>
        <v>REP LOG</v>
      </c>
      <c r="H39" s="96" t="str">
        <f>'MSW44'!H39</f>
        <v>SET</v>
      </c>
      <c r="I39" s="97" t="str">
        <f>'MSW44'!I39</f>
        <v>WEIGHT</v>
      </c>
      <c r="J39" s="97" t="str">
        <f>'MSW44'!J39</f>
        <v>REPS</v>
      </c>
      <c r="K39" s="97" t="str">
        <f>'MSW44'!K39</f>
        <v>REST</v>
      </c>
      <c r="L39" s="341" t="str">
        <f>'MSW44'!L39</f>
        <v>PREVIOUS</v>
      </c>
      <c r="M39" s="235" t="str">
        <f>'MSW44'!M39</f>
        <v>REP LOG</v>
      </c>
    </row>
    <row r="40">
      <c r="A40" s="240">
        <f>'MSW44'!A40</f>
        <v>1</v>
      </c>
      <c r="B40" s="254">
        <f>'MSW44'!B40</f>
        <v>25</v>
      </c>
      <c r="C40" s="241">
        <f>'MSW44'!C40</f>
        <v>15</v>
      </c>
      <c r="D40" s="83" t="str">
        <f>'MSW44'!D40</f>
        <v>1-3 MIN</v>
      </c>
      <c r="E40" s="84" t="str">
        <f>'MSW44'!E40</f>
        <v/>
      </c>
      <c r="F40" s="85" t="str">
        <f>'MSW44'!F40</f>
        <v/>
      </c>
      <c r="H40" s="240">
        <f>'MSW44'!H40</f>
        <v>1</v>
      </c>
      <c r="I40" s="254">
        <f>'MSW44'!I40</f>
        <v>140</v>
      </c>
      <c r="J40" s="241">
        <f>'MSW44'!J40</f>
        <v>15</v>
      </c>
      <c r="K40" s="83" t="str">
        <f>'MSW44'!K40</f>
        <v>1-3 MIN</v>
      </c>
      <c r="L40" s="84" t="str">
        <f>'MSW44'!L40</f>
        <v/>
      </c>
      <c r="M40" s="85" t="str">
        <f>'MSW44'!M40</f>
        <v/>
      </c>
    </row>
    <row r="41">
      <c r="A41" s="661">
        <f>'MSW44'!A41</f>
        <v>2</v>
      </c>
      <c r="B41" s="662">
        <f>'MSW44'!B41</f>
        <v>25</v>
      </c>
      <c r="C41" s="662">
        <f>'MSW44'!C41</f>
        <v>15</v>
      </c>
      <c r="D41" s="88" t="str">
        <f>'MSW44'!D41</f>
        <v>1-3 MIN</v>
      </c>
      <c r="E41" s="89" t="str">
        <f>'MSW44'!E41</f>
        <v/>
      </c>
      <c r="F41" s="85" t="str">
        <f>'MSW44'!F41</f>
        <v/>
      </c>
      <c r="H41" s="661">
        <f>'MSW44'!H41</f>
        <v>2</v>
      </c>
      <c r="I41" s="662">
        <f>'MSW44'!I41</f>
        <v>140</v>
      </c>
      <c r="J41" s="662">
        <f>'MSW44'!J41</f>
        <v>15</v>
      </c>
      <c r="K41" s="88" t="str">
        <f>'MSW44'!K41</f>
        <v>1-3 MIN</v>
      </c>
      <c r="L41" s="89" t="str">
        <f>'MSW44'!L41</f>
        <v/>
      </c>
      <c r="M41" s="85" t="str">
        <f>'MSW44'!M41</f>
        <v/>
      </c>
    </row>
    <row r="42">
      <c r="A42" t="str">
        <f>'MSW44'!A42</f>
        <v/>
      </c>
    </row>
    <row r="44">
      <c r="A44" s="1176" t="str">
        <f>'MSW44'!A44</f>
        <v>3. SUPER SET</v>
      </c>
      <c r="B44" s="36"/>
      <c r="C44" s="36"/>
      <c r="D44" s="36"/>
      <c r="E44" s="36"/>
      <c r="F44" s="37"/>
      <c r="G44" t="str">
        <f>'MSW44'!G44</f>
        <v/>
      </c>
    </row>
    <row r="45">
      <c r="A45" s="1177" t="str">
        <f>'MSW44'!A45</f>
        <v>CURRENT MAX</v>
      </c>
      <c r="B45" s="1178">
        <f>'MSW44'!B45</f>
        <v>240</v>
      </c>
      <c r="C45" s="46"/>
      <c r="D45" s="1178" t="str">
        <f>'MSW44'!D45</f>
        <v/>
      </c>
      <c r="E45" s="11"/>
      <c r="F45" s="46"/>
    </row>
    <row r="46">
      <c r="A46" s="1179" t="str">
        <f>'MSW44'!A46</f>
        <v>SET</v>
      </c>
      <c r="B46" s="1180" t="str">
        <f>'MSW44'!B46</f>
        <v>EXERCISE</v>
      </c>
      <c r="C46" s="1181" t="str">
        <f>'MSW44'!C46</f>
        <v>WEIGHT</v>
      </c>
      <c r="D46" s="1181" t="str">
        <f>'MSW44'!D46</f>
        <v>REPS</v>
      </c>
      <c r="E46" s="1182" t="str">
        <f>'MSW44'!E46</f>
        <v>PREVIOUS</v>
      </c>
      <c r="F46" s="1006" t="str">
        <f>'MSW44'!F46</f>
        <v>REP LOG</v>
      </c>
    </row>
    <row r="47">
      <c r="A47" s="1183">
        <f>'MSW44'!A47</f>
        <v>1</v>
      </c>
      <c r="B47" s="1184" t="str">
        <f>'MSW44'!B47</f>
        <v>LAT PULL DOWN</v>
      </c>
      <c r="C47" s="1185">
        <f>'MSW44'!C47</f>
        <v>110</v>
      </c>
      <c r="D47" s="1186">
        <f>'MSW44'!D47</f>
        <v>20</v>
      </c>
      <c r="E47" s="1187" t="str">
        <f>'MSW44'!E47</f>
        <v/>
      </c>
      <c r="F47" s="1490"/>
    </row>
    <row r="48">
      <c r="A48" s="1189"/>
      <c r="B48" s="1190" t="str">
        <f>'MSW44'!B48</f>
        <v>LOW ROW</v>
      </c>
      <c r="C48" s="1191">
        <f>'MSW44'!C48</f>
        <v>0</v>
      </c>
      <c r="D48" s="1192">
        <f>'MSW44'!D48</f>
        <v>20</v>
      </c>
      <c r="E48" s="1193" t="str">
        <f>'MSW44'!E48</f>
        <v/>
      </c>
      <c r="F48" s="1188" t="str">
        <f>'MSW44'!F48</f>
        <v/>
      </c>
    </row>
    <row r="49">
      <c r="A49" s="1194" t="str">
        <f>'MSW44'!A49</f>
        <v>REST 1 MIN</v>
      </c>
      <c r="B49" s="11"/>
      <c r="C49" s="11"/>
      <c r="D49" s="11"/>
      <c r="E49" s="11"/>
      <c r="F49" s="46"/>
    </row>
    <row r="50">
      <c r="A50" s="1195">
        <f>'MSW44'!A50</f>
        <v>2</v>
      </c>
      <c r="B50" s="1184" t="str">
        <f>'MSW44'!B50</f>
        <v>LAT PULL DOWN</v>
      </c>
      <c r="C50" s="1185">
        <f>'MSW44'!C50</f>
        <v>100</v>
      </c>
      <c r="D50" s="1186">
        <f>'MSW44'!D50</f>
        <v>20</v>
      </c>
      <c r="E50" s="1187" t="str">
        <f>'MSW44'!E50</f>
        <v/>
      </c>
      <c r="F50" s="1490"/>
    </row>
    <row r="51">
      <c r="A51" s="1196"/>
      <c r="B51" s="1190" t="str">
        <f>'MSW44'!B51</f>
        <v>LOW ROW</v>
      </c>
      <c r="C51" s="1191">
        <f>'MSW44'!C51</f>
        <v>0</v>
      </c>
      <c r="D51" s="1192">
        <f>'MSW44'!D51</f>
        <v>20</v>
      </c>
      <c r="E51" s="1193" t="str">
        <f>'MSW44'!E51</f>
        <v/>
      </c>
      <c r="F51" s="1188" t="str">
        <f>'MSW44'!F51</f>
        <v/>
      </c>
    </row>
    <row r="52">
      <c r="A52" s="1194" t="str">
        <f>'MSW44'!A52</f>
        <v>REST 1 MIN</v>
      </c>
      <c r="B52" s="11"/>
      <c r="C52" s="11"/>
      <c r="D52" s="11"/>
      <c r="E52" s="11"/>
      <c r="F52" s="46"/>
    </row>
    <row r="53">
      <c r="A53" s="1195">
        <f>'MSW44'!A53</f>
        <v>3</v>
      </c>
      <c r="B53" s="1184" t="str">
        <f>'MSW44'!B53</f>
        <v>LAT PULL DOWN</v>
      </c>
      <c r="C53" s="1185">
        <f>'MSW44'!C53</f>
        <v>90</v>
      </c>
      <c r="D53" s="1186">
        <f>'MSW44'!D53</f>
        <v>20</v>
      </c>
      <c r="E53" s="1187" t="str">
        <f>'MSW44'!E53</f>
        <v/>
      </c>
      <c r="F53" s="1340"/>
    </row>
    <row r="54">
      <c r="A54" s="1196"/>
      <c r="B54" s="1190" t="str">
        <f>'MSW44'!B54</f>
        <v>LOW ROW</v>
      </c>
      <c r="C54" s="1191">
        <f>'MSW44'!C54</f>
        <v>0</v>
      </c>
      <c r="D54" s="1192">
        <f>'MSW44'!D54</f>
        <v>20</v>
      </c>
      <c r="E54" s="1193" t="str">
        <f>'MSW44'!E54</f>
        <v/>
      </c>
      <c r="F54" s="1133" t="str">
        <f>'MSW44'!F54</f>
        <v/>
      </c>
    </row>
    <row r="55">
      <c r="A55" s="1194" t="str">
        <f>'MSW44'!A55</f>
        <v>REST 1 MIN</v>
      </c>
      <c r="B55" s="11"/>
      <c r="C55" s="11"/>
      <c r="D55" s="11"/>
      <c r="E55" s="11"/>
      <c r="F55" s="46"/>
    </row>
    <row r="56">
      <c r="A56" s="1197">
        <f>'MSW44'!A56</f>
        <v>4</v>
      </c>
      <c r="B56" s="1184" t="str">
        <f>'MSW44'!B56</f>
        <v>LAT PULL DOWN</v>
      </c>
      <c r="C56" s="1185">
        <f>'MSW44'!C56</f>
        <v>80</v>
      </c>
      <c r="D56" s="1186">
        <f>'MSW44'!D56</f>
        <v>20</v>
      </c>
      <c r="E56" s="1187" t="str">
        <f>'MSW44'!E56</f>
        <v/>
      </c>
      <c r="F56" s="1133" t="str">
        <f>'MSW44'!F56</f>
        <v/>
      </c>
    </row>
    <row r="57">
      <c r="A57" s="1196"/>
      <c r="B57" s="1190" t="str">
        <f>'MSW44'!B57</f>
        <v>LOW ROW</v>
      </c>
      <c r="C57" s="1191">
        <f>'MSW44'!C57</f>
        <v>0</v>
      </c>
      <c r="D57" s="1192">
        <f>'MSW44'!D57</f>
        <v>20</v>
      </c>
      <c r="E57" s="1193" t="str">
        <f>'MSW44'!E57</f>
        <v/>
      </c>
      <c r="F57" s="1133" t="str">
        <f>'MSW44'!F57</f>
        <v/>
      </c>
    </row>
    <row r="58">
      <c r="A58" t="str">
        <f>'MSW44'!A58</f>
        <v/>
      </c>
    </row>
    <row r="60">
      <c r="A60" s="310" t="str">
        <f>'MSW44'!A60</f>
        <v>CLICK TO COMPLETE WORKOUT</v>
      </c>
      <c r="B60" s="36"/>
      <c r="C60" s="36"/>
      <c r="D60" s="36"/>
      <c r="E60" s="36"/>
      <c r="F60" s="37"/>
    </row>
    <row r="61">
      <c r="A61" t="str">
        <f>'MSW44'!A61</f>
        <v/>
      </c>
    </row>
    <row r="62">
      <c r="A62" s="224" t="str">
        <f>'MSW44'!A62</f>
        <v>DAY 2 </v>
      </c>
      <c r="B62" s="36"/>
      <c r="C62" s="36"/>
      <c r="D62" s="36"/>
      <c r="E62" s="36"/>
      <c r="F62" s="37"/>
    </row>
    <row r="63">
      <c r="A63" t="str">
        <f>'MSW44'!A63</f>
        <v/>
      </c>
    </row>
    <row r="65">
      <c r="A65" s="1355" t="str">
        <f>'MSW44'!A65</f>
        <v>1. LEG PRESS</v>
      </c>
      <c r="B65" s="53"/>
      <c r="C65" s="53"/>
      <c r="D65" s="53"/>
      <c r="E65" s="53"/>
      <c r="F65" s="54"/>
    </row>
    <row r="66">
      <c r="A66" s="1262" t="str">
        <f>'MSW44'!A66</f>
        <v>CURRENT MAX</v>
      </c>
      <c r="B66" s="1463">
        <f>'MSW44'!B66</f>
        <v>250</v>
      </c>
      <c r="F66" s="28"/>
    </row>
    <row r="67">
      <c r="A67" s="231" t="str">
        <f>'MSW44'!A67</f>
        <v>SET</v>
      </c>
      <c r="B67" s="232" t="str">
        <f>'MSW44'!B67</f>
        <v>WEIGHT</v>
      </c>
      <c r="C67" s="232" t="str">
        <f>'MSW44'!C67</f>
        <v>REPS</v>
      </c>
      <c r="D67" s="232" t="str">
        <f>'MSW44'!D67</f>
        <v>REST</v>
      </c>
      <c r="E67" s="233" t="str">
        <f>'MSW44'!E67</f>
        <v>PREVIOUS</v>
      </c>
      <c r="F67" s="61" t="str">
        <f>'MSW44'!F67</f>
        <v>REP LOG</v>
      </c>
    </row>
    <row r="68">
      <c r="A68" s="236">
        <f>'MSW44'!A68</f>
        <v>1</v>
      </c>
      <c r="B68" s="237">
        <f>'MSW44'!B68</f>
        <v>90</v>
      </c>
      <c r="C68" s="238">
        <f>'MSW44'!C68</f>
        <v>10</v>
      </c>
      <c r="D68" s="238" t="str">
        <f>'MSW44'!D68</f>
        <v>30s</v>
      </c>
      <c r="E68" s="66" t="str">
        <f>'MSW44'!E68</f>
        <v/>
      </c>
      <c r="F68" s="67"/>
    </row>
    <row r="69">
      <c r="A69" s="236">
        <f>'MSW44'!A69</f>
        <v>2</v>
      </c>
      <c r="B69" s="237">
        <f>'MSW44'!B69</f>
        <v>165</v>
      </c>
      <c r="C69" s="238">
        <f>'MSW44'!C69</f>
        <v>10</v>
      </c>
      <c r="D69" s="238" t="str">
        <f>'MSW44'!D69</f>
        <v>1-2 MIN</v>
      </c>
      <c r="E69" s="66" t="str">
        <f>'MSW44'!E69</f>
        <v/>
      </c>
      <c r="F69" s="67"/>
    </row>
    <row r="70">
      <c r="A70" s="242">
        <f>'MSW44'!A70</f>
        <v>3</v>
      </c>
      <c r="B70" s="237">
        <f>'MSW44'!B70</f>
        <v>225</v>
      </c>
      <c r="C70" s="238">
        <f>'MSW44'!C70</f>
        <v>10</v>
      </c>
      <c r="D70" s="238" t="str">
        <f>'MSW44'!D70</f>
        <v>1-2 MIN</v>
      </c>
      <c r="E70" s="66" t="str">
        <f>'MSW44'!E70</f>
        <v/>
      </c>
      <c r="F70" s="67"/>
    </row>
    <row r="71">
      <c r="A71" s="249">
        <f>'MSW44'!A71</f>
        <v>4</v>
      </c>
      <c r="B71" s="175">
        <f>'MSW44'!B71</f>
        <v>220</v>
      </c>
      <c r="C71" s="238">
        <f>'MSW44'!C71</f>
        <v>10</v>
      </c>
      <c r="D71" s="238" t="str">
        <f>'MSW44'!D71</f>
        <v>1-5 MIN</v>
      </c>
      <c r="E71" s="66" t="str">
        <f>'MSW44'!E71</f>
        <v/>
      </c>
      <c r="F71" s="67"/>
    </row>
    <row r="72">
      <c r="A72" s="249">
        <f>'MSW44'!A72</f>
        <v>5</v>
      </c>
      <c r="B72" s="175">
        <f>'MSW44'!B72</f>
        <v>175</v>
      </c>
      <c r="C72" s="238">
        <f>'MSW44'!C72</f>
        <v>10</v>
      </c>
      <c r="D72" s="238" t="str">
        <f>'MSW44'!D72</f>
        <v>1-5 MIN</v>
      </c>
      <c r="E72" s="66" t="str">
        <f>'MSW44'!E72</f>
        <v/>
      </c>
      <c r="F72" s="1037" t="str">
        <f>'MSW44'!F72</f>
        <v/>
      </c>
    </row>
    <row r="73">
      <c r="A73" s="249">
        <f>'MSW44'!A73</f>
        <v>6</v>
      </c>
      <c r="B73" s="175">
        <f>'MSW44'!B73</f>
        <v>140</v>
      </c>
      <c r="C73" s="238">
        <f>'MSW44'!C73</f>
        <v>10</v>
      </c>
      <c r="D73" s="238" t="str">
        <f>'MSW44'!D73</f>
        <v>1-5 MIN</v>
      </c>
      <c r="E73" s="66" t="str">
        <f>'MSW44'!E73</f>
        <v/>
      </c>
      <c r="F73" s="67" t="str">
        <f>'MSW44'!F73</f>
        <v/>
      </c>
    </row>
    <row r="74">
      <c r="A74" s="1038">
        <f>'MSW44'!A74</f>
        <v>7</v>
      </c>
      <c r="B74" s="175">
        <f>'MSW44'!B74</f>
        <v>110</v>
      </c>
      <c r="C74" s="238">
        <f>'MSW44'!C74</f>
        <v>10</v>
      </c>
      <c r="D74" s="238" t="str">
        <f>'MSW44'!D74</f>
        <v>1-5 MIN</v>
      </c>
      <c r="E74" s="66" t="str">
        <f>'MSW44'!E74</f>
        <v/>
      </c>
      <c r="F74" s="67" t="str">
        <f>'MSW44'!F74</f>
        <v/>
      </c>
    </row>
    <row r="75">
      <c r="A75" s="249">
        <f>'MSW44'!A75</f>
        <v>8</v>
      </c>
      <c r="B75" s="175">
        <f>'MSW44'!B75</f>
        <v>90</v>
      </c>
      <c r="C75" s="238">
        <f>'MSW44'!C75</f>
        <v>10</v>
      </c>
      <c r="D75" s="238" t="str">
        <f>'MSW44'!D75</f>
        <v>1-5 MIN</v>
      </c>
      <c r="E75" s="66" t="str">
        <f>'MSW44'!E75</f>
        <v/>
      </c>
      <c r="F75" s="67" t="str">
        <f>'MSW44'!F75</f>
        <v/>
      </c>
    </row>
    <row r="76">
      <c r="A76" s="1038">
        <f>'MSW44'!A76</f>
        <v>9</v>
      </c>
      <c r="B76" s="175">
        <f>'MSW44'!B76</f>
        <v>70</v>
      </c>
      <c r="C76" s="238">
        <f>'MSW44'!C76</f>
        <v>10</v>
      </c>
      <c r="D76" s="238" t="str">
        <f>'MSW44'!D76</f>
        <v>1-5 MIN</v>
      </c>
      <c r="E76" s="66" t="str">
        <f>'MSW44'!E76</f>
        <v/>
      </c>
      <c r="F76" s="67" t="str">
        <f>'MSW44'!F76</f>
        <v/>
      </c>
    </row>
    <row r="77">
      <c r="A77" s="1038" t="str">
        <f>'MSW44'!A77</f>
        <v>10</v>
      </c>
      <c r="B77" s="175">
        <f>'MSW44'!B77</f>
        <v>55</v>
      </c>
      <c r="C77" s="238">
        <f>'MSW44'!C77</f>
        <v>10</v>
      </c>
      <c r="D77" s="238" t="str">
        <f>'MSW44'!D77</f>
        <v>1-5 MIN</v>
      </c>
      <c r="E77" s="66" t="str">
        <f>'MSW44'!E77</f>
        <v/>
      </c>
      <c r="F77" s="67" t="str">
        <f>'MSW44'!F77</f>
        <v/>
      </c>
    </row>
    <row r="78">
      <c r="A78" s="272" t="str">
        <f>'MSW44'!A78</f>
        <v>20 REP MAX</v>
      </c>
      <c r="B78" s="1039">
        <f>'MSW44'!B78</f>
        <v>250</v>
      </c>
      <c r="C78" s="11"/>
      <c r="D78" s="11"/>
      <c r="E78" s="11"/>
      <c r="F78" s="46"/>
    </row>
    <row r="79">
      <c r="A79" t="str">
        <f>'MSW44'!A79</f>
        <v/>
      </c>
    </row>
    <row r="81">
      <c r="A81" s="1285" t="str">
        <f>'MSW44'!A81</f>
        <v>2. LEG EXTENSION</v>
      </c>
      <c r="B81" s="53"/>
      <c r="C81" s="53"/>
      <c r="D81" s="53"/>
      <c r="E81" s="53"/>
      <c r="F81" s="54"/>
    </row>
    <row r="82">
      <c r="A82" s="1045" t="str">
        <f>'MSW44'!A82</f>
        <v>CURRENT MAX</v>
      </c>
      <c r="B82" s="1367">
        <f>'MSW44'!B82</f>
        <v>110</v>
      </c>
      <c r="C82" s="20"/>
      <c r="D82" s="20"/>
      <c r="E82" s="20"/>
      <c r="F82" s="95"/>
    </row>
    <row r="83">
      <c r="A83" s="567" t="str">
        <f>'MSW44'!A83</f>
        <v>SET</v>
      </c>
      <c r="B83" s="568" t="str">
        <f>'MSW44'!B83</f>
        <v>WEIGHT</v>
      </c>
      <c r="C83" s="568" t="str">
        <f>'MSW44'!C83</f>
        <v>REPS</v>
      </c>
      <c r="D83" s="568" t="str">
        <f>'MSW44'!D83</f>
        <v>REST</v>
      </c>
      <c r="E83" s="1047" t="str">
        <f>'MSW44'!E83</f>
        <v>PREVIOUS</v>
      </c>
      <c r="F83" s="1048" t="str">
        <f>'MSW44'!F83</f>
        <v>REP LOG</v>
      </c>
    </row>
    <row r="84">
      <c r="A84" s="1049">
        <f>'MSW44'!A84</f>
        <v>1</v>
      </c>
      <c r="B84" s="1050">
        <f>'MSW44'!B84</f>
        <v>110</v>
      </c>
      <c r="C84" s="1051" t="str">
        <f>'MSW44'!C84</f>
        <v>10 - 15</v>
      </c>
      <c r="D84" s="1430" t="str">
        <f>'MSW44'!D84</f>
        <v>1-2 MIN</v>
      </c>
      <c r="E84" s="1130" t="str">
        <f>'MSW44'!E84</f>
        <v/>
      </c>
      <c r="F84" s="1017" t="str">
        <f>'MSW44'!F84</f>
        <v/>
      </c>
    </row>
    <row r="85">
      <c r="A85" s="1049">
        <f>'MSW44'!A85</f>
        <v>2</v>
      </c>
      <c r="B85" s="1050">
        <f>'MSW44'!B85</f>
        <v>90</v>
      </c>
      <c r="C85" s="1051" t="str">
        <f>'MSW44'!C85</f>
        <v>10 - 15</v>
      </c>
      <c r="D85" s="1430" t="str">
        <f>'MSW44'!D85</f>
        <v>1-2 MIN</v>
      </c>
      <c r="E85" s="1130" t="str">
        <f>'MSW44'!E85</f>
        <v/>
      </c>
      <c r="F85" s="1017" t="str">
        <f>'MSW44'!F85</f>
        <v/>
      </c>
    </row>
    <row r="86">
      <c r="A86" s="1053">
        <f>'MSW44'!A86</f>
        <v>3</v>
      </c>
      <c r="B86" s="1054">
        <f>'MSW44'!B86</f>
        <v>70</v>
      </c>
      <c r="C86" s="1055" t="str">
        <f>'MSW44'!C86</f>
        <v>10 - 15</v>
      </c>
      <c r="D86" s="1453" t="str">
        <f>'MSW44'!D86</f>
        <v>1-2 MIN</v>
      </c>
      <c r="E86" s="1348" t="str">
        <f>'MSW44'!E86</f>
        <v/>
      </c>
      <c r="F86" s="1017" t="str">
        <f>'MSW44'!F86</f>
        <v/>
      </c>
    </row>
    <row r="87">
      <c r="A87" t="str">
        <f>'MSW44'!A87</f>
        <v/>
      </c>
    </row>
    <row r="89">
      <c r="A89" s="323" t="str">
        <f>'MSW44'!A89</f>
        <v>3. MACHINE LEG CURL</v>
      </c>
      <c r="B89" s="53"/>
      <c r="C89" s="53"/>
      <c r="D89" s="53"/>
      <c r="E89" s="53"/>
      <c r="F89" s="54"/>
      <c r="G89" s="141" t="str">
        <f>'MSW44'!G89</f>
        <v/>
      </c>
      <c r="H89" s="323" t="str">
        <f>'MSW44'!H89</f>
        <v>3. PRONE LEG CURL</v>
      </c>
      <c r="I89" s="53"/>
      <c r="J89" s="53"/>
      <c r="K89" s="53"/>
      <c r="L89" s="53"/>
      <c r="M89" s="54"/>
      <c r="N89" t="str">
        <f>'MSW44'!N89</f>
        <v/>
      </c>
    </row>
    <row r="90">
      <c r="A90" s="1045" t="str">
        <f>'MSW44'!A90</f>
        <v>CURRENT MAX</v>
      </c>
      <c r="B90" s="1367">
        <f>'MSW44'!B90</f>
        <v>105</v>
      </c>
      <c r="C90" s="20"/>
      <c r="D90" s="20"/>
      <c r="E90" s="20"/>
      <c r="F90" s="95"/>
      <c r="H90" s="1045" t="str">
        <f>'MSW44'!H90</f>
        <v>CURRENT MAX</v>
      </c>
      <c r="I90" s="1046">
        <f>'MSW44'!I90</f>
        <v>105</v>
      </c>
      <c r="J90" s="13"/>
      <c r="K90" s="13"/>
      <c r="L90" s="13"/>
      <c r="M90" s="57"/>
    </row>
    <row r="91">
      <c r="A91" s="567" t="str">
        <f>'MSW44'!A91</f>
        <v>SET</v>
      </c>
      <c r="B91" s="568" t="str">
        <f>'MSW44'!B91</f>
        <v>WEIGHT</v>
      </c>
      <c r="C91" s="568" t="str">
        <f>'MSW44'!C91</f>
        <v>REPS</v>
      </c>
      <c r="D91" s="568" t="str">
        <f>'MSW44'!D91</f>
        <v>REST</v>
      </c>
      <c r="E91" s="1047" t="str">
        <f>'MSW44'!E91</f>
        <v>PREVIOUS</v>
      </c>
      <c r="F91" s="1048" t="str">
        <f>'MSW44'!F91</f>
        <v>REP LOG</v>
      </c>
      <c r="H91" s="567" t="str">
        <f>'MSW44'!H91</f>
        <v>SET</v>
      </c>
      <c r="I91" s="568" t="str">
        <f>'MSW44'!I91</f>
        <v>WEIGHT</v>
      </c>
      <c r="J91" s="568" t="str">
        <f>'MSW44'!J91</f>
        <v>REPS</v>
      </c>
      <c r="K91" s="568" t="str">
        <f>'MSW44'!K91</f>
        <v>REST</v>
      </c>
      <c r="L91" s="1047" t="str">
        <f>'MSW44'!L91</f>
        <v>PREVIOUS</v>
      </c>
      <c r="M91" s="1048" t="str">
        <f>'MSW44'!M91</f>
        <v>REP LOG</v>
      </c>
    </row>
    <row r="92">
      <c r="A92" s="1049">
        <f>'MSW44'!A92</f>
        <v>1</v>
      </c>
      <c r="B92" s="1050">
        <f>'MSW44'!B92</f>
        <v>105</v>
      </c>
      <c r="C92" s="1051" t="str">
        <f>'MSW44'!C92</f>
        <v>10 - 15</v>
      </c>
      <c r="D92" s="1430" t="str">
        <f>'MSW44'!D92</f>
        <v>1-2 MIN</v>
      </c>
      <c r="E92" s="1130" t="str">
        <f>'MSW44'!E92</f>
        <v/>
      </c>
      <c r="F92" s="1017" t="str">
        <f>'MSW44'!F92</f>
        <v/>
      </c>
      <c r="G92" s="434" t="str">
        <f>'MSW44'!G92</f>
        <v>ALTERNATE</v>
      </c>
      <c r="H92" s="1049">
        <f>'MSW44'!H92</f>
        <v>1</v>
      </c>
      <c r="I92" s="1050">
        <f>'MSW44'!I92</f>
        <v>105</v>
      </c>
      <c r="J92" s="1051" t="str">
        <f>'MSW44'!J92</f>
        <v>10 - 15</v>
      </c>
      <c r="K92" s="1430" t="str">
        <f>'MSW44'!K92</f>
        <v>1-2 MIN</v>
      </c>
      <c r="L92" s="1130" t="str">
        <f>'MSW44'!L92</f>
        <v/>
      </c>
      <c r="M92" s="1017" t="str">
        <f>'MSW44'!M92</f>
        <v/>
      </c>
    </row>
    <row r="93">
      <c r="A93" s="1049">
        <f>'MSW44'!A93</f>
        <v>2</v>
      </c>
      <c r="B93" s="1050">
        <f>'MSW44'!B93</f>
        <v>85</v>
      </c>
      <c r="C93" s="1051" t="str">
        <f>'MSW44'!C93</f>
        <v>10 - 15</v>
      </c>
      <c r="D93" s="1430" t="str">
        <f>'MSW44'!D93</f>
        <v>1-2 MIN</v>
      </c>
      <c r="E93" s="1130" t="str">
        <f>'MSW44'!E93</f>
        <v/>
      </c>
      <c r="F93" s="1017" t="str">
        <f>'MSW44'!F93</f>
        <v/>
      </c>
      <c r="H93" s="1049">
        <f>'MSW44'!H93</f>
        <v>2</v>
      </c>
      <c r="I93" s="1050">
        <f>'MSW44'!I93</f>
        <v>85</v>
      </c>
      <c r="J93" s="1051" t="str">
        <f>'MSW44'!J93</f>
        <v>10 - 15</v>
      </c>
      <c r="K93" s="1430" t="str">
        <f>'MSW44'!K93</f>
        <v>1-2 MIN</v>
      </c>
      <c r="L93" s="1130" t="str">
        <f>'MSW44'!L93</f>
        <v/>
      </c>
      <c r="M93" s="1017" t="str">
        <f>'MSW44'!M93</f>
        <v/>
      </c>
    </row>
    <row r="94">
      <c r="A94" s="1053">
        <f>'MSW44'!A94</f>
        <v>3</v>
      </c>
      <c r="B94" s="1054">
        <f>'MSW44'!B94</f>
        <v>70</v>
      </c>
      <c r="C94" s="1055" t="str">
        <f>'MSW44'!C94</f>
        <v>10 - 15</v>
      </c>
      <c r="D94" s="1453" t="str">
        <f>'MSW44'!D94</f>
        <v>1-2 MIN</v>
      </c>
      <c r="E94" s="1348" t="str">
        <f>'MSW44'!E94</f>
        <v/>
      </c>
      <c r="F94" s="1017" t="str">
        <f>'MSW44'!F94</f>
        <v/>
      </c>
      <c r="G94" s="682" t="str">
        <f>'MSW44'!G94</f>
        <v/>
      </c>
      <c r="H94" s="1053">
        <f>'MSW44'!H94</f>
        <v>3</v>
      </c>
      <c r="I94" s="1054">
        <f>'MSW44'!I94</f>
        <v>70</v>
      </c>
      <c r="J94" s="1055" t="str">
        <f>'MSW44'!J94</f>
        <v>10 - 15</v>
      </c>
      <c r="K94" s="1453" t="str">
        <f>'MSW44'!K94</f>
        <v>1-2 MIN</v>
      </c>
      <c r="L94" s="1348" t="str">
        <f>'MSW44'!L94</f>
        <v/>
      </c>
      <c r="M94" s="1017" t="str">
        <f>'MSW44'!M94</f>
        <v/>
      </c>
    </row>
    <row r="95">
      <c r="A95" s="849" t="str">
        <f>'MSW44'!A95</f>
        <v/>
      </c>
    </row>
    <row r="97">
      <c r="A97" s="1120" t="str">
        <f>'MSW44'!A97</f>
        <v>DAY 3</v>
      </c>
      <c r="B97" s="36"/>
      <c r="C97" s="36"/>
      <c r="D97" s="36"/>
      <c r="E97" s="36"/>
      <c r="F97" s="37"/>
      <c r="G97" t="str">
        <f>'MSW44'!G97</f>
        <v/>
      </c>
    </row>
    <row r="98">
      <c r="A98" t="str">
        <f>'MSW44'!A98</f>
        <v/>
      </c>
    </row>
    <row r="100">
      <c r="A100" s="51" t="str">
        <f>'MSW44'!A100</f>
        <v>SHOULDERS &amp; ARMS</v>
      </c>
      <c r="B100" s="36"/>
      <c r="C100" s="36"/>
      <c r="D100" s="36"/>
      <c r="E100" s="36"/>
      <c r="F100" s="37"/>
      <c r="G100" t="str">
        <f>'MSW44'!G100</f>
        <v/>
      </c>
    </row>
    <row r="101">
      <c r="A101" s="960" t="str">
        <f>'MSW44'!A101</f>
        <v>1. SHOULDER CLEANS</v>
      </c>
      <c r="B101" s="53"/>
      <c r="C101" s="53"/>
      <c r="D101" s="53"/>
      <c r="E101" s="53"/>
      <c r="F101" s="54"/>
    </row>
    <row r="102">
      <c r="A102" s="961" t="str">
        <f>'MSW44'!A102</f>
        <v>CURRENT MAX</v>
      </c>
      <c r="B102" s="1294">
        <f>'MSW44'!B102</f>
        <v>25</v>
      </c>
      <c r="C102" s="13"/>
      <c r="D102" s="13"/>
      <c r="E102" s="13"/>
      <c r="F102" s="57"/>
    </row>
    <row r="103">
      <c r="A103" s="962" t="str">
        <f>'MSW44'!A103</f>
        <v>SET</v>
      </c>
      <c r="B103" s="963" t="str">
        <f>'MSW44'!B103</f>
        <v>WEIGHT</v>
      </c>
      <c r="C103" s="963" t="str">
        <f>'MSW44'!C103</f>
        <v>REPS</v>
      </c>
      <c r="D103" s="981" t="str">
        <f>'MSW44'!D103</f>
        <v>REST</v>
      </c>
      <c r="E103" s="965" t="str">
        <f>'MSW44'!E103</f>
        <v>PREVIOUS</v>
      </c>
      <c r="F103" s="966" t="str">
        <f>'MSW44'!F103</f>
        <v>REP LOG</v>
      </c>
    </row>
    <row r="104">
      <c r="A104" s="967">
        <f>'MSW44'!A104</f>
        <v>1</v>
      </c>
      <c r="B104" s="968">
        <f>'MSW44'!B104</f>
        <v>25</v>
      </c>
      <c r="C104" s="968">
        <f>'MSW44'!C104</f>
        <v>20</v>
      </c>
      <c r="D104" s="969" t="str">
        <f>'MSW44'!D104</f>
        <v>1 MIN</v>
      </c>
      <c r="E104" s="1130" t="str">
        <f>'MSW44'!E104</f>
        <v/>
      </c>
      <c r="F104" s="982">
        <v>20.0</v>
      </c>
    </row>
    <row r="105">
      <c r="A105" s="967">
        <f>'MSW44'!A105</f>
        <v>2</v>
      </c>
      <c r="B105" s="968">
        <f>'MSW44'!B105</f>
        <v>25</v>
      </c>
      <c r="C105" s="968">
        <f>'MSW44'!C105</f>
        <v>20</v>
      </c>
      <c r="D105" s="969" t="str">
        <f>'MSW44'!D105</f>
        <v>1 MIN</v>
      </c>
      <c r="E105" s="1130" t="str">
        <f>'MSW44'!E105</f>
        <v/>
      </c>
      <c r="F105" s="982">
        <v>20.0</v>
      </c>
    </row>
    <row r="106">
      <c r="A106" s="971">
        <f>'MSW44'!A106</f>
        <v>3</v>
      </c>
      <c r="B106" s="972">
        <f>'MSW44'!B106</f>
        <v>25</v>
      </c>
      <c r="C106" s="972">
        <f>'MSW44'!C106</f>
        <v>20</v>
      </c>
      <c r="D106" s="973" t="str">
        <f>'MSW44'!D106</f>
        <v>1 MIN</v>
      </c>
      <c r="E106" s="1348" t="str">
        <f>'MSW44'!E106</f>
        <v/>
      </c>
      <c r="F106" s="1131">
        <v>2.0</v>
      </c>
    </row>
    <row r="107">
      <c r="A107" s="212" t="str">
        <f>'MSW44'!A107</f>
        <v/>
      </c>
    </row>
    <row r="109">
      <c r="A109" s="687" t="str">
        <f>'MSW44'!A109</f>
        <v>2. DUMBBELL REAR DELT FLY </v>
      </c>
      <c r="B109" s="53"/>
      <c r="C109" s="53"/>
      <c r="D109" s="53"/>
      <c r="E109" s="53"/>
      <c r="F109" s="54"/>
    </row>
    <row r="110">
      <c r="A110" s="226" t="str">
        <f>'MSW44'!A110</f>
        <v>SHLDR PRESS MAX</v>
      </c>
      <c r="B110" s="691">
        <f>'MSW44'!B110</f>
        <v>80</v>
      </c>
      <c r="C110" s="13"/>
      <c r="D110" s="13"/>
      <c r="E110" s="13"/>
      <c r="F110" s="57"/>
    </row>
    <row r="111">
      <c r="A111" s="96" t="str">
        <f>'MSW44'!A111</f>
        <v>SET</v>
      </c>
      <c r="B111" s="97" t="str">
        <f>'MSW44'!B111</f>
        <v>WEIGHT</v>
      </c>
      <c r="C111" s="97" t="str">
        <f>'MSW44'!C111</f>
        <v>REPS</v>
      </c>
      <c r="D111" s="97" t="str">
        <f>'MSW44'!D111</f>
        <v>REST</v>
      </c>
      <c r="E111" s="341" t="str">
        <f>'MSW44'!E111</f>
        <v>PREVIOUS</v>
      </c>
      <c r="F111" s="235" t="str">
        <f>'MSW44'!F111</f>
        <v>REP LOG</v>
      </c>
    </row>
    <row r="112">
      <c r="A112" s="556">
        <f>'MSW44'!A112</f>
        <v>1</v>
      </c>
      <c r="B112" s="237">
        <f>'MSW44'!B112</f>
        <v>15</v>
      </c>
      <c r="C112" s="65">
        <f>'MSW44'!C112</f>
        <v>20</v>
      </c>
      <c r="D112" s="693" t="str">
        <f>'MSW44'!D112</f>
        <v>1 - MIN</v>
      </c>
      <c r="E112" s="1130" t="str">
        <f>'MSW44'!E112</f>
        <v/>
      </c>
      <c r="F112" s="85">
        <v>10.0</v>
      </c>
    </row>
    <row r="113">
      <c r="A113" s="556">
        <f>'MSW44'!A113</f>
        <v>2</v>
      </c>
      <c r="B113" s="237">
        <f>'MSW44'!B113</f>
        <v>15</v>
      </c>
      <c r="C113" s="65">
        <f>'MSW44'!C113</f>
        <v>20</v>
      </c>
      <c r="D113" s="693" t="str">
        <f>'MSW44'!D113</f>
        <v>1 - MIN</v>
      </c>
      <c r="E113" s="1130" t="str">
        <f>'MSW44'!E113</f>
        <v/>
      </c>
      <c r="F113" s="85">
        <v>10.0</v>
      </c>
    </row>
    <row r="114">
      <c r="A114" s="561">
        <f>'MSW44'!A114</f>
        <v>3</v>
      </c>
      <c r="B114" s="371">
        <f>'MSW44'!B114</f>
        <v>15</v>
      </c>
      <c r="C114" s="71">
        <f>'MSW44'!C114</f>
        <v>20</v>
      </c>
      <c r="D114" s="794" t="str">
        <f>'MSW44'!D114</f>
        <v>1 - MIN</v>
      </c>
      <c r="E114" s="1348" t="str">
        <f>'MSW44'!E114</f>
        <v/>
      </c>
      <c r="F114" s="694" t="str">
        <f>'MSW44'!F114</f>
        <v/>
      </c>
    </row>
    <row r="115">
      <c r="A115" s="292" t="str">
        <f>'MSW44'!A115</f>
        <v/>
      </c>
    </row>
    <row r="117">
      <c r="A117" s="513" t="str">
        <f>'MSW44'!A117</f>
        <v>3. DUMBBELL SIDE LATERAL RAISE</v>
      </c>
      <c r="B117" s="53"/>
      <c r="C117" s="53"/>
      <c r="D117" s="53"/>
      <c r="E117" s="53"/>
      <c r="F117" s="54"/>
    </row>
    <row r="118">
      <c r="A118" s="226" t="str">
        <f>'MSW44'!A118</f>
        <v>SHLDR PRSS MAX</v>
      </c>
      <c r="B118" s="90">
        <f>'MSW44'!B118</f>
        <v>80</v>
      </c>
      <c r="C118" s="13"/>
      <c r="D118" s="13"/>
      <c r="E118" s="13"/>
      <c r="F118" s="57"/>
    </row>
    <row r="119">
      <c r="A119" s="376" t="str">
        <f>'MSW44'!A119</f>
        <v>SET</v>
      </c>
      <c r="B119" s="79" t="str">
        <f>'MSW44'!B119</f>
        <v>WEIGHT</v>
      </c>
      <c r="C119" s="79" t="str">
        <f>'MSW44'!C119</f>
        <v>REPS</v>
      </c>
      <c r="D119" s="79" t="str">
        <f>'MSW44'!D119</f>
        <v>REST</v>
      </c>
      <c r="E119" s="98" t="str">
        <f>'MSW44'!E119</f>
        <v>PREVIOUS</v>
      </c>
      <c r="F119" s="377" t="str">
        <f>'MSW44'!F119</f>
        <v>REP LOG</v>
      </c>
    </row>
    <row r="120">
      <c r="A120" s="81">
        <f>'MSW44'!A120</f>
        <v>1</v>
      </c>
      <c r="B120" s="82">
        <f>'MSW44'!B120</f>
        <v>15</v>
      </c>
      <c r="C120" s="65">
        <f>'MSW44'!C120</f>
        <v>20</v>
      </c>
      <c r="D120" s="83" t="str">
        <f>'MSW44'!D120</f>
        <v>1 MIN</v>
      </c>
      <c r="E120" s="84" t="str">
        <f>'MSW44'!E120</f>
        <v/>
      </c>
      <c r="F120" s="330">
        <v>10.0</v>
      </c>
    </row>
    <row r="121">
      <c r="A121" s="81">
        <f>'MSW44'!A121</f>
        <v>2</v>
      </c>
      <c r="B121" s="82">
        <f>'MSW44'!B121</f>
        <v>12.5</v>
      </c>
      <c r="C121" s="65">
        <f>'MSW44'!C121</f>
        <v>20</v>
      </c>
      <c r="D121" s="83" t="str">
        <f>'MSW44'!D121</f>
        <v>1 MIN</v>
      </c>
      <c r="E121" s="84" t="str">
        <f>'MSW44'!E121</f>
        <v/>
      </c>
      <c r="F121" s="330">
        <v>20.0</v>
      </c>
    </row>
    <row r="122">
      <c r="A122" s="86">
        <f>'MSW44'!A122</f>
        <v>3</v>
      </c>
      <c r="B122" s="87">
        <f>'MSW44'!B122</f>
        <v>12.5</v>
      </c>
      <c r="C122" s="71">
        <f>'MSW44'!C122</f>
        <v>20</v>
      </c>
      <c r="D122" s="88" t="str">
        <f>'MSW44'!D122</f>
        <v>1 MIN</v>
      </c>
      <c r="E122" s="89" t="str">
        <f>'MSW44'!E122</f>
        <v/>
      </c>
      <c r="F122" s="85" t="str">
        <f>'MSW44'!F122</f>
        <v/>
      </c>
    </row>
    <row r="123">
      <c r="A123" s="696" t="str">
        <f>'MSW44'!A123</f>
        <v/>
      </c>
    </row>
    <row r="125">
      <c r="A125" s="73" t="str">
        <f>'MSW44'!A125</f>
        <v>4. TRICEP PUSH DOWNS</v>
      </c>
      <c r="B125" s="53"/>
      <c r="C125" s="53"/>
      <c r="D125" s="53"/>
      <c r="E125" s="53"/>
      <c r="F125" s="54"/>
    </row>
    <row r="126">
      <c r="A126" s="226" t="str">
        <f>'MSW44'!A126</f>
        <v>CURRENT MAX</v>
      </c>
      <c r="B126" s="90">
        <f>'MSW44'!B126</f>
        <v>85</v>
      </c>
      <c r="C126" s="13"/>
      <c r="D126" s="13"/>
      <c r="E126" s="13"/>
      <c r="F126" s="57"/>
    </row>
    <row r="127">
      <c r="A127" s="77" t="str">
        <f>'MSW44'!A127</f>
        <v>SET</v>
      </c>
      <c r="B127" s="78" t="str">
        <f>'MSW44'!B127</f>
        <v>WEIGHT</v>
      </c>
      <c r="C127" s="78" t="str">
        <f>'MSW44'!C127</f>
        <v>REPS</v>
      </c>
      <c r="D127" s="78" t="str">
        <f>'MSW44'!D127</f>
        <v>REST</v>
      </c>
      <c r="E127" s="80" t="str">
        <f>'MSW44'!E127</f>
        <v>PREVIOUS</v>
      </c>
      <c r="F127" s="235" t="str">
        <f>'MSW44'!F127</f>
        <v>REP LOG</v>
      </c>
    </row>
    <row r="128">
      <c r="A128" s="81">
        <f>'MSW44'!A128</f>
        <v>1</v>
      </c>
      <c r="B128" s="82">
        <f>'MSW44'!B128</f>
        <v>85</v>
      </c>
      <c r="C128" s="65">
        <f>'MSW44'!C128</f>
        <v>20</v>
      </c>
      <c r="D128" s="83" t="str">
        <f>'MSW44'!D128</f>
        <v>1MIN</v>
      </c>
      <c r="E128" s="84" t="str">
        <f>'MSW44'!E128</f>
        <v/>
      </c>
      <c r="F128" s="85" t="str">
        <f>'MSW44'!F128</f>
        <v/>
      </c>
    </row>
    <row r="129">
      <c r="A129" s="81">
        <f>'MSW44'!A129</f>
        <v>2</v>
      </c>
      <c r="B129" s="82">
        <f>'MSW44'!B129</f>
        <v>70</v>
      </c>
      <c r="C129" s="65">
        <f>'MSW44'!C129</f>
        <v>20</v>
      </c>
      <c r="D129" s="83" t="str">
        <f>'MSW44'!D129</f>
        <v>1MIN</v>
      </c>
      <c r="E129" s="84" t="str">
        <f>'MSW44'!E129</f>
        <v/>
      </c>
      <c r="F129" s="85" t="str">
        <f>'MSW44'!F129</f>
        <v/>
      </c>
    </row>
    <row r="130">
      <c r="A130" s="86">
        <f>'MSW44'!A130</f>
        <v>3</v>
      </c>
      <c r="B130" s="87">
        <f>'MSW44'!B130</f>
        <v>55</v>
      </c>
      <c r="C130" s="71">
        <f>'MSW44'!C130</f>
        <v>20</v>
      </c>
      <c r="D130" s="88" t="str">
        <f>'MSW44'!D130</f>
        <v>1MIN</v>
      </c>
      <c r="E130" s="89" t="str">
        <f>'MSW44'!E130</f>
        <v/>
      </c>
      <c r="F130" s="85" t="str">
        <f>'MSW44'!F130</f>
        <v/>
      </c>
    </row>
    <row r="131">
      <c r="A131" t="str">
        <f>'MSW44'!A131</f>
        <v/>
      </c>
    </row>
    <row r="133">
      <c r="A133" s="75" t="str">
        <f>'MSW44'!A133</f>
        <v>5. BICEP CABLE CURL</v>
      </c>
      <c r="B133" s="53"/>
      <c r="C133" s="53"/>
      <c r="D133" s="53"/>
      <c r="E133" s="53"/>
      <c r="F133" s="54"/>
      <c r="G133" t="str">
        <f>'MSW44'!G133</f>
        <v/>
      </c>
      <c r="H133" s="75" t="str">
        <f>'MSW44'!H133</f>
        <v>5. BICEP EZ BAR CURL</v>
      </c>
      <c r="I133" s="53"/>
      <c r="J133" s="53"/>
      <c r="K133" s="53"/>
      <c r="L133" s="53"/>
      <c r="M133" s="54"/>
      <c r="N133" t="str">
        <f>'MSW44'!N133</f>
        <v/>
      </c>
    </row>
    <row r="134">
      <c r="A134" s="226" t="str">
        <f>'MSW44'!A134</f>
        <v>CURRENT MAX</v>
      </c>
      <c r="B134" s="90">
        <f>'MSW44'!B134</f>
        <v>60</v>
      </c>
      <c r="C134" s="13"/>
      <c r="D134" s="13"/>
      <c r="E134" s="13"/>
      <c r="F134" s="57"/>
      <c r="H134" s="226" t="str">
        <f>'MSW44'!H134</f>
        <v>CURRENT MAX</v>
      </c>
      <c r="I134" s="90">
        <f>'MSW44'!I134</f>
        <v>15</v>
      </c>
      <c r="J134" s="13"/>
      <c r="K134" s="13"/>
      <c r="L134" s="13"/>
      <c r="M134" s="57"/>
    </row>
    <row r="135">
      <c r="A135" s="77" t="str">
        <f>'MSW44'!A135</f>
        <v>SET</v>
      </c>
      <c r="B135" s="78" t="str">
        <f>'MSW44'!B135</f>
        <v>WEIGHT</v>
      </c>
      <c r="C135" s="78" t="str">
        <f>'MSW44'!C135</f>
        <v>REPS</v>
      </c>
      <c r="D135" s="78" t="str">
        <f>'MSW44'!D135</f>
        <v>REST</v>
      </c>
      <c r="E135" s="80" t="str">
        <f>'MSW44'!E135</f>
        <v>PREVIOUS</v>
      </c>
      <c r="F135" s="235" t="str">
        <f>'MSW44'!F135</f>
        <v>REP LOG</v>
      </c>
      <c r="H135" s="77" t="str">
        <f>'MSW44'!H135</f>
        <v>SET</v>
      </c>
      <c r="I135" s="78" t="str">
        <f>'MSW44'!I135</f>
        <v>WEIGHT</v>
      </c>
      <c r="J135" s="78" t="str">
        <f>'MSW44'!J135</f>
        <v>REPS</v>
      </c>
      <c r="K135" s="78" t="str">
        <f>'MSW44'!K135</f>
        <v>REST</v>
      </c>
      <c r="L135" s="80" t="str">
        <f>'MSW44'!L135</f>
        <v>PREVIOUS</v>
      </c>
      <c r="M135" s="235" t="str">
        <f>'MSW44'!M135</f>
        <v>REP LOG</v>
      </c>
    </row>
    <row r="136">
      <c r="A136" s="81">
        <f>'MSW44'!A136</f>
        <v>1</v>
      </c>
      <c r="B136" s="82">
        <f>'MSW44'!B136</f>
        <v>60</v>
      </c>
      <c r="C136" s="65">
        <f>'MSW44'!C136</f>
        <v>20</v>
      </c>
      <c r="D136" s="83" t="str">
        <f>'MSW44'!D136</f>
        <v>1MIN</v>
      </c>
      <c r="E136" s="84" t="str">
        <f>'MSW44'!E136</f>
        <v/>
      </c>
      <c r="F136" s="85" t="str">
        <f>'MSW44'!F136</f>
        <v/>
      </c>
      <c r="H136" s="81">
        <f>'MSW44'!H136</f>
        <v>1</v>
      </c>
      <c r="I136" s="82">
        <f>'MSW44'!I136</f>
        <v>15</v>
      </c>
      <c r="J136" s="65" t="str">
        <f>'MSW44'!J136</f>
        <v>10 - 15</v>
      </c>
      <c r="K136" s="83" t="str">
        <f>'MSW44'!K136</f>
        <v>1-2MIN</v>
      </c>
      <c r="L136" s="84" t="str">
        <f>'MSW44'!L136</f>
        <v/>
      </c>
      <c r="M136" s="85" t="str">
        <f>'MSW44'!M136</f>
        <v/>
      </c>
    </row>
    <row r="137">
      <c r="A137" s="81">
        <f>'MSW44'!A137</f>
        <v>2</v>
      </c>
      <c r="B137" s="82">
        <f>'MSW44'!B137</f>
        <v>50</v>
      </c>
      <c r="C137" s="65">
        <f>'MSW44'!C137</f>
        <v>20</v>
      </c>
      <c r="D137" s="83" t="str">
        <f>'MSW44'!D137</f>
        <v>1MIN</v>
      </c>
      <c r="E137" s="84" t="str">
        <f>'MSW44'!E137</f>
        <v/>
      </c>
      <c r="F137" s="85" t="str">
        <f>'MSW44'!F137</f>
        <v/>
      </c>
      <c r="H137" s="81">
        <f>'MSW44'!H137</f>
        <v>2</v>
      </c>
      <c r="I137" s="82">
        <f>'MSW44'!I137</f>
        <v>10</v>
      </c>
      <c r="J137" s="65" t="str">
        <f>'MSW44'!J137</f>
        <v>10 - 15</v>
      </c>
      <c r="K137" s="83" t="str">
        <f>'MSW44'!K137</f>
        <v>1-2MIN</v>
      </c>
      <c r="L137" s="84" t="str">
        <f>'MSW44'!L137</f>
        <v/>
      </c>
      <c r="M137" s="85" t="str">
        <f>'MSW44'!M137</f>
        <v/>
      </c>
    </row>
    <row r="138">
      <c r="A138" s="629">
        <f>'MSW44'!A138</f>
        <v>3</v>
      </c>
      <c r="B138" s="630">
        <f>'MSW44'!B138</f>
        <v>40</v>
      </c>
      <c r="C138" s="631">
        <f>'MSW44'!C138</f>
        <v>20</v>
      </c>
      <c r="D138" s="328" t="str">
        <f>'MSW44'!D138</f>
        <v>1MIN</v>
      </c>
      <c r="E138" s="84" t="str">
        <f>'MSW44'!E138</f>
        <v/>
      </c>
      <c r="F138" s="330" t="str">
        <f>'MSW44'!F138</f>
        <v/>
      </c>
      <c r="H138" s="86">
        <f>'MSW44'!H138</f>
        <v>3</v>
      </c>
      <c r="I138" s="87">
        <f>'MSW44'!I138</f>
        <v>10</v>
      </c>
      <c r="J138" s="71" t="str">
        <f>'MSW44'!J138</f>
        <v>10 - 15</v>
      </c>
      <c r="K138" s="88" t="str">
        <f>'MSW44'!K138</f>
        <v>1-2MIN</v>
      </c>
      <c r="L138" s="89" t="str">
        <f>'MSW44'!L138</f>
        <v/>
      </c>
      <c r="M138" s="85" t="str">
        <f>'MSW44'!M138</f>
        <v/>
      </c>
    </row>
    <row r="139">
      <c r="A139" s="633" t="str">
        <f>'MSW44'!A139</f>
        <v/>
      </c>
      <c r="B139" s="25"/>
      <c r="C139" s="25"/>
      <c r="D139" s="25"/>
      <c r="E139" s="25"/>
      <c r="F139" s="25"/>
      <c r="G139" s="25"/>
      <c r="H139" s="25"/>
      <c r="I139" s="25"/>
      <c r="J139" s="25"/>
      <c r="K139" s="25"/>
      <c r="L139" s="25"/>
      <c r="M139" s="25"/>
      <c r="N139" s="25"/>
      <c r="O139" s="25"/>
      <c r="P139" s="25"/>
      <c r="Q139" s="25"/>
      <c r="R139" s="25"/>
      <c r="S139" s="25"/>
      <c r="T139" s="25"/>
    </row>
    <row r="141">
      <c r="A141" s="581" t="str">
        <f>'MSW44'!A141</f>
        <v>CLICK TO COMPLETE WORKOUT</v>
      </c>
      <c r="B141" s="25"/>
      <c r="C141" s="25"/>
      <c r="D141" s="25"/>
      <c r="E141" s="25"/>
      <c r="F141" s="26"/>
      <c r="G141" t="str">
        <f>'MSW44'!G141</f>
        <v/>
      </c>
    </row>
    <row r="142">
      <c r="A142" s="336"/>
      <c r="B142" s="11"/>
      <c r="C142" s="11"/>
      <c r="D142" s="11"/>
      <c r="E142" s="11"/>
      <c r="F142" s="46"/>
    </row>
    <row r="143">
      <c r="A143" s="683" t="str">
        <f>'MSW44'!A143</f>
        <v/>
      </c>
    </row>
    <row r="144">
      <c r="A144" s="1487" t="str">
        <f>'MSW44'!A144</f>
        <v>WANT TO LEARN MORE?</v>
      </c>
      <c r="B144" s="25"/>
      <c r="C144" s="25"/>
      <c r="D144" s="25"/>
      <c r="E144" s="25"/>
      <c r="F144" s="26"/>
      <c r="G144" t="str">
        <f>'MSW44'!G144</f>
        <v/>
      </c>
      <c r="Q144" t="str">
        <f>'MSW44'!Q144</f>
        <v/>
      </c>
      <c r="R144" t="str">
        <f>'MSW44'!R144</f>
        <v/>
      </c>
      <c r="S144" t="str">
        <f>'MSW44'!S144</f>
        <v/>
      </c>
      <c r="T144" t="str">
        <f>'MSW44'!T144</f>
        <v/>
      </c>
    </row>
    <row r="145">
      <c r="A145" s="336"/>
      <c r="B145" s="11"/>
      <c r="C145" s="11"/>
      <c r="D145" s="11"/>
      <c r="E145" s="11"/>
      <c r="F145" s="46"/>
      <c r="Q145" t="str">
        <f>'MSW44'!Q145</f>
        <v/>
      </c>
      <c r="R145" t="str">
        <f>'MSW44'!R145</f>
        <v/>
      </c>
      <c r="S145" t="str">
        <f>'MSW44'!S145</f>
        <v/>
      </c>
      <c r="T145" t="str">
        <f>'MSW44'!T145</f>
        <v/>
      </c>
    </row>
    <row r="146">
      <c r="A146" s="645" t="str">
        <f>'MSW44'!A146</f>
        <v/>
      </c>
      <c r="B146" s="646" t="str">
        <f>'MSW44'!B146</f>
        <v/>
      </c>
      <c r="C146" s="1488" t="str">
        <f>'MSW44'!C146</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F146" s="28"/>
      <c r="Q146" t="str">
        <f>'MSW44'!Q146</f>
        <v/>
      </c>
      <c r="R146" t="str">
        <f>'MSW44'!R146</f>
        <v/>
      </c>
      <c r="S146" t="str">
        <f>'MSW44'!S146</f>
        <v/>
      </c>
      <c r="T146" t="str">
        <f>'MSW44'!T146</f>
        <v/>
      </c>
    </row>
    <row r="147">
      <c r="A147" s="645" t="str">
        <f>'MSW44'!A147</f>
        <v/>
      </c>
      <c r="B147" s="646" t="str">
        <f>'MSW44'!B147</f>
        <v/>
      </c>
      <c r="C147" s="529"/>
      <c r="F147" s="28"/>
      <c r="Q147" t="str">
        <f>'MSW44'!Q147</f>
        <v/>
      </c>
      <c r="R147" t="str">
        <f>'MSW44'!R147</f>
        <v/>
      </c>
      <c r="S147" t="str">
        <f>'MSW44'!S147</f>
        <v/>
      </c>
      <c r="T147" t="str">
        <f>'MSW44'!T147</f>
        <v/>
      </c>
    </row>
    <row r="148">
      <c r="A148" s="645" t="str">
        <f>'MSW44'!A148</f>
        <v/>
      </c>
      <c r="B148" s="646" t="str">
        <f>'MSW44'!B148</f>
        <v/>
      </c>
      <c r="C148" s="529"/>
      <c r="F148" s="28"/>
      <c r="Q148" t="str">
        <f>'MSW44'!Q148</f>
        <v/>
      </c>
      <c r="R148" t="str">
        <f>'MSW44'!R148</f>
        <v/>
      </c>
      <c r="S148" t="str">
        <f>'MSW44'!S148</f>
        <v/>
      </c>
      <c r="T148" t="str">
        <f>'MSW44'!T148</f>
        <v/>
      </c>
    </row>
    <row r="149">
      <c r="A149" s="645" t="str">
        <f>'MSW44'!A149</f>
        <v/>
      </c>
      <c r="B149" s="646" t="str">
        <f>'MSW44'!B149</f>
        <v/>
      </c>
      <c r="C149" s="529"/>
      <c r="F149" s="28"/>
      <c r="Q149" t="str">
        <f>'MSW44'!Q149</f>
        <v/>
      </c>
      <c r="R149" t="str">
        <f>'MSW44'!R149</f>
        <v/>
      </c>
      <c r="S149" t="str">
        <f>'MSW44'!S149</f>
        <v/>
      </c>
      <c r="T149" t="str">
        <f>'MSW44'!T149</f>
        <v/>
      </c>
    </row>
    <row r="150">
      <c r="A150" s="645" t="str">
        <f>'MSW44'!A150</f>
        <v/>
      </c>
      <c r="B150" s="646" t="str">
        <f>'MSW44'!B150</f>
        <v/>
      </c>
      <c r="C150" s="529"/>
      <c r="F150" s="28"/>
      <c r="Q150" t="str">
        <f>'MSW44'!Q150</f>
        <v/>
      </c>
      <c r="R150" t="str">
        <f>'MSW44'!R150</f>
        <v/>
      </c>
      <c r="S150" t="str">
        <f>'MSW44'!S150</f>
        <v/>
      </c>
      <c r="T150" t="str">
        <f>'MSW44'!T150</f>
        <v/>
      </c>
    </row>
    <row r="151">
      <c r="A151" s="645" t="str">
        <f>'MSW44'!A151</f>
        <v/>
      </c>
      <c r="B151" s="646" t="str">
        <f>'MSW44'!B151</f>
        <v/>
      </c>
      <c r="C151" s="529"/>
      <c r="F151" s="28"/>
      <c r="Q151" t="str">
        <f>'MSW44'!Q151</f>
        <v/>
      </c>
      <c r="R151" t="str">
        <f>'MSW44'!R151</f>
        <v/>
      </c>
      <c r="S151" t="str">
        <f>'MSW44'!S151</f>
        <v/>
      </c>
      <c r="T151" t="str">
        <f>'MSW44'!T151</f>
        <v/>
      </c>
    </row>
    <row r="152">
      <c r="A152" s="647" t="str">
        <f>'MSW44'!A152</f>
        <v/>
      </c>
      <c r="B152" s="646" t="str">
        <f>'MSW44'!B152</f>
        <v/>
      </c>
      <c r="C152" s="529"/>
      <c r="F152" s="28"/>
      <c r="Q152" t="str">
        <f>'MSW44'!Q152</f>
        <v/>
      </c>
      <c r="R152" t="str">
        <f>'MSW44'!R152</f>
        <v/>
      </c>
      <c r="S152" t="str">
        <f>'MSW44'!S152</f>
        <v/>
      </c>
      <c r="T152" t="str">
        <f>'MSW44'!T152</f>
        <v/>
      </c>
    </row>
    <row r="153">
      <c r="A153" s="645" t="str">
        <f>'MSW44'!A153</f>
        <v/>
      </c>
      <c r="B153" s="646" t="str">
        <f>'MSW44'!B153</f>
        <v/>
      </c>
      <c r="C153" s="529"/>
      <c r="F153" s="28"/>
      <c r="Q153" t="str">
        <f>'MSW44'!Q153</f>
        <v/>
      </c>
      <c r="R153" t="str">
        <f>'MSW44'!R153</f>
        <v/>
      </c>
      <c r="S153" t="str">
        <f>'MSW44'!S153</f>
        <v/>
      </c>
      <c r="T153" t="str">
        <f>'MSW44'!T153</f>
        <v/>
      </c>
    </row>
    <row r="154">
      <c r="A154" s="645" t="str">
        <f>'MSW44'!A154</f>
        <v/>
      </c>
      <c r="B154" s="646" t="str">
        <f>'MSW44'!B154</f>
        <v/>
      </c>
      <c r="C154" s="529"/>
      <c r="F154" s="28"/>
      <c r="Q154" t="str">
        <f>'MSW44'!Q154</f>
        <v/>
      </c>
      <c r="R154" t="str">
        <f>'MSW44'!R154</f>
        <v/>
      </c>
      <c r="S154" t="str">
        <f>'MSW44'!S154</f>
        <v/>
      </c>
      <c r="T154" t="str">
        <f>'MSW44'!T154</f>
        <v/>
      </c>
    </row>
    <row r="155">
      <c r="A155" s="648" t="str">
        <f>'MSW44'!A155</f>
        <v/>
      </c>
      <c r="B155" s="646" t="str">
        <f>'MSW44'!B155</f>
        <v/>
      </c>
      <c r="C155" s="529"/>
      <c r="F155" s="28"/>
      <c r="Q155" t="str">
        <f>'MSW44'!Q155</f>
        <v/>
      </c>
      <c r="R155" t="str">
        <f>'MSW44'!R155</f>
        <v/>
      </c>
      <c r="S155" t="str">
        <f>'MSW44'!S155</f>
        <v/>
      </c>
      <c r="T155" t="str">
        <f>'MSW44'!T155</f>
        <v/>
      </c>
    </row>
    <row r="156">
      <c r="A156" s="645" t="str">
        <f>'MSW44'!A156</f>
        <v/>
      </c>
      <c r="B156" s="646" t="str">
        <f>'MSW44'!B156</f>
        <v/>
      </c>
      <c r="C156" s="529"/>
      <c r="F156" s="28"/>
      <c r="Q156" t="str">
        <f>'MSW44'!Q156</f>
        <v/>
      </c>
      <c r="R156" t="str">
        <f>'MSW44'!R156</f>
        <v/>
      </c>
      <c r="S156" t="str">
        <f>'MSW44'!S156</f>
        <v/>
      </c>
      <c r="T156" t="str">
        <f>'MSW44'!T156</f>
        <v/>
      </c>
    </row>
    <row r="157">
      <c r="A157" s="645" t="str">
        <f>'MSW44'!A157</f>
        <v/>
      </c>
      <c r="B157" s="646" t="str">
        <f>'MSW44'!B157</f>
        <v/>
      </c>
      <c r="C157" s="529"/>
      <c r="F157" s="28"/>
      <c r="Q157" t="str">
        <f>'MSW44'!Q157</f>
        <v/>
      </c>
      <c r="R157" t="str">
        <f>'MSW44'!R157</f>
        <v/>
      </c>
      <c r="S157" t="str">
        <f>'MSW44'!S157</f>
        <v/>
      </c>
      <c r="T157" t="str">
        <f>'MSW44'!T157</f>
        <v/>
      </c>
    </row>
    <row r="158">
      <c r="A158" s="645" t="str">
        <f>'MSW44'!A158</f>
        <v/>
      </c>
      <c r="B158" s="646" t="str">
        <f>'MSW44'!B158</f>
        <v/>
      </c>
      <c r="C158" s="529"/>
      <c r="F158" s="28"/>
      <c r="Q158" t="str">
        <f>'MSW44'!Q158</f>
        <v/>
      </c>
      <c r="R158" t="str">
        <f>'MSW44'!R158</f>
        <v/>
      </c>
      <c r="S158" t="str">
        <f>'MSW44'!S158</f>
        <v/>
      </c>
      <c r="T158" t="str">
        <f>'MSW44'!T158</f>
        <v/>
      </c>
    </row>
    <row r="159">
      <c r="A159" s="645" t="str">
        <f>'MSW44'!A159</f>
        <v/>
      </c>
      <c r="B159" s="646" t="str">
        <f>'MSW44'!B159</f>
        <v/>
      </c>
      <c r="C159" s="529"/>
      <c r="F159" s="28"/>
      <c r="Q159" t="str">
        <f>'MSW44'!Q159</f>
        <v/>
      </c>
      <c r="R159" t="str">
        <f>'MSW44'!R159</f>
        <v/>
      </c>
      <c r="S159" t="str">
        <f>'MSW44'!S159</f>
        <v/>
      </c>
      <c r="T159" t="str">
        <f>'MSW44'!T159</f>
        <v/>
      </c>
    </row>
    <row r="160">
      <c r="A160" s="645" t="str">
        <f>'MSW44'!A160</f>
        <v/>
      </c>
      <c r="B160" s="642" t="str">
        <f>'MSW44'!B160</f>
        <v/>
      </c>
      <c r="C160" s="336"/>
      <c r="D160" s="11"/>
      <c r="E160" s="11"/>
      <c r="F160" s="46"/>
      <c r="Q160" t="str">
        <f>'MSW44'!Q160</f>
        <v/>
      </c>
      <c r="R160" t="str">
        <f>'MSW44'!R160</f>
        <v/>
      </c>
      <c r="S160" t="str">
        <f>'MSW44'!S160</f>
        <v/>
      </c>
      <c r="T160" t="str">
        <f>'MSW44'!T160</f>
        <v/>
      </c>
    </row>
    <row r="161">
      <c r="A161" s="1489" t="str">
        <f>'MSW44'!A161</f>
        <v/>
      </c>
      <c r="B161" s="25"/>
      <c r="C161" s="25"/>
      <c r="D161" s="25"/>
      <c r="E161" s="25"/>
      <c r="F161" s="25"/>
      <c r="Q161" t="str">
        <f>'MSW44'!Q161</f>
        <v/>
      </c>
      <c r="R161" t="str">
        <f>'MSW44'!R161</f>
        <v/>
      </c>
      <c r="S161" t="str">
        <f>'MSW44'!S161</f>
        <v/>
      </c>
      <c r="T161" t="str">
        <f>'MSW44'!T161</f>
        <v/>
      </c>
    </row>
  </sheetData>
  <mergeCells count="110">
    <mergeCell ref="H20:M20"/>
    <mergeCell ref="I21:M21"/>
    <mergeCell ref="G26:G34"/>
    <mergeCell ref="H27:M27"/>
    <mergeCell ref="N27:N28"/>
    <mergeCell ref="H29:M29"/>
    <mergeCell ref="N29:N34"/>
    <mergeCell ref="I34:M34"/>
    <mergeCell ref="B38:F38"/>
    <mergeCell ref="I38:M38"/>
    <mergeCell ref="G24:G25"/>
    <mergeCell ref="A27:F27"/>
    <mergeCell ref="A30:F30"/>
    <mergeCell ref="B33:F33"/>
    <mergeCell ref="A34:F34"/>
    <mergeCell ref="A35:N36"/>
    <mergeCell ref="G37:G41"/>
    <mergeCell ref="A47:A48"/>
    <mergeCell ref="A50:A51"/>
    <mergeCell ref="A37:F37"/>
    <mergeCell ref="H37:M37"/>
    <mergeCell ref="A42:T43"/>
    <mergeCell ref="A44:F44"/>
    <mergeCell ref="B45:C45"/>
    <mergeCell ref="D45:F45"/>
    <mergeCell ref="A49:F49"/>
    <mergeCell ref="A79:F80"/>
    <mergeCell ref="A81:F81"/>
    <mergeCell ref="A60:F60"/>
    <mergeCell ref="A61:F61"/>
    <mergeCell ref="A62:F62"/>
    <mergeCell ref="A63:F64"/>
    <mergeCell ref="A65:F65"/>
    <mergeCell ref="B66:F66"/>
    <mergeCell ref="B78:F78"/>
    <mergeCell ref="H10:M10"/>
    <mergeCell ref="G12:M14"/>
    <mergeCell ref="A15:F15"/>
    <mergeCell ref="H15:M15"/>
    <mergeCell ref="A1:T8"/>
    <mergeCell ref="A9:F9"/>
    <mergeCell ref="G9:G11"/>
    <mergeCell ref="H9:M9"/>
    <mergeCell ref="N9:T18"/>
    <mergeCell ref="A10:F11"/>
    <mergeCell ref="A12:F12"/>
    <mergeCell ref="A16:M18"/>
    <mergeCell ref="A19:F19"/>
    <mergeCell ref="G19:G23"/>
    <mergeCell ref="H19:M19"/>
    <mergeCell ref="N19:N26"/>
    <mergeCell ref="A20:F20"/>
    <mergeCell ref="B21:F21"/>
    <mergeCell ref="N37:T41"/>
    <mergeCell ref="G44:T88"/>
    <mergeCell ref="H89:M89"/>
    <mergeCell ref="N89:T94"/>
    <mergeCell ref="I90:M90"/>
    <mergeCell ref="G92:G93"/>
    <mergeCell ref="O19:T19"/>
    <mergeCell ref="O20:T20"/>
    <mergeCell ref="P21:T21"/>
    <mergeCell ref="O27:T27"/>
    <mergeCell ref="O29:T29"/>
    <mergeCell ref="P34:T34"/>
    <mergeCell ref="O35:T36"/>
    <mergeCell ref="A13:F13"/>
    <mergeCell ref="A14:F14"/>
    <mergeCell ref="A52:F52"/>
    <mergeCell ref="A53:A54"/>
    <mergeCell ref="A55:F55"/>
    <mergeCell ref="A56:A57"/>
    <mergeCell ref="A58:F59"/>
    <mergeCell ref="C146:F160"/>
    <mergeCell ref="A161:F161"/>
    <mergeCell ref="H133:M133"/>
    <mergeCell ref="N133:T138"/>
    <mergeCell ref="I134:M134"/>
    <mergeCell ref="A139:T140"/>
    <mergeCell ref="G141:T142"/>
    <mergeCell ref="A143:T143"/>
    <mergeCell ref="G144:P161"/>
    <mergeCell ref="B82:F82"/>
    <mergeCell ref="A87:F88"/>
    <mergeCell ref="A89:F89"/>
    <mergeCell ref="G89:G91"/>
    <mergeCell ref="B90:F90"/>
    <mergeCell ref="A95:T96"/>
    <mergeCell ref="A97:F97"/>
    <mergeCell ref="A109:F109"/>
    <mergeCell ref="B110:F110"/>
    <mergeCell ref="A115:F116"/>
    <mergeCell ref="A117:F117"/>
    <mergeCell ref="B118:F118"/>
    <mergeCell ref="A123:F124"/>
    <mergeCell ref="A125:F125"/>
    <mergeCell ref="B126:F126"/>
    <mergeCell ref="A131:F132"/>
    <mergeCell ref="A133:F133"/>
    <mergeCell ref="G133:G138"/>
    <mergeCell ref="B134:F134"/>
    <mergeCell ref="A141:F142"/>
    <mergeCell ref="A144:F145"/>
    <mergeCell ref="G97:T97"/>
    <mergeCell ref="A98:T99"/>
    <mergeCell ref="A100:F100"/>
    <mergeCell ref="G100:T132"/>
    <mergeCell ref="A101:F101"/>
    <mergeCell ref="B102:F102"/>
    <mergeCell ref="A107:F108"/>
  </mergeCells>
  <dataValidations>
    <dataValidation type="decimal" allowBlank="1" showDropDown="1" showInputMessage="1" showErrorMessage="1" prompt="Enter a number between 0 and 30" sqref="F22:F26 M22:M26 T22:T26 M28 T28 F28:F29 F31:F32 M30:M33 T30:T33 F39:F41 M39:M41 F46:F48 F50:F51 F53:F54 F56:F57 F67:F77 F83:F86 F91:F94 M91:M94 F103:F106 F111:F114 F119:F122 F127:F130 F135:F138 M135:M138 T144:T161">
      <formula1>0.0</formula1>
      <formula2>30.0</formula2>
    </dataValidation>
    <dataValidation type="decimal" operator="greaterThan" allowBlank="1" showDropDown="1" showErrorMessage="1" sqref="M11">
      <formula1>0.0</formula1>
    </dataValidation>
  </dataValidations>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392</v>
      </c>
      <c r="B9" s="20"/>
      <c r="C9" s="20"/>
      <c r="D9" s="20"/>
      <c r="E9" s="20"/>
      <c r="F9" s="21"/>
      <c r="G9" s="103"/>
      <c r="H9" s="24" t="s">
        <v>35</v>
      </c>
      <c r="I9" s="25"/>
      <c r="J9" s="25"/>
      <c r="K9" s="25"/>
      <c r="L9" s="25"/>
      <c r="M9" s="26"/>
    </row>
    <row r="10">
      <c r="A10" s="15" t="str">
        <f>HYPERLINK("https://goo.gl/forms/3ibooB993Hi7SS2d2","PRESS TO RECORD BODY WEIGHT")</f>
        <v>PRESS TO RECORD BODY WEIGHT</v>
      </c>
      <c r="B10" s="16"/>
      <c r="C10" s="16"/>
      <c r="D10" s="16"/>
      <c r="E10" s="16"/>
      <c r="F10" s="17"/>
      <c r="G10" s="103"/>
      <c r="H10" s="147" t="s">
        <v>393</v>
      </c>
      <c r="M10" s="28"/>
    </row>
    <row r="11">
      <c r="A11" s="18"/>
      <c r="B11" s="13"/>
      <c r="C11" s="13"/>
      <c r="D11" s="13"/>
      <c r="E11" s="13"/>
      <c r="F11" s="14"/>
      <c r="G11" s="103"/>
      <c r="H11" s="29" t="s">
        <v>394</v>
      </c>
      <c r="I11" s="30"/>
      <c r="J11" s="30"/>
      <c r="K11" s="30"/>
      <c r="L11" s="30"/>
      <c r="M11" s="31"/>
    </row>
    <row r="12">
      <c r="A12" s="19" t="s">
        <v>69</v>
      </c>
      <c r="B12" s="20"/>
      <c r="C12" s="20"/>
      <c r="D12" s="20"/>
      <c r="E12" s="20"/>
      <c r="F12" s="21"/>
      <c r="G12" s="103"/>
      <c r="H12" s="219"/>
      <c r="I12" s="220"/>
      <c r="J12" s="221"/>
      <c r="K12" s="219"/>
      <c r="L12" s="222"/>
      <c r="M12" s="103"/>
    </row>
    <row r="13">
      <c r="A13" s="22" t="s">
        <v>177</v>
      </c>
      <c r="B13" s="20"/>
      <c r="C13" s="20"/>
      <c r="D13" s="20"/>
      <c r="E13" s="20"/>
      <c r="F13" s="21"/>
      <c r="G13" s="103"/>
      <c r="H13" s="103"/>
      <c r="I13" s="103"/>
      <c r="J13" s="103"/>
      <c r="K13" s="103"/>
      <c r="L13" s="222"/>
      <c r="M13" s="103"/>
    </row>
    <row r="14">
      <c r="A14" s="219"/>
      <c r="B14" s="219"/>
      <c r="C14" s="219"/>
      <c r="D14" s="219"/>
      <c r="E14" s="223"/>
      <c r="F14" s="103"/>
      <c r="G14" s="103"/>
      <c r="H14" s="219"/>
      <c r="I14" s="219"/>
      <c r="J14" s="219"/>
      <c r="K14" s="103"/>
      <c r="L14" s="222"/>
      <c r="M14" s="103"/>
    </row>
    <row r="15">
      <c r="A15" s="209"/>
      <c r="G15" s="277"/>
      <c r="H15" s="850"/>
    </row>
    <row r="16">
      <c r="A16" s="50" t="s">
        <v>79</v>
      </c>
      <c r="B16" s="36"/>
      <c r="C16" s="36"/>
      <c r="D16" s="36"/>
      <c r="E16" s="36"/>
      <c r="F16" s="37"/>
      <c r="G16" s="141"/>
      <c r="H16" s="50" t="s">
        <v>118</v>
      </c>
      <c r="I16" s="36"/>
      <c r="J16" s="36"/>
      <c r="K16" s="36"/>
      <c r="L16" s="36"/>
      <c r="M16" s="37"/>
    </row>
    <row r="17">
      <c r="A17" s="657"/>
    </row>
    <row r="19">
      <c r="A19" s="1344" t="s">
        <v>48</v>
      </c>
      <c r="B19" s="36"/>
      <c r="C19" s="36"/>
      <c r="D19" s="36"/>
      <c r="E19" s="36"/>
      <c r="F19" s="37"/>
      <c r="G19" s="141"/>
      <c r="H19" s="51" t="s">
        <v>48</v>
      </c>
      <c r="I19" s="36"/>
      <c r="J19" s="36"/>
      <c r="K19" s="36"/>
      <c r="L19" s="36"/>
      <c r="M19" s="37"/>
    </row>
    <row r="20">
      <c r="A20" s="52" t="str">
        <f>HYPERLINK("https://youtu.be/ujVN-A0Z-ic","1. DUMBBELL INCLINE PRESS")</f>
        <v>1. DUMBBELL INCLINE PRESS</v>
      </c>
      <c r="B20" s="53"/>
      <c r="C20" s="53"/>
      <c r="D20" s="53"/>
      <c r="E20" s="53"/>
      <c r="F20" s="54"/>
      <c r="H20" s="52" t="str">
        <f>HYPERLINK("https://youtu.be/75e_H9Vq_Lw","1. MACHINE PRESS")</f>
        <v>1. MACHINE PRESS</v>
      </c>
      <c r="I20" s="53"/>
      <c r="J20" s="53"/>
      <c r="K20" s="53"/>
      <c r="L20" s="53"/>
      <c r="M20" s="54"/>
    </row>
    <row r="21">
      <c r="A21" s="228" t="s">
        <v>119</v>
      </c>
      <c r="B21" s="229">
        <f>IF('WEEK 44'!I34="",'WEEK 44'!I21,'WEEK 44'!I34)</f>
        <v>90</v>
      </c>
      <c r="C21" s="16"/>
      <c r="D21" s="16"/>
      <c r="E21" s="16"/>
      <c r="F21" s="230"/>
      <c r="H21" s="228" t="s">
        <v>119</v>
      </c>
      <c r="I21" s="229" t="str">
        <f>if('WEEK 44'!P34="",'WEEK 44'!P21,'WEEK 44'!P34)</f>
        <v/>
      </c>
      <c r="J21" s="16"/>
      <c r="K21" s="16"/>
      <c r="L21" s="16"/>
      <c r="M21" s="230"/>
    </row>
    <row r="22">
      <c r="A22" s="96" t="s">
        <v>50</v>
      </c>
      <c r="B22" s="97" t="s">
        <v>51</v>
      </c>
      <c r="C22" s="97" t="s">
        <v>52</v>
      </c>
      <c r="D22" s="97" t="s">
        <v>53</v>
      </c>
      <c r="E22" s="98" t="s">
        <v>54</v>
      </c>
      <c r="F22" s="235" t="s">
        <v>55</v>
      </c>
      <c r="H22" s="96" t="s">
        <v>50</v>
      </c>
      <c r="I22" s="97" t="s">
        <v>51</v>
      </c>
      <c r="J22" s="97" t="s">
        <v>52</v>
      </c>
      <c r="K22" s="97" t="s">
        <v>53</v>
      </c>
      <c r="L22" s="98" t="s">
        <v>54</v>
      </c>
      <c r="M22" s="235" t="s">
        <v>55</v>
      </c>
    </row>
    <row r="23">
      <c r="A23" s="244">
        <v>1.0</v>
      </c>
      <c r="B23" s="241">
        <f>mround('WEEK 45'!B21*0.35,5)</f>
        <v>30</v>
      </c>
      <c r="C23" s="63">
        <v>6.0</v>
      </c>
      <c r="D23" s="83" t="s">
        <v>57</v>
      </c>
      <c r="E23" s="84">
        <f>IF('WEEK 39'!B23='WEEK 45'!B23,'WEEK 39'!F23,"")</f>
        <v>6</v>
      </c>
      <c r="F23" s="85"/>
      <c r="H23" s="244">
        <v>1.0</v>
      </c>
      <c r="I23" s="241">
        <f>mround('WEEK 45'!I21*0.35,5)</f>
        <v>0</v>
      </c>
      <c r="J23" s="63">
        <v>6.0</v>
      </c>
      <c r="K23" s="83" t="s">
        <v>57</v>
      </c>
      <c r="L23" s="84" t="str">
        <f>IF('WEEK 39'!I23='WEEK 45'!I23,'WEEK 39'!M23,"")</f>
        <v/>
      </c>
      <c r="M23" s="85"/>
    </row>
    <row r="24">
      <c r="A24" s="240">
        <v>2.0</v>
      </c>
      <c r="B24" s="241">
        <f>mround('WEEK 45'!B21*0.65,5)</f>
        <v>60</v>
      </c>
      <c r="C24" s="241">
        <v>1.0</v>
      </c>
      <c r="D24" s="83" t="s">
        <v>57</v>
      </c>
      <c r="E24" s="84">
        <f>IF('WEEK 39'!B24='WEEK 45'!B24,'WEEK 39'!F24,"")</f>
        <v>1</v>
      </c>
      <c r="F24" s="85"/>
      <c r="H24" s="240">
        <v>2.0</v>
      </c>
      <c r="I24" s="241">
        <f>mround('WEEK 45'!I21*0.65,5)</f>
        <v>0</v>
      </c>
      <c r="J24" s="241">
        <v>1.0</v>
      </c>
      <c r="K24" s="83" t="s">
        <v>57</v>
      </c>
      <c r="L24" s="84" t="str">
        <f>IF('WEEK 39'!I24='WEEK 45'!I24,'WEEK 39'!M24,"")</f>
        <v/>
      </c>
      <c r="M24" s="85"/>
    </row>
    <row r="25">
      <c r="A25" s="240">
        <v>3.0</v>
      </c>
      <c r="B25" s="241">
        <f>mround('WEEK 45'!B21*0.85,5)</f>
        <v>75</v>
      </c>
      <c r="C25" s="63">
        <v>1.0</v>
      </c>
      <c r="D25" s="83" t="s">
        <v>57</v>
      </c>
      <c r="E25" s="84">
        <f>IF('WEEK 39'!B25='WEEK 45'!B25,'WEEK 39'!F25,"")</f>
        <v>1</v>
      </c>
      <c r="F25" s="85"/>
      <c r="H25" s="240">
        <v>3.0</v>
      </c>
      <c r="I25" s="241">
        <f>mround('WEEK 45'!I21*0.85,5)</f>
        <v>0</v>
      </c>
      <c r="J25" s="241">
        <v>1.0</v>
      </c>
      <c r="K25" s="83" t="s">
        <v>57</v>
      </c>
      <c r="L25" s="84" t="str">
        <f>IF('WEEK 39'!I25='WEEK 45'!I25,'WEEK 39'!M25,"")</f>
        <v/>
      </c>
      <c r="M25" s="85"/>
    </row>
    <row r="26">
      <c r="A26" s="240">
        <v>4.0</v>
      </c>
      <c r="B26" s="241">
        <f>mround('WEEK 45'!B21*1,5)</f>
        <v>90</v>
      </c>
      <c r="C26" s="245" t="s">
        <v>65</v>
      </c>
      <c r="D26" s="83" t="s">
        <v>57</v>
      </c>
      <c r="E26" s="84">
        <f>IF('WEEK 39'!B26='WEEK 45'!B26,'WEEK 39'!F26,"")</f>
        <v>4</v>
      </c>
      <c r="F26" s="85"/>
      <c r="H26" s="240">
        <v>4.0</v>
      </c>
      <c r="I26" s="241">
        <f>mround('WEEK 45'!I21*1,5)</f>
        <v>0</v>
      </c>
      <c r="J26" s="245" t="s">
        <v>65</v>
      </c>
      <c r="K26" s="83" t="s">
        <v>57</v>
      </c>
      <c r="L26" s="84" t="str">
        <f>IF('WEEK 39'!I26='WEEK 45'!I26,'WEEK 39'!M26,"")</f>
        <v/>
      </c>
      <c r="M26" s="85"/>
    </row>
    <row r="27">
      <c r="A27" s="248" t="str">
        <f>IF(OR(ISBLANK('WEEK 45'!F26),ISBLANK('WEEK 45'!F25),ISBLANK('WEEK 45'!F24)),"PROCEED TO DOWNSETS",if('WEEK 45'!F26&gt;=6,"NEW 4 REP MAX ATTEMPT","PROCEED TO DOWN SETS"))</f>
        <v>NEW 4 REP MAX ATTEMPT</v>
      </c>
      <c r="F27" s="28"/>
      <c r="G27" s="247" t="s">
        <v>123</v>
      </c>
      <c r="H27" s="248" t="str">
        <f>IF(OR(ISBLANK('WEEK 45'!M26),ISBLANK('WEEK 45'!M25),ISBLANK('WEEK 45'!M24)),"PROCEED TO DOWNSETS",if('WEEK 45'!M26&gt;=6,"NEW 4 REP MAX ATTEMPT","PROCEED TO DOWN SETS"))</f>
        <v>PROCEED TO DOWNSETS</v>
      </c>
      <c r="M27" s="28"/>
    </row>
    <row r="28">
      <c r="A28" s="251">
        <f>IF(OR(ISBLANK('WEEK 45'!F26),ISBLANK('WEEK 45'!F25),ISBLANK('WEEK 45'!F24)),"",IF('WEEK 45'!F26&gt;=6,5,""))</f>
        <v>5</v>
      </c>
      <c r="B28" s="252">
        <f>IF(OR(ISBLANK('WEEK 45'!F26),ISBLANK('WEEK 45'!F25),ISBLANK('WEEK 45'!F24)),"",IF('WEEK 45'!F26&gt;=6,'WEEK 45'!B21+5,""))</f>
        <v>95</v>
      </c>
      <c r="C28" s="253" t="str">
        <f>IF(OR(ISBLANK('WEEK 45'!F26),ISBLANK('WEEK 45'!F25),ISBLANK('WEEK 45'!F24)),"",IF('WEEK 45'!F26&gt;=6,"REP OUT",""))</f>
        <v>REP OUT</v>
      </c>
      <c r="D28" s="254" t="str">
        <f>IF(OR(ISBLANK('WEEK 45'!F26),ISBLANK('WEEK 45'!F25),ISBLANK('WEEK 45'!F24)),"",IF('WEEK 45'!F26&gt;5,"1 MIN",""))</f>
        <v>1 MIN</v>
      </c>
      <c r="E28" s="84" t="str">
        <f>IF('WEEK 39'!B28='WEEK 45'!B28,'WEEK 39'!F28,"")</f>
        <v/>
      </c>
      <c r="F28" s="67"/>
      <c r="H28" s="251" t="str">
        <f>IF(OR(ISBLANK('WEEK 45'!M26),ISBLANK('WEEK 45'!M25),ISBLANK('WEEK 45'!M24)),"",IF('WEEK 45'!M26&gt;=6,5,""))</f>
        <v/>
      </c>
      <c r="I28" s="252" t="str">
        <f>IF(OR(ISBLANK('WEEK 45'!M26),ISBLANK('WEEK 45'!M25),ISBLANK('WEEK 45'!M24)),"",IF('WEEK 45'!M26&gt;=6,'WEEK 45'!I21+5,""))</f>
        <v/>
      </c>
      <c r="J28" s="253" t="str">
        <f>IF(OR(ISBLANK('WEEK 45'!M26),ISBLANK('WEEK 45'!M25),ISBLANK('WEEK 45'!M24)),"",IF('WEEK 45'!M26&gt;=6,"REP OUT",""))</f>
        <v/>
      </c>
      <c r="K28" s="254" t="str">
        <f>IF(OR(ISBLANK('WEEK 45'!M26),ISBLANK('WEEK 45'!M25),ISBLANK('WEEK 45'!M24)),"",IF('WEEK 45'!M26&gt;5,"1 MIN",""))</f>
        <v/>
      </c>
      <c r="L28" s="84" t="str">
        <f>IF('WEEK 39'!I28='WEEK 45'!I28,'WEEK 39'!M28,"")</f>
        <v/>
      </c>
      <c r="M28" s="67"/>
    </row>
    <row r="29">
      <c r="A29" s="260" t="str">
        <f>IF(OR(ISBLANK('WEEK 45'!F26),ISBLANK('WEEK 45'!F25),ISBLANK('WEEK 45'!F24)),"FILL OUT REP LOG FIRST","DOWN SETS")</f>
        <v>DOWN SETS</v>
      </c>
      <c r="B29" s="16"/>
      <c r="C29" s="16"/>
      <c r="D29" s="16"/>
      <c r="E29" s="16"/>
      <c r="F29" s="230"/>
      <c r="G29" s="141"/>
      <c r="H29" s="260" t="str">
        <f>IF(OR(ISBLANK('WEEK 45'!M26),ISBLANK('WEEK 45'!M25),ISBLANK('WEEK 45'!M24)),"FILL OUT REP LOG FIRST","DOWN SETS")</f>
        <v>FILL OUT REP LOG FIRST</v>
      </c>
      <c r="I29" s="16"/>
      <c r="J29" s="16"/>
      <c r="K29" s="16"/>
      <c r="L29" s="16"/>
      <c r="M29" s="230"/>
    </row>
    <row r="30">
      <c r="A30" s="545" t="str">
        <f>IF('WEEK 45'!F28&gt;=4,"",IF(OR(ISBLANK('WEEK 45'!F26),ISBLANK('WEEK 45'!F25),ISBLANK('WEEK 45'!F24)),"",IF('WEEK 45'!F26&gt;5,6,5)))</f>
        <v/>
      </c>
      <c r="B30" s="261" t="str">
        <f>IF('WEEK 45'!F28&gt;=4,"",IF(OR(ISBLANK('WEEK 45'!F26),ISBLANK('WEEK 45'!F25),ISBLANK('WEEK 45'!F24)),"",IF('WEEK 45'!F26&lt;6,mround('WEEK 45'!B21*0.8,5),IF('WEEK 45'!F26&lt;10,mround('WEEK 45'!B21*0.93,5),mround('WEEK 45'!B21*0.7,5)))))</f>
        <v/>
      </c>
      <c r="C30" s="262" t="str">
        <f>IF('WEEK 45'!F28&gt;=4,"",IF(OR(ISBLANK('WEEK 45'!F26),ISBLANK('WEEK 45'!F25),ISBLANK('WEEK 45'!F24)),"","REP OUT"))</f>
        <v/>
      </c>
      <c r="D30" s="65" t="str">
        <f>IF('WEEK 45'!F28&gt;=4,"",IF(OR(ISBLANK('WEEK 45'!F26),ISBLANK('WEEK 45'!F25),ISBLANK('WEEK 45'!F24)),"","1 MIN"))</f>
        <v/>
      </c>
      <c r="E30" s="84" t="str">
        <f>IF('WEEK 39'!B30='WEEK 45'!B30,'WEEK 39'!F30,"")</f>
        <v/>
      </c>
      <c r="F30" s="263"/>
      <c r="H30" s="91" t="str">
        <f>IF('WEEK 45'!M28&gt;=4,"",IF(OR(ISBLANK('WEEK 45'!M26),ISBLANK('WEEK 45'!M25),ISBLANK('WEEK 45'!M24)),"",IF('WEEK 45'!M26&gt;5,6,5)))</f>
        <v/>
      </c>
      <c r="I30" s="261" t="str">
        <f>IF('WEEK 45'!M28&gt;=4,"",IF(OR(ISBLANK('WEEK 45'!M26),ISBLANK('WEEK 45'!M25),ISBLANK('WEEK 45'!M24)),"",IF('WEEK 45'!M26&lt;6,mround('WEEK 45'!I21*0.8,5),IF('WEEK 45'!M26&lt;10,mround('WEEK 45'!I21*0.93,5),mround('WEEK 45'!I21*0.7,5)))))</f>
        <v/>
      </c>
      <c r="J30" s="262" t="str">
        <f>IF('WEEK 45'!M28&gt;=4,"",IF(OR(ISBLANK('WEEK 45'!M26),ISBLANK('WEEK 45'!M25),ISBLANK('WEEK 45'!M24)),"","REP OUT"))</f>
        <v/>
      </c>
      <c r="K30" s="65" t="str">
        <f>IF('WEEK 45'!M28&gt;=4,"",IF(OR(ISBLANK('WEEK 45'!M26),ISBLANK('WEEK 45'!M25),ISBLANK('WEEK 45'!M24)),"","1 MIN"))</f>
        <v/>
      </c>
      <c r="L30" s="84" t="str">
        <f>IF('WEEK 39'!I30='WEEK 45'!I30,'WEEK 39'!M30,"")</f>
        <v/>
      </c>
      <c r="M30" s="263"/>
    </row>
    <row r="31">
      <c r="A31" s="546" t="str">
        <f>IF('WEEK 45'!F28&gt;=4,"",IF(OR(ISBLANK('WEEK 45'!F26),ISBLANK('WEEK 45'!F25),ISBLANK('WEEK 45'!F24)),"",IF('WEEK 45'!F26&gt;5,7,6)))</f>
        <v/>
      </c>
      <c r="B31" s="254" t="str">
        <f>IF('WEEK 45'!F28&gt;=4,"",IF(OR(ISBLANK('WEEK 45'!F26),ISBLANK('WEEK 45'!F25),ISBLANK('WEEK 45'!F24)),"",IF('WEEK 45'!F26&lt;6,mround('WEEK 45'!B21*0.65,5),IF('WEEK 45'!F26&lt;10,mround('WEEK 45'!B21*0.7,5),mround('WEEK 45'!B21*0.65,5)))))</f>
        <v/>
      </c>
      <c r="C31" s="253" t="str">
        <f>IF('WEEK 45'!F28&gt;=4,"",IF(OR(ISBLANK('WEEK 45'!F26),ISBLANK('WEEK 45'!F25),ISBLANK('WEEK 45'!F24)),"","REP OUT"))</f>
        <v/>
      </c>
      <c r="D31" s="65" t="str">
        <f>IF('WEEK 45'!F28&gt;=4,"",IF(OR(ISBLANK('WEEK 45'!F26),ISBLANK('WEEK 45'!F25),ISBLANK('WEEK 45'!F24)),"","1 MIN"))</f>
        <v/>
      </c>
      <c r="E31" s="84" t="str">
        <f>IF('WEEK 39'!B31='WEEK 45'!B31,'WEEK 39'!F31,"")</f>
        <v/>
      </c>
      <c r="F31" s="270"/>
      <c r="H31" s="269" t="str">
        <f>IF('WEEK 45'!M28&gt;=4,"",IF(OR(ISBLANK('WEEK 45'!M26),ISBLANK('WEEK 45'!M25),ISBLANK('WEEK 45'!M24)),"",IF('WEEK 45'!M26&gt;5,7,6)))</f>
        <v/>
      </c>
      <c r="I31" s="254" t="str">
        <f>IF('WEEK 45'!M28&gt;=4,"",IF(OR(ISBLANK('WEEK 45'!M26),ISBLANK('WEEK 45'!M25),ISBLANK('WEEK 45'!M24)),"",IF('WEEK 45'!M26&lt;6,mround('WEEK 45'!I21*0.65,5),IF('WEEK 45'!M26&lt;10,mround('WEEK 45'!I21*0.7,5),mround('WEEK 45'!I21*0.65,5)))))</f>
        <v/>
      </c>
      <c r="J31" s="253" t="str">
        <f>IF('WEEK 45'!M28&gt;=4,"",IF(OR(ISBLANK('WEEK 45'!M26),ISBLANK('WEEK 45'!M25),ISBLANK('WEEK 45'!M24)),"","REP OUT"))</f>
        <v/>
      </c>
      <c r="K31" s="65" t="str">
        <f>IF('WEEK 45'!M28&gt;=4,"",IF(OR(ISBLANK('WEEK 45'!M26),ISBLANK('WEEK 45'!M25),ISBLANK('WEEK 45'!M24)),"","1 MIN"))</f>
        <v/>
      </c>
      <c r="L31" s="84" t="str">
        <f>IF('WEEK 39'!I31='WEEK 45'!I31,'WEEK 39'!M31,"")</f>
        <v/>
      </c>
      <c r="M31" s="270"/>
    </row>
    <row r="32">
      <c r="A32" s="546">
        <f>IF('WEEK 45'!F28&lt;4,"",IF(OR(ISBLANK('WEEK 45'!F26),ISBLANK('WEEK 45'!F25),ISBLANK('WEEK 45'!F24)),"",IF('WEEK 45'!F28&gt;3,6,5)))</f>
        <v>6</v>
      </c>
      <c r="B32" s="254">
        <f>IF('WEEK 45'!F28&lt;4,"",IF(OR(ISBLANK('WEEK 45'!F26),ISBLANK('WEEK 45'!F25),ISBLANK('WEEK 45'!F24)),"",IF('WEEK 45'!F28&lt;6,mround('WEEK 45'!B34*0.8,5),IF('WEEK 45'!F28&lt;10,mround('WEEK 45'!B34*0.93,5),mround(B34*0.7,5)))))</f>
        <v>90</v>
      </c>
      <c r="C32" s="253" t="str">
        <f>IF('WEEK 45'!F28&lt;4,"",IF(OR(ISBLANK('WEEK 45'!F26),ISBLANK('WEEK 45'!F25),ISBLANK('WEEK 45'!F24)),"","REP OUT"))</f>
        <v>REP OUT</v>
      </c>
      <c r="D32" s="65" t="str">
        <f>IF('WEEK 45'!F28&lt;4,"",IF(OR(ISBLANK('WEEK 45'!F26),ISBLANK('WEEK 45'!F25),ISBLANK('WEEK 45'!F24)),"","1 MIN"))</f>
        <v>1 MIN</v>
      </c>
      <c r="E32" s="84" t="str">
        <f>IF('WEEK 39'!B32='WEEK 45'!B32,'WEEK 39'!F32,"")</f>
        <v/>
      </c>
      <c r="F32" s="270"/>
      <c r="G32" s="141"/>
      <c r="H32" s="269" t="str">
        <f>IF('WEEK 45'!M28&lt;4,"",IF(OR(ISBLANK('WEEK 45'!M26),ISBLANK('WEEK 45'!M25),ISBLANK('WEEK 45'!M24)),"",IF('WEEK 45'!M28&gt;3,6,5)))</f>
        <v/>
      </c>
      <c r="I32" s="254" t="str">
        <f>IF('WEEK 45'!M28&lt;4,"",IF(OR(ISBLANK('WEEK 45'!M26),ISBLANK('WEEK 45'!M25),ISBLANK('WEEK 45'!M24)),"",IF('WEEK 45'!M28&lt;6,mround('WEEK 45'!I34*0.7,5),IF('WEEK 45'!M28&lt;10,mround('WEEK 45'!I34*0.8,5),mround(I34*0.93,5)))))</f>
        <v/>
      </c>
      <c r="J32" s="253" t="str">
        <f>IF('WEEK 45'!M28&lt;4,"",IF(OR(ISBLANK('WEEK 45'!M26),ISBLANK('WEEK 45'!M25),ISBLANK('WEEK 45'!M24)),"","REP OUT"))</f>
        <v/>
      </c>
      <c r="K32" s="65" t="str">
        <f>IF('WEEK 45'!M28&lt;4,"",IF(OR(ISBLANK('WEEK 45'!M26),ISBLANK('WEEK 45'!M25),ISBLANK('WEEK 45'!M24)),"","1 MIN"))</f>
        <v/>
      </c>
      <c r="L32" s="84" t="str">
        <f>IF('WEEK 39'!I32='WEEK 45'!I32,'WEEK 39'!M32,"")</f>
        <v/>
      </c>
      <c r="M32" s="270"/>
    </row>
    <row r="33">
      <c r="A33" s="546">
        <f>IF('WEEK 45'!F28&lt;4,"",IF(OR(ISBLANK('WEEK 45'!F26),ISBLANK('WEEK 45'!F25),ISBLANK('WEEK 45'!F24)),"",IF('WEEK 45'!F28&gt;3,7,"")))</f>
        <v>7</v>
      </c>
      <c r="B33" s="254">
        <f>IF('WEEK 45'!F28&lt;4,"",IF(OR(ISBLANK('WEEK 45'!F26),ISBLANK('WEEK 45'!F25),ISBLANK('WEEK 45'!F24)),"",IF('WEEK 45'!F28&lt;6,mround('WEEK 45'!B34*0.65,5),IF('WEEK 45'!F28&lt;10,mround('WEEK 45'!B34*0.7,5),mround(B34*0.65,5)))))</f>
        <v>65</v>
      </c>
      <c r="C33" s="253" t="str">
        <f>IF('WEEK 45'!F28&lt;4,"",IF(OR(ISBLANK('WEEK 45'!F26),ISBLANK('WEEK 45'!F25),ISBLANK('WEEK 45'!F24)),"","REP OUT"))</f>
        <v>REP OUT</v>
      </c>
      <c r="D33" s="65" t="str">
        <f>IF('WEEK 45'!F28&lt;4,"",IF(OR(ISBLANK('WEEK 45'!F26),ISBLANK('WEEK 45'!F25),ISBLANK('WEEK 45'!F24)),"","1 MIN"))</f>
        <v>1 MIN</v>
      </c>
      <c r="E33" s="84" t="str">
        <f>IF('WEEK 39'!B33='WEEK 45'!B33,'WEEK 39'!F33,"")</f>
        <v/>
      </c>
      <c r="F33" s="270"/>
      <c r="G33" s="141"/>
      <c r="H33" s="269" t="str">
        <f>IF('WEEK 45'!M28&lt;4,"",IF(OR(ISBLANK('WEEK 45'!M26),ISBLANK('WEEK 45'!M25),ISBLANK('WEEK 45'!M24)),"",IF('WEEK 45'!M28&gt;3,7,"")))</f>
        <v/>
      </c>
      <c r="I33" s="254" t="str">
        <f>IF('WEEK 45'!M28&lt;4,"",IF(OR(ISBLANK('WEEK 45'!M26),ISBLANK('WEEK 45'!M25),ISBLANK('WEEK 45'!M24)),"",IF('WEEK 45'!M28&lt;6,mround('WEEK 45'!I34*0.65,5),IF('WEEK 45'!M28&lt;10,mround('WEEK 45'!I34*0.7,5),mround(I34*0.75,5)))))</f>
        <v/>
      </c>
      <c r="J33" s="253" t="str">
        <f>IF('WEEK 45'!M28&lt;4,"",IF(OR(ISBLANK('WEEK 45'!M26),ISBLANK('WEEK 45'!M25),ISBLANK('WEEK 45'!M24)),"","REP OUT"))</f>
        <v/>
      </c>
      <c r="K33" s="65" t="str">
        <f>IF('WEEK 45'!M28&lt;4,"",IF(OR(ISBLANK('WEEK 45'!M26),ISBLANK('WEEK 45'!M25),ISBLANK('WEEK 45'!M24)),"","1 MIN"))</f>
        <v/>
      </c>
      <c r="L33" s="84" t="str">
        <f>IF('WEEK 39'!I33='WEEK 45'!I33,'WEEK 39'!M33,"")</f>
        <v/>
      </c>
      <c r="M33" s="270"/>
    </row>
    <row r="34">
      <c r="A34" s="280" t="s">
        <v>124</v>
      </c>
      <c r="B34" s="273">
        <f>IF(OR(ISBLANK('WEEK 45'!F24),ISBLANK('WEEK 45'!F25),ISBLANK('WEEK 45'!F26)),"",IF('WEEK 45'!F28&gt;=4,'WEEK 45'!B28,IF('WEEK 45'!F26&lt;=3,'WEEK 45'!B26-5,'WEEK 45'!B26)))</f>
        <v>95</v>
      </c>
      <c r="C34" s="11"/>
      <c r="D34" s="11"/>
      <c r="E34" s="11"/>
      <c r="F34" s="46"/>
      <c r="G34" s="141"/>
      <c r="H34" s="280" t="s">
        <v>124</v>
      </c>
      <c r="I34" s="273" t="str">
        <f>IF(OR(ISBLANK('WEEK 45'!M24),ISBLANK('WEEK 45'!M25),ISBLANK('WEEK 45'!M26)),"",IF('WEEK 45'!M28&gt;=4,'WEEK 45'!I28,IF('WEEK 45'!M26&lt;=3,'WEEK 45'!I26-5,'WEEK 45'!I26)))</f>
        <v/>
      </c>
      <c r="J34" s="11"/>
      <c r="K34" s="11"/>
      <c r="L34" s="11"/>
      <c r="M34" s="46"/>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row>
    <row r="38">
      <c r="A38" s="226" t="s">
        <v>228</v>
      </c>
      <c r="B38" s="548">
        <f>if('WEEK 45'!B34="",'WEEK 45'!B21,'WEEK 45'!B34)</f>
        <v>95</v>
      </c>
      <c r="C38" s="13"/>
      <c r="D38" s="13"/>
      <c r="E38" s="13"/>
      <c r="F38" s="57"/>
      <c r="G38" s="247" t="s">
        <v>123</v>
      </c>
      <c r="H38" s="226" t="s">
        <v>228</v>
      </c>
      <c r="I38" s="548">
        <f>'WEEK 45'!B38</f>
        <v>95</v>
      </c>
      <c r="J38" s="13"/>
      <c r="K38" s="13"/>
      <c r="L38" s="13"/>
      <c r="M38" s="57"/>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39'!B38*0.29,2.5)</f>
        <v>25</v>
      </c>
      <c r="C40" s="241">
        <v>15.0</v>
      </c>
      <c r="D40" s="83" t="s">
        <v>57</v>
      </c>
      <c r="E40" s="84" t="str">
        <f>IF('WEEK 44'!B40='WEEK 45'!B40,'WEEK 44'!F40,"")</f>
        <v/>
      </c>
      <c r="F40" s="85"/>
      <c r="G40" s="659"/>
      <c r="H40" s="240">
        <v>1.0</v>
      </c>
      <c r="I40" s="254">
        <f>mround('WEEK 45'!I38*2*0.75,10)</f>
        <v>140</v>
      </c>
      <c r="J40" s="241">
        <v>15.0</v>
      </c>
      <c r="K40" s="83" t="s">
        <v>57</v>
      </c>
      <c r="L40" s="84" t="str">
        <f>IF('WEEK 44'!I40='WEEK 45'!I40,'WEEK 44'!M40,"")</f>
        <v/>
      </c>
      <c r="M40" s="85"/>
    </row>
    <row r="41">
      <c r="A41" s="661">
        <v>2.0</v>
      </c>
      <c r="B41" s="662">
        <f>mround('WEEK 45'!B38*0.29,2.5)</f>
        <v>27.5</v>
      </c>
      <c r="C41" s="69">
        <v>15.0</v>
      </c>
      <c r="D41" s="88" t="s">
        <v>57</v>
      </c>
      <c r="E41" s="89" t="str">
        <f>IF('WEEK 44'!B41='WEEK 45'!B41,'WEEK 44'!F41,"")</f>
        <v/>
      </c>
      <c r="F41" s="85"/>
      <c r="H41" s="661">
        <v>2.0</v>
      </c>
      <c r="I41" s="662">
        <f>mround('WEEK 45'!I38*2*0.75,10)</f>
        <v>140</v>
      </c>
      <c r="J41" s="662">
        <v>15.0</v>
      </c>
      <c r="K41" s="88" t="s">
        <v>57</v>
      </c>
      <c r="L41" s="89" t="str">
        <f>IF('WEEK 44'!I41='WEEK 45'!I41,'WEEK 44'!M41,"")</f>
        <v/>
      </c>
      <c r="M41" s="85"/>
    </row>
    <row r="44">
      <c r="A44" s="73" t="str">
        <f>HYPERLINK("https://www.youtube.com/watch?v=PnaDzYh2axA","3. LAT PULL DOWN")</f>
        <v>3. LAT PULL DOWN</v>
      </c>
      <c r="B44" s="53"/>
      <c r="C44" s="53"/>
      <c r="D44" s="53"/>
      <c r="E44" s="53"/>
      <c r="F44" s="53"/>
    </row>
    <row r="45">
      <c r="A45" s="226" t="s">
        <v>119</v>
      </c>
      <c r="B45" s="227">
        <f>'WEEK 44'!B45</f>
        <v>240</v>
      </c>
      <c r="C45" s="20"/>
      <c r="D45" s="20"/>
      <c r="E45" s="20"/>
      <c r="F45" s="20"/>
    </row>
    <row r="46">
      <c r="A46" s="231" t="s">
        <v>50</v>
      </c>
      <c r="B46" s="232" t="s">
        <v>51</v>
      </c>
      <c r="C46" s="232" t="s">
        <v>52</v>
      </c>
      <c r="D46" s="232" t="s">
        <v>53</v>
      </c>
      <c r="E46" s="233" t="s">
        <v>54</v>
      </c>
      <c r="F46" s="286" t="s">
        <v>55</v>
      </c>
    </row>
    <row r="47">
      <c r="A47" s="236">
        <v>1.0</v>
      </c>
      <c r="B47" s="237">
        <f>mround('WEEK 45'!B45*0.35,5)</f>
        <v>85</v>
      </c>
      <c r="C47" s="238">
        <v>6.0</v>
      </c>
      <c r="D47" s="238" t="s">
        <v>120</v>
      </c>
      <c r="E47" s="84" t="str">
        <f>IF('WEEK 41'!B47='WEEK 45'!B47,'WEEK 41'!F47,"")</f>
        <v/>
      </c>
      <c r="F47" s="67"/>
    </row>
    <row r="48">
      <c r="A48" s="236">
        <v>2.0</v>
      </c>
      <c r="B48" s="237">
        <f>mround('WEEK 45'!B45*0.65,5)</f>
        <v>155</v>
      </c>
      <c r="C48" s="238">
        <v>3.0</v>
      </c>
      <c r="D48" s="238" t="s">
        <v>121</v>
      </c>
      <c r="E48" s="84">
        <f>IF('WEEK 41'!B48='WEEK 45'!B48,'WEEK 41'!F48,"")</f>
        <v>3</v>
      </c>
      <c r="F48" s="67"/>
    </row>
    <row r="49">
      <c r="A49" s="242">
        <v>3.0</v>
      </c>
      <c r="B49" s="237">
        <f>mround('WEEK 45'!B45*0.9,5)</f>
        <v>215</v>
      </c>
      <c r="C49" s="63">
        <v>2.0</v>
      </c>
      <c r="D49" s="238" t="s">
        <v>121</v>
      </c>
      <c r="E49" s="84" t="str">
        <f>IF('WEEK 41'!B49='WEEK 45'!B49,'WEEK 41'!F49,"")</f>
        <v/>
      </c>
      <c r="F49" s="67"/>
    </row>
    <row r="50">
      <c r="A50" s="243">
        <v>4.0</v>
      </c>
      <c r="B50" s="237">
        <f>'WEEK 45'!B45</f>
        <v>240</v>
      </c>
      <c r="C50" s="257">
        <v>3.0</v>
      </c>
      <c r="D50" s="238" t="s">
        <v>122</v>
      </c>
      <c r="E50" s="84" t="str">
        <f>IF('WEEK 41'!B50='WEEK 45'!B50,'WEEK 41'!F50,"")</f>
        <v/>
      </c>
      <c r="F50" s="665"/>
    </row>
    <row r="51">
      <c r="A51" s="246" t="str">
        <f>IF('WEEK 45'!F50&lt;3,"PROCEED TO DOWN SETS","NEW 4 REP MAX ATTEMPT")</f>
        <v>PROCEED TO DOWN SETS</v>
      </c>
      <c r="B51" s="20"/>
      <c r="C51" s="20"/>
      <c r="D51" s="20"/>
      <c r="E51" s="20"/>
      <c r="F51" s="20"/>
    </row>
    <row r="52">
      <c r="A52" s="249" t="str">
        <f>if('WEEK 45'!F50&lt;=2,"",5)</f>
        <v/>
      </c>
      <c r="B52" s="175" t="str">
        <f>IF('WEEK 45'!F50&lt;=2,"",B50+5)</f>
        <v/>
      </c>
      <c r="C52" s="238" t="str">
        <f>if('WEEK 45'!F50&lt;=2,"",4)</f>
        <v/>
      </c>
      <c r="D52" s="238" t="str">
        <f>if('WEEK 45'!F50&lt;=2,"","1-5 MIN")</f>
        <v/>
      </c>
      <c r="E52" s="84" t="str">
        <f>IF('WEEK 41'!B52='WEEK 45'!B52,'WEEK 41'!F52,"")</f>
        <v/>
      </c>
      <c r="F52" s="271"/>
    </row>
    <row r="53">
      <c r="A53" s="256" t="str">
        <f>IF('WEEK 45'!F52&lt;4,"","6")</f>
        <v/>
      </c>
      <c r="B53" s="237" t="str">
        <f>IF('WEEK 45'!F52&lt;4,"",B52+5)</f>
        <v/>
      </c>
      <c r="C53" s="257" t="str">
        <f>IF('WEEK 45'!F52&lt;4,"","4")</f>
        <v/>
      </c>
      <c r="D53" s="257" t="str">
        <f>IF('WEEK 45'!F52&lt;4,"","1-5 MIN")</f>
        <v/>
      </c>
      <c r="E53" s="84" t="str">
        <f>IF('WEEK 41'!B53='WEEK 45'!B53,'WEEK 41'!F53,"")</f>
        <v/>
      </c>
      <c r="F53" s="665"/>
    </row>
    <row r="54">
      <c r="A54" s="246" t="str">
        <f>IF(OR(ISBLANK('WEEK 45'!F50),ISBLANK('WEEK 45'!F49),ISBLANK('WEEK 45'!F48)),"FILL OUT REP LOG FOR DOWN SETS","DOWN SETS")</f>
        <v>FILL OUT REP LOG FOR DOWN SETS</v>
      </c>
      <c r="B54" s="20"/>
      <c r="C54" s="20"/>
      <c r="D54" s="20"/>
      <c r="E54" s="20"/>
      <c r="F54" s="20"/>
    </row>
    <row r="55">
      <c r="A55" s="264" t="str">
        <f>IF(OR(ISBLANK('WEEK 45'!F50),ISBLANK('WEEK 45'!F49),ISBLANK('WEEK 45'!F48)),"",IF((AND(A52="",A53="")),5,IF((AND(A52&gt;1,A53="")),6,7)))</f>
        <v/>
      </c>
      <c r="B55" s="265">
        <f>MROUND('WEEK 45'!B57*0.8,5)</f>
        <v>0</v>
      </c>
      <c r="C55" s="266" t="s">
        <v>65</v>
      </c>
      <c r="D55" s="267" t="s">
        <v>127</v>
      </c>
      <c r="E55" s="84" t="str">
        <f>IF('WEEK 41'!B55='WEEK 45'!B55,'WEEK 41'!F55,"")</f>
        <v/>
      </c>
      <c r="F55" s="271"/>
    </row>
    <row r="56">
      <c r="A56" s="243" t="str">
        <f>IF(OR(ISBLANK('WEEK 45'!F50),ISBLANK('WEEK 45'!F49),ISBLANK('WEEK 45'!F48)),"",IF((AND(A52="",A53="")),6,IF((AND(A52&gt;1,A53="")),7,8)))</f>
        <v/>
      </c>
      <c r="B56" s="237">
        <f>mround('WEEK 45'!B57*0.7,5)</f>
        <v>0</v>
      </c>
      <c r="C56" s="245" t="s">
        <v>65</v>
      </c>
      <c r="D56" s="65" t="s">
        <v>127</v>
      </c>
      <c r="E56" s="84" t="str">
        <f>IF('WEEK 41'!B56='WEEK 45'!B56,'WEEK 41'!F56,"")</f>
        <v/>
      </c>
      <c r="F56" s="271"/>
    </row>
    <row r="57">
      <c r="A57" s="272" t="s">
        <v>124</v>
      </c>
      <c r="B57" s="273" t="str">
        <f>IF(OR(ISBLANK('WEEK 45'!F50),ISBLANK('WEEK 45'!F49),ISBLANK('WEEK 45'!F48)),"",IF('WEEK 45'!F53&gt;=4,'WEEK 45'!B53,IF('WEEK 45'!F52&gt;=1,'WEEK 45'!B52,IF('WEEK 45'!F50&lt;3,'WEEK 45'!B50-5,'WEEK 45'!B50))))</f>
        <v/>
      </c>
      <c r="C57" s="11"/>
      <c r="D57" s="11"/>
      <c r="E57" s="11"/>
      <c r="F57" s="46"/>
    </row>
    <row r="58">
      <c r="A58" s="302"/>
      <c r="B58" s="302"/>
      <c r="C58" s="302"/>
      <c r="D58" s="302"/>
      <c r="E58" s="303"/>
      <c r="F58" s="103"/>
    </row>
    <row r="59">
      <c r="A59" s="302"/>
      <c r="B59" s="302"/>
      <c r="C59" s="302"/>
      <c r="D59" s="302"/>
      <c r="E59" s="303"/>
      <c r="F59" s="103"/>
    </row>
    <row r="60">
      <c r="A60" s="73" t="str">
        <f>HYPERLINK("https://www.youtube.com/watch?v=9YH1YvZbiY0","4. MACHINE LOW ROW")</f>
        <v>4. MACHINE LOW ROW</v>
      </c>
      <c r="B60" s="53"/>
      <c r="C60" s="53"/>
      <c r="D60" s="53"/>
      <c r="E60" s="53"/>
      <c r="F60" s="53"/>
    </row>
    <row r="61">
      <c r="A61" s="282" t="s">
        <v>119</v>
      </c>
      <c r="B61" s="56" t="str">
        <f>'WEEK 44'!D45</f>
        <v/>
      </c>
      <c r="C61" s="13"/>
      <c r="D61" s="13"/>
      <c r="E61" s="13"/>
      <c r="F61" s="13"/>
    </row>
    <row r="62">
      <c r="A62" s="58" t="s">
        <v>50</v>
      </c>
      <c r="B62" s="59" t="s">
        <v>51</v>
      </c>
      <c r="C62" s="59" t="s">
        <v>52</v>
      </c>
      <c r="D62" s="59" t="s">
        <v>53</v>
      </c>
      <c r="E62" s="584" t="s">
        <v>54</v>
      </c>
      <c r="F62" s="286" t="s">
        <v>55</v>
      </c>
    </row>
    <row r="63">
      <c r="A63" s="62">
        <v>1.0</v>
      </c>
      <c r="B63" s="63">
        <f> mround('WEEK 45'!B61*0.9,5)</f>
        <v>0</v>
      </c>
      <c r="C63" s="104" t="s">
        <v>65</v>
      </c>
      <c r="D63" s="65" t="s">
        <v>57</v>
      </c>
      <c r="E63" s="84" t="str">
        <f>IF('WEEK 43'!B65='WEEK 45'!B63,'WEEK 43'!F65,"")</f>
        <v/>
      </c>
      <c r="F63" s="67"/>
    </row>
    <row r="64">
      <c r="A64" s="62">
        <v>2.0</v>
      </c>
      <c r="B64" s="63">
        <f>IF('WEEK 45'!F63&lt;6,MROUND('WEEK 45'!B63*0.87,5),IF('WEEK 45'!F63&lt;=11,MROUND('WEEK 45'!B63*0.95,5),'WEEK 45'!B63))</f>
        <v>0</v>
      </c>
      <c r="C64" s="104" t="s">
        <v>65</v>
      </c>
      <c r="D64" s="65" t="s">
        <v>57</v>
      </c>
      <c r="E64" s="84" t="str">
        <f>IF('WEEK 43'!B66='WEEK 45'!B64,'WEEK 43'!F66,"")</f>
        <v/>
      </c>
      <c r="F64" s="67"/>
    </row>
    <row r="65">
      <c r="A65" s="68">
        <v>3.0</v>
      </c>
      <c r="B65" s="69">
        <f>IF('WEEK 45'!F64&lt;6,MROUND('WEEK 45'!B64*0.87,5),IF('WEEK 45'!F64&lt;=11,MROUND('WEEK 45'!B64*0.95,5),'WEEK 45'!B64))</f>
        <v>0</v>
      </c>
      <c r="C65" s="105" t="s">
        <v>65</v>
      </c>
      <c r="D65" s="71" t="s">
        <v>57</v>
      </c>
      <c r="E65" s="89" t="str">
        <f>IF('WEEK 43'!B67='WEEK 45'!B65,'WEEK 43'!F67,"")</f>
        <v/>
      </c>
      <c r="F65" s="67"/>
    </row>
    <row r="66">
      <c r="A66" s="103"/>
      <c r="B66" s="103"/>
      <c r="C66" s="103"/>
      <c r="D66" s="103"/>
      <c r="E66" s="222"/>
      <c r="F66" s="103"/>
    </row>
    <row r="67">
      <c r="A67" s="103"/>
      <c r="B67" s="103"/>
      <c r="C67" s="103"/>
      <c r="D67" s="103"/>
      <c r="E67" s="222"/>
      <c r="F67" s="103"/>
    </row>
    <row r="68">
      <c r="A68" s="73" t="str">
        <f>HYPERLINK("https://youtu.be/5-SUS-OVULY","5. MACHINE HIGH ROW")</f>
        <v>5. MACHINE HIGH ROW</v>
      </c>
      <c r="B68" s="53"/>
      <c r="C68" s="53"/>
      <c r="D68" s="53"/>
      <c r="E68" s="53"/>
      <c r="F68" s="53"/>
    </row>
    <row r="69">
      <c r="A69" s="282" t="s">
        <v>119</v>
      </c>
      <c r="B69" s="56">
        <f>IF('WEEK 43'!B52="",'WEEK 43'!B40,'WEEK 43'!B52)</f>
        <v>220</v>
      </c>
      <c r="C69" s="13"/>
      <c r="D69" s="13"/>
      <c r="E69" s="13"/>
      <c r="F69" s="13"/>
    </row>
    <row r="70">
      <c r="A70" s="58" t="s">
        <v>50</v>
      </c>
      <c r="B70" s="59" t="s">
        <v>51</v>
      </c>
      <c r="C70" s="59" t="s">
        <v>52</v>
      </c>
      <c r="D70" s="59" t="s">
        <v>53</v>
      </c>
      <c r="E70" s="584" t="s">
        <v>54</v>
      </c>
      <c r="F70" s="286" t="s">
        <v>55</v>
      </c>
    </row>
    <row r="71">
      <c r="A71" s="62">
        <v>1.0</v>
      </c>
      <c r="B71" s="63">
        <f> mround('WEEK 45'!B69*0.85,5)</f>
        <v>185</v>
      </c>
      <c r="C71" s="104" t="s">
        <v>65</v>
      </c>
      <c r="D71" s="65" t="s">
        <v>57</v>
      </c>
      <c r="E71" s="84" t="str">
        <f>IF('WEEK 42'!B45='WEEK 45'!B71,'WEEK 42'!F45,"")</f>
        <v/>
      </c>
      <c r="F71" s="67"/>
    </row>
    <row r="72">
      <c r="A72" s="62">
        <v>2.0</v>
      </c>
      <c r="B72" s="63">
        <f>IF('WEEK 45'!F71&lt;6,MROUND('WEEK 45'!B69*0.7,5),IF('WEEK 45'!F71&lt;=11,MROUND('WEEK 45'!B69*0.75,5),'WEEK 45'!B71))</f>
        <v>155</v>
      </c>
      <c r="C72" s="104" t="s">
        <v>65</v>
      </c>
      <c r="D72" s="65" t="s">
        <v>57</v>
      </c>
      <c r="E72" s="84" t="str">
        <f>IF('WEEK 42'!B46='WEEK 45'!B72,'WEEK 42'!F46,"")</f>
        <v/>
      </c>
      <c r="F72" s="67"/>
    </row>
    <row r="73">
      <c r="A73" s="68">
        <v>3.0</v>
      </c>
      <c r="B73" s="87">
        <f>IF('WEEK 45'!F72&lt;6,MROUND('WEEK 45'!B72*0.8,5),IF('WEEK 45'!F72&lt;=11,MROUND('WEEK 45'!B72*0.85,5),'WEEK 45'!B72))</f>
        <v>125</v>
      </c>
      <c r="C73" s="105" t="s">
        <v>65</v>
      </c>
      <c r="D73" s="309" t="s">
        <v>57</v>
      </c>
      <c r="E73" s="89" t="str">
        <f>IF('WEEK 42'!B47='WEEK 45'!B73,'WEEK 42'!F47,"")</f>
        <v/>
      </c>
      <c r="F73" s="67"/>
    </row>
    <row r="74">
      <c r="E74" s="1248"/>
    </row>
    <row r="75">
      <c r="E75" s="1248"/>
    </row>
    <row r="76">
      <c r="A76" s="310" t="str">
        <f>HYPERLINK("https://docs.google.com/a/fitnessresults.com/forms/d/e/1FAIpQLSd7MoczESe8Yjv6BKpmwAZGn9Aiymrs9-UdgfYIUpbr9t5NXg/viewform?usp=pp_url&amp;entry.93370101","CLICK TO COMPLETE WORKOUT")</f>
        <v>CLICK TO COMPLETE WORKOUT</v>
      </c>
      <c r="B76" s="36"/>
      <c r="C76" s="36"/>
      <c r="D76" s="36"/>
      <c r="E76" s="36"/>
      <c r="F76" s="37"/>
    </row>
    <row r="77">
      <c r="E77" s="1248"/>
    </row>
    <row r="78">
      <c r="A78" s="224" t="s">
        <v>128</v>
      </c>
      <c r="B78" s="36"/>
      <c r="C78" s="36"/>
      <c r="D78" s="36"/>
      <c r="E78" s="36"/>
      <c r="F78" s="37"/>
    </row>
    <row r="81">
      <c r="A81" s="960" t="str">
        <f>HYPERLINK("https://www.youtube.com/watch?v=dVterVQksD4","1. LEG PRESS")</f>
        <v>1. LEG PRESS</v>
      </c>
      <c r="B81" s="53"/>
      <c r="C81" s="53"/>
      <c r="D81" s="53"/>
      <c r="E81" s="53"/>
      <c r="F81" s="54"/>
    </row>
    <row r="82">
      <c r="A82" s="1262" t="s">
        <v>119</v>
      </c>
      <c r="B82" s="1463">
        <f>'WEEK 31'!B90</f>
        <v>320</v>
      </c>
      <c r="F82" s="28"/>
    </row>
    <row r="83">
      <c r="A83" s="231" t="s">
        <v>50</v>
      </c>
      <c r="B83" s="232" t="s">
        <v>51</v>
      </c>
      <c r="C83" s="232" t="s">
        <v>52</v>
      </c>
      <c r="D83" s="232" t="s">
        <v>53</v>
      </c>
      <c r="E83" s="233" t="s">
        <v>54</v>
      </c>
      <c r="F83" s="61" t="s">
        <v>55</v>
      </c>
    </row>
    <row r="84">
      <c r="A84" s="236">
        <v>1.0</v>
      </c>
      <c r="B84" s="237">
        <f>mround('WEEK 45'!B82*0.35,5)</f>
        <v>110</v>
      </c>
      <c r="C84" s="238">
        <v>10.0</v>
      </c>
      <c r="D84" s="238" t="s">
        <v>120</v>
      </c>
      <c r="E84" s="66" t="str">
        <f>IF('WEEK 31'!B81='WEEK 45'!B84,'WEEK 31'!F81,"")</f>
        <v/>
      </c>
      <c r="F84" s="67"/>
    </row>
    <row r="85">
      <c r="A85" s="236">
        <v>2.0</v>
      </c>
      <c r="B85" s="237">
        <f>mround('WEEK 45'!B82*0.65,5)</f>
        <v>210</v>
      </c>
      <c r="C85" s="238">
        <v>10.0</v>
      </c>
      <c r="D85" s="238" t="s">
        <v>121</v>
      </c>
      <c r="E85" s="66" t="str">
        <f>IF('WEEK 31'!B82='WEEK 45'!B85,'WEEK 31'!F82,"")</f>
        <v/>
      </c>
      <c r="F85" s="67"/>
    </row>
    <row r="86">
      <c r="A86" s="242">
        <v>3.0</v>
      </c>
      <c r="B86" s="237">
        <f>mround('WEEK 45'!B82*0.9,5)</f>
        <v>290</v>
      </c>
      <c r="C86" s="238">
        <v>10.0</v>
      </c>
      <c r="D86" s="238" t="s">
        <v>121</v>
      </c>
      <c r="E86" s="66" t="str">
        <f>IF('WEEK 31'!B83='WEEK 45'!B86,'WEEK 31'!F83,"")</f>
        <v/>
      </c>
      <c r="F86" s="67"/>
    </row>
    <row r="87">
      <c r="A87" s="249">
        <v>4.0</v>
      </c>
      <c r="B87" s="175">
        <f>if('WEEK 45'!F86&lt;10,MROUND('WEEK 45'!B86-('WEEK 45'!B86*3%),5),'WEEK 45'!B82)</f>
        <v>280</v>
      </c>
      <c r="C87" s="238">
        <v>10.0</v>
      </c>
      <c r="D87" s="238" t="s">
        <v>122</v>
      </c>
      <c r="E87" s="66" t="str">
        <f>IF('WEEK 31'!B84='WEEK 45'!B87,'WEEK 31'!F84,"")</f>
        <v/>
      </c>
      <c r="F87" s="67"/>
    </row>
    <row r="88">
      <c r="A88" s="249">
        <v>5.0</v>
      </c>
      <c r="B88" s="175">
        <f>IF((AND('WEEK 45'!B87&lt;='WEEK 45'!B86,'WEEK 45'!F87&gt;=10)),'WEEK 45'!B87,IF('WEEK 45'!F87&lt;10,MROUND('WEEK 45'!B87-('WEEK 45'!B87*20%),5),if( 'WEEK 45'!F87&lt;10,,MROUND('WEEK 45'!B87-('WEEK 45'!B87*1.5%),5),MROUND('WEEK 45'!B87+('WEEK 45'!B87*1.5%),5))))</f>
        <v>225</v>
      </c>
      <c r="C88" s="238">
        <v>10.0</v>
      </c>
      <c r="D88" s="238" t="s">
        <v>122</v>
      </c>
      <c r="E88" s="66" t="str">
        <f>IF('WEEK 31'!B85='WEEK 45'!B88,'WEEK 31'!F85,"")</f>
        <v/>
      </c>
      <c r="F88" s="1037"/>
    </row>
    <row r="89">
      <c r="A89" s="249">
        <f>if('WEEK 45'!F87&lt;10,6,6)</f>
        <v>6</v>
      </c>
      <c r="B89" s="175">
        <f>IF((AND('WEEK 45'!B88&lt;='WEEK 45'!B87,'WEEK 45'!F88&gt;=10)),'WEEK 45'!B88,IF('WEEK 45'!F88&lt;10,MROUND('WEEK 45'!B88-('WEEK 45'!B88*20%),5),if( 'WEEK 45'!F88&lt;10,,MROUND('WEEK 45'!B88-('WEEK 45'!B88*1.5%),5),MROUND('WEEK 45'!B88+('WEEK 45'!B88*1.5%),5))))</f>
        <v>180</v>
      </c>
      <c r="C89" s="238">
        <v>10.0</v>
      </c>
      <c r="D89" s="238" t="s">
        <v>122</v>
      </c>
      <c r="E89" s="66" t="str">
        <f>IF('WEEK 31'!B86='WEEK 45'!B89,'WEEK 31'!F86,"")</f>
        <v/>
      </c>
      <c r="F89" s="67"/>
    </row>
    <row r="90">
      <c r="A90" s="1038">
        <f>IF('WEEK 45'!F89&lt;10,7,"7")</f>
        <v>7</v>
      </c>
      <c r="B90" s="175">
        <f>IF((AND('WEEK 45'!B89&lt;='WEEK 45'!B88,'WEEK 45'!F89&gt;=10)),'WEEK 45'!B89,IF('WEEK 45'!F89&lt;10,MROUND('WEEK 45'!B89-('WEEK 45'!B89*20%),5),if( 'WEEK 45'!F89&lt;10,,MROUND('WEEK 45'!B89-('WEEK 45'!B89*1.5%),5),MROUND('WEEK 45'!B89+('WEEK 45'!B89*1.5%),5))))</f>
        <v>145</v>
      </c>
      <c r="C90" s="238">
        <v>10.0</v>
      </c>
      <c r="D90" s="238" t="s">
        <v>122</v>
      </c>
      <c r="E90" s="66" t="str">
        <f>IF('WEEK 31'!B87='WEEK 45'!B90,'WEEK 31'!F87,"")</f>
        <v/>
      </c>
      <c r="F90" s="67"/>
    </row>
    <row r="91">
      <c r="A91" s="249">
        <f>IF('WEEK 45'!F90&lt;10,8,"8")</f>
        <v>8</v>
      </c>
      <c r="B91" s="175">
        <f>IF((AND('WEEK 45'!B90&lt;='WEEK 45'!B89,'WEEK 45'!F90&gt;=10)),'WEEK 45'!B90,IF('WEEK 45'!F90&lt;10,MROUND('WEEK 45'!B90-('WEEK 45'!B90*20%),5),if( 'WEEK 45'!F90&lt;10,,MROUND('WEEK 45'!B90-('WEEK 45'!B90*1.5%),5),MROUND('WEEK 45'!B90+('WEEK 45'!B90*1.5%),5))))</f>
        <v>115</v>
      </c>
      <c r="C91" s="238">
        <v>10.0</v>
      </c>
      <c r="D91" s="238" t="s">
        <v>122</v>
      </c>
      <c r="E91" s="66" t="str">
        <f>IF('WEEK 31'!B88='WEEK 45'!B91,'WEEK 31'!F88,"")</f>
        <v/>
      </c>
      <c r="F91" s="67"/>
    </row>
    <row r="92">
      <c r="A92" s="1038">
        <f>IF('WEEK 45'!F91&lt;10,9,"9")</f>
        <v>9</v>
      </c>
      <c r="B92" s="175">
        <f>IF((AND('WEEK 45'!B91&lt;='WEEK 45'!B90,'WEEK 45'!F91&gt;=10)),'WEEK 45'!B91,IF('WEEK 45'!F91&lt;10,MROUND('WEEK 45'!B91-('WEEK 45'!B91*20%),5),if( 'WEEK 45'!F91&lt;10,,MROUND('WEEK 45'!B91-('WEEK 45'!B91*1.5%),5),MROUND('WEEK 45'!B91+('WEEK 45'!B91*1.5%),5))))</f>
        <v>90</v>
      </c>
      <c r="C92" s="238">
        <v>10.0</v>
      </c>
      <c r="D92" s="238" t="s">
        <v>122</v>
      </c>
      <c r="E92" s="66" t="str">
        <f>IF('WEEK 31'!B89='WEEK 45'!B92,'WEEK 31'!F89,"")</f>
        <v/>
      </c>
      <c r="F92" s="67"/>
    </row>
    <row r="93">
      <c r="A93" s="1038" t="str">
        <f>IF('WEEK 45'!F92&lt;10,"10","10")</f>
        <v>10</v>
      </c>
      <c r="B93" s="175">
        <f>IF((AND('WEEK 45'!B92&lt;='WEEK 45'!B91,'WEEK 45'!F92&gt;=10)),'WEEK 45'!B92,IF('WEEK 45'!F92&lt;10,MROUND('WEEK 45'!B92-('WEEK 45'!B92*20%),5),if( 'WEEK 45'!F92&lt;10,,MROUND('WEEK 45'!B92-('WEEK 45'!B92*1.5%),5),MROUND('WEEK 45'!B92+('WEEK 45'!B92*1.5%),5))))</f>
        <v>70</v>
      </c>
      <c r="C93" s="238">
        <v>10.0</v>
      </c>
      <c r="D93" s="238" t="s">
        <v>122</v>
      </c>
      <c r="E93" s="66"/>
      <c r="F93" s="67"/>
    </row>
    <row r="94">
      <c r="A94" s="272" t="s">
        <v>192</v>
      </c>
      <c r="B94" s="1109">
        <f>IF(OR(ISBLANK('WEEK 45'!F84),ISBLANK('WEEK 45'!F85)),'WEEK 45'!B82,IF((AND('WEEK 45'!F93&gt;=10,'WEEK 45'!B93&gt;'WEEK 45'!B92)),'WEEK 45'!B93,IF((AND('WEEK 45'!F92&gt;=10,'WEEK 45'!B92&gt;'WEEK 45'!B91)),'WEEK 45'!B92,IF((AND('WEEK 45'!F91&gt;=10,'WEEK 45'!B91&gt;'WEEK 45'!B90)),'WEEK 45'!B91,IF((AND('WEEK 45'!F90&gt;=10,'WEEK 45'!B90&gt;'WEEK 45'!B89)),'WEEK 45'!B90,IF((AND('WEEK 45'!F89&gt;=10,'WEEK 45'!B89&gt;'WEEK 45'!B88)),'WEEK 45'!B89,IF((AND('WEEK 45'!F88&gt;=10,'WEEK 45'!B88&gt;'WEEK 45'!B87)),'WEEK 45'!B88,IF((AND('WEEK 45'!F87&gt;=10,'WEEK 45'!B87&gt;'WEEK 45'!B86)),'WEEK 45'!B87,IF((AND('WEEK 45'!F86&gt;=10,'WEEK 45'!B86&gt;'WEEK 45'!B85)),'WEEK 45'!B86,IF((AND('WEEK 45'!F85&gt;=10,'WEEK 45'!B85&gt;'WEEK 45'!B84)),'WEEK 45'!B85))))))))))</f>
        <v>320</v>
      </c>
      <c r="C94" s="11"/>
      <c r="D94" s="11"/>
      <c r="E94" s="11"/>
      <c r="F94" s="46"/>
    </row>
    <row r="97">
      <c r="A97" s="1285" t="str">
        <f>HYPERLINK("https://www.youtube.com/watch?v=NZ9KiFtbiMs","2. LEG EXTENSION")</f>
        <v>2. LEG EXTENSION</v>
      </c>
      <c r="B97" s="53"/>
      <c r="C97" s="53"/>
      <c r="D97" s="53"/>
      <c r="E97" s="53"/>
      <c r="F97" s="54"/>
    </row>
    <row r="98">
      <c r="A98" s="1045" t="s">
        <v>119</v>
      </c>
      <c r="B98" s="1367">
        <f>IF('WEEK 44'!B84='WEEK 44'!B84,'WEEK 44'!B84+5,IF('WEEK 44'!F84&lt;=9,MROUND('WEEK 44'!B82*0.95,5),'WEEK 44'!B84))</f>
        <v>115</v>
      </c>
      <c r="C98" s="20"/>
      <c r="D98" s="20"/>
      <c r="E98" s="20"/>
      <c r="F98" s="95"/>
    </row>
    <row r="99">
      <c r="A99" s="567" t="s">
        <v>50</v>
      </c>
      <c r="B99" s="568" t="s">
        <v>51</v>
      </c>
      <c r="C99" s="568" t="s">
        <v>52</v>
      </c>
      <c r="D99" s="568" t="s">
        <v>53</v>
      </c>
      <c r="E99" s="1047" t="s">
        <v>54</v>
      </c>
      <c r="F99" s="1048" t="s">
        <v>55</v>
      </c>
    </row>
    <row r="100">
      <c r="A100" s="1049">
        <v>1.0</v>
      </c>
      <c r="B100" s="1050">
        <f>'WEEK 45'!B98</f>
        <v>115</v>
      </c>
      <c r="C100" s="1051" t="s">
        <v>61</v>
      </c>
      <c r="D100" s="1430" t="s">
        <v>121</v>
      </c>
      <c r="E100" s="1130" t="str">
        <f>IF('WEEK 44'!B84='WEEK 45'!B100,'WEEK 44'!F84,"")</f>
        <v/>
      </c>
      <c r="F100" s="1017"/>
    </row>
    <row r="101">
      <c r="A101" s="1049">
        <v>2.0</v>
      </c>
      <c r="B101" s="1050">
        <f>if('WEEK 45'!F100&lt;12,mround('WEEK 45'!B100*0.8,5),IF('WEEK 45'!F100&lt;=14,MROUND('WEEK 45'!B100*0.95,5),'WEEK 45'!B100))</f>
        <v>90</v>
      </c>
      <c r="C101" s="1051" t="s">
        <v>61</v>
      </c>
      <c r="D101" s="1430" t="s">
        <v>121</v>
      </c>
      <c r="E101" s="1130" t="str">
        <f>IF('WEEK 44'!B85='WEEK 45'!B101,'WEEK 44'!F85,"")</f>
        <v/>
      </c>
      <c r="F101" s="1017"/>
    </row>
    <row r="102">
      <c r="A102" s="1053">
        <v>3.0</v>
      </c>
      <c r="B102" s="1054">
        <f>if('WEEK 45'!F101&lt;12,mround('WEEK 45'!B101*0.8,5),IF('WEEK 45'!F101&lt;=14,MROUND('WEEK 45'!B101*0.95,5),'WEEK 45'!B101))</f>
        <v>70</v>
      </c>
      <c r="C102" s="1055" t="s">
        <v>61</v>
      </c>
      <c r="D102" s="1453" t="s">
        <v>121</v>
      </c>
      <c r="E102" s="1348" t="str">
        <f>IF('WEEK 44'!B86='WEEK 45'!B102,'WEEK 44'!F86,"")</f>
        <v/>
      </c>
      <c r="F102" s="1017"/>
    </row>
    <row r="105">
      <c r="A105" s="323" t="str">
        <f>HYPERLINK("https://www.youtube.com/watch?v=XepOfsnGFJg","3. MACHINE LEG CURL")</f>
        <v>3. MACHINE LEG CURL</v>
      </c>
      <c r="B105" s="53"/>
      <c r="C105" s="53"/>
      <c r="D105" s="53"/>
      <c r="E105" s="53"/>
      <c r="F105" s="54"/>
      <c r="G105" s="141"/>
      <c r="H105" s="323" t="str">
        <f>HYPERLINK("https://youtu.be/kmN9cJ79PDE","3. PRONE LEG CURL")</f>
        <v>3. PRONE LEG CURL</v>
      </c>
      <c r="I105" s="53"/>
      <c r="J105" s="53"/>
      <c r="K105" s="53"/>
      <c r="L105" s="53"/>
      <c r="M105" s="54"/>
    </row>
    <row r="106">
      <c r="A106" s="1045" t="s">
        <v>119</v>
      </c>
      <c r="B106" s="1367">
        <f>IF('WEEK 44'!B92='WEEK 44'!B92,'WEEK 44'!B92+5,IF('WEEK 44'!F92&lt;=9,MROUND('WEEK 44'!B90*0.95,5),'WEEK 44'!B92))</f>
        <v>110</v>
      </c>
      <c r="C106" s="20"/>
      <c r="D106" s="20"/>
      <c r="E106" s="20"/>
      <c r="F106" s="95"/>
      <c r="H106" s="1045" t="s">
        <v>119</v>
      </c>
      <c r="I106" s="1046">
        <f>'WEEK 45'!B106</f>
        <v>110</v>
      </c>
      <c r="J106" s="13"/>
      <c r="K106" s="13"/>
      <c r="L106" s="13"/>
      <c r="M106" s="57"/>
    </row>
    <row r="107">
      <c r="A107" s="567" t="s">
        <v>50</v>
      </c>
      <c r="B107" s="568" t="s">
        <v>51</v>
      </c>
      <c r="C107" s="568" t="s">
        <v>52</v>
      </c>
      <c r="D107" s="568" t="s">
        <v>53</v>
      </c>
      <c r="E107" s="1047" t="s">
        <v>54</v>
      </c>
      <c r="F107" s="1048" t="s">
        <v>55</v>
      </c>
      <c r="H107" s="567" t="s">
        <v>50</v>
      </c>
      <c r="I107" s="568" t="s">
        <v>51</v>
      </c>
      <c r="J107" s="568" t="s">
        <v>52</v>
      </c>
      <c r="K107" s="568" t="s">
        <v>53</v>
      </c>
      <c r="L107" s="1047" t="s">
        <v>54</v>
      </c>
      <c r="M107" s="1048" t="s">
        <v>55</v>
      </c>
    </row>
    <row r="108">
      <c r="A108" s="1049">
        <v>1.0</v>
      </c>
      <c r="B108" s="1050">
        <f>'WEEK 45'!B106</f>
        <v>110</v>
      </c>
      <c r="C108" s="1051" t="s">
        <v>61</v>
      </c>
      <c r="D108" s="1430" t="s">
        <v>121</v>
      </c>
      <c r="E108" s="1130" t="str">
        <f>IF('WEEK 44'!B92='WEEK 45'!B108,'WEEK 44'!F92,"")</f>
        <v/>
      </c>
      <c r="F108" s="1017"/>
      <c r="G108" s="434" t="s">
        <v>123</v>
      </c>
      <c r="H108" s="1049">
        <v>1.0</v>
      </c>
      <c r="I108" s="1050">
        <f>'WEEK 45'!I106</f>
        <v>110</v>
      </c>
      <c r="J108" s="1051" t="s">
        <v>61</v>
      </c>
      <c r="K108" s="1430" t="s">
        <v>121</v>
      </c>
      <c r="L108" s="1130" t="str">
        <f>IF('WEEK 44'!I92='WEEK 45'!I108,'WEEK 44'!M92,"")</f>
        <v/>
      </c>
      <c r="M108" s="1017"/>
    </row>
    <row r="109">
      <c r="A109" s="1049">
        <v>2.0</v>
      </c>
      <c r="B109" s="1050">
        <f>if('WEEK 45'!F108&lt;12,mround('WEEK 45'!B108*0.8,5),IF('WEEK 45'!F108&lt;=14,MROUND('WEEK 45'!B108*0.95,5),'WEEK 45'!B108))</f>
        <v>90</v>
      </c>
      <c r="C109" s="1051" t="s">
        <v>61</v>
      </c>
      <c r="D109" s="1430" t="s">
        <v>121</v>
      </c>
      <c r="E109" s="1130" t="str">
        <f>IF('WEEK 44'!B93='WEEK 45'!B109,'WEEK 44'!F93,"")</f>
        <v/>
      </c>
      <c r="F109" s="1017"/>
      <c r="H109" s="1049">
        <v>2.0</v>
      </c>
      <c r="I109" s="1050">
        <f>if('WEEK 45'!M108&lt;12,mround('WEEK 45'!I108*0.8,5),IF('WEEK 45'!M108&lt;=14,MROUND('WEEK 45'!I108*0.95,5),'WEEK 45'!I108))</f>
        <v>90</v>
      </c>
      <c r="J109" s="1051" t="s">
        <v>61</v>
      </c>
      <c r="K109" s="1430" t="s">
        <v>121</v>
      </c>
      <c r="L109" s="1130" t="str">
        <f>IF('WEEK 44'!I93='WEEK 45'!I109,'WEEK 44'!M93,"")</f>
        <v/>
      </c>
      <c r="M109" s="1017"/>
    </row>
    <row r="110">
      <c r="A110" s="1053">
        <v>3.0</v>
      </c>
      <c r="B110" s="1054">
        <f>if('WEEK 45'!F109&lt;12,mround('WEEK 45'!B109*0.8,5),IF('WEEK 45'!F109&lt;=14,MROUND('WEEK 45'!B109*0.95,5),'WEEK 45'!B109))</f>
        <v>70</v>
      </c>
      <c r="C110" s="1055" t="s">
        <v>61</v>
      </c>
      <c r="D110" s="1453" t="s">
        <v>121</v>
      </c>
      <c r="E110" s="1348" t="str">
        <f>IF('WEEK 44'!B94='WEEK 45'!B110,'WEEK 44'!F94,"")</f>
        <v/>
      </c>
      <c r="F110" s="1017"/>
      <c r="G110" s="682"/>
      <c r="H110" s="1053">
        <v>3.0</v>
      </c>
      <c r="I110" s="1054">
        <f>if('WEEK 45'!M109&lt;12,mround('WEEK 45'!I109*0.8,5),IF('WEEK 45'!M109&lt;=14,MROUND('WEEK 45'!I109*0.95,5),'WEEK 45'!I109))</f>
        <v>70</v>
      </c>
      <c r="J110" s="1055" t="s">
        <v>61</v>
      </c>
      <c r="K110" s="1453" t="s">
        <v>121</v>
      </c>
      <c r="L110" s="1348" t="str">
        <f>IF('WEEK 44'!I94='WEEK 45'!I110,'WEEK 44'!M94,"")</f>
        <v/>
      </c>
      <c r="M110" s="1017"/>
    </row>
    <row r="111">
      <c r="A111" s="849"/>
      <c r="B111" s="849"/>
      <c r="C111" s="849"/>
      <c r="D111" s="849"/>
      <c r="E111" s="849"/>
      <c r="F111" s="849"/>
      <c r="H111" s="849"/>
      <c r="I111" s="850"/>
      <c r="J111" s="850"/>
      <c r="K111" s="850"/>
      <c r="L111" s="850"/>
      <c r="M111" s="850"/>
    </row>
    <row r="113">
      <c r="A113" s="1120" t="s">
        <v>62</v>
      </c>
      <c r="B113" s="36"/>
      <c r="C113" s="36"/>
      <c r="D113" s="36"/>
      <c r="E113" s="36"/>
      <c r="F113" s="37"/>
    </row>
    <row r="116">
      <c r="A116" s="51" t="s">
        <v>131</v>
      </c>
      <c r="B116" s="36"/>
      <c r="C116" s="36"/>
      <c r="D116" s="36"/>
      <c r="E116" s="36"/>
      <c r="F116" s="37"/>
      <c r="G116" s="419"/>
      <c r="H116" s="51" t="s">
        <v>131</v>
      </c>
      <c r="I116" s="36"/>
      <c r="J116" s="36"/>
      <c r="K116" s="36"/>
      <c r="L116" s="36"/>
      <c r="M116" s="37"/>
    </row>
    <row r="117">
      <c r="A117" s="504" t="str">
        <f>HYPERLINK("https://youtu.be/rmxOkkd2hUk","1. SHOULDER PRESS")</f>
        <v>1. SHOULDER PRESS</v>
      </c>
      <c r="B117" s="53"/>
      <c r="C117" s="53"/>
      <c r="D117" s="53"/>
      <c r="E117" s="53"/>
      <c r="F117" s="54"/>
      <c r="G117" s="419"/>
      <c r="H117" s="778" t="str">
        <f>HYPERLINK("https://www.youtube.com/watch?v=-cSBPE-y38M","1. MACHINE SHOULDER PRESS")</f>
        <v>1. MACHINE SHOULDER PRESS</v>
      </c>
      <c r="I117" s="53"/>
      <c r="J117" s="53"/>
      <c r="K117" s="53"/>
      <c r="L117" s="53"/>
      <c r="M117" s="54"/>
    </row>
    <row r="118">
      <c r="A118" s="589" t="s">
        <v>119</v>
      </c>
      <c r="B118" s="227">
        <f>IF('WEEK 43'!B109="",'WEEK 43'!B97,'WEEK 43'!B109)</f>
        <v>80</v>
      </c>
      <c r="C118" s="20"/>
      <c r="D118" s="20"/>
      <c r="E118" s="20"/>
      <c r="F118" s="95"/>
      <c r="G118" s="419"/>
      <c r="H118" s="226" t="s">
        <v>145</v>
      </c>
      <c r="I118" s="227">
        <f>IF('WEEK 43'!I109="",'WEEK 43'!I97,'WEEK 43'!I109)</f>
        <v>228</v>
      </c>
      <c r="J118" s="20"/>
      <c r="K118" s="20"/>
      <c r="L118" s="20"/>
      <c r="M118" s="95"/>
    </row>
    <row r="119">
      <c r="A119" s="364" t="s">
        <v>50</v>
      </c>
      <c r="B119" s="365" t="s">
        <v>51</v>
      </c>
      <c r="C119" s="365" t="s">
        <v>52</v>
      </c>
      <c r="D119" s="365" t="s">
        <v>53</v>
      </c>
      <c r="E119" s="609" t="s">
        <v>54</v>
      </c>
      <c r="F119" s="61" t="s">
        <v>55</v>
      </c>
      <c r="G119" s="724"/>
      <c r="H119" s="364" t="s">
        <v>50</v>
      </c>
      <c r="I119" s="365" t="s">
        <v>51</v>
      </c>
      <c r="J119" s="365" t="s">
        <v>52</v>
      </c>
      <c r="K119" s="365" t="s">
        <v>53</v>
      </c>
      <c r="L119" s="609" t="s">
        <v>54</v>
      </c>
      <c r="M119" s="61" t="s">
        <v>55</v>
      </c>
    </row>
    <row r="120">
      <c r="A120" s="236">
        <v>1.0</v>
      </c>
      <c r="B120" s="237">
        <f>mround('WEEK 45'!B118*0.35,5)</f>
        <v>30</v>
      </c>
      <c r="C120" s="237">
        <v>6.0</v>
      </c>
      <c r="D120" s="238" t="s">
        <v>120</v>
      </c>
      <c r="E120" s="84" t="str">
        <f>IF('WEEK 42'!B101='WEEK 45'!B120,'WEEK 42'!F101,"")</f>
        <v/>
      </c>
      <c r="F120" s="67"/>
      <c r="G120" s="728"/>
      <c r="H120" s="236">
        <v>1.0</v>
      </c>
      <c r="I120" s="237">
        <f>MROUND(('WEEK 45'!I118*0.4+'WEEK 45'!I118)*0.35,5)</f>
        <v>110</v>
      </c>
      <c r="J120" s="237">
        <v>6.0</v>
      </c>
      <c r="K120" s="238" t="s">
        <v>120</v>
      </c>
      <c r="L120" s="84" t="str">
        <f>IF('WEEK 42'!I101='WEEK 45'!I120,'WEEK 42'!M101,"")</f>
        <v/>
      </c>
      <c r="M120" s="67"/>
    </row>
    <row r="121">
      <c r="A121" s="236">
        <v>2.0</v>
      </c>
      <c r="B121" s="237">
        <f>mround('WEEK 45'!B118*0.65,5)</f>
        <v>50</v>
      </c>
      <c r="C121" s="237">
        <v>1.0</v>
      </c>
      <c r="D121" s="238" t="s">
        <v>57</v>
      </c>
      <c r="E121" s="84" t="str">
        <f>IF('WEEK 42'!B102='WEEK 45'!B121,'WEEK 42'!F102,"")</f>
        <v/>
      </c>
      <c r="F121" s="67"/>
      <c r="G121" s="728"/>
      <c r="H121" s="236">
        <v>2.0</v>
      </c>
      <c r="I121" s="237">
        <f>mround('WEEK 45'!I118*0.65,5)</f>
        <v>150</v>
      </c>
      <c r="J121" s="237">
        <v>1.0</v>
      </c>
      <c r="K121" s="238" t="s">
        <v>57</v>
      </c>
      <c r="L121" s="84" t="str">
        <f>IF('WEEK 42'!I102='WEEK 45'!I121,'WEEK 42'!M102,"")</f>
        <v/>
      </c>
      <c r="M121" s="67"/>
    </row>
    <row r="122">
      <c r="A122" s="779">
        <v>3.0</v>
      </c>
      <c r="B122" s="780">
        <f> mround('WEEK 45'!B118*0.9,5)</f>
        <v>70</v>
      </c>
      <c r="C122" s="781" t="s">
        <v>65</v>
      </c>
      <c r="D122" s="782" t="s">
        <v>57</v>
      </c>
      <c r="E122" s="84" t="str">
        <f>IF('WEEK 42'!B103='WEEK 45'!B122,'WEEK 42'!F103,"")</f>
        <v/>
      </c>
      <c r="F122" s="1399"/>
      <c r="G122" s="728"/>
      <c r="H122" s="779">
        <v>3.0</v>
      </c>
      <c r="I122" s="780">
        <f> mround('WEEK 45'!I118*0.9,5)</f>
        <v>205</v>
      </c>
      <c r="J122" s="781" t="s">
        <v>65</v>
      </c>
      <c r="K122" s="782" t="s">
        <v>57</v>
      </c>
      <c r="L122" s="84" t="str">
        <f>IF('WEEK 42'!I103='WEEK 45'!I122,'WEEK 42'!M103,"")</f>
        <v/>
      </c>
      <c r="M122" s="1399"/>
    </row>
    <row r="123">
      <c r="A123" s="785">
        <v>4.0</v>
      </c>
      <c r="B123" s="388">
        <f>if('WEEK 45'!F122&lt;20,mround('WEEK 45'!B122*0.9,5),'WEEK 45'!B122)</f>
        <v>65</v>
      </c>
      <c r="C123" s="781" t="s">
        <v>65</v>
      </c>
      <c r="D123" s="390" t="s">
        <v>57</v>
      </c>
      <c r="E123" s="84" t="str">
        <f>IF('WEEK 42'!B104='WEEK 45'!B123,'WEEK 42'!F104,"")</f>
        <v/>
      </c>
      <c r="F123" s="1399"/>
      <c r="G123" s="728"/>
      <c r="H123" s="785">
        <v>4.0</v>
      </c>
      <c r="I123" s="388">
        <f>if('WEEK 45'!M122&lt;20,mround('WEEK 45'!I122*0.9,5),'WEEK 45'!I122)</f>
        <v>185</v>
      </c>
      <c r="J123" s="781" t="s">
        <v>65</v>
      </c>
      <c r="K123" s="390" t="s">
        <v>57</v>
      </c>
      <c r="L123" s="84" t="str">
        <f>IF('WEEK 42'!I104='WEEK 45'!I123,'WEEK 42'!M104,"")</f>
        <v/>
      </c>
      <c r="M123" s="1399"/>
    </row>
    <row r="124">
      <c r="A124" s="787">
        <v>5.0</v>
      </c>
      <c r="B124" s="788">
        <f>if('WEEK 45'!F123&lt;20,mround('WEEK 45'!B123*0.85,2.5),'WEEK 45'!B123)</f>
        <v>55</v>
      </c>
      <c r="C124" s="789" t="s">
        <v>65</v>
      </c>
      <c r="D124" s="397" t="s">
        <v>57</v>
      </c>
      <c r="E124" s="89" t="str">
        <f>IF('WEEK 42'!B105='WEEK 45'!B124,'WEEK 42'!F105,"")</f>
        <v/>
      </c>
      <c r="F124" s="1399"/>
      <c r="G124" s="724"/>
      <c r="H124" s="787">
        <v>5.0</v>
      </c>
      <c r="I124" s="788">
        <f>if('WEEK 45'!M123&lt;20,mround('WEEK 45'!I123*0.85,2.5),'WEEK 45'!I123)</f>
        <v>157.5</v>
      </c>
      <c r="J124" s="789" t="s">
        <v>65</v>
      </c>
      <c r="K124" s="397" t="s">
        <v>57</v>
      </c>
      <c r="L124" s="89" t="str">
        <f>IF('WEEK 42'!I105='WEEK 45'!I124,'WEEK 42'!M105,"")</f>
        <v/>
      </c>
      <c r="M124" s="1399"/>
    </row>
    <row r="125">
      <c r="A125" s="791"/>
      <c r="B125" s="791"/>
      <c r="C125" s="791"/>
      <c r="D125" s="792"/>
      <c r="E125" s="793"/>
      <c r="F125" s="792"/>
      <c r="G125" s="419"/>
      <c r="H125" s="419"/>
      <c r="I125" s="419"/>
      <c r="J125" s="419"/>
      <c r="K125" s="419"/>
      <c r="L125" s="717"/>
      <c r="M125" s="419"/>
    </row>
    <row r="126">
      <c r="A126" s="791"/>
      <c r="B126" s="791"/>
      <c r="C126" s="791"/>
      <c r="D126" s="792"/>
      <c r="E126" s="793"/>
      <c r="F126" s="792"/>
      <c r="G126" s="419"/>
      <c r="H126" s="419"/>
      <c r="I126" s="419"/>
      <c r="J126" s="419"/>
      <c r="K126" s="419"/>
      <c r="L126" s="717"/>
      <c r="M126" s="419"/>
    </row>
    <row r="127">
      <c r="A127" s="687" t="str">
        <f>HYPERLINK("https://www.youtube.com/watch?v=XDLQt1j3qUU","2. DUMBBELL REAR DELT FLY ")</f>
        <v>2. DUMBBELL REAR DELT FLY </v>
      </c>
      <c r="B127" s="53"/>
      <c r="C127" s="53"/>
      <c r="D127" s="53"/>
      <c r="E127" s="53"/>
      <c r="F127" s="54"/>
      <c r="G127" s="419"/>
      <c r="H127" s="419"/>
      <c r="I127" s="419"/>
      <c r="J127" s="419"/>
      <c r="K127" s="419"/>
      <c r="L127" s="717"/>
      <c r="M127" s="419"/>
    </row>
    <row r="128">
      <c r="A128" s="226" t="s">
        <v>145</v>
      </c>
      <c r="B128" s="691">
        <f>('WEEK 45'!B118)</f>
        <v>80</v>
      </c>
      <c r="C128" s="13"/>
      <c r="D128" s="13"/>
      <c r="E128" s="13"/>
      <c r="F128" s="57"/>
      <c r="G128" s="419"/>
      <c r="H128" s="419"/>
      <c r="I128" s="419"/>
      <c r="J128" s="419"/>
      <c r="K128" s="419"/>
      <c r="L128" s="717"/>
      <c r="M128" s="419"/>
    </row>
    <row r="129">
      <c r="A129" s="96" t="s">
        <v>50</v>
      </c>
      <c r="B129" s="97" t="s">
        <v>51</v>
      </c>
      <c r="C129" s="97" t="s">
        <v>52</v>
      </c>
      <c r="D129" s="97" t="s">
        <v>53</v>
      </c>
      <c r="E129" s="341" t="s">
        <v>54</v>
      </c>
      <c r="F129" s="235" t="s">
        <v>55</v>
      </c>
      <c r="G129" s="724"/>
      <c r="H129" s="724"/>
      <c r="I129" s="724"/>
      <c r="J129" s="724"/>
      <c r="K129" s="724"/>
      <c r="L129" s="748"/>
      <c r="M129" s="724"/>
    </row>
    <row r="130">
      <c r="A130" s="556">
        <v>1.0</v>
      </c>
      <c r="B130" s="237">
        <f>MROUND('WEEK 45'!B128*0.9*0.2,2.5)</f>
        <v>15</v>
      </c>
      <c r="C130" s="65" t="s">
        <v>61</v>
      </c>
      <c r="D130" s="693" t="s">
        <v>127</v>
      </c>
      <c r="E130" s="84">
        <f>IF('WEEK 44'!B112='WEEK 45'!B130,'WEEK 44'!F112,"")</f>
        <v>10</v>
      </c>
      <c r="F130" s="694"/>
      <c r="G130" s="728"/>
      <c r="H130" s="728"/>
      <c r="I130" s="728"/>
      <c r="J130" s="728"/>
      <c r="K130" s="728"/>
      <c r="L130" s="749"/>
      <c r="M130" s="728"/>
    </row>
    <row r="131">
      <c r="A131" s="556">
        <v>2.0</v>
      </c>
      <c r="B131" s="237">
        <f>if('WEEK 45'!F130&lt;6,mround('WEEK 45'!B130*0.8,5),IF('WEEK 45'!F130&lt;=10,MROUND('WEEK 45'!B130*0.95,5),'WEEK 45'!B130))</f>
        <v>10</v>
      </c>
      <c r="C131" s="65" t="s">
        <v>61</v>
      </c>
      <c r="D131" s="693" t="s">
        <v>127</v>
      </c>
      <c r="E131" s="84" t="str">
        <f>IF('WEEK 44'!B113='WEEK 45'!B131,'WEEK 44'!F113,"")</f>
        <v/>
      </c>
      <c r="F131" s="694"/>
      <c r="G131" s="728"/>
      <c r="H131" s="728"/>
      <c r="I131" s="728"/>
      <c r="J131" s="728"/>
      <c r="K131" s="728"/>
      <c r="L131" s="749"/>
      <c r="M131" s="728"/>
    </row>
    <row r="132">
      <c r="A132" s="561">
        <v>3.0</v>
      </c>
      <c r="B132" s="371">
        <f>if('WEEK 45'!F131&lt;8,mround('WEEK 45'!B131*0.8,5),IF('WEEK 45'!F131&lt;=14,MROUND('WEEK 45'!B131*0.95,5),'WEEK 45'!B131))</f>
        <v>10</v>
      </c>
      <c r="C132" s="71" t="s">
        <v>61</v>
      </c>
      <c r="D132" s="794" t="s">
        <v>127</v>
      </c>
      <c r="E132" s="89" t="str">
        <f>IF('WEEK 44'!B114='WEEK 45'!B132,'WEEK 44'!F114,"")</f>
        <v/>
      </c>
      <c r="F132" s="694"/>
      <c r="G132" s="728"/>
      <c r="H132" s="728"/>
      <c r="I132" s="728"/>
      <c r="J132" s="728"/>
      <c r="K132" s="728"/>
      <c r="L132" s="749"/>
      <c r="M132" s="728"/>
    </row>
    <row r="133">
      <c r="A133" s="795"/>
      <c r="B133" s="795"/>
      <c r="C133" s="795"/>
      <c r="D133" s="792"/>
      <c r="E133" s="793"/>
      <c r="F133" s="792"/>
      <c r="G133" s="419"/>
      <c r="H133" s="419"/>
      <c r="I133" s="419"/>
      <c r="J133" s="419"/>
      <c r="K133" s="419"/>
      <c r="L133" s="717"/>
      <c r="M133" s="419"/>
    </row>
    <row r="134">
      <c r="A134" s="795"/>
      <c r="B134" s="795"/>
      <c r="C134" s="795"/>
      <c r="D134" s="792"/>
      <c r="E134" s="793"/>
      <c r="F134" s="792"/>
      <c r="G134" s="419"/>
      <c r="H134" s="419"/>
      <c r="I134" s="419"/>
      <c r="J134" s="419"/>
      <c r="K134" s="419"/>
      <c r="L134" s="717"/>
      <c r="M134" s="419"/>
    </row>
    <row r="135">
      <c r="A135" s="74" t="str">
        <f>HYPERLINK("https://youtu.be/jat-iMMa0ac","3. DUMBBELL SIDE LATERAL RAISE")</f>
        <v>3. DUMBBELL SIDE LATERAL RAISE</v>
      </c>
      <c r="B135" s="53"/>
      <c r="C135" s="53"/>
      <c r="D135" s="53"/>
      <c r="E135" s="53"/>
      <c r="F135" s="54"/>
      <c r="G135" s="419"/>
      <c r="H135" s="419"/>
      <c r="I135" s="419"/>
      <c r="J135" s="419"/>
      <c r="K135" s="419"/>
      <c r="L135" s="717"/>
      <c r="M135" s="419"/>
    </row>
    <row r="136">
      <c r="A136" s="226" t="s">
        <v>145</v>
      </c>
      <c r="B136" s="90">
        <f>('WEEK 45'!B118)</f>
        <v>80</v>
      </c>
      <c r="C136" s="13"/>
      <c r="D136" s="13"/>
      <c r="E136" s="13"/>
      <c r="F136" s="57"/>
      <c r="G136" s="419"/>
      <c r="H136" s="419"/>
      <c r="I136" s="419"/>
      <c r="J136" s="419"/>
      <c r="K136" s="419"/>
      <c r="L136" s="717"/>
      <c r="M136" s="419"/>
    </row>
    <row r="137">
      <c r="A137" s="376" t="s">
        <v>50</v>
      </c>
      <c r="B137" s="79" t="s">
        <v>51</v>
      </c>
      <c r="C137" s="79" t="s">
        <v>52</v>
      </c>
      <c r="D137" s="79" t="s">
        <v>53</v>
      </c>
      <c r="E137" s="98" t="s">
        <v>54</v>
      </c>
      <c r="F137" s="377" t="s">
        <v>55</v>
      </c>
      <c r="G137" s="419"/>
      <c r="H137" s="419"/>
      <c r="I137" s="419"/>
      <c r="J137" s="419"/>
      <c r="K137" s="419"/>
      <c r="L137" s="717"/>
      <c r="M137" s="419"/>
    </row>
    <row r="138">
      <c r="A138" s="81">
        <v>1.0</v>
      </c>
      <c r="B138" s="82">
        <f>mround('WEEK 45'!B136*0.9*0.2,5)</f>
        <v>15</v>
      </c>
      <c r="C138" s="65" t="s">
        <v>61</v>
      </c>
      <c r="D138" s="693" t="s">
        <v>122</v>
      </c>
      <c r="E138" s="84">
        <f>IF('WEEK 44'!B120='WEEK 45'!B138,'WEEK 44'!F120,"")</f>
        <v>10</v>
      </c>
      <c r="F138" s="796"/>
      <c r="G138" s="419"/>
      <c r="H138" s="419"/>
      <c r="I138" s="419"/>
      <c r="J138" s="419"/>
      <c r="K138" s="419"/>
      <c r="L138" s="717"/>
      <c r="M138" s="419"/>
    </row>
    <row r="139">
      <c r="A139" s="81">
        <v>2.0</v>
      </c>
      <c r="B139" s="82">
        <f>if('WEEK 45'!F138&lt;12,mround('WEEK 45'!B136*0.15,2.5),'WEEK 45'!B138)</f>
        <v>12.5</v>
      </c>
      <c r="C139" s="65" t="s">
        <v>61</v>
      </c>
      <c r="D139" s="693" t="s">
        <v>122</v>
      </c>
      <c r="E139" s="84">
        <f>IF('WEEK 44'!B121='WEEK 45'!B139,'WEEK 44'!F121,"")</f>
        <v>20</v>
      </c>
      <c r="F139" s="330"/>
      <c r="G139" s="419"/>
      <c r="H139" s="419"/>
      <c r="I139" s="419"/>
      <c r="J139" s="419"/>
      <c r="K139" s="419"/>
      <c r="L139" s="717"/>
      <c r="M139" s="419"/>
    </row>
    <row r="140">
      <c r="A140" s="86">
        <v>3.0</v>
      </c>
      <c r="B140" s="87">
        <f>if('WEEK 45'!F139&lt;12,mround('WEEK 45'!B136*0.1,2.5),'WEEK 45'!B139)</f>
        <v>7.5</v>
      </c>
      <c r="C140" s="71" t="s">
        <v>61</v>
      </c>
      <c r="D140" s="794" t="s">
        <v>122</v>
      </c>
      <c r="E140" s="89" t="str">
        <f>IF('WEEK 44'!B122='WEEK 45'!B140,'WEEK 44'!F122,"")</f>
        <v/>
      </c>
      <c r="F140" s="85"/>
      <c r="G140" s="419"/>
      <c r="H140" s="419"/>
      <c r="I140" s="419"/>
      <c r="J140" s="419"/>
      <c r="K140" s="419"/>
      <c r="L140" s="717"/>
      <c r="M140" s="419"/>
    </row>
    <row r="141">
      <c r="A141" s="795"/>
      <c r="B141" s="795"/>
      <c r="C141" s="795"/>
      <c r="D141" s="792"/>
      <c r="E141" s="793"/>
      <c r="F141" s="792"/>
      <c r="G141" s="419"/>
      <c r="H141" s="419"/>
      <c r="I141" s="419"/>
      <c r="J141" s="419"/>
      <c r="K141" s="419"/>
      <c r="L141" s="717"/>
      <c r="M141" s="419"/>
    </row>
    <row r="142">
      <c r="A142" s="795"/>
      <c r="B142" s="795"/>
      <c r="C142" s="795"/>
      <c r="D142" s="792"/>
      <c r="E142" s="793"/>
      <c r="F142" s="792"/>
      <c r="G142" s="419"/>
      <c r="H142" s="419"/>
      <c r="I142" s="419"/>
      <c r="J142" s="419"/>
      <c r="K142" s="419"/>
      <c r="L142" s="717"/>
      <c r="M142" s="419"/>
    </row>
    <row r="143">
      <c r="A143" s="361" t="str">
        <f>HYPERLINK("https://www.youtube.com/watch?v=Zt0LwrUdpNs","2.  TRICEP OVERHEAD ROPE EXTENSION")</f>
        <v>2.  TRICEP OVERHEAD ROPE EXTENSION</v>
      </c>
      <c r="B143" s="53"/>
      <c r="C143" s="53"/>
      <c r="D143" s="53"/>
      <c r="E143" s="53"/>
      <c r="F143" s="54"/>
      <c r="G143" s="419"/>
    </row>
    <row r="144">
      <c r="A144" s="226" t="s">
        <v>119</v>
      </c>
      <c r="B144" s="1443">
        <f>IF('WEEK 42'!B127='WEEK 42'!B37,'WEEK 42'!B127+5,IF('WEEK 42'!B127&lt;=15,MROUND('WEEK 42'!F125*0.9,5),'WEEK 42'!B127))</f>
        <v>105</v>
      </c>
      <c r="C144" s="13"/>
      <c r="D144" s="13"/>
      <c r="E144" s="13"/>
      <c r="F144" s="57"/>
      <c r="G144" s="419"/>
    </row>
    <row r="145">
      <c r="A145" s="77" t="s">
        <v>50</v>
      </c>
      <c r="B145" s="78" t="s">
        <v>51</v>
      </c>
      <c r="C145" s="78" t="s">
        <v>52</v>
      </c>
      <c r="D145" s="78" t="s">
        <v>53</v>
      </c>
      <c r="E145" s="80" t="s">
        <v>54</v>
      </c>
      <c r="F145" s="235" t="s">
        <v>55</v>
      </c>
      <c r="G145" s="724"/>
    </row>
    <row r="146">
      <c r="A146" s="81">
        <v>1.0</v>
      </c>
      <c r="B146" s="82">
        <f>MROUND('WEEK 45'!B144*0.9,10)</f>
        <v>90</v>
      </c>
      <c r="C146" s="65" t="s">
        <v>61</v>
      </c>
      <c r="D146" s="83" t="s">
        <v>58</v>
      </c>
      <c r="E146" s="84" t="str">
        <f>IF('WEEK 42'!B127='WEEK 45'!B146,'WEEK 42'!F127,"")</f>
        <v/>
      </c>
      <c r="F146" s="85"/>
      <c r="G146" s="728"/>
    </row>
    <row r="147">
      <c r="A147" s="81">
        <v>2.0</v>
      </c>
      <c r="B147" s="82">
        <f>if('WEEK 45'!F146&lt;10,mround('WEEK 45'!B146*0.8,5),IF('WEEK 45'!F146&lt;=14,MROUND('WEEK 45'!B144*0.95,5),'WEEK 45'!B146))</f>
        <v>70</v>
      </c>
      <c r="C147" s="65" t="s">
        <v>61</v>
      </c>
      <c r="D147" s="83" t="s">
        <v>58</v>
      </c>
      <c r="E147" s="84" t="str">
        <f>IF('WEEK 42'!B128='WEEK 45'!B147,'WEEK 42'!F128,"")</f>
        <v/>
      </c>
      <c r="F147" s="85"/>
      <c r="G147" s="728"/>
    </row>
    <row r="148">
      <c r="A148" s="629">
        <v>3.0</v>
      </c>
      <c r="B148" s="82">
        <f>if('WEEK 45'!F147&lt;10,mround('WEEK 45'!B147*0.8,5),IF('WEEK 45'!F147&lt;=14,MROUND('WEEK 45'!B145*0.95,5),'WEEK 45'!B147))</f>
        <v>55</v>
      </c>
      <c r="C148" s="65" t="s">
        <v>61</v>
      </c>
      <c r="D148" s="328" t="s">
        <v>58</v>
      </c>
      <c r="E148" s="84" t="str">
        <f>IF('WEEK 42'!B129='WEEK 45'!B148,'WEEK 42'!F129,"")</f>
        <v/>
      </c>
      <c r="F148" s="330"/>
      <c r="G148" s="728"/>
    </row>
    <row r="149">
      <c r="A149" s="797"/>
      <c r="B149" s="798"/>
      <c r="C149" s="798"/>
      <c r="D149" s="799"/>
      <c r="E149" s="800"/>
      <c r="F149" s="799"/>
      <c r="G149" s="728"/>
    </row>
    <row r="150">
      <c r="G150" s="419"/>
      <c r="H150" s="419"/>
      <c r="I150" s="419"/>
      <c r="J150" s="419"/>
      <c r="K150" s="419"/>
      <c r="L150" s="717"/>
      <c r="M150" s="419"/>
    </row>
    <row r="151">
      <c r="A151" s="75" t="str">
        <f>HYPERLINK("https://www.youtube.com/watch?v=9IqvmIhFxtY","4. BICEP CABLE CURL")</f>
        <v>4. BICEP CABLE CURL</v>
      </c>
      <c r="B151" s="53"/>
      <c r="C151" s="53"/>
      <c r="D151" s="53"/>
      <c r="E151" s="53"/>
      <c r="F151" s="54"/>
      <c r="G151" s="419"/>
      <c r="H151" s="75" t="str">
        <f>HYPERLINK("https://www.youtube.com/watch?v=Bi6Do6QIlpQ","5. BICEP EZ BAR CURL")</f>
        <v>5. BICEP EZ BAR CURL</v>
      </c>
      <c r="I151" s="53"/>
      <c r="J151" s="53"/>
      <c r="K151" s="53"/>
      <c r="L151" s="53"/>
      <c r="M151" s="54"/>
    </row>
    <row r="152">
      <c r="A152" s="226" t="s">
        <v>119</v>
      </c>
      <c r="B152" s="90">
        <f>IF('WEEK 44'!B136='WEEK 44'!B138,'WEEK 44'!B136+5,IF('WEEK 44'!F136&lt;=9,MROUND('WEEK 44'!B134*0.95,5),'WEEK 44'!B136))</f>
        <v>55</v>
      </c>
      <c r="C152" s="13"/>
      <c r="D152" s="13"/>
      <c r="E152" s="13"/>
      <c r="F152" s="57"/>
      <c r="G152" s="724"/>
      <c r="H152" s="226" t="s">
        <v>119</v>
      </c>
      <c r="I152" s="90">
        <f>IF('WEEK 44'!I136='WEEK 44'!I138,'WEEK 44'!I136+5,IF('WEEK 44'!M136&lt;=9,MROUND('WEEK 44'!I134*0.95,5),'WEEK 44'!I136))</f>
        <v>15</v>
      </c>
      <c r="J152" s="13"/>
      <c r="K152" s="13"/>
      <c r="L152" s="13"/>
      <c r="M152" s="57"/>
    </row>
    <row r="153">
      <c r="A153" s="77" t="s">
        <v>50</v>
      </c>
      <c r="B153" s="78" t="s">
        <v>51</v>
      </c>
      <c r="C153" s="78" t="s">
        <v>52</v>
      </c>
      <c r="D153" s="78" t="s">
        <v>53</v>
      </c>
      <c r="E153" s="80" t="s">
        <v>54</v>
      </c>
      <c r="F153" s="235" t="s">
        <v>55</v>
      </c>
      <c r="G153" s="728"/>
      <c r="H153" s="77" t="s">
        <v>50</v>
      </c>
      <c r="I153" s="78" t="s">
        <v>51</v>
      </c>
      <c r="J153" s="78" t="s">
        <v>52</v>
      </c>
      <c r="K153" s="78" t="s">
        <v>53</v>
      </c>
      <c r="L153" s="80" t="s">
        <v>54</v>
      </c>
      <c r="M153" s="235" t="s">
        <v>55</v>
      </c>
    </row>
    <row r="154">
      <c r="A154" s="81">
        <v>1.0</v>
      </c>
      <c r="B154" s="82">
        <f>MROUND('WEEK 45'!B152*0.9,10)</f>
        <v>50</v>
      </c>
      <c r="C154" s="65" t="s">
        <v>64</v>
      </c>
      <c r="D154" s="83" t="s">
        <v>58</v>
      </c>
      <c r="E154" s="84" t="str">
        <f>IF('WEEK 44'!B136='WEEK 45'!B154,'WEEK 44'!F136,"")</f>
        <v/>
      </c>
      <c r="F154" s="85"/>
      <c r="G154" s="728"/>
      <c r="H154" s="81">
        <v>1.0</v>
      </c>
      <c r="I154" s="82">
        <f>MROUND('WEEK 45'!I152,5)</f>
        <v>15</v>
      </c>
      <c r="J154" s="65" t="s">
        <v>61</v>
      </c>
      <c r="K154" s="83" t="s">
        <v>274</v>
      </c>
      <c r="L154" s="84" t="str">
        <f>IF('WEEK 44'!I136='WEEK 45'!I154,'WEEK 44'!M136,"")</f>
        <v/>
      </c>
      <c r="M154" s="85"/>
    </row>
    <row r="155">
      <c r="A155" s="81">
        <v>2.0</v>
      </c>
      <c r="B155" s="82">
        <f>if('WEEK 45'!F154&lt;15,mround('WEEK 45'!B154*0.8,5),IF('WEEK 45'!F154&lt;=18,MROUND('WEEK 45'!B152*0.95,5),'WEEK 45'!B154))</f>
        <v>40</v>
      </c>
      <c r="C155" s="65" t="s">
        <v>64</v>
      </c>
      <c r="D155" s="83" t="s">
        <v>58</v>
      </c>
      <c r="E155" s="84" t="str">
        <f>IF('WEEK 44'!B137='WEEK 45'!B155,'WEEK 44'!F137,"")</f>
        <v/>
      </c>
      <c r="F155" s="85"/>
      <c r="G155" s="728"/>
      <c r="H155" s="81">
        <v>2.0</v>
      </c>
      <c r="I155" s="82">
        <f>if('WEEK 45'!M154&lt;10,mround('WEEK 45'!I154*0.8,5),IF('WEEK 45'!M154&lt;=15,MROUND('WEEK 45'!I152*0.95,5),'WEEK 45'!I154))</f>
        <v>10</v>
      </c>
      <c r="J155" s="65" t="s">
        <v>61</v>
      </c>
      <c r="K155" s="83" t="s">
        <v>274</v>
      </c>
      <c r="L155" s="84" t="str">
        <f>IF('WEEK 44'!I137='WEEK 45'!I155,'WEEK 44'!M137,"")</f>
        <v/>
      </c>
      <c r="M155" s="85"/>
    </row>
    <row r="156">
      <c r="A156" s="629">
        <v>3.0</v>
      </c>
      <c r="B156" s="630">
        <f>if('WEEK 45'!F155&lt;15,mround('WEEK 45'!B155*0.8,5),IF('WEEK 45'!F155&lt;=18,MROUND('WEEK 45'!B153*0.95,5),'WEEK 45'!B155))</f>
        <v>30</v>
      </c>
      <c r="C156" s="631" t="s">
        <v>64</v>
      </c>
      <c r="D156" s="328" t="s">
        <v>58</v>
      </c>
      <c r="E156" s="84" t="str">
        <f>IF('WEEK 44'!B138='WEEK 45'!B156,'WEEK 44'!F138,"")</f>
        <v/>
      </c>
      <c r="F156" s="330"/>
      <c r="G156" s="728"/>
      <c r="H156" s="86">
        <v>3.0</v>
      </c>
      <c r="I156" s="87">
        <f>if('WEEK 45'!M155&lt;10,mround('WEEK 45'!I155*0.8,5),IF('WEEK 45'!M155&lt;=15,MROUND('WEEK 45'!I153*0.95,5),'WEEK 45'!I155))</f>
        <v>10</v>
      </c>
      <c r="J156" s="71" t="s">
        <v>61</v>
      </c>
      <c r="K156" s="88" t="s">
        <v>274</v>
      </c>
      <c r="L156" s="89" t="str">
        <f>IF('WEEK 44'!I138='WEEK 45'!I156,'WEEK 44'!M138,"")</f>
        <v/>
      </c>
      <c r="M156" s="85"/>
    </row>
    <row r="157">
      <c r="A157" s="801"/>
      <c r="B157" s="802"/>
      <c r="C157" s="803"/>
      <c r="D157" s="804"/>
      <c r="E157" s="805"/>
      <c r="F157" s="802"/>
      <c r="G157" s="419"/>
      <c r="H157" s="419"/>
      <c r="I157" s="419"/>
      <c r="J157" s="419"/>
      <c r="K157" s="419"/>
      <c r="L157" s="717"/>
      <c r="M157" s="419"/>
    </row>
    <row r="158">
      <c r="A158" s="806"/>
      <c r="B158" s="769"/>
      <c r="C158" s="769"/>
      <c r="D158" s="769"/>
      <c r="E158" s="769"/>
      <c r="F158" s="769"/>
      <c r="G158" s="419"/>
      <c r="H158" s="419"/>
      <c r="I158" s="419"/>
      <c r="J158" s="419"/>
      <c r="K158" s="419"/>
      <c r="L158" s="717"/>
      <c r="M158" s="419"/>
    </row>
    <row r="159">
      <c r="A159" s="310" t="str">
        <f>HYPERLINK("https://docs.google.com/a/fitnessresults.com/forms/d/e/1FAIpQLSd7MoczESe8Yjv6BKpmwAZGn9Aiymrs9-UdgfYIUpbr9t5NXg/viewform?usp=pp_url&amp;entry.93370101","CLICK TO COMPLETE WORKOUT")</f>
        <v>CLICK TO COMPLETE WORKOUT</v>
      </c>
      <c r="B159" s="36"/>
      <c r="C159" s="36"/>
      <c r="D159" s="36"/>
      <c r="E159" s="36"/>
      <c r="F159" s="37"/>
      <c r="G159" s="419"/>
      <c r="H159" s="419"/>
      <c r="I159" s="419"/>
      <c r="J159" s="419"/>
      <c r="K159" s="419"/>
      <c r="L159" s="717"/>
      <c r="M159" s="419"/>
    </row>
    <row r="160">
      <c r="A160" s="806"/>
      <c r="B160" s="769"/>
      <c r="C160" s="769"/>
      <c r="D160" s="769"/>
      <c r="E160" s="769"/>
      <c r="F160" s="769"/>
      <c r="G160" s="419"/>
      <c r="H160" s="419"/>
      <c r="I160" s="419"/>
      <c r="J160" s="419"/>
      <c r="K160" s="419"/>
      <c r="L160" s="717"/>
      <c r="M160" s="419"/>
    </row>
    <row r="161">
      <c r="A161" s="106" t="s">
        <v>135</v>
      </c>
      <c r="B161" s="36"/>
      <c r="C161" s="36"/>
      <c r="D161" s="36"/>
      <c r="E161" s="36"/>
      <c r="F161" s="37"/>
      <c r="G161" s="419"/>
      <c r="H161" s="419"/>
      <c r="I161" s="419"/>
      <c r="J161" s="419"/>
      <c r="K161" s="419"/>
      <c r="L161" s="717"/>
      <c r="M161" s="419"/>
    </row>
    <row r="162">
      <c r="A162" s="103"/>
      <c r="B162" s="103"/>
      <c r="C162" s="103"/>
      <c r="D162" s="103"/>
      <c r="E162" s="222"/>
      <c r="F162" s="103"/>
      <c r="G162" s="419"/>
      <c r="H162" s="419"/>
      <c r="I162" s="419"/>
      <c r="J162" s="419"/>
      <c r="K162" s="419"/>
      <c r="L162" s="717"/>
      <c r="M162" s="419"/>
    </row>
    <row r="163">
      <c r="A163" s="641" t="str">
        <f>HYPERLINK("https://www.amazon.com/30-Minute-Body-Investment-Champion/dp/0692791892/ref=sr_1_1?ie=UTF8&amp;qid=1490447969&amp;sr=8-1&amp;keywords=30+minute+body","WANT TO LEARN MORE?")</f>
        <v>WANT TO LEARN MORE?</v>
      </c>
      <c r="B163" s="16"/>
      <c r="C163" s="16"/>
      <c r="D163" s="16"/>
      <c r="E163" s="16"/>
      <c r="F163" s="17"/>
      <c r="G163" s="419"/>
      <c r="H163" s="419"/>
      <c r="I163" s="419"/>
      <c r="J163" s="419"/>
      <c r="K163" s="419"/>
      <c r="L163" s="717"/>
      <c r="M163" s="419"/>
    </row>
    <row r="164">
      <c r="A164" s="18"/>
      <c r="B164" s="13"/>
      <c r="C164" s="13"/>
      <c r="D164" s="13"/>
      <c r="E164" s="13"/>
      <c r="F164" s="14"/>
      <c r="G164" s="419"/>
      <c r="H164" s="419"/>
      <c r="I164" s="419"/>
      <c r="J164" s="419"/>
      <c r="K164" s="419"/>
      <c r="L164" s="717"/>
      <c r="M164" s="419"/>
    </row>
    <row r="165">
      <c r="A165" s="419"/>
      <c r="B165" s="646"/>
      <c r="C165" s="807" t="s">
        <v>67</v>
      </c>
      <c r="D165" s="25"/>
      <c r="E165" s="25"/>
      <c r="F165" s="26"/>
      <c r="G165" s="419"/>
      <c r="H165" s="419"/>
      <c r="I165" s="419"/>
      <c r="J165" s="419"/>
      <c r="K165" s="419"/>
      <c r="L165" s="717"/>
      <c r="M165" s="419"/>
    </row>
    <row r="166">
      <c r="A166" s="419"/>
      <c r="B166" s="646"/>
      <c r="F166" s="28"/>
      <c r="G166" s="419"/>
      <c r="H166" s="419"/>
      <c r="I166" s="419"/>
      <c r="J166" s="419"/>
      <c r="K166" s="419"/>
      <c r="L166" s="717"/>
      <c r="M166" s="419"/>
    </row>
    <row r="167">
      <c r="A167" s="419"/>
      <c r="B167" s="646"/>
      <c r="F167" s="28"/>
      <c r="G167" s="419"/>
      <c r="H167" s="419"/>
      <c r="I167" s="419"/>
      <c r="J167" s="419"/>
      <c r="K167" s="419"/>
      <c r="L167" s="717"/>
      <c r="M167" s="419"/>
    </row>
    <row r="168">
      <c r="A168" s="419"/>
      <c r="B168" s="646"/>
      <c r="F168" s="28"/>
      <c r="G168" s="419"/>
      <c r="H168" s="419"/>
      <c r="I168" s="419"/>
      <c r="J168" s="419"/>
      <c r="K168" s="419"/>
      <c r="L168" s="717"/>
      <c r="M168" s="419"/>
    </row>
    <row r="169">
      <c r="A169" s="419"/>
      <c r="B169" s="646"/>
      <c r="F169" s="28"/>
      <c r="G169" s="419"/>
      <c r="H169" s="419"/>
      <c r="I169" s="419"/>
      <c r="J169" s="419"/>
      <c r="K169" s="419"/>
      <c r="L169" s="717"/>
      <c r="M169" s="419"/>
    </row>
    <row r="170">
      <c r="A170" s="419"/>
      <c r="B170" s="646"/>
      <c r="F170" s="28"/>
      <c r="G170" s="419"/>
      <c r="H170" s="419"/>
      <c r="I170" s="419"/>
      <c r="J170" s="419"/>
      <c r="K170" s="419"/>
      <c r="L170" s="717"/>
      <c r="M170" s="419"/>
    </row>
    <row r="171">
      <c r="A171" s="808"/>
      <c r="B171" s="646"/>
      <c r="F171" s="28"/>
      <c r="G171" s="419"/>
      <c r="H171" s="419"/>
      <c r="I171" s="419"/>
      <c r="J171" s="419"/>
      <c r="K171" s="419"/>
      <c r="L171" s="717"/>
      <c r="M171" s="419"/>
    </row>
    <row r="172">
      <c r="A172" s="419"/>
      <c r="B172" s="646"/>
      <c r="F172" s="28"/>
      <c r="G172" s="419"/>
      <c r="H172" s="419"/>
      <c r="I172" s="419"/>
      <c r="J172" s="419"/>
      <c r="K172" s="419"/>
      <c r="L172" s="717"/>
      <c r="M172" s="419"/>
    </row>
    <row r="173">
      <c r="A173" s="419"/>
      <c r="B173" s="646"/>
      <c r="F173" s="28"/>
      <c r="G173" s="419"/>
      <c r="H173" s="419"/>
      <c r="I173" s="419"/>
      <c r="J173" s="419"/>
      <c r="K173" s="419"/>
      <c r="L173" s="717"/>
      <c r="M173" s="419"/>
    </row>
    <row r="174">
      <c r="A174" s="809"/>
      <c r="B174" s="646"/>
      <c r="F174" s="28"/>
      <c r="G174" s="419"/>
      <c r="H174" s="419"/>
      <c r="I174" s="419"/>
      <c r="J174" s="419"/>
      <c r="K174" s="419"/>
      <c r="L174" s="717"/>
      <c r="M174" s="419"/>
    </row>
    <row r="175">
      <c r="A175" s="419"/>
      <c r="B175" s="646"/>
      <c r="F175" s="28"/>
      <c r="G175" s="419"/>
      <c r="H175" s="419"/>
      <c r="I175" s="419"/>
      <c r="J175" s="419"/>
      <c r="K175" s="419"/>
      <c r="L175" s="717"/>
      <c r="M175" s="419"/>
    </row>
    <row r="176">
      <c r="A176" s="419"/>
      <c r="B176" s="646"/>
      <c r="F176" s="28"/>
      <c r="G176" s="419"/>
      <c r="H176" s="419"/>
      <c r="I176" s="419"/>
      <c r="J176" s="419"/>
      <c r="K176" s="419"/>
      <c r="L176" s="717"/>
      <c r="M176" s="419"/>
    </row>
    <row r="177">
      <c r="A177" s="419"/>
      <c r="B177" s="646"/>
      <c r="F177" s="28"/>
      <c r="G177" s="419"/>
      <c r="H177" s="419"/>
      <c r="I177" s="419"/>
      <c r="J177" s="419"/>
      <c r="K177" s="419"/>
      <c r="L177" s="717"/>
      <c r="M177" s="419"/>
    </row>
    <row r="178">
      <c r="A178" s="419"/>
      <c r="B178" s="646"/>
      <c r="F178" s="28"/>
      <c r="G178" s="419"/>
      <c r="H178" s="419"/>
      <c r="I178" s="419"/>
      <c r="J178" s="419"/>
      <c r="K178" s="419"/>
      <c r="L178" s="717"/>
      <c r="M178" s="419"/>
    </row>
    <row r="179">
      <c r="A179" s="419"/>
      <c r="B179" s="646"/>
      <c r="C179" s="11"/>
      <c r="D179" s="11"/>
      <c r="E179" s="11"/>
      <c r="F179" s="46"/>
      <c r="G179" s="419"/>
      <c r="H179" s="419"/>
      <c r="I179" s="419"/>
      <c r="J179" s="419"/>
      <c r="K179" s="419"/>
      <c r="L179" s="717"/>
      <c r="M179" s="419"/>
    </row>
  </sheetData>
  <mergeCells count="77">
    <mergeCell ref="A97:F97"/>
    <mergeCell ref="B98:F98"/>
    <mergeCell ref="A105:F105"/>
    <mergeCell ref="G105:G107"/>
    <mergeCell ref="H105:M105"/>
    <mergeCell ref="B106:F106"/>
    <mergeCell ref="I106:M106"/>
    <mergeCell ref="H117:M117"/>
    <mergeCell ref="I118:M118"/>
    <mergeCell ref="G108:G109"/>
    <mergeCell ref="G110:G111"/>
    <mergeCell ref="A113:F113"/>
    <mergeCell ref="A116:F116"/>
    <mergeCell ref="H116:M116"/>
    <mergeCell ref="A117:F117"/>
    <mergeCell ref="B118:F118"/>
    <mergeCell ref="A151:F151"/>
    <mergeCell ref="B152:F152"/>
    <mergeCell ref="A159:F159"/>
    <mergeCell ref="A161:F161"/>
    <mergeCell ref="A163:F164"/>
    <mergeCell ref="C165:F179"/>
    <mergeCell ref="A127:F127"/>
    <mergeCell ref="B128:F128"/>
    <mergeCell ref="A135:F135"/>
    <mergeCell ref="B136:F136"/>
    <mergeCell ref="A143:F143"/>
    <mergeCell ref="B144:F144"/>
    <mergeCell ref="H151:M151"/>
    <mergeCell ref="I152:M152"/>
    <mergeCell ref="H16:M16"/>
    <mergeCell ref="A17:M18"/>
    <mergeCell ref="A19:F19"/>
    <mergeCell ref="H19:M19"/>
    <mergeCell ref="H20:M20"/>
    <mergeCell ref="I21:M21"/>
    <mergeCell ref="H27:M27"/>
    <mergeCell ref="H29:M29"/>
    <mergeCell ref="A9:F9"/>
    <mergeCell ref="H9:M9"/>
    <mergeCell ref="A10:F11"/>
    <mergeCell ref="H10:M10"/>
    <mergeCell ref="A12:F12"/>
    <mergeCell ref="A13:F13"/>
    <mergeCell ref="H15:M15"/>
    <mergeCell ref="A15:F15"/>
    <mergeCell ref="A16:F16"/>
    <mergeCell ref="G19:G26"/>
    <mergeCell ref="A20:F20"/>
    <mergeCell ref="B21:F21"/>
    <mergeCell ref="A27:F27"/>
    <mergeCell ref="A29:F29"/>
    <mergeCell ref="B34:F34"/>
    <mergeCell ref="H37:M37"/>
    <mergeCell ref="I38:M38"/>
    <mergeCell ref="G40:G41"/>
    <mergeCell ref="G27:G28"/>
    <mergeCell ref="G29:G31"/>
    <mergeCell ref="I34:M34"/>
    <mergeCell ref="A35:M36"/>
    <mergeCell ref="A37:F37"/>
    <mergeCell ref="B38:F38"/>
    <mergeCell ref="G38:G39"/>
    <mergeCell ref="A44:F44"/>
    <mergeCell ref="B45:F45"/>
    <mergeCell ref="A51:F51"/>
    <mergeCell ref="A54:F54"/>
    <mergeCell ref="B57:F57"/>
    <mergeCell ref="A60:F60"/>
    <mergeCell ref="B61:F61"/>
    <mergeCell ref="A68:F68"/>
    <mergeCell ref="B69:F69"/>
    <mergeCell ref="A76:F76"/>
    <mergeCell ref="A78:F78"/>
    <mergeCell ref="A81:F81"/>
    <mergeCell ref="B82:F82"/>
    <mergeCell ref="B94:F94"/>
  </mergeCells>
  <dataValidations>
    <dataValidation type="decimal" operator="greaterThanOrEqual" allowBlank="1" showDropDown="1" showErrorMessage="1" sqref="M12:M14">
      <formula1>0.0</formula1>
    </dataValidation>
    <dataValidation type="decimal" allowBlank="1" showDropDown="1" showInputMessage="1" showErrorMessage="1" prompt="Enter a number between 0 and 30" sqref="F1:F8 F14 F22:F26 F28 F30:F33 F39:F43 F46:F50 F52:F53 F55:F56 F58:F59 F62:F67 F70:F75 F77 F79:F80 F83:F93 F95:F96 F99:F104 F107:F112 F114:F115 F119:F126 F129:F134 F137:F142 F145:F150 F153:F158 F160 F162">
      <formula1>0.0</formula1>
      <formula2>30.0</formula2>
    </dataValidation>
    <dataValidation type="decimal" allowBlank="1" showDropDown="1" showInputMessage="1" showErrorMessage="1" prompt="Click and enter a value from range 0-500" sqref="H12">
      <formula1>1.0</formula1>
      <formula2>500.0</formula2>
    </dataValidation>
  </dataValidations>
  <drawing r:id="rId2"/>
  <legacyDrawing r:id="rId3"/>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'MSW45'!A1</f>
        <v/>
      </c>
    </row>
    <row r="8">
      <c r="A8" s="11"/>
      <c r="B8" s="11"/>
      <c r="C8" s="11"/>
      <c r="D8" s="11"/>
      <c r="E8" s="11"/>
      <c r="F8" s="11"/>
      <c r="G8" s="11"/>
      <c r="H8" s="11"/>
      <c r="I8" s="11"/>
      <c r="J8" s="11"/>
      <c r="K8" s="11"/>
      <c r="L8" s="11"/>
      <c r="M8" s="11"/>
    </row>
    <row r="9">
      <c r="A9" s="12" t="str">
        <f>'MSW45'!A9</f>
        <v>Week 45</v>
      </c>
      <c r="B9" s="13"/>
      <c r="C9" s="13"/>
      <c r="D9" s="13"/>
      <c r="E9" s="13"/>
      <c r="F9" s="14"/>
      <c r="G9" s="103" t="str">
        <f>'MSW45'!G9</f>
        <v/>
      </c>
      <c r="H9" s="24" t="s">
        <v>35</v>
      </c>
      <c r="I9" s="25"/>
      <c r="J9" s="25"/>
      <c r="K9" s="25"/>
      <c r="L9" s="25"/>
      <c r="M9" s="26"/>
    </row>
    <row r="10">
      <c r="A10" s="15" t="str">
        <f>'MSW45'!A10</f>
        <v>PRESS TO RECORD BODY WEIGHT</v>
      </c>
      <c r="B10" s="16"/>
      <c r="C10" s="16"/>
      <c r="D10" s="16"/>
      <c r="E10" s="16"/>
      <c r="F10" s="17"/>
      <c r="H10" s="27" t="s">
        <v>395</v>
      </c>
      <c r="M10" s="28"/>
    </row>
    <row r="11">
      <c r="A11" s="18"/>
      <c r="B11" s="13"/>
      <c r="C11" s="13"/>
      <c r="D11" s="13"/>
      <c r="E11" s="13"/>
      <c r="F11" s="14"/>
      <c r="H11" s="29" t="s">
        <v>396</v>
      </c>
      <c r="I11" s="30"/>
      <c r="J11" s="30"/>
      <c r="K11" s="30"/>
      <c r="L11" s="30"/>
      <c r="M11" s="31"/>
    </row>
    <row r="12">
      <c r="A12" s="19" t="str">
        <f>'MSW45'!A12</f>
        <v>This Weeks Goals</v>
      </c>
      <c r="B12" s="20"/>
      <c r="C12" s="20"/>
      <c r="D12" s="20"/>
      <c r="E12" s="20"/>
      <c r="F12" s="21"/>
      <c r="G12" s="103" t="str">
        <f>'MSW45'!G12</f>
        <v/>
      </c>
    </row>
    <row r="13">
      <c r="A13" s="22" t="str">
        <f>'MSW45'!A13</f>
        <v>Working hard this week establishing new maxes in a few areas. Give it everything you've got. Pay close attention to rest times and rep counts. </v>
      </c>
      <c r="B13" s="20"/>
      <c r="C13" s="20"/>
      <c r="D13" s="20"/>
      <c r="E13" s="20"/>
      <c r="F13" s="21"/>
    </row>
    <row r="14">
      <c r="A14" s="219" t="str">
        <f>'MSW45'!A14</f>
        <v/>
      </c>
    </row>
    <row r="16">
      <c r="A16" s="50" t="str">
        <f>'MSW45'!A16</f>
        <v>DAY 1</v>
      </c>
      <c r="B16" s="36"/>
      <c r="C16" s="36"/>
      <c r="D16" s="36"/>
      <c r="E16" s="36"/>
      <c r="F16" s="37"/>
      <c r="G16" s="141" t="str">
        <f>'MSW45'!G16</f>
        <v/>
      </c>
      <c r="H16" s="50" t="str">
        <f>'MSW45'!H16</f>
        <v>ALTERNATE WORKOUTS</v>
      </c>
      <c r="I16" s="36"/>
      <c r="J16" s="36"/>
      <c r="K16" s="36"/>
      <c r="L16" s="36"/>
      <c r="M16" s="37"/>
    </row>
    <row r="17">
      <c r="A17" s="657" t="str">
        <f>'MSW45'!A17</f>
        <v/>
      </c>
    </row>
    <row r="19">
      <c r="A19" s="1344" t="str">
        <f>'MSW45'!A19</f>
        <v>CHEST &amp; BACK </v>
      </c>
      <c r="B19" s="36"/>
      <c r="C19" s="36"/>
      <c r="D19" s="36"/>
      <c r="E19" s="36"/>
      <c r="F19" s="37"/>
      <c r="G19" s="141" t="str">
        <f>'MSW45'!G19</f>
        <v/>
      </c>
      <c r="H19" s="51" t="str">
        <f>'MSW45'!H19</f>
        <v>CHEST &amp; BACK </v>
      </c>
      <c r="I19" s="36"/>
      <c r="J19" s="36"/>
      <c r="K19" s="36"/>
      <c r="L19" s="36"/>
      <c r="M19" s="37"/>
    </row>
    <row r="20">
      <c r="A20" s="52" t="str">
        <f>'MSW45'!A20</f>
        <v>1. DUMBBELL INCLINE PRESS</v>
      </c>
      <c r="B20" s="53"/>
      <c r="C20" s="53"/>
      <c r="D20" s="53"/>
      <c r="E20" s="53"/>
      <c r="F20" s="54"/>
      <c r="H20" s="52" t="str">
        <f>'MSW45'!H20</f>
        <v>1. MACHINE PRESS</v>
      </c>
      <c r="I20" s="53"/>
      <c r="J20" s="53"/>
      <c r="K20" s="53"/>
      <c r="L20" s="53"/>
      <c r="M20" s="54"/>
    </row>
    <row r="21">
      <c r="A21" s="228" t="str">
        <f>'MSW45'!A21</f>
        <v>CURRENT MAX</v>
      </c>
      <c r="B21" s="229">
        <f>'MSW45'!B21</f>
        <v>90</v>
      </c>
      <c r="C21" s="16"/>
      <c r="D21" s="16"/>
      <c r="E21" s="16"/>
      <c r="F21" s="230"/>
      <c r="H21" s="228" t="str">
        <f>'MSW45'!H21</f>
        <v>CURRENT MAX</v>
      </c>
      <c r="I21" s="229" t="str">
        <f>'MSW45'!I21</f>
        <v/>
      </c>
      <c r="J21" s="16"/>
      <c r="K21" s="16"/>
      <c r="L21" s="16"/>
      <c r="M21" s="230"/>
    </row>
    <row r="22">
      <c r="A22" s="96" t="str">
        <f>'MSW45'!A22</f>
        <v>SET</v>
      </c>
      <c r="B22" s="97" t="str">
        <f>'MSW45'!B22</f>
        <v>WEIGHT</v>
      </c>
      <c r="C22" s="97" t="str">
        <f>'MSW45'!C22</f>
        <v>REPS</v>
      </c>
      <c r="D22" s="97" t="str">
        <f>'MSW45'!D22</f>
        <v>REST</v>
      </c>
      <c r="E22" s="98" t="str">
        <f>'MSW45'!E22</f>
        <v>PREVIOUS</v>
      </c>
      <c r="F22" s="235" t="str">
        <f>'MSW45'!F22</f>
        <v>REP LOG</v>
      </c>
      <c r="H22" s="96" t="str">
        <f>'MSW45'!H22</f>
        <v>SET</v>
      </c>
      <c r="I22" s="97" t="str">
        <f>'MSW45'!I22</f>
        <v>WEIGHT</v>
      </c>
      <c r="J22" s="97" t="str">
        <f>'MSW45'!J22</f>
        <v>REPS</v>
      </c>
      <c r="K22" s="97" t="str">
        <f>'MSW45'!K22</f>
        <v>REST</v>
      </c>
      <c r="L22" s="98" t="str">
        <f>'MSW45'!L22</f>
        <v>PREVIOUS</v>
      </c>
      <c r="M22" s="235" t="str">
        <f>'MSW45'!M22</f>
        <v>REP LOG</v>
      </c>
    </row>
    <row r="23">
      <c r="A23" s="244">
        <f>'MSW45'!A23</f>
        <v>1</v>
      </c>
      <c r="B23" s="241">
        <f>'MSW45'!B23</f>
        <v>30</v>
      </c>
      <c r="C23" s="63">
        <f>'MSW45'!C23</f>
        <v>6</v>
      </c>
      <c r="D23" s="83" t="str">
        <f>'MSW45'!D23</f>
        <v>1 MIN</v>
      </c>
      <c r="E23" s="84">
        <f>'MSW45'!E23</f>
        <v>6</v>
      </c>
      <c r="F23" s="85">
        <v>6.0</v>
      </c>
      <c r="H23" s="244">
        <f>'MSW45'!H23</f>
        <v>1</v>
      </c>
      <c r="I23" s="241">
        <f>'MSW45'!I23</f>
        <v>0</v>
      </c>
      <c r="J23" s="63">
        <f>'MSW45'!J23</f>
        <v>6</v>
      </c>
      <c r="K23" s="83" t="str">
        <f>'MSW45'!K23</f>
        <v>1 MIN</v>
      </c>
      <c r="L23" s="84" t="str">
        <f>'MSW45'!L23</f>
        <v/>
      </c>
      <c r="M23" s="85"/>
    </row>
    <row r="24">
      <c r="A24" s="240">
        <f>'MSW45'!A24</f>
        <v>2</v>
      </c>
      <c r="B24" s="241">
        <f>'MSW45'!B24</f>
        <v>60</v>
      </c>
      <c r="C24" s="241">
        <f>'MSW45'!C24</f>
        <v>1</v>
      </c>
      <c r="D24" s="83" t="str">
        <f>'MSW45'!D24</f>
        <v>1 MIN</v>
      </c>
      <c r="E24" s="84">
        <f>'MSW45'!E24</f>
        <v>1</v>
      </c>
      <c r="F24" s="85">
        <v>1.0</v>
      </c>
      <c r="H24" s="240">
        <f>'MSW45'!H24</f>
        <v>2</v>
      </c>
      <c r="I24" s="241">
        <f>'MSW45'!I24</f>
        <v>0</v>
      </c>
      <c r="J24" s="241">
        <f>'MSW45'!J24</f>
        <v>1</v>
      </c>
      <c r="K24" s="83" t="str">
        <f>'MSW45'!K24</f>
        <v>1 MIN</v>
      </c>
      <c r="L24" s="84" t="str">
        <f>'MSW45'!L24</f>
        <v/>
      </c>
      <c r="M24" s="85"/>
    </row>
    <row r="25">
      <c r="A25" s="240">
        <f>'MSW45'!A25</f>
        <v>3</v>
      </c>
      <c r="B25" s="241">
        <f>'MSW45'!B25</f>
        <v>75</v>
      </c>
      <c r="C25" s="63">
        <f>'MSW45'!C25</f>
        <v>1</v>
      </c>
      <c r="D25" s="83" t="str">
        <f>'MSW45'!D25</f>
        <v>1 MIN</v>
      </c>
      <c r="E25" s="84">
        <f>'MSW45'!E25</f>
        <v>1</v>
      </c>
      <c r="F25" s="85">
        <v>1.0</v>
      </c>
      <c r="H25" s="240">
        <f>'MSW45'!H25</f>
        <v>3</v>
      </c>
      <c r="I25" s="241">
        <f>'MSW45'!I25</f>
        <v>0</v>
      </c>
      <c r="J25" s="241">
        <f>'MSW45'!J25</f>
        <v>1</v>
      </c>
      <c r="K25" s="83" t="str">
        <f>'MSW45'!K25</f>
        <v>1 MIN</v>
      </c>
      <c r="L25" s="84" t="str">
        <f>'MSW45'!L25</f>
        <v/>
      </c>
      <c r="M25" s="85"/>
    </row>
    <row r="26">
      <c r="A26" s="240">
        <f>'MSW45'!A26</f>
        <v>4</v>
      </c>
      <c r="B26" s="241">
        <f>'MSW45'!B26</f>
        <v>90</v>
      </c>
      <c r="C26" s="245" t="str">
        <f>'MSW45'!C26</f>
        <v>REP OUT</v>
      </c>
      <c r="D26" s="83" t="str">
        <f>'MSW45'!D26</f>
        <v>1 MIN</v>
      </c>
      <c r="E26" s="84">
        <f>'MSW45'!E26</f>
        <v>4</v>
      </c>
      <c r="F26" s="85">
        <v>7.0</v>
      </c>
      <c r="H26" s="240">
        <f>'MSW45'!H26</f>
        <v>4</v>
      </c>
      <c r="I26" s="241">
        <f>'MSW45'!I26</f>
        <v>0</v>
      </c>
      <c r="J26" s="245" t="str">
        <f>'MSW45'!J26</f>
        <v>REP OUT</v>
      </c>
      <c r="K26" s="83" t="str">
        <f>'MSW45'!K26</f>
        <v>1 MIN</v>
      </c>
      <c r="L26" s="84" t="str">
        <f>'MSW45'!L26</f>
        <v/>
      </c>
      <c r="M26" s="85"/>
    </row>
    <row r="27">
      <c r="A27" s="248" t="str">
        <f>'MSW45'!A27</f>
        <v>NEW 4 REP MAX ATTEMPT</v>
      </c>
      <c r="F27" s="28"/>
      <c r="G27" s="247" t="str">
        <f>'MSW45'!G27</f>
        <v>ALTERNATE</v>
      </c>
      <c r="H27" s="248" t="str">
        <f>'MSW45'!H27</f>
        <v>PROCEED TO DOWNSETS</v>
      </c>
      <c r="M27" s="28"/>
    </row>
    <row r="28">
      <c r="A28" s="251">
        <f>'MSW45'!A28</f>
        <v>5</v>
      </c>
      <c r="B28" s="252">
        <f>'MSW45'!B28</f>
        <v>95</v>
      </c>
      <c r="C28" s="253" t="str">
        <f>'MSW45'!C28</f>
        <v>REP OUT</v>
      </c>
      <c r="D28" s="254" t="str">
        <f>'MSW45'!D28</f>
        <v>1 MIN</v>
      </c>
      <c r="E28" s="84" t="str">
        <f>'MSW45'!E28</f>
        <v/>
      </c>
      <c r="F28" s="67">
        <v>6.0</v>
      </c>
      <c r="H28" s="251" t="str">
        <f>'MSW45'!H28</f>
        <v/>
      </c>
      <c r="I28" s="252" t="str">
        <f>'MSW45'!I28</f>
        <v/>
      </c>
      <c r="J28" s="253" t="str">
        <f>'MSW45'!J28</f>
        <v/>
      </c>
      <c r="K28" s="254" t="str">
        <f>'MSW45'!K28</f>
        <v/>
      </c>
      <c r="L28" s="84" t="str">
        <f>'MSW45'!L28</f>
        <v/>
      </c>
      <c r="M28" s="67"/>
    </row>
    <row r="29">
      <c r="A29" s="260" t="str">
        <f>'MSW45'!A29</f>
        <v>DOWN SETS</v>
      </c>
      <c r="B29" s="16"/>
      <c r="C29" s="16"/>
      <c r="D29" s="16"/>
      <c r="E29" s="16"/>
      <c r="F29" s="230"/>
      <c r="G29" s="141" t="str">
        <f>'MSW45'!G29</f>
        <v/>
      </c>
      <c r="H29" s="260" t="str">
        <f>'MSW45'!H29</f>
        <v>FILL OUT REP LOG FIRST</v>
      </c>
      <c r="I29" s="16"/>
      <c r="J29" s="16"/>
      <c r="K29" s="16"/>
      <c r="L29" s="16"/>
      <c r="M29" s="230"/>
    </row>
    <row r="30">
      <c r="A30" s="545" t="str">
        <f>'MSW45'!A30</f>
        <v/>
      </c>
      <c r="B30" s="261" t="str">
        <f>'MSW45'!B30</f>
        <v/>
      </c>
      <c r="C30" s="262" t="str">
        <f>'MSW45'!C30</f>
        <v/>
      </c>
      <c r="D30" s="65" t="str">
        <f>'MSW45'!D30</f>
        <v/>
      </c>
      <c r="E30" s="84" t="str">
        <f>'MSW45'!E30</f>
        <v/>
      </c>
      <c r="F30" s="263" t="str">
        <f>'MSW45'!F30</f>
        <v/>
      </c>
      <c r="H30" s="91" t="str">
        <f>'MSW45'!H30</f>
        <v/>
      </c>
      <c r="I30" s="261" t="str">
        <f>'MSW45'!I30</f>
        <v/>
      </c>
      <c r="J30" s="262" t="str">
        <f>'MSW45'!J30</f>
        <v/>
      </c>
      <c r="K30" s="65" t="str">
        <f>'MSW45'!K30</f>
        <v/>
      </c>
      <c r="L30" s="84" t="str">
        <f>'MSW45'!L30</f>
        <v/>
      </c>
      <c r="M30" s="263" t="str">
        <f>'MSW45'!M30</f>
        <v/>
      </c>
    </row>
    <row r="31">
      <c r="A31" s="546" t="str">
        <f>'MSW45'!A31</f>
        <v/>
      </c>
      <c r="B31" s="254" t="str">
        <f>'MSW45'!B31</f>
        <v/>
      </c>
      <c r="C31" s="253" t="str">
        <f>'MSW45'!C31</f>
        <v/>
      </c>
      <c r="D31" s="65" t="str">
        <f>'MSW45'!D31</f>
        <v/>
      </c>
      <c r="E31" s="84" t="str">
        <f>'MSW45'!E31</f>
        <v/>
      </c>
      <c r="F31" s="270" t="str">
        <f>'MSW45'!F31</f>
        <v/>
      </c>
      <c r="H31" s="269" t="str">
        <f>'MSW45'!H31</f>
        <v/>
      </c>
      <c r="I31" s="254" t="str">
        <f>'MSW45'!I31</f>
        <v/>
      </c>
      <c r="J31" s="253" t="str">
        <f>'MSW45'!J31</f>
        <v/>
      </c>
      <c r="K31" s="65" t="str">
        <f>'MSW45'!K31</f>
        <v/>
      </c>
      <c r="L31" s="84" t="str">
        <f>'MSW45'!L31</f>
        <v/>
      </c>
      <c r="M31" s="270" t="str">
        <f>'MSW45'!M31</f>
        <v/>
      </c>
    </row>
    <row r="32">
      <c r="A32" s="546">
        <f>'MSW45'!A32</f>
        <v>6</v>
      </c>
      <c r="B32" s="254">
        <f>'MSW45'!B32</f>
        <v>90</v>
      </c>
      <c r="C32" s="253" t="str">
        <f>'MSW45'!C32</f>
        <v>REP OUT</v>
      </c>
      <c r="D32" s="65" t="str">
        <f>'MSW45'!D32</f>
        <v>1 MIN</v>
      </c>
      <c r="E32" s="84" t="str">
        <f>'MSW45'!E32</f>
        <v/>
      </c>
      <c r="F32" s="270" t="str">
        <f>'MSW45'!F32</f>
        <v/>
      </c>
      <c r="H32" s="269" t="str">
        <f>'MSW45'!H32</f>
        <v/>
      </c>
      <c r="I32" s="254" t="str">
        <f>'MSW45'!I32</f>
        <v/>
      </c>
      <c r="J32" s="253" t="str">
        <f>'MSW45'!J32</f>
        <v/>
      </c>
      <c r="K32" s="65" t="str">
        <f>'MSW45'!K32</f>
        <v/>
      </c>
      <c r="L32" s="84" t="str">
        <f>'MSW45'!L32</f>
        <v/>
      </c>
      <c r="M32" s="263"/>
    </row>
    <row r="33">
      <c r="A33" s="546">
        <f>'MSW45'!A33</f>
        <v>7</v>
      </c>
      <c r="B33" s="254">
        <f>'MSW45'!B33</f>
        <v>65</v>
      </c>
      <c r="C33" s="253" t="str">
        <f>'MSW45'!C33</f>
        <v>REP OUT</v>
      </c>
      <c r="D33" s="65" t="str">
        <f>'MSW45'!D33</f>
        <v>1 MIN</v>
      </c>
      <c r="E33" s="84" t="str">
        <f>'MSW45'!E33</f>
        <v/>
      </c>
      <c r="F33" s="270" t="str">
        <f>'MSW45'!F33</f>
        <v/>
      </c>
      <c r="H33" s="269" t="str">
        <f>'MSW45'!H33</f>
        <v/>
      </c>
      <c r="I33" s="254" t="str">
        <f>'MSW45'!I33</f>
        <v/>
      </c>
      <c r="J33" s="253" t="str">
        <f>'MSW45'!J33</f>
        <v/>
      </c>
      <c r="K33" s="65" t="str">
        <f>'MSW45'!K33</f>
        <v/>
      </c>
      <c r="L33" s="84" t="str">
        <f>'MSW45'!L33</f>
        <v/>
      </c>
      <c r="M33" s="270" t="str">
        <f>'MSW45'!M33</f>
        <v/>
      </c>
    </row>
    <row r="34">
      <c r="A34" s="280" t="str">
        <f>'MSW45'!A34</f>
        <v>FINAL MAX</v>
      </c>
      <c r="B34" s="273">
        <f>'MSW45'!B34</f>
        <v>95</v>
      </c>
      <c r="C34" s="11"/>
      <c r="D34" s="11"/>
      <c r="E34" s="11"/>
      <c r="F34" s="46"/>
      <c r="H34" s="280" t="str">
        <f>'MSW45'!H34</f>
        <v>FINAL MAX</v>
      </c>
      <c r="I34" s="273" t="str">
        <f>'MSW45'!I34</f>
        <v/>
      </c>
      <c r="J34" s="11"/>
      <c r="K34" s="11"/>
      <c r="L34" s="11"/>
      <c r="M34" s="46"/>
    </row>
    <row r="35">
      <c r="A35" s="658" t="str">
        <f>'MSW45'!A35</f>
        <v/>
      </c>
    </row>
    <row r="37">
      <c r="A37" s="440" t="str">
        <f>'MSW45'!A37</f>
        <v>2. DUMBBELL CHEST FLY</v>
      </c>
      <c r="B37" s="53"/>
      <c r="C37" s="53"/>
      <c r="D37" s="53"/>
      <c r="E37" s="53"/>
      <c r="F37" s="54"/>
      <c r="G37" s="659" t="str">
        <f>'MSW45'!G37</f>
        <v/>
      </c>
      <c r="H37" s="504" t="str">
        <f>'MSW45'!H37</f>
        <v>2. MACHINE CHEST FLY</v>
      </c>
      <c r="I37" s="53"/>
      <c r="J37" s="53"/>
      <c r="K37" s="53"/>
      <c r="L37" s="53"/>
      <c r="M37" s="54"/>
    </row>
    <row r="38">
      <c r="A38" s="226" t="str">
        <f>'MSW45'!A38</f>
        <v>DB INCL PRSS MAX</v>
      </c>
      <c r="B38" s="548">
        <f>'MSW45'!B38</f>
        <v>95</v>
      </c>
      <c r="C38" s="13"/>
      <c r="D38" s="13"/>
      <c r="E38" s="13"/>
      <c r="F38" s="57"/>
      <c r="G38" s="247" t="str">
        <f>'MSW45'!G38</f>
        <v>ALTERNATE</v>
      </c>
      <c r="H38" s="226" t="str">
        <f>'MSW45'!H38</f>
        <v>DB INCL PRSS MAX</v>
      </c>
      <c r="I38" s="548">
        <f>'MSW45'!I38</f>
        <v>95</v>
      </c>
      <c r="J38" s="13"/>
      <c r="K38" s="13"/>
      <c r="L38" s="13"/>
      <c r="M38" s="57"/>
    </row>
    <row r="39">
      <c r="A39" s="96" t="str">
        <f>'MSW45'!A39</f>
        <v>SET</v>
      </c>
      <c r="B39" s="97" t="str">
        <f>'MSW45'!B39</f>
        <v>WEIGHT</v>
      </c>
      <c r="C39" s="97" t="str">
        <f>'MSW45'!C39</f>
        <v>REPS</v>
      </c>
      <c r="D39" s="97" t="str">
        <f>'MSW45'!D39</f>
        <v>REST</v>
      </c>
      <c r="E39" s="98" t="str">
        <f>'MSW45'!E39</f>
        <v>PREVIOUS</v>
      </c>
      <c r="F39" s="235" t="str">
        <f>'MSW45'!F39</f>
        <v>REP LOG</v>
      </c>
      <c r="H39" s="96" t="str">
        <f>'MSW45'!H39</f>
        <v>SET</v>
      </c>
      <c r="I39" s="97" t="str">
        <f>'MSW45'!I39</f>
        <v>WEIGHT</v>
      </c>
      <c r="J39" s="97" t="str">
        <f>'MSW45'!J39</f>
        <v>REPS</v>
      </c>
      <c r="K39" s="97" t="str">
        <f>'MSW45'!K39</f>
        <v>REST</v>
      </c>
      <c r="L39" s="341" t="str">
        <f>'MSW45'!L39</f>
        <v>PREVIOUS</v>
      </c>
      <c r="M39" s="235" t="str">
        <f>'MSW45'!M39</f>
        <v>REP LOG</v>
      </c>
    </row>
    <row r="40">
      <c r="A40" s="240">
        <f>'MSW45'!A40</f>
        <v>1</v>
      </c>
      <c r="B40" s="254">
        <f>'MSW45'!B40</f>
        <v>25</v>
      </c>
      <c r="C40" s="241">
        <f>'MSW45'!C40</f>
        <v>15</v>
      </c>
      <c r="D40" s="83" t="str">
        <f>'MSW45'!D40</f>
        <v>1 MIN</v>
      </c>
      <c r="E40" s="84" t="str">
        <f>'MSW45'!E40</f>
        <v/>
      </c>
      <c r="F40" s="85" t="str">
        <f>'MSW45'!F40</f>
        <v/>
      </c>
      <c r="G40" s="659" t="str">
        <f>'MSW45'!G40</f>
        <v/>
      </c>
      <c r="H40" s="240">
        <f>'MSW45'!H40</f>
        <v>1</v>
      </c>
      <c r="I40" s="254">
        <f>'MSW45'!I40</f>
        <v>140</v>
      </c>
      <c r="J40" s="241">
        <f>'MSW45'!J40</f>
        <v>15</v>
      </c>
      <c r="K40" s="83" t="str">
        <f>'MSW45'!K40</f>
        <v>1 MIN</v>
      </c>
      <c r="L40" s="84" t="str">
        <f>'MSW45'!L40</f>
        <v/>
      </c>
      <c r="M40" s="85" t="str">
        <f>'MSW45'!M40</f>
        <v/>
      </c>
    </row>
    <row r="41">
      <c r="A41" s="661">
        <f>'MSW45'!A41</f>
        <v>2</v>
      </c>
      <c r="B41" s="662">
        <f>'MSW45'!B41</f>
        <v>27.5</v>
      </c>
      <c r="C41" s="69">
        <f>'MSW45'!C41</f>
        <v>15</v>
      </c>
      <c r="D41" s="88" t="str">
        <f>'MSW45'!D41</f>
        <v>1 MIN</v>
      </c>
      <c r="E41" s="89" t="str">
        <f>'MSW45'!E41</f>
        <v/>
      </c>
      <c r="F41" s="85" t="str">
        <f>'MSW45'!F41</f>
        <v/>
      </c>
      <c r="H41" s="661">
        <f>'MSW45'!H41</f>
        <v>2</v>
      </c>
      <c r="I41" s="662">
        <f>'MSW45'!I41</f>
        <v>140</v>
      </c>
      <c r="J41" s="662">
        <f>'MSW45'!J41</f>
        <v>15</v>
      </c>
      <c r="K41" s="88" t="str">
        <f>'MSW45'!K41</f>
        <v>1 MIN</v>
      </c>
      <c r="L41" s="89" t="str">
        <f>'MSW45'!L41</f>
        <v/>
      </c>
      <c r="M41" s="85" t="str">
        <f>'MSW45'!M41</f>
        <v/>
      </c>
    </row>
    <row r="42">
      <c r="A42" t="str">
        <f>'MSW45'!A42</f>
        <v/>
      </c>
      <c r="G42" t="str">
        <f>'MSW45'!G42</f>
        <v/>
      </c>
    </row>
    <row r="44">
      <c r="A44" s="73" t="str">
        <f>'MSW45'!A44</f>
        <v>3. LAT PULL DOWN</v>
      </c>
      <c r="B44" s="53"/>
      <c r="C44" s="53"/>
      <c r="D44" s="53"/>
      <c r="E44" s="53"/>
      <c r="F44" s="54"/>
    </row>
    <row r="45">
      <c r="A45" s="226" t="str">
        <f>'MSW45'!A45</f>
        <v>CURRENT MAX</v>
      </c>
      <c r="B45" s="227">
        <f>'MSW45'!B45</f>
        <v>240</v>
      </c>
      <c r="C45" s="20"/>
      <c r="D45" s="20"/>
      <c r="E45" s="20"/>
      <c r="F45" s="95"/>
    </row>
    <row r="46">
      <c r="A46" s="231" t="str">
        <f>'MSW45'!A46</f>
        <v>SET</v>
      </c>
      <c r="B46" s="232" t="str">
        <f>'MSW45'!B46</f>
        <v>WEIGHT</v>
      </c>
      <c r="C46" s="232" t="str">
        <f>'MSW45'!C46</f>
        <v>REPS</v>
      </c>
      <c r="D46" s="232" t="str">
        <f>'MSW45'!D46</f>
        <v>REST</v>
      </c>
      <c r="E46" s="233" t="str">
        <f>'MSW45'!E46</f>
        <v>PREVIOUS</v>
      </c>
      <c r="F46" s="286" t="str">
        <f>'MSW45'!F46</f>
        <v>REP LOG</v>
      </c>
    </row>
    <row r="47">
      <c r="A47" s="236">
        <f>'MSW45'!A47</f>
        <v>1</v>
      </c>
      <c r="B47" s="237">
        <f>'MSW45'!B47</f>
        <v>85</v>
      </c>
      <c r="C47" s="238">
        <f>'MSW45'!C47</f>
        <v>6</v>
      </c>
      <c r="D47" s="238" t="str">
        <f>'MSW45'!D47</f>
        <v>30s</v>
      </c>
      <c r="E47" s="84" t="str">
        <f>'MSW45'!E47</f>
        <v/>
      </c>
      <c r="F47" s="67" t="str">
        <f>'MSW45'!F47</f>
        <v/>
      </c>
    </row>
    <row r="48">
      <c r="A48" s="236">
        <f>'MSW45'!A48</f>
        <v>2</v>
      </c>
      <c r="B48" s="237">
        <f>'MSW45'!B48</f>
        <v>155</v>
      </c>
      <c r="C48" s="238">
        <f>'MSW45'!C48</f>
        <v>3</v>
      </c>
      <c r="D48" s="238" t="str">
        <f>'MSW45'!D48</f>
        <v>1-2 MIN</v>
      </c>
      <c r="E48" s="84">
        <f>'MSW45'!E48</f>
        <v>3</v>
      </c>
      <c r="F48" s="67" t="str">
        <f>'MSW45'!F48</f>
        <v/>
      </c>
    </row>
    <row r="49">
      <c r="A49" s="242">
        <f>'MSW45'!A49</f>
        <v>3</v>
      </c>
      <c r="B49" s="237">
        <f>'MSW45'!B49</f>
        <v>215</v>
      </c>
      <c r="C49" s="63">
        <f>'MSW45'!C49</f>
        <v>2</v>
      </c>
      <c r="D49" s="238" t="str">
        <f>'MSW45'!D49</f>
        <v>1-2 MIN</v>
      </c>
      <c r="E49" s="84" t="str">
        <f>'MSW45'!E49</f>
        <v/>
      </c>
      <c r="F49" s="67" t="str">
        <f>'MSW45'!F49</f>
        <v/>
      </c>
    </row>
    <row r="50">
      <c r="A50" s="243">
        <f>'MSW45'!A50</f>
        <v>4</v>
      </c>
      <c r="B50" s="237">
        <f>'MSW45'!B50</f>
        <v>240</v>
      </c>
      <c r="C50" s="257">
        <f>'MSW45'!C50</f>
        <v>3</v>
      </c>
      <c r="D50" s="238" t="str">
        <f>'MSW45'!D50</f>
        <v>1-5 MIN</v>
      </c>
      <c r="E50" s="84" t="str">
        <f>'MSW45'!E50</f>
        <v/>
      </c>
      <c r="F50" s="665" t="str">
        <f>'MSW45'!F50</f>
        <v/>
      </c>
    </row>
    <row r="51">
      <c r="A51" s="246" t="str">
        <f>'MSW45'!A51</f>
        <v>PROCEED TO DOWN SETS</v>
      </c>
      <c r="B51" s="20"/>
      <c r="C51" s="20"/>
      <c r="D51" s="20"/>
      <c r="E51" s="20"/>
      <c r="F51" s="95"/>
    </row>
    <row r="52">
      <c r="A52" s="249" t="str">
        <f>'MSW45'!A52</f>
        <v/>
      </c>
      <c r="B52" s="175" t="str">
        <f>'MSW45'!B52</f>
        <v/>
      </c>
      <c r="C52" s="238" t="str">
        <f>'MSW45'!C52</f>
        <v/>
      </c>
      <c r="D52" s="238" t="str">
        <f>'MSW45'!D52</f>
        <v/>
      </c>
      <c r="E52" s="84" t="str">
        <f>'MSW45'!E52</f>
        <v/>
      </c>
      <c r="F52" s="271" t="str">
        <f>'MSW45'!F52</f>
        <v/>
      </c>
    </row>
    <row r="53">
      <c r="A53" s="256" t="str">
        <f>'MSW45'!A53</f>
        <v/>
      </c>
      <c r="B53" s="237" t="str">
        <f>'MSW45'!B53</f>
        <v/>
      </c>
      <c r="C53" s="257" t="str">
        <f>'MSW45'!C53</f>
        <v/>
      </c>
      <c r="D53" s="257" t="str">
        <f>'MSW45'!D53</f>
        <v/>
      </c>
      <c r="E53" s="84" t="str">
        <f>'MSW45'!E53</f>
        <v/>
      </c>
      <c r="F53" s="665" t="str">
        <f>'MSW45'!F53</f>
        <v/>
      </c>
    </row>
    <row r="54">
      <c r="A54" s="246" t="str">
        <f>'MSW45'!A54</f>
        <v>FILL OUT REP LOG FOR DOWN SETS</v>
      </c>
      <c r="B54" s="20"/>
      <c r="C54" s="20"/>
      <c r="D54" s="20"/>
      <c r="E54" s="20"/>
      <c r="F54" s="95"/>
    </row>
    <row r="55">
      <c r="A55" s="264" t="str">
        <f>'MSW45'!A55</f>
        <v/>
      </c>
      <c r="B55" s="265">
        <f>'MSW45'!B55</f>
        <v>0</v>
      </c>
      <c r="C55" s="266" t="str">
        <f>'MSW45'!C55</f>
        <v>REP OUT</v>
      </c>
      <c r="D55" s="267" t="str">
        <f>'MSW45'!D55</f>
        <v>1-3 MIN</v>
      </c>
      <c r="E55" s="84" t="str">
        <f>'MSW45'!E55</f>
        <v/>
      </c>
      <c r="F55" s="271" t="str">
        <f>'MSW45'!F55</f>
        <v/>
      </c>
    </row>
    <row r="56">
      <c r="A56" s="243" t="str">
        <f>'MSW45'!A56</f>
        <v/>
      </c>
      <c r="B56" s="237">
        <f>'MSW45'!B56</f>
        <v>0</v>
      </c>
      <c r="C56" s="245" t="str">
        <f>'MSW45'!C56</f>
        <v>REP OUT</v>
      </c>
      <c r="D56" s="65" t="str">
        <f>'MSW45'!D56</f>
        <v>1-3 MIN</v>
      </c>
      <c r="E56" s="84" t="str">
        <f>'MSW45'!E56</f>
        <v/>
      </c>
      <c r="F56" s="271" t="str">
        <f>'MSW45'!F56</f>
        <v/>
      </c>
    </row>
    <row r="57">
      <c r="A57" s="272" t="str">
        <f>'MSW45'!A57</f>
        <v>FINAL MAX</v>
      </c>
      <c r="B57" s="273" t="str">
        <f>'MSW45'!B57</f>
        <v/>
      </c>
      <c r="C57" s="11"/>
      <c r="D57" s="11"/>
      <c r="E57" s="11"/>
      <c r="F57" s="46"/>
    </row>
    <row r="58">
      <c r="A58" s="302" t="str">
        <f>'MSW45'!A58</f>
        <v/>
      </c>
    </row>
    <row r="60">
      <c r="A60" s="73" t="str">
        <f>'MSW45'!A60</f>
        <v>4. MACHINE LOW ROW</v>
      </c>
      <c r="B60" s="53"/>
      <c r="C60" s="53"/>
      <c r="D60" s="53"/>
      <c r="E60" s="53"/>
      <c r="F60" s="54"/>
    </row>
    <row r="61">
      <c r="A61" s="282" t="str">
        <f>'MSW45'!A61</f>
        <v>CURRENT MAX</v>
      </c>
      <c r="B61" s="56" t="str">
        <f>'MSW45'!B61</f>
        <v/>
      </c>
      <c r="C61" s="13"/>
      <c r="D61" s="13"/>
      <c r="E61" s="13"/>
      <c r="F61" s="57"/>
    </row>
    <row r="62">
      <c r="A62" s="58" t="str">
        <f>'MSW45'!A62</f>
        <v>SET</v>
      </c>
      <c r="B62" s="59" t="str">
        <f>'MSW45'!B62</f>
        <v>WEIGHT</v>
      </c>
      <c r="C62" s="59" t="str">
        <f>'MSW45'!C62</f>
        <v>REPS</v>
      </c>
      <c r="D62" s="59" t="str">
        <f>'MSW45'!D62</f>
        <v>REST</v>
      </c>
      <c r="E62" s="584" t="str">
        <f>'MSW45'!E62</f>
        <v>PREVIOUS</v>
      </c>
      <c r="F62" s="286" t="str">
        <f>'MSW45'!F62</f>
        <v>REP LOG</v>
      </c>
    </row>
    <row r="63">
      <c r="A63" s="62">
        <f>'MSW45'!A63</f>
        <v>1</v>
      </c>
      <c r="B63" s="63">
        <f>'MSW45'!B63</f>
        <v>0</v>
      </c>
      <c r="C63" s="104" t="str">
        <f>'MSW45'!C63</f>
        <v>REP OUT</v>
      </c>
      <c r="D63" s="65" t="str">
        <f>'MSW45'!D63</f>
        <v>1 MIN</v>
      </c>
      <c r="E63" s="84" t="str">
        <f>'MSW45'!E63</f>
        <v/>
      </c>
      <c r="F63" s="67" t="str">
        <f>'MSW45'!F63</f>
        <v/>
      </c>
    </row>
    <row r="64">
      <c r="A64" s="62">
        <f>'MSW45'!A64</f>
        <v>2</v>
      </c>
      <c r="B64" s="63">
        <f>'MSW45'!B64</f>
        <v>0</v>
      </c>
      <c r="C64" s="104" t="str">
        <f>'MSW45'!C64</f>
        <v>REP OUT</v>
      </c>
      <c r="D64" s="65" t="str">
        <f>'MSW45'!D64</f>
        <v>1 MIN</v>
      </c>
      <c r="E64" s="84" t="str">
        <f>'MSW45'!E64</f>
        <v/>
      </c>
      <c r="F64" s="67" t="str">
        <f>'MSW45'!F64</f>
        <v/>
      </c>
    </row>
    <row r="65">
      <c r="A65" s="68">
        <f>'MSW45'!A65</f>
        <v>3</v>
      </c>
      <c r="B65" s="69">
        <f>'MSW45'!B65</f>
        <v>0</v>
      </c>
      <c r="C65" s="105" t="str">
        <f>'MSW45'!C65</f>
        <v>REP OUT</v>
      </c>
      <c r="D65" s="71" t="str">
        <f>'MSW45'!D65</f>
        <v>1 MIN</v>
      </c>
      <c r="E65" s="89" t="str">
        <f>'MSW45'!E65</f>
        <v/>
      </c>
      <c r="F65" s="67" t="str">
        <f>'MSW45'!F65</f>
        <v/>
      </c>
    </row>
    <row r="66">
      <c r="A66" s="103" t="str">
        <f>'MSW45'!A66</f>
        <v/>
      </c>
    </row>
    <row r="68">
      <c r="A68" s="73" t="str">
        <f>'MSW45'!A68</f>
        <v>5. MACHINE HIGH ROW</v>
      </c>
      <c r="B68" s="53"/>
      <c r="C68" s="53"/>
      <c r="D68" s="53"/>
      <c r="E68" s="53"/>
      <c r="F68" s="54"/>
    </row>
    <row r="69">
      <c r="A69" s="282" t="str">
        <f>'MSW45'!A69</f>
        <v>CURRENT MAX</v>
      </c>
      <c r="B69" s="56">
        <f>'MSW45'!B69</f>
        <v>220</v>
      </c>
      <c r="C69" s="13"/>
      <c r="D69" s="13"/>
      <c r="E69" s="13"/>
      <c r="F69" s="57"/>
    </row>
    <row r="70">
      <c r="A70" s="58" t="str">
        <f>'MSW45'!A70</f>
        <v>SET</v>
      </c>
      <c r="B70" s="59" t="str">
        <f>'MSW45'!B70</f>
        <v>WEIGHT</v>
      </c>
      <c r="C70" s="59" t="str">
        <f>'MSW45'!C70</f>
        <v>REPS</v>
      </c>
      <c r="D70" s="59" t="str">
        <f>'MSW45'!D70</f>
        <v>REST</v>
      </c>
      <c r="E70" s="584" t="str">
        <f>'MSW45'!E70</f>
        <v>PREVIOUS</v>
      </c>
      <c r="F70" s="286" t="str">
        <f>'MSW45'!F70</f>
        <v>REP LOG</v>
      </c>
    </row>
    <row r="71">
      <c r="A71" s="62">
        <f>'MSW45'!A71</f>
        <v>1</v>
      </c>
      <c r="B71" s="63">
        <f>'MSW45'!B71</f>
        <v>185</v>
      </c>
      <c r="C71" s="104" t="str">
        <f>'MSW45'!C71</f>
        <v>REP OUT</v>
      </c>
      <c r="D71" s="65" t="str">
        <f>'MSW45'!D71</f>
        <v>1 MIN</v>
      </c>
      <c r="E71" s="84" t="str">
        <f>'MSW45'!E71</f>
        <v/>
      </c>
      <c r="F71" s="67" t="str">
        <f>'MSW45'!F71</f>
        <v/>
      </c>
    </row>
    <row r="72">
      <c r="A72" s="62">
        <f>'MSW45'!A72</f>
        <v>2</v>
      </c>
      <c r="B72" s="63">
        <f>'MSW45'!B72</f>
        <v>155</v>
      </c>
      <c r="C72" s="104" t="str">
        <f>'MSW45'!C72</f>
        <v>REP OUT</v>
      </c>
      <c r="D72" s="65" t="str">
        <f>'MSW45'!D72</f>
        <v>1 MIN</v>
      </c>
      <c r="E72" s="84" t="str">
        <f>'MSW45'!E72</f>
        <v/>
      </c>
      <c r="F72" s="67" t="str">
        <f>'MSW45'!F72</f>
        <v/>
      </c>
    </row>
    <row r="73">
      <c r="A73" s="68">
        <f>'MSW45'!A73</f>
        <v>3</v>
      </c>
      <c r="B73" s="87">
        <f>'MSW45'!B73</f>
        <v>125</v>
      </c>
      <c r="C73" s="105" t="str">
        <f>'MSW45'!C73</f>
        <v>REP OUT</v>
      </c>
      <c r="D73" s="309" t="str">
        <f>'MSW45'!D73</f>
        <v>1 MIN</v>
      </c>
      <c r="E73" s="89" t="str">
        <f>'MSW45'!E73</f>
        <v/>
      </c>
      <c r="F73" s="67" t="str">
        <f>'MSW45'!F73</f>
        <v/>
      </c>
    </row>
    <row r="74">
      <c r="A74" t="str">
        <f>'MSW45'!A74</f>
        <v/>
      </c>
    </row>
    <row r="76">
      <c r="A76" s="310" t="str">
        <f>'MSW45'!A76</f>
        <v>CLICK TO COMPLETE WORKOUT</v>
      </c>
      <c r="B76" s="36"/>
      <c r="C76" s="36"/>
      <c r="D76" s="36"/>
      <c r="E76" s="36"/>
      <c r="F76" s="37"/>
    </row>
    <row r="77">
      <c r="A77" t="str">
        <f>'MSW45'!A77</f>
        <v/>
      </c>
    </row>
    <row r="78">
      <c r="A78" s="224" t="str">
        <f>'MSW45'!A78</f>
        <v>DAY 2 </v>
      </c>
      <c r="B78" s="36"/>
      <c r="C78" s="36"/>
      <c r="D78" s="36"/>
      <c r="E78" s="36"/>
      <c r="F78" s="37"/>
    </row>
    <row r="79">
      <c r="A79" t="str">
        <f>'MSW45'!A79</f>
        <v/>
      </c>
    </row>
    <row r="81">
      <c r="A81" s="960" t="str">
        <f>'MSW45'!A81</f>
        <v>1. LEG PRESS</v>
      </c>
      <c r="B81" s="53"/>
      <c r="C81" s="53"/>
      <c r="D81" s="53"/>
      <c r="E81" s="53"/>
      <c r="F81" s="54"/>
    </row>
    <row r="82">
      <c r="A82" s="1262" t="str">
        <f>'MSW45'!A82</f>
        <v>CURRENT MAX</v>
      </c>
      <c r="B82" s="1463">
        <f>'MSW45'!B82</f>
        <v>320</v>
      </c>
      <c r="F82" s="28"/>
    </row>
    <row r="83">
      <c r="A83" s="231" t="str">
        <f>'MSW45'!A83</f>
        <v>SET</v>
      </c>
      <c r="B83" s="232" t="str">
        <f>'MSW45'!B83</f>
        <v>WEIGHT</v>
      </c>
      <c r="C83" s="232" t="str">
        <f>'MSW45'!C83</f>
        <v>REPS</v>
      </c>
      <c r="D83" s="232" t="str">
        <f>'MSW45'!D83</f>
        <v>REST</v>
      </c>
      <c r="E83" s="233" t="str">
        <f>'MSW45'!E83</f>
        <v>PREVIOUS</v>
      </c>
      <c r="F83" s="61" t="str">
        <f>'MSW45'!F83</f>
        <v>REP LOG</v>
      </c>
    </row>
    <row r="84">
      <c r="A84" s="236">
        <f>'MSW45'!A84</f>
        <v>1</v>
      </c>
      <c r="B84" s="237">
        <f>'MSW45'!B84</f>
        <v>110</v>
      </c>
      <c r="C84" s="238">
        <f>'MSW45'!C84</f>
        <v>10</v>
      </c>
      <c r="D84" s="238" t="str">
        <f>'MSW45'!D84</f>
        <v>30s</v>
      </c>
      <c r="E84" s="66" t="str">
        <f>'MSW45'!E84</f>
        <v/>
      </c>
      <c r="F84" s="67" t="str">
        <f>'MSW45'!F84</f>
        <v/>
      </c>
    </row>
    <row r="85">
      <c r="A85" s="236">
        <f>'MSW45'!A85</f>
        <v>2</v>
      </c>
      <c r="B85" s="237">
        <f>'MSW45'!B85</f>
        <v>210</v>
      </c>
      <c r="C85" s="238">
        <f>'MSW45'!C85</f>
        <v>10</v>
      </c>
      <c r="D85" s="238" t="str">
        <f>'MSW45'!D85</f>
        <v>1-2 MIN</v>
      </c>
      <c r="E85" s="66" t="str">
        <f>'MSW45'!E85</f>
        <v/>
      </c>
      <c r="F85" s="67" t="str">
        <f>'MSW45'!F85</f>
        <v/>
      </c>
    </row>
    <row r="86">
      <c r="A86" s="242">
        <f>'MSW45'!A86</f>
        <v>3</v>
      </c>
      <c r="B86" s="237">
        <f>'MSW45'!B86</f>
        <v>290</v>
      </c>
      <c r="C86" s="238">
        <f>'MSW45'!C86</f>
        <v>10</v>
      </c>
      <c r="D86" s="238" t="str">
        <f>'MSW45'!D86</f>
        <v>1-2 MIN</v>
      </c>
      <c r="E86" s="66" t="str">
        <f>'MSW45'!E86</f>
        <v/>
      </c>
      <c r="F86" s="67" t="str">
        <f>'MSW45'!F86</f>
        <v/>
      </c>
    </row>
    <row r="87">
      <c r="A87" s="249">
        <f>'MSW45'!A87</f>
        <v>4</v>
      </c>
      <c r="B87" s="175">
        <f>'MSW45'!B87</f>
        <v>280</v>
      </c>
      <c r="C87" s="238">
        <f>'MSW45'!C87</f>
        <v>10</v>
      </c>
      <c r="D87" s="238" t="str">
        <f>'MSW45'!D87</f>
        <v>1-5 MIN</v>
      </c>
      <c r="E87" s="66" t="str">
        <f>'MSW45'!E87</f>
        <v/>
      </c>
      <c r="F87" s="67" t="str">
        <f>'MSW45'!F87</f>
        <v/>
      </c>
    </row>
    <row r="88">
      <c r="A88" s="249">
        <f>'MSW45'!A88</f>
        <v>5</v>
      </c>
      <c r="B88" s="175">
        <f>'MSW45'!B88</f>
        <v>225</v>
      </c>
      <c r="C88" s="238">
        <f>'MSW45'!C88</f>
        <v>10</v>
      </c>
      <c r="D88" s="238" t="str">
        <f>'MSW45'!D88</f>
        <v>1-5 MIN</v>
      </c>
      <c r="E88" s="66" t="str">
        <f>'MSW45'!E88</f>
        <v/>
      </c>
      <c r="F88" s="1037" t="str">
        <f>'MSW45'!F88</f>
        <v/>
      </c>
    </row>
    <row r="89">
      <c r="A89" s="249">
        <f>'MSW45'!A89</f>
        <v>6</v>
      </c>
      <c r="B89" s="175">
        <f>'MSW45'!B89</f>
        <v>180</v>
      </c>
      <c r="C89" s="238">
        <f>'MSW45'!C89</f>
        <v>10</v>
      </c>
      <c r="D89" s="238" t="str">
        <f>'MSW45'!D89</f>
        <v>1-5 MIN</v>
      </c>
      <c r="E89" s="66" t="str">
        <f>'MSW45'!E89</f>
        <v/>
      </c>
      <c r="F89" s="67" t="str">
        <f>'MSW45'!F89</f>
        <v/>
      </c>
    </row>
    <row r="90">
      <c r="A90" s="1038">
        <f>'MSW45'!A90</f>
        <v>7</v>
      </c>
      <c r="B90" s="175">
        <f>'MSW45'!B90</f>
        <v>145</v>
      </c>
      <c r="C90" s="238">
        <f>'MSW45'!C90</f>
        <v>10</v>
      </c>
      <c r="D90" s="238" t="str">
        <f>'MSW45'!D90</f>
        <v>1-5 MIN</v>
      </c>
      <c r="E90" s="66" t="str">
        <f>'MSW45'!E90</f>
        <v/>
      </c>
      <c r="F90" s="67" t="str">
        <f>'MSW45'!F90</f>
        <v/>
      </c>
    </row>
    <row r="91">
      <c r="A91" s="249">
        <f>'MSW45'!A91</f>
        <v>8</v>
      </c>
      <c r="B91" s="175">
        <f>'MSW45'!B91</f>
        <v>115</v>
      </c>
      <c r="C91" s="238">
        <f>'MSW45'!C91</f>
        <v>10</v>
      </c>
      <c r="D91" s="238" t="str">
        <f>'MSW45'!D91</f>
        <v>1-5 MIN</v>
      </c>
      <c r="E91" s="66" t="str">
        <f>'MSW45'!E91</f>
        <v/>
      </c>
      <c r="F91" s="67" t="str">
        <f>'MSW45'!F91</f>
        <v/>
      </c>
    </row>
    <row r="92">
      <c r="A92" s="1038">
        <f>'MSW45'!A92</f>
        <v>9</v>
      </c>
      <c r="B92" s="175">
        <f>'MSW45'!B92</f>
        <v>90</v>
      </c>
      <c r="C92" s="238">
        <f>'MSW45'!C92</f>
        <v>10</v>
      </c>
      <c r="D92" s="238" t="str">
        <f>'MSW45'!D92</f>
        <v>1-5 MIN</v>
      </c>
      <c r="E92" s="66" t="str">
        <f>'MSW45'!E92</f>
        <v/>
      </c>
      <c r="F92" s="67" t="str">
        <f>'MSW45'!F92</f>
        <v/>
      </c>
    </row>
    <row r="93">
      <c r="A93" s="1038" t="str">
        <f>'MSW45'!A93</f>
        <v>10</v>
      </c>
      <c r="B93" s="175">
        <f>'MSW45'!B93</f>
        <v>70</v>
      </c>
      <c r="C93" s="238">
        <f>'MSW45'!C93</f>
        <v>10</v>
      </c>
      <c r="D93" s="238" t="str">
        <f>'MSW45'!D93</f>
        <v>1-5 MIN</v>
      </c>
      <c r="E93" s="66" t="str">
        <f>'MSW45'!E93</f>
        <v/>
      </c>
      <c r="F93" s="67" t="str">
        <f>'MSW45'!F93</f>
        <v/>
      </c>
    </row>
    <row r="94">
      <c r="A94" s="272" t="str">
        <f>'MSW45'!A94</f>
        <v>10 REP MAX</v>
      </c>
      <c r="B94" s="1109">
        <f>'MSW45'!B94</f>
        <v>320</v>
      </c>
      <c r="C94" s="11"/>
      <c r="D94" s="11"/>
      <c r="E94" s="11"/>
      <c r="F94" s="46"/>
    </row>
    <row r="95">
      <c r="A95" t="str">
        <f>'MSW45'!A95</f>
        <v/>
      </c>
    </row>
    <row r="97">
      <c r="A97" s="1285" t="str">
        <f>'MSW45'!A97</f>
        <v>2. LEG EXTENSION</v>
      </c>
      <c r="B97" s="53"/>
      <c r="C97" s="53"/>
      <c r="D97" s="53"/>
      <c r="E97" s="53"/>
      <c r="F97" s="54"/>
    </row>
    <row r="98">
      <c r="A98" s="1045" t="str">
        <f>'MSW45'!A98</f>
        <v>CURRENT MAX</v>
      </c>
      <c r="B98" s="1367">
        <f>'MSW45'!B98</f>
        <v>115</v>
      </c>
      <c r="C98" s="20"/>
      <c r="D98" s="20"/>
      <c r="E98" s="20"/>
      <c r="F98" s="95"/>
    </row>
    <row r="99">
      <c r="A99" s="567" t="str">
        <f>'MSW45'!A99</f>
        <v>SET</v>
      </c>
      <c r="B99" s="568" t="str">
        <f>'MSW45'!B99</f>
        <v>WEIGHT</v>
      </c>
      <c r="C99" s="568" t="str">
        <f>'MSW45'!C99</f>
        <v>REPS</v>
      </c>
      <c r="D99" s="568" t="str">
        <f>'MSW45'!D99</f>
        <v>REST</v>
      </c>
      <c r="E99" s="1047" t="str">
        <f>'MSW45'!E99</f>
        <v>PREVIOUS</v>
      </c>
      <c r="F99" s="1048" t="str">
        <f>'MSW45'!F99</f>
        <v>REP LOG</v>
      </c>
    </row>
    <row r="100">
      <c r="A100" s="1049">
        <f>'MSW45'!A100</f>
        <v>1</v>
      </c>
      <c r="B100" s="1050">
        <f>'MSW45'!B100</f>
        <v>115</v>
      </c>
      <c r="C100" s="1051" t="str">
        <f>'MSW45'!C100</f>
        <v>10 - 15</v>
      </c>
      <c r="D100" s="1430" t="str">
        <f>'MSW45'!D100</f>
        <v>1-2 MIN</v>
      </c>
      <c r="E100" s="1130" t="str">
        <f>'MSW45'!E100</f>
        <v/>
      </c>
      <c r="F100" s="1017" t="str">
        <f>'MSW45'!F100</f>
        <v/>
      </c>
    </row>
    <row r="101">
      <c r="A101" s="1049">
        <f>'MSW45'!A101</f>
        <v>2</v>
      </c>
      <c r="B101" s="1050">
        <f>'MSW45'!B101</f>
        <v>90</v>
      </c>
      <c r="C101" s="1051" t="str">
        <f>'MSW45'!C101</f>
        <v>10 - 15</v>
      </c>
      <c r="D101" s="1430" t="str">
        <f>'MSW45'!D101</f>
        <v>1-2 MIN</v>
      </c>
      <c r="E101" s="1130" t="str">
        <f>'MSW45'!E101</f>
        <v/>
      </c>
      <c r="F101" s="1017" t="str">
        <f>'MSW45'!F101</f>
        <v/>
      </c>
    </row>
    <row r="102">
      <c r="A102" s="1053">
        <f>'MSW45'!A102</f>
        <v>3</v>
      </c>
      <c r="B102" s="1054">
        <f>'MSW45'!B102</f>
        <v>70</v>
      </c>
      <c r="C102" s="1055" t="str">
        <f>'MSW45'!C102</f>
        <v>10 - 15</v>
      </c>
      <c r="D102" s="1453" t="str">
        <f>'MSW45'!D102</f>
        <v>1-2 MIN</v>
      </c>
      <c r="E102" s="1348" t="str">
        <f>'MSW45'!E102</f>
        <v/>
      </c>
      <c r="F102" s="1017" t="str">
        <f>'MSW45'!F102</f>
        <v/>
      </c>
    </row>
    <row r="103">
      <c r="A103" t="str">
        <f>'MSW45'!A103</f>
        <v/>
      </c>
    </row>
    <row r="105">
      <c r="A105" s="323" t="str">
        <f>'MSW45'!A105</f>
        <v>3. MACHINE LEG CURL</v>
      </c>
      <c r="B105" s="53"/>
      <c r="C105" s="53"/>
      <c r="D105" s="53"/>
      <c r="E105" s="53"/>
      <c r="F105" s="54"/>
      <c r="G105" s="141" t="str">
        <f>'MSW45'!G105</f>
        <v/>
      </c>
      <c r="H105" s="323" t="str">
        <f>'MSW45'!H105</f>
        <v>3. PRONE LEG CURL</v>
      </c>
      <c r="I105" s="53"/>
      <c r="J105" s="53"/>
      <c r="K105" s="53"/>
      <c r="L105" s="53"/>
      <c r="M105" s="54"/>
    </row>
    <row r="106">
      <c r="A106" s="1045" t="str">
        <f>'MSW45'!A106</f>
        <v>CURRENT MAX</v>
      </c>
      <c r="B106" s="1367">
        <f>'MSW45'!B106</f>
        <v>110</v>
      </c>
      <c r="C106" s="20"/>
      <c r="D106" s="20"/>
      <c r="E106" s="20"/>
      <c r="F106" s="95"/>
      <c r="H106" s="1045" t="str">
        <f>'MSW45'!H106</f>
        <v>CURRENT MAX</v>
      </c>
      <c r="I106" s="1046">
        <f>'MSW45'!I106</f>
        <v>110</v>
      </c>
      <c r="J106" s="13"/>
      <c r="K106" s="13"/>
      <c r="L106" s="13"/>
      <c r="M106" s="57"/>
    </row>
    <row r="107">
      <c r="A107" s="567" t="str">
        <f>'MSW45'!A107</f>
        <v>SET</v>
      </c>
      <c r="B107" s="568" t="str">
        <f>'MSW45'!B107</f>
        <v>WEIGHT</v>
      </c>
      <c r="C107" s="568" t="str">
        <f>'MSW45'!C107</f>
        <v>REPS</v>
      </c>
      <c r="D107" s="568" t="str">
        <f>'MSW45'!D107</f>
        <v>REST</v>
      </c>
      <c r="E107" s="1047" t="str">
        <f>'MSW45'!E107</f>
        <v>PREVIOUS</v>
      </c>
      <c r="F107" s="1048" t="str">
        <f>'MSW45'!F107</f>
        <v>REP LOG</v>
      </c>
      <c r="H107" s="567" t="str">
        <f>'MSW45'!H107</f>
        <v>SET</v>
      </c>
      <c r="I107" s="568" t="str">
        <f>'MSW45'!I107</f>
        <v>WEIGHT</v>
      </c>
      <c r="J107" s="568" t="str">
        <f>'MSW45'!J107</f>
        <v>REPS</v>
      </c>
      <c r="K107" s="568" t="str">
        <f>'MSW45'!K107</f>
        <v>REST</v>
      </c>
      <c r="L107" s="1047" t="str">
        <f>'MSW45'!L107</f>
        <v>PREVIOUS</v>
      </c>
      <c r="M107" s="1048" t="str">
        <f>'MSW45'!M107</f>
        <v>REP LOG</v>
      </c>
    </row>
    <row r="108">
      <c r="A108" s="1049">
        <f>'MSW45'!A108</f>
        <v>1</v>
      </c>
      <c r="B108" s="1050">
        <f>'MSW45'!B108</f>
        <v>110</v>
      </c>
      <c r="C108" s="1051" t="str">
        <f>'MSW45'!C108</f>
        <v>10 - 15</v>
      </c>
      <c r="D108" s="1430" t="str">
        <f>'MSW45'!D108</f>
        <v>1-2 MIN</v>
      </c>
      <c r="E108" s="1130" t="str">
        <f>'MSW45'!E108</f>
        <v/>
      </c>
      <c r="F108" s="1017" t="str">
        <f>'MSW45'!F108</f>
        <v/>
      </c>
      <c r="G108" s="434" t="str">
        <f>'MSW45'!G108</f>
        <v>ALTERNATE</v>
      </c>
      <c r="H108" s="1049">
        <f>'MSW45'!H108</f>
        <v>1</v>
      </c>
      <c r="I108" s="1050">
        <f>'MSW45'!I108</f>
        <v>110</v>
      </c>
      <c r="J108" s="1051" t="str">
        <f>'MSW45'!J108</f>
        <v>10 - 15</v>
      </c>
      <c r="K108" s="1430" t="str">
        <f>'MSW45'!K108</f>
        <v>1-2 MIN</v>
      </c>
      <c r="L108" s="1130" t="str">
        <f>'MSW45'!L108</f>
        <v/>
      </c>
      <c r="M108" s="1017" t="str">
        <f>'MSW45'!M108</f>
        <v/>
      </c>
    </row>
    <row r="109">
      <c r="A109" s="1049">
        <f>'MSW45'!A109</f>
        <v>2</v>
      </c>
      <c r="B109" s="1050">
        <f>'MSW45'!B109</f>
        <v>90</v>
      </c>
      <c r="C109" s="1051" t="str">
        <f>'MSW45'!C109</f>
        <v>10 - 15</v>
      </c>
      <c r="D109" s="1430" t="str">
        <f>'MSW45'!D109</f>
        <v>1-2 MIN</v>
      </c>
      <c r="E109" s="1130" t="str">
        <f>'MSW45'!E109</f>
        <v/>
      </c>
      <c r="F109" s="1017" t="str">
        <f>'MSW45'!F109</f>
        <v/>
      </c>
      <c r="H109" s="1049">
        <f>'MSW45'!H109</f>
        <v>2</v>
      </c>
      <c r="I109" s="1050">
        <f>'MSW45'!I109</f>
        <v>90</v>
      </c>
      <c r="J109" s="1051" t="str">
        <f>'MSW45'!J109</f>
        <v>10 - 15</v>
      </c>
      <c r="K109" s="1430" t="str">
        <f>'MSW45'!K109</f>
        <v>1-2 MIN</v>
      </c>
      <c r="L109" s="1130" t="str">
        <f>'MSW45'!L109</f>
        <v/>
      </c>
      <c r="M109" s="1017" t="str">
        <f>'MSW45'!M109</f>
        <v/>
      </c>
    </row>
    <row r="110">
      <c r="A110" s="1053">
        <f>'MSW45'!A110</f>
        <v>3</v>
      </c>
      <c r="B110" s="1054">
        <f>'MSW45'!B110</f>
        <v>70</v>
      </c>
      <c r="C110" s="1055" t="str">
        <f>'MSW45'!C110</f>
        <v>10 - 15</v>
      </c>
      <c r="D110" s="1453" t="str">
        <f>'MSW45'!D110</f>
        <v>1-2 MIN</v>
      </c>
      <c r="E110" s="1348" t="str">
        <f>'MSW45'!E110</f>
        <v/>
      </c>
      <c r="F110" s="1017" t="str">
        <f>'MSW45'!F110</f>
        <v/>
      </c>
      <c r="G110" s="682" t="str">
        <f>'MSW45'!G110</f>
        <v/>
      </c>
      <c r="H110" s="1053">
        <f>'MSW45'!H110</f>
        <v>3</v>
      </c>
      <c r="I110" s="1054">
        <f>'MSW45'!I110</f>
        <v>70</v>
      </c>
      <c r="J110" s="1055" t="str">
        <f>'MSW45'!J110</f>
        <v>10 - 15</v>
      </c>
      <c r="K110" s="1453" t="str">
        <f>'MSW45'!K110</f>
        <v>1-2 MIN</v>
      </c>
      <c r="L110" s="1348" t="str">
        <f>'MSW45'!L110</f>
        <v/>
      </c>
      <c r="M110" s="1017" t="str">
        <f>'MSW45'!M110</f>
        <v/>
      </c>
    </row>
    <row r="111">
      <c r="A111" s="849" t="str">
        <f>'MSW45'!A111</f>
        <v/>
      </c>
      <c r="G111" s="849" t="str">
        <f>'MSW45'!H111</f>
        <v/>
      </c>
    </row>
    <row r="113">
      <c r="A113" s="1120" t="str">
        <f>'MSW45'!A113</f>
        <v>DAY 3</v>
      </c>
      <c r="B113" s="36"/>
      <c r="C113" s="36"/>
      <c r="D113" s="36"/>
      <c r="E113" s="36"/>
      <c r="F113" s="37"/>
    </row>
    <row r="114">
      <c r="A114" t="str">
        <f>'MSW45'!A114</f>
        <v/>
      </c>
    </row>
    <row r="116">
      <c r="A116" s="51" t="str">
        <f>'MSW45'!A116</f>
        <v>SHOULDERS &amp; ARMS</v>
      </c>
      <c r="B116" s="36"/>
      <c r="C116" s="36"/>
      <c r="D116" s="36"/>
      <c r="E116" s="36"/>
      <c r="F116" s="37"/>
      <c r="G116" s="419" t="str">
        <f>'MSW45'!G116</f>
        <v/>
      </c>
      <c r="H116" s="51" t="str">
        <f>'MSW45'!H116</f>
        <v>SHOULDERS &amp; ARMS</v>
      </c>
      <c r="I116" s="36"/>
      <c r="J116" s="36"/>
      <c r="K116" s="36"/>
      <c r="L116" s="36"/>
      <c r="M116" s="37"/>
    </row>
    <row r="117">
      <c r="A117" s="504" t="str">
        <f>'MSW45'!A117</f>
        <v>1. SHOULDER PRESS</v>
      </c>
      <c r="B117" s="53"/>
      <c r="C117" s="53"/>
      <c r="D117" s="53"/>
      <c r="E117" s="53"/>
      <c r="F117" s="54"/>
      <c r="H117" s="778" t="str">
        <f>'MSW45'!H117</f>
        <v>1. MACHINE SHOULDER PRESS</v>
      </c>
      <c r="I117" s="53"/>
      <c r="J117" s="53"/>
      <c r="K117" s="53"/>
      <c r="L117" s="53"/>
      <c r="M117" s="54"/>
    </row>
    <row r="118">
      <c r="A118" s="589" t="str">
        <f>'MSW45'!A118</f>
        <v>CURRENT MAX</v>
      </c>
      <c r="B118" s="227">
        <f>'MSW45'!B118</f>
        <v>80</v>
      </c>
      <c r="C118" s="20"/>
      <c r="D118" s="20"/>
      <c r="E118" s="20"/>
      <c r="F118" s="95"/>
      <c r="H118" s="226" t="str">
        <f>'MSW45'!H118</f>
        <v>SHLDR PRESS MAX</v>
      </c>
      <c r="I118" s="227">
        <f>'MSW45'!I118</f>
        <v>228</v>
      </c>
      <c r="J118" s="20"/>
      <c r="K118" s="20"/>
      <c r="L118" s="20"/>
      <c r="M118" s="95"/>
    </row>
    <row r="119">
      <c r="A119" s="364" t="str">
        <f>'MSW45'!A119</f>
        <v>SET</v>
      </c>
      <c r="B119" s="365" t="str">
        <f>'MSW45'!B119</f>
        <v>WEIGHT</v>
      </c>
      <c r="C119" s="365" t="str">
        <f>'MSW45'!C119</f>
        <v>REPS</v>
      </c>
      <c r="D119" s="365" t="str">
        <f>'MSW45'!D119</f>
        <v>REST</v>
      </c>
      <c r="E119" s="609" t="str">
        <f>'MSW45'!E119</f>
        <v>PREVIOUS</v>
      </c>
      <c r="F119" s="61" t="str">
        <f>'MSW45'!F119</f>
        <v>REP LOG</v>
      </c>
      <c r="H119" s="364" t="str">
        <f>'MSW45'!H119</f>
        <v>SET</v>
      </c>
      <c r="I119" s="365" t="str">
        <f>'MSW45'!I119</f>
        <v>WEIGHT</v>
      </c>
      <c r="J119" s="365" t="str">
        <f>'MSW45'!J119</f>
        <v>REPS</v>
      </c>
      <c r="K119" s="365" t="str">
        <f>'MSW45'!K119</f>
        <v>REST</v>
      </c>
      <c r="L119" s="609" t="str">
        <f>'MSW45'!L119</f>
        <v>PREVIOUS</v>
      </c>
      <c r="M119" s="61" t="str">
        <f>'MSW45'!M119</f>
        <v>REP LOG</v>
      </c>
    </row>
    <row r="120">
      <c r="A120" s="236">
        <f>'MSW45'!A120</f>
        <v>1</v>
      </c>
      <c r="B120" s="237">
        <f>'MSW45'!B120</f>
        <v>30</v>
      </c>
      <c r="C120" s="237">
        <f>'MSW45'!C120</f>
        <v>6</v>
      </c>
      <c r="D120" s="238" t="str">
        <f>'MSW45'!D120</f>
        <v>30s</v>
      </c>
      <c r="E120" s="84" t="str">
        <f>'MSW45'!E120</f>
        <v/>
      </c>
      <c r="F120" s="67"/>
      <c r="H120" s="236">
        <f>'MSW45'!H120</f>
        <v>1</v>
      </c>
      <c r="I120" s="237">
        <f>'MSW45'!I120</f>
        <v>110</v>
      </c>
      <c r="J120" s="237">
        <f>'MSW45'!J120</f>
        <v>6</v>
      </c>
      <c r="K120" s="238" t="str">
        <f>'MSW45'!K120</f>
        <v>30s</v>
      </c>
      <c r="L120" s="84" t="str">
        <f>'MSW45'!L120</f>
        <v/>
      </c>
      <c r="M120" s="67"/>
    </row>
    <row r="121">
      <c r="A121" s="236">
        <f>'MSW45'!A121</f>
        <v>2</v>
      </c>
      <c r="B121" s="237">
        <f>'MSW45'!B121</f>
        <v>50</v>
      </c>
      <c r="C121" s="237">
        <f>'MSW45'!C121</f>
        <v>1</v>
      </c>
      <c r="D121" s="238" t="str">
        <f>'MSW45'!D121</f>
        <v>1 MIN</v>
      </c>
      <c r="E121" s="84" t="str">
        <f>'MSW45'!E121</f>
        <v/>
      </c>
      <c r="F121" s="67"/>
      <c r="H121" s="236">
        <f>'MSW45'!H121</f>
        <v>2</v>
      </c>
      <c r="I121" s="237">
        <f>'MSW45'!I121</f>
        <v>150</v>
      </c>
      <c r="J121" s="237">
        <f>'MSW45'!J121</f>
        <v>1</v>
      </c>
      <c r="K121" s="238" t="str">
        <f>'MSW45'!K121</f>
        <v>1 MIN</v>
      </c>
      <c r="L121" s="84" t="str">
        <f>'MSW45'!L121</f>
        <v/>
      </c>
      <c r="M121" s="67"/>
    </row>
    <row r="122">
      <c r="A122" s="779">
        <f>'MSW45'!A122</f>
        <v>3</v>
      </c>
      <c r="B122" s="780">
        <f>'MSW45'!B122</f>
        <v>70</v>
      </c>
      <c r="C122" s="781" t="str">
        <f>'MSW45'!C122</f>
        <v>REP OUT</v>
      </c>
      <c r="D122" s="782" t="str">
        <f>'MSW45'!D122</f>
        <v>1 MIN</v>
      </c>
      <c r="E122" s="84" t="str">
        <f>'MSW45'!E122</f>
        <v/>
      </c>
      <c r="F122" s="1467"/>
      <c r="H122" s="779">
        <f>'MSW45'!H122</f>
        <v>3</v>
      </c>
      <c r="I122" s="780">
        <f>'MSW45'!I122</f>
        <v>205</v>
      </c>
      <c r="J122" s="781" t="str">
        <f>'MSW45'!J122</f>
        <v>REP OUT</v>
      </c>
      <c r="K122" s="782" t="str">
        <f>'MSW45'!K122</f>
        <v>1 MIN</v>
      </c>
      <c r="L122" s="84" t="str">
        <f>'MSW45'!L122</f>
        <v/>
      </c>
      <c r="M122" s="1467"/>
    </row>
    <row r="123">
      <c r="A123" s="785">
        <f>'MSW45'!A123</f>
        <v>4</v>
      </c>
      <c r="B123" s="388">
        <f>'MSW45'!B123</f>
        <v>65</v>
      </c>
      <c r="C123" s="781" t="str">
        <f>'MSW45'!C123</f>
        <v>REP OUT</v>
      </c>
      <c r="D123" s="390" t="str">
        <f>'MSW45'!D123</f>
        <v>1 MIN</v>
      </c>
      <c r="E123" s="84" t="str">
        <f>'MSW45'!E123</f>
        <v/>
      </c>
      <c r="F123" s="1467"/>
      <c r="H123" s="785">
        <f>'MSW45'!H123</f>
        <v>4</v>
      </c>
      <c r="I123" s="388">
        <f>'MSW45'!I123</f>
        <v>185</v>
      </c>
      <c r="J123" s="781" t="str">
        <f>'MSW45'!J123</f>
        <v>REP OUT</v>
      </c>
      <c r="K123" s="390" t="str">
        <f>'MSW45'!K123</f>
        <v>1 MIN</v>
      </c>
      <c r="L123" s="84" t="str">
        <f>'MSW45'!L123</f>
        <v/>
      </c>
      <c r="M123" s="1467"/>
    </row>
    <row r="124">
      <c r="A124" s="787">
        <f>'MSW45'!A124</f>
        <v>5</v>
      </c>
      <c r="B124" s="788">
        <f>'MSW45'!B124</f>
        <v>55</v>
      </c>
      <c r="C124" s="789" t="str">
        <f>'MSW45'!C124</f>
        <v>REP OUT</v>
      </c>
      <c r="D124" s="397" t="str">
        <f>'MSW45'!D124</f>
        <v>1 MIN</v>
      </c>
      <c r="E124" s="89" t="str">
        <f>'MSW45'!E124</f>
        <v/>
      </c>
      <c r="F124" s="1399" t="str">
        <f>'MSW45'!F124</f>
        <v/>
      </c>
      <c r="H124" s="787">
        <f>'MSW45'!H124</f>
        <v>5</v>
      </c>
      <c r="I124" s="788">
        <f>'MSW45'!I124</f>
        <v>157.5</v>
      </c>
      <c r="J124" s="789" t="str">
        <f>'MSW45'!J124</f>
        <v>REP OUT</v>
      </c>
      <c r="K124" s="397" t="str">
        <f>'MSW45'!K124</f>
        <v>1 MIN</v>
      </c>
      <c r="L124" s="89" t="str">
        <f>'MSW45'!L124</f>
        <v/>
      </c>
      <c r="M124" s="1399" t="str">
        <f>'MSW45'!M124</f>
        <v/>
      </c>
    </row>
    <row r="125">
      <c r="A125" s="791" t="str">
        <f>'MSW45'!A125</f>
        <v/>
      </c>
      <c r="G125" s="419" t="str">
        <f>'MSW45'!G125</f>
        <v/>
      </c>
    </row>
    <row r="127">
      <c r="A127" s="687" t="str">
        <f>'MSW45'!A127</f>
        <v>2. DUMBBELL REAR DELT FLY </v>
      </c>
      <c r="B127" s="53"/>
      <c r="C127" s="53"/>
      <c r="D127" s="53"/>
      <c r="E127" s="53"/>
      <c r="F127" s="54"/>
    </row>
    <row r="128">
      <c r="A128" s="226" t="str">
        <f>'MSW45'!A128</f>
        <v>SHLDR PRESS MAX</v>
      </c>
      <c r="B128" s="691">
        <f>'MSW45'!B128</f>
        <v>80</v>
      </c>
      <c r="C128" s="13"/>
      <c r="D128" s="13"/>
      <c r="E128" s="13"/>
      <c r="F128" s="57"/>
    </row>
    <row r="129">
      <c r="A129" s="96" t="str">
        <f>'MSW45'!A129</f>
        <v>SET</v>
      </c>
      <c r="B129" s="97" t="str">
        <f>'MSW45'!B129</f>
        <v>WEIGHT</v>
      </c>
      <c r="C129" s="97" t="str">
        <f>'MSW45'!C129</f>
        <v>REPS</v>
      </c>
      <c r="D129" s="97" t="str">
        <f>'MSW45'!D129</f>
        <v>REST</v>
      </c>
      <c r="E129" s="341" t="str">
        <f>'MSW45'!E129</f>
        <v>PREVIOUS</v>
      </c>
      <c r="F129" s="235" t="str">
        <f>'MSW45'!F129</f>
        <v>REP LOG</v>
      </c>
    </row>
    <row r="130">
      <c r="A130" s="556">
        <f>'MSW45'!A130</f>
        <v>1</v>
      </c>
      <c r="B130" s="237">
        <f>'MSW45'!B130</f>
        <v>15</v>
      </c>
      <c r="C130" s="65" t="str">
        <f>'MSW45'!C130</f>
        <v>10 - 15</v>
      </c>
      <c r="D130" s="693" t="str">
        <f>'MSW45'!D130</f>
        <v>1-3 MIN</v>
      </c>
      <c r="E130" s="84">
        <f>'MSW45'!E130</f>
        <v>10</v>
      </c>
      <c r="F130" s="85"/>
    </row>
    <row r="131">
      <c r="A131" s="556">
        <f>'MSW45'!A131</f>
        <v>2</v>
      </c>
      <c r="B131" s="237">
        <f>'MSW45'!B131</f>
        <v>10</v>
      </c>
      <c r="C131" s="65" t="str">
        <f>'MSW45'!C131</f>
        <v>10 - 15</v>
      </c>
      <c r="D131" s="693" t="str">
        <f>'MSW45'!D131</f>
        <v>1-3 MIN</v>
      </c>
      <c r="E131" s="84" t="str">
        <f>'MSW45'!E131</f>
        <v/>
      </c>
      <c r="F131" s="85"/>
    </row>
    <row r="132">
      <c r="A132" s="561">
        <f>'MSW45'!A132</f>
        <v>3</v>
      </c>
      <c r="B132" s="371">
        <f>'MSW45'!B132</f>
        <v>10</v>
      </c>
      <c r="C132" s="71" t="str">
        <f>'MSW45'!C132</f>
        <v>10 - 15</v>
      </c>
      <c r="D132" s="794" t="str">
        <f>'MSW45'!D132</f>
        <v>1-3 MIN</v>
      </c>
      <c r="E132" s="89" t="str">
        <f>'MSW45'!E132</f>
        <v/>
      </c>
      <c r="F132" s="694" t="str">
        <f>'MSW45'!F132</f>
        <v/>
      </c>
    </row>
    <row r="133">
      <c r="A133" s="795" t="str">
        <f>'MSW45'!A133</f>
        <v/>
      </c>
    </row>
    <row r="135">
      <c r="A135" s="74" t="str">
        <f>'MSW45'!A135</f>
        <v>3. DUMBBELL SIDE LATERAL RAISE</v>
      </c>
      <c r="B135" s="53"/>
      <c r="C135" s="53"/>
      <c r="D135" s="53"/>
      <c r="E135" s="53"/>
      <c r="F135" s="54"/>
    </row>
    <row r="136">
      <c r="A136" s="226" t="str">
        <f>'MSW45'!A136</f>
        <v>SHLDR PRESS MAX</v>
      </c>
      <c r="B136" s="90">
        <f>'MSW45'!B136</f>
        <v>80</v>
      </c>
      <c r="C136" s="13"/>
      <c r="D136" s="13"/>
      <c r="E136" s="13"/>
      <c r="F136" s="57"/>
    </row>
    <row r="137">
      <c r="A137" s="376" t="str">
        <f>'MSW45'!A137</f>
        <v>SET</v>
      </c>
      <c r="B137" s="79" t="str">
        <f>'MSW45'!B137</f>
        <v>WEIGHT</v>
      </c>
      <c r="C137" s="79" t="str">
        <f>'MSW45'!C137</f>
        <v>REPS</v>
      </c>
      <c r="D137" s="79" t="str">
        <f>'MSW45'!D137</f>
        <v>REST</v>
      </c>
      <c r="E137" s="98" t="str">
        <f>'MSW45'!E137</f>
        <v>PREVIOUS</v>
      </c>
      <c r="F137" s="377" t="str">
        <f>'MSW45'!F137</f>
        <v>REP LOG</v>
      </c>
    </row>
    <row r="138">
      <c r="A138" s="81">
        <f>'MSW45'!A138</f>
        <v>1</v>
      </c>
      <c r="B138" s="82">
        <f>'MSW45'!B138</f>
        <v>15</v>
      </c>
      <c r="C138" s="65" t="str">
        <f>'MSW45'!C138</f>
        <v>10 - 15</v>
      </c>
      <c r="D138" s="693" t="str">
        <f>'MSW45'!D138</f>
        <v>1-5 MIN</v>
      </c>
      <c r="E138" s="84">
        <f>'MSW45'!E138</f>
        <v>10</v>
      </c>
      <c r="F138" s="796"/>
    </row>
    <row r="139">
      <c r="A139" s="81">
        <f>'MSW45'!A139</f>
        <v>2</v>
      </c>
      <c r="B139" s="82">
        <f>'MSW45'!B139</f>
        <v>12.5</v>
      </c>
      <c r="C139" s="65" t="str">
        <f>'MSW45'!C139</f>
        <v>10 - 15</v>
      </c>
      <c r="D139" s="693" t="str">
        <f>'MSW45'!D139</f>
        <v>1-5 MIN</v>
      </c>
      <c r="E139" s="84">
        <f>'MSW45'!E139</f>
        <v>20</v>
      </c>
      <c r="F139" s="330"/>
    </row>
    <row r="140">
      <c r="A140" s="86">
        <f>'MSW45'!A140</f>
        <v>3</v>
      </c>
      <c r="B140" s="87">
        <f>'MSW45'!B140</f>
        <v>7.5</v>
      </c>
      <c r="C140" s="71" t="str">
        <f>'MSW45'!C140</f>
        <v>10 - 15</v>
      </c>
      <c r="D140" s="794" t="str">
        <f>'MSW45'!D140</f>
        <v>1-5 MIN</v>
      </c>
      <c r="E140" s="89" t="str">
        <f>'MSW45'!E140</f>
        <v/>
      </c>
      <c r="F140" s="85" t="str">
        <f>'MSW45'!F140</f>
        <v/>
      </c>
    </row>
    <row r="141">
      <c r="A141" s="795" t="str">
        <f>'MSW45'!A141</f>
        <v/>
      </c>
    </row>
    <row r="143">
      <c r="A143" s="361" t="str">
        <f>'MSW45'!A143</f>
        <v>2.  TRICEP OVERHEAD ROPE EXTENSION</v>
      </c>
      <c r="B143" s="53"/>
      <c r="C143" s="53"/>
      <c r="D143" s="53"/>
      <c r="E143" s="53"/>
      <c r="F143" s="54"/>
    </row>
    <row r="144">
      <c r="A144" s="226" t="str">
        <f>'MSW45'!A144</f>
        <v>CURRENT MAX</v>
      </c>
      <c r="B144" s="1443">
        <f>'MSW45'!B144</f>
        <v>105</v>
      </c>
      <c r="C144" s="13"/>
      <c r="D144" s="13"/>
      <c r="E144" s="13"/>
      <c r="F144" s="57"/>
    </row>
    <row r="145">
      <c r="A145" s="77" t="str">
        <f>'MSW45'!A145</f>
        <v>SET</v>
      </c>
      <c r="B145" s="78" t="str">
        <f>'MSW45'!B145</f>
        <v>WEIGHT</v>
      </c>
      <c r="C145" s="78" t="str">
        <f>'MSW45'!C145</f>
        <v>REPS</v>
      </c>
      <c r="D145" s="78" t="str">
        <f>'MSW45'!D145</f>
        <v>REST</v>
      </c>
      <c r="E145" s="80" t="str">
        <f>'MSW45'!E145</f>
        <v>PREVIOUS</v>
      </c>
      <c r="F145" s="235" t="str">
        <f>'MSW45'!F145</f>
        <v>REP LOG</v>
      </c>
    </row>
    <row r="146">
      <c r="A146" s="81">
        <f>'MSW45'!A146</f>
        <v>1</v>
      </c>
      <c r="B146" s="82">
        <f>'MSW45'!B146</f>
        <v>90</v>
      </c>
      <c r="C146" s="65" t="str">
        <f>'MSW45'!C146</f>
        <v>10 - 15</v>
      </c>
      <c r="D146" s="83" t="str">
        <f>'MSW45'!D146</f>
        <v>1MIN</v>
      </c>
      <c r="E146" s="84" t="str">
        <f>'MSW45'!E146</f>
        <v/>
      </c>
      <c r="F146" s="85" t="str">
        <f>'MSW45'!F146</f>
        <v/>
      </c>
    </row>
    <row r="147">
      <c r="A147" s="81">
        <f>'MSW45'!A147</f>
        <v>2</v>
      </c>
      <c r="B147" s="82">
        <f>'MSW45'!B147</f>
        <v>70</v>
      </c>
      <c r="C147" s="65" t="str">
        <f>'MSW45'!C147</f>
        <v>10 - 15</v>
      </c>
      <c r="D147" s="83" t="str">
        <f>'MSW45'!D147</f>
        <v>1MIN</v>
      </c>
      <c r="E147" s="84" t="str">
        <f>'MSW45'!E147</f>
        <v/>
      </c>
      <c r="F147" s="85" t="str">
        <f>'MSW45'!F147</f>
        <v/>
      </c>
    </row>
    <row r="148">
      <c r="A148" s="629">
        <f>'MSW45'!A148</f>
        <v>3</v>
      </c>
      <c r="B148" s="82">
        <f>'MSW45'!B148</f>
        <v>55</v>
      </c>
      <c r="C148" s="65" t="str">
        <f>'MSW45'!C148</f>
        <v>10 - 15</v>
      </c>
      <c r="D148" s="328" t="str">
        <f>'MSW45'!D148</f>
        <v>1MIN</v>
      </c>
      <c r="E148" s="84" t="str">
        <f>'MSW45'!E148</f>
        <v/>
      </c>
      <c r="F148" s="330" t="str">
        <f>'MSW45'!F148</f>
        <v/>
      </c>
    </row>
    <row r="149">
      <c r="A149" s="797" t="str">
        <f>'MSW45'!A149</f>
        <v/>
      </c>
      <c r="B149" s="1491"/>
      <c r="C149" s="1491"/>
      <c r="D149" s="1491"/>
      <c r="E149" s="1491"/>
      <c r="F149" s="1491"/>
    </row>
    <row r="151">
      <c r="A151" s="75" t="str">
        <f>'MSW45'!A151</f>
        <v>4. BICEP CABLE CURL</v>
      </c>
      <c r="B151" s="53"/>
      <c r="C151" s="53"/>
      <c r="D151" s="53"/>
      <c r="E151" s="53"/>
      <c r="F151" s="54"/>
      <c r="G151" s="419" t="str">
        <f>'MSW45'!G151</f>
        <v/>
      </c>
      <c r="H151" s="75" t="str">
        <f>'MSW45'!H151</f>
        <v>5. BICEP EZ BAR CURL</v>
      </c>
      <c r="I151" s="53"/>
      <c r="J151" s="53"/>
      <c r="K151" s="53"/>
      <c r="L151" s="53"/>
      <c r="M151" s="54"/>
    </row>
    <row r="152">
      <c r="A152" s="226" t="str">
        <f>'MSW45'!A152</f>
        <v>CURRENT MAX</v>
      </c>
      <c r="B152" s="90">
        <f>'MSW45'!B152</f>
        <v>55</v>
      </c>
      <c r="C152" s="13"/>
      <c r="D152" s="13"/>
      <c r="E152" s="13"/>
      <c r="F152" s="57"/>
      <c r="H152" s="226" t="str">
        <f>'MSW45'!H152</f>
        <v>CURRENT MAX</v>
      </c>
      <c r="I152" s="90">
        <f>'MSW45'!I152</f>
        <v>15</v>
      </c>
      <c r="J152" s="13"/>
      <c r="K152" s="13"/>
      <c r="L152" s="13"/>
      <c r="M152" s="57"/>
    </row>
    <row r="153">
      <c r="A153" s="77" t="str">
        <f>'MSW45'!A153</f>
        <v>SET</v>
      </c>
      <c r="B153" s="78" t="str">
        <f>'MSW45'!B153</f>
        <v>WEIGHT</v>
      </c>
      <c r="C153" s="78" t="str">
        <f>'MSW45'!C153</f>
        <v>REPS</v>
      </c>
      <c r="D153" s="78" t="str">
        <f>'MSW45'!D153</f>
        <v>REST</v>
      </c>
      <c r="E153" s="80" t="str">
        <f>'MSW45'!E153</f>
        <v>PREVIOUS</v>
      </c>
      <c r="F153" s="235" t="str">
        <f>'MSW45'!F153</f>
        <v>REP LOG</v>
      </c>
      <c r="H153" s="77" t="str">
        <f>'MSW45'!H153</f>
        <v>SET</v>
      </c>
      <c r="I153" s="78" t="str">
        <f>'MSW45'!I153</f>
        <v>WEIGHT</v>
      </c>
      <c r="J153" s="78" t="str">
        <f>'MSW45'!J153</f>
        <v>REPS</v>
      </c>
      <c r="K153" s="78" t="str">
        <f>'MSW45'!K153</f>
        <v>REST</v>
      </c>
      <c r="L153" s="80" t="str">
        <f>'MSW45'!L153</f>
        <v>PREVIOUS</v>
      </c>
      <c r="M153" s="235" t="str">
        <f>'MSW45'!M153</f>
        <v>REP LOG</v>
      </c>
    </row>
    <row r="154">
      <c r="A154" s="81">
        <f>'MSW45'!A154</f>
        <v>1</v>
      </c>
      <c r="B154" s="82">
        <f>'MSW45'!B154</f>
        <v>50</v>
      </c>
      <c r="C154" s="65" t="str">
        <f>'MSW45'!C154</f>
        <v>15 - 20</v>
      </c>
      <c r="D154" s="83" t="str">
        <f>'MSW45'!D154</f>
        <v>1MIN</v>
      </c>
      <c r="E154" s="84" t="str">
        <f>'MSW45'!E154</f>
        <v/>
      </c>
      <c r="F154" s="85" t="str">
        <f>'MSW45'!F154</f>
        <v/>
      </c>
      <c r="H154" s="81">
        <f>'MSW45'!H154</f>
        <v>1</v>
      </c>
      <c r="I154" s="82">
        <f>'MSW45'!I154</f>
        <v>15</v>
      </c>
      <c r="J154" s="65" t="str">
        <f>'MSW45'!J154</f>
        <v>10 - 15</v>
      </c>
      <c r="K154" s="83" t="str">
        <f>'MSW45'!K154</f>
        <v>1-2MIN</v>
      </c>
      <c r="L154" s="84" t="str">
        <f>'MSW45'!L154</f>
        <v/>
      </c>
      <c r="M154" s="85" t="str">
        <f>'MSW45'!M154</f>
        <v/>
      </c>
    </row>
    <row r="155">
      <c r="A155" s="81">
        <f>'MSW45'!A155</f>
        <v>2</v>
      </c>
      <c r="B155" s="82">
        <f>'MSW45'!B155</f>
        <v>40</v>
      </c>
      <c r="C155" s="65" t="str">
        <f>'MSW45'!C155</f>
        <v>15 - 20</v>
      </c>
      <c r="D155" s="83" t="str">
        <f>'MSW45'!D155</f>
        <v>1MIN</v>
      </c>
      <c r="E155" s="84" t="str">
        <f>'MSW45'!E155</f>
        <v/>
      </c>
      <c r="F155" s="85" t="str">
        <f>'MSW45'!F155</f>
        <v/>
      </c>
      <c r="H155" s="81">
        <f>'MSW45'!H155</f>
        <v>2</v>
      </c>
      <c r="I155" s="82">
        <f>'MSW45'!I155</f>
        <v>10</v>
      </c>
      <c r="J155" s="65" t="str">
        <f>'MSW45'!J155</f>
        <v>10 - 15</v>
      </c>
      <c r="K155" s="83" t="str">
        <f>'MSW45'!K155</f>
        <v>1-2MIN</v>
      </c>
      <c r="L155" s="84" t="str">
        <f>'MSW45'!L155</f>
        <v/>
      </c>
      <c r="M155" s="85" t="str">
        <f>'MSW45'!M155</f>
        <v/>
      </c>
    </row>
    <row r="156">
      <c r="A156" s="629">
        <f>'MSW45'!A156</f>
        <v>3</v>
      </c>
      <c r="B156" s="630">
        <f>'MSW45'!B156</f>
        <v>30</v>
      </c>
      <c r="C156" s="631" t="str">
        <f>'MSW45'!C156</f>
        <v>15 - 20</v>
      </c>
      <c r="D156" s="328" t="str">
        <f>'MSW45'!D156</f>
        <v>1MIN</v>
      </c>
      <c r="E156" s="84" t="str">
        <f>'MSW45'!E156</f>
        <v/>
      </c>
      <c r="F156" s="330" t="str">
        <f>'MSW45'!F156</f>
        <v/>
      </c>
      <c r="H156" s="86">
        <f>'MSW45'!H156</f>
        <v>3</v>
      </c>
      <c r="I156" s="87">
        <f>'MSW45'!I156</f>
        <v>10</v>
      </c>
      <c r="J156" s="71" t="str">
        <f>'MSW45'!J156</f>
        <v>10 - 15</v>
      </c>
      <c r="K156" s="88" t="str">
        <f>'MSW45'!K156</f>
        <v>1-2MIN</v>
      </c>
      <c r="L156" s="89" t="str">
        <f>'MSW45'!L156</f>
        <v/>
      </c>
      <c r="M156" s="85" t="str">
        <f>'MSW45'!M156</f>
        <v/>
      </c>
    </row>
    <row r="157">
      <c r="A157" s="801" t="str">
        <f>'MSW45'!A157</f>
        <v/>
      </c>
      <c r="B157" s="25"/>
      <c r="C157" s="25"/>
      <c r="D157" s="25"/>
      <c r="E157" s="25"/>
      <c r="F157" s="25"/>
      <c r="G157" s="419" t="str">
        <f>'MSW45'!G157</f>
        <v/>
      </c>
    </row>
    <row r="159">
      <c r="A159" s="310" t="str">
        <f>'MSW45'!A159</f>
        <v>CLICK TO COMPLETE WORKOUT</v>
      </c>
      <c r="B159" s="36"/>
      <c r="C159" s="36"/>
      <c r="D159" s="36"/>
      <c r="E159" s="36"/>
      <c r="F159" s="37"/>
    </row>
    <row r="160">
      <c r="A160" s="806" t="str">
        <f>'MSW45'!A160</f>
        <v/>
      </c>
    </row>
    <row r="161">
      <c r="A161" s="106" t="str">
        <f>'MSW45'!A161</f>
        <v>WORKOUT COMPLETE!</v>
      </c>
      <c r="B161" s="36"/>
      <c r="C161" s="36"/>
      <c r="D161" s="36"/>
      <c r="E161" s="36"/>
      <c r="F161" s="37"/>
    </row>
    <row r="162">
      <c r="A162" s="103" t="str">
        <f>'MSW45'!A162</f>
        <v/>
      </c>
    </row>
    <row r="163">
      <c r="A163" s="641" t="str">
        <f>'MSW45'!A163</f>
        <v>WANT TO LEARN MORE?</v>
      </c>
      <c r="B163" s="16"/>
      <c r="C163" s="16"/>
      <c r="D163" s="16"/>
      <c r="E163" s="16"/>
      <c r="F163" s="17"/>
    </row>
    <row r="164">
      <c r="A164" s="18"/>
      <c r="B164" s="13"/>
      <c r="C164" s="13"/>
      <c r="D164" s="13"/>
      <c r="E164" s="13"/>
      <c r="F164" s="14"/>
    </row>
    <row r="165">
      <c r="A165" s="419" t="str">
        <f>'MSW45'!A165</f>
        <v/>
      </c>
      <c r="B165" s="646" t="str">
        <f>'MSW45'!B165</f>
        <v/>
      </c>
      <c r="C165" s="833" t="str">
        <f>'MSW45'!C165</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65" s="25"/>
      <c r="E165" s="25"/>
      <c r="F165" s="26"/>
    </row>
    <row r="166">
      <c r="A166" s="419" t="str">
        <f>'MSW45'!A166</f>
        <v/>
      </c>
      <c r="B166" s="646" t="str">
        <f>'MSW45'!B166</f>
        <v/>
      </c>
      <c r="F166" s="28"/>
    </row>
    <row r="167">
      <c r="A167" s="419" t="str">
        <f>'MSW45'!A167</f>
        <v/>
      </c>
      <c r="B167" s="646" t="str">
        <f>'MSW45'!B167</f>
        <v/>
      </c>
      <c r="F167" s="28"/>
    </row>
    <row r="168">
      <c r="A168" s="419" t="str">
        <f>'MSW45'!A168</f>
        <v/>
      </c>
      <c r="B168" s="646" t="str">
        <f>'MSW45'!B168</f>
        <v/>
      </c>
      <c r="F168" s="28"/>
    </row>
    <row r="169">
      <c r="A169" s="419" t="str">
        <f>'MSW45'!A169</f>
        <v/>
      </c>
      <c r="B169" s="646" t="str">
        <f>'MSW45'!B169</f>
        <v/>
      </c>
      <c r="F169" s="28"/>
    </row>
    <row r="170">
      <c r="A170" s="419" t="str">
        <f>'MSW45'!A170</f>
        <v/>
      </c>
      <c r="B170" s="646" t="str">
        <f>'MSW45'!B170</f>
        <v/>
      </c>
      <c r="F170" s="28"/>
    </row>
    <row r="171">
      <c r="A171" s="808" t="str">
        <f>'MSW45'!A171</f>
        <v/>
      </c>
      <c r="B171" s="646" t="str">
        <f>'MSW45'!B171</f>
        <v/>
      </c>
      <c r="F171" s="28"/>
    </row>
    <row r="172">
      <c r="A172" s="419" t="str">
        <f>'MSW45'!A172</f>
        <v/>
      </c>
      <c r="B172" s="646" t="str">
        <f>'MSW45'!B172</f>
        <v/>
      </c>
      <c r="F172" s="28"/>
    </row>
    <row r="173">
      <c r="A173" s="419" t="str">
        <f>'MSW45'!A173</f>
        <v/>
      </c>
      <c r="B173" s="646" t="str">
        <f>'MSW45'!B173</f>
        <v/>
      </c>
      <c r="F173" s="28"/>
    </row>
    <row r="174">
      <c r="A174" s="809" t="str">
        <f>'MSW45'!A174</f>
        <v/>
      </c>
      <c r="B174" s="646" t="str">
        <f>'MSW45'!B174</f>
        <v/>
      </c>
      <c r="F174" s="28"/>
    </row>
    <row r="175">
      <c r="A175" s="419" t="str">
        <f>'MSW45'!A175</f>
        <v/>
      </c>
      <c r="B175" s="646" t="str">
        <f>'MSW45'!B175</f>
        <v/>
      </c>
      <c r="F175" s="28"/>
    </row>
    <row r="176">
      <c r="A176" s="419" t="str">
        <f>'MSW45'!A176</f>
        <v/>
      </c>
      <c r="B176" s="646" t="str">
        <f>'MSW45'!B176</f>
        <v/>
      </c>
      <c r="F176" s="28"/>
    </row>
    <row r="177">
      <c r="A177" s="419" t="str">
        <f>'MSW45'!A177</f>
        <v/>
      </c>
      <c r="B177" s="646" t="str">
        <f>'MSW45'!B177</f>
        <v/>
      </c>
      <c r="F177" s="28"/>
    </row>
    <row r="178">
      <c r="A178" s="419" t="str">
        <f>'MSW45'!A178</f>
        <v/>
      </c>
      <c r="B178" s="646" t="str">
        <f>'MSW45'!B178</f>
        <v/>
      </c>
      <c r="F178" s="28"/>
    </row>
    <row r="179">
      <c r="A179" s="419" t="str">
        <f>'MSW45'!A179</f>
        <v/>
      </c>
      <c r="B179" s="646" t="str">
        <f>'MSW45'!B179</f>
        <v/>
      </c>
      <c r="C179" s="11"/>
      <c r="D179" s="11"/>
      <c r="E179" s="11"/>
      <c r="F179" s="46"/>
    </row>
  </sheetData>
  <mergeCells count="101">
    <mergeCell ref="A77:F77"/>
    <mergeCell ref="A78:F78"/>
    <mergeCell ref="A60:F60"/>
    <mergeCell ref="B61:F61"/>
    <mergeCell ref="A66:F67"/>
    <mergeCell ref="A68:F68"/>
    <mergeCell ref="B69:F69"/>
    <mergeCell ref="A74:F75"/>
    <mergeCell ref="A76:F76"/>
    <mergeCell ref="A103:F104"/>
    <mergeCell ref="A105:F105"/>
    <mergeCell ref="A79:F80"/>
    <mergeCell ref="A81:F81"/>
    <mergeCell ref="B82:F82"/>
    <mergeCell ref="B94:F94"/>
    <mergeCell ref="A95:F96"/>
    <mergeCell ref="A97:F97"/>
    <mergeCell ref="B98:F98"/>
    <mergeCell ref="H37:M37"/>
    <mergeCell ref="I38:M38"/>
    <mergeCell ref="G40:G41"/>
    <mergeCell ref="G42:M104"/>
    <mergeCell ref="G105:G107"/>
    <mergeCell ref="H105:M105"/>
    <mergeCell ref="I106:M106"/>
    <mergeCell ref="G125:M150"/>
    <mergeCell ref="H151:M151"/>
    <mergeCell ref="I152:M152"/>
    <mergeCell ref="G157:M179"/>
    <mergeCell ref="G108:G109"/>
    <mergeCell ref="G111:M115"/>
    <mergeCell ref="G116:G124"/>
    <mergeCell ref="H116:M116"/>
    <mergeCell ref="H117:M117"/>
    <mergeCell ref="I118:M118"/>
    <mergeCell ref="G151:G156"/>
    <mergeCell ref="A125:F126"/>
    <mergeCell ref="A127:F127"/>
    <mergeCell ref="B128:F128"/>
    <mergeCell ref="A133:F134"/>
    <mergeCell ref="A135:F135"/>
    <mergeCell ref="B136:F136"/>
    <mergeCell ref="A141:F142"/>
    <mergeCell ref="A160:F160"/>
    <mergeCell ref="A161:F161"/>
    <mergeCell ref="A162:F162"/>
    <mergeCell ref="A163:F164"/>
    <mergeCell ref="C165:F179"/>
    <mergeCell ref="A143:F143"/>
    <mergeCell ref="B144:F144"/>
    <mergeCell ref="A149:F150"/>
    <mergeCell ref="A151:F151"/>
    <mergeCell ref="B152:F152"/>
    <mergeCell ref="A157:F158"/>
    <mergeCell ref="A159:F159"/>
    <mergeCell ref="A12:F12"/>
    <mergeCell ref="A13:F13"/>
    <mergeCell ref="H16:M16"/>
    <mergeCell ref="A17:M18"/>
    <mergeCell ref="A19:F19"/>
    <mergeCell ref="H19:M19"/>
    <mergeCell ref="H20:M20"/>
    <mergeCell ref="I21:M21"/>
    <mergeCell ref="H27:M27"/>
    <mergeCell ref="H29:M29"/>
    <mergeCell ref="A1:M8"/>
    <mergeCell ref="A9:F9"/>
    <mergeCell ref="G9:G11"/>
    <mergeCell ref="H9:M9"/>
    <mergeCell ref="A10:F11"/>
    <mergeCell ref="H10:M10"/>
    <mergeCell ref="G12:M15"/>
    <mergeCell ref="A14:F15"/>
    <mergeCell ref="A16:F16"/>
    <mergeCell ref="G19:G26"/>
    <mergeCell ref="A20:F20"/>
    <mergeCell ref="B21:F21"/>
    <mergeCell ref="A27:F27"/>
    <mergeCell ref="A29:F29"/>
    <mergeCell ref="B34:F34"/>
    <mergeCell ref="G27:G28"/>
    <mergeCell ref="G29:G34"/>
    <mergeCell ref="I34:M34"/>
    <mergeCell ref="A35:M36"/>
    <mergeCell ref="A37:F37"/>
    <mergeCell ref="B38:F38"/>
    <mergeCell ref="G38:G39"/>
    <mergeCell ref="A42:F43"/>
    <mergeCell ref="A44:F44"/>
    <mergeCell ref="B45:F45"/>
    <mergeCell ref="A51:F51"/>
    <mergeCell ref="A54:F54"/>
    <mergeCell ref="B57:F57"/>
    <mergeCell ref="A58:F59"/>
    <mergeCell ref="B106:F106"/>
    <mergeCell ref="A111:F112"/>
    <mergeCell ref="A113:F113"/>
    <mergeCell ref="A114:F115"/>
    <mergeCell ref="A116:F116"/>
    <mergeCell ref="A117:F117"/>
    <mergeCell ref="B118:F118"/>
  </mergeCells>
  <dataValidations>
    <dataValidation type="decimal" allowBlank="1" showDropDown="1" showInputMessage="1" showErrorMessage="1" prompt="Enter a number between 0 and 30" sqref="F22:F26 M22:M26 F28 M28 F30:F33 M30:M33 F39:F41 M39:M41 F46:F50 F52:F53 F55:F56 F62:F65 F70:F73 F83:F93 F99:F102 F107:F110 M107:M110 F119:F124 M119:M124 F129:F132 F137:F140 F145:F148 F153:F156 M153:M156">
      <formula1>0.0</formula1>
      <formula2>30.0</formula2>
    </dataValidation>
    <dataValidation type="decimal" operator="greaterThan" allowBlank="1" showDropDown="1" showErrorMessage="1" sqref="M11">
      <formula1>0.0</formula1>
    </dataValidation>
  </dataValidations>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397</v>
      </c>
      <c r="B9" s="20"/>
      <c r="C9" s="20"/>
      <c r="D9" s="20"/>
      <c r="E9" s="20"/>
      <c r="F9" s="21"/>
      <c r="G9" s="103"/>
      <c r="H9" s="24" t="s">
        <v>35</v>
      </c>
      <c r="I9" s="25"/>
      <c r="J9" s="25"/>
      <c r="K9" s="25"/>
      <c r="L9" s="25"/>
      <c r="M9" s="26"/>
    </row>
    <row r="10">
      <c r="A10" s="15" t="str">
        <f>HYPERLINK("https://goo.gl/forms/3ibooB993Hi7SS2d2","PRESS TO RECORD BODY WEIGHT")</f>
        <v>PRESS TO RECORD BODY WEIGHT</v>
      </c>
      <c r="B10" s="16"/>
      <c r="C10" s="16"/>
      <c r="D10" s="16"/>
      <c r="E10" s="16"/>
      <c r="F10" s="17"/>
      <c r="G10" s="103"/>
      <c r="H10" s="147" t="s">
        <v>398</v>
      </c>
      <c r="M10" s="28"/>
    </row>
    <row r="11">
      <c r="A11" s="18"/>
      <c r="B11" s="13"/>
      <c r="C11" s="13"/>
      <c r="D11" s="13"/>
      <c r="E11" s="13"/>
      <c r="F11" s="14"/>
      <c r="G11" s="103"/>
      <c r="H11" s="29" t="s">
        <v>399</v>
      </c>
      <c r="I11" s="30"/>
      <c r="J11" s="30"/>
      <c r="K11" s="30"/>
      <c r="L11" s="30"/>
      <c r="M11" s="31"/>
    </row>
    <row r="12">
      <c r="A12" s="19" t="s">
        <v>69</v>
      </c>
      <c r="B12" s="20"/>
      <c r="C12" s="20"/>
      <c r="D12" s="20"/>
      <c r="E12" s="20"/>
      <c r="F12" s="21"/>
      <c r="G12" s="103"/>
      <c r="H12" s="219"/>
      <c r="I12" s="220"/>
      <c r="J12" s="221"/>
      <c r="K12" s="219"/>
      <c r="L12" s="222"/>
      <c r="M12" s="103"/>
    </row>
    <row r="13">
      <c r="A13" s="22" t="s">
        <v>207</v>
      </c>
      <c r="B13" s="20"/>
      <c r="C13" s="20"/>
      <c r="D13" s="20"/>
      <c r="E13" s="20"/>
      <c r="F13" s="21"/>
      <c r="G13" s="103"/>
      <c r="H13" s="103"/>
      <c r="I13" s="103"/>
      <c r="J13" s="103"/>
      <c r="K13" s="103"/>
      <c r="L13" s="222"/>
      <c r="M13" s="103"/>
    </row>
    <row r="14">
      <c r="E14" s="1248"/>
    </row>
    <row r="15">
      <c r="A15" s="51" t="s">
        <v>48</v>
      </c>
      <c r="B15" s="36"/>
      <c r="C15" s="36"/>
      <c r="D15" s="36"/>
      <c r="E15" s="36"/>
      <c r="F15" s="37"/>
      <c r="H15" s="51" t="s">
        <v>48</v>
      </c>
      <c r="I15" s="36"/>
      <c r="J15" s="36"/>
      <c r="K15" s="36"/>
      <c r="L15" s="36"/>
      <c r="M15" s="37"/>
    </row>
    <row r="16">
      <c r="A16" s="93" t="str">
        <f>HYPERLINK("https://youtu.be/iLgUDezDMbU","1. BENCH PRESS")</f>
        <v>1. BENCH PRESS</v>
      </c>
      <c r="B16" s="53"/>
      <c r="C16" s="53"/>
      <c r="D16" s="53"/>
      <c r="E16" s="53"/>
      <c r="F16" s="54"/>
      <c r="H16" s="93" t="str">
        <f>HYPERLINK("https://youtu.be/iLgUDezDMbU","1. DUMBELL INCLINE")</f>
        <v>1. DUMBELL INCLINE</v>
      </c>
      <c r="I16" s="53"/>
      <c r="J16" s="53"/>
      <c r="K16" s="53"/>
      <c r="L16" s="53"/>
      <c r="M16" s="54"/>
    </row>
    <row r="17">
      <c r="A17" s="226" t="s">
        <v>119</v>
      </c>
      <c r="B17" s="691">
        <f>IF('WEEK 44'!B33="",'WEEK 44'!B21,'WEEK 44'!B33)</f>
        <v>265</v>
      </c>
      <c r="C17" s="13"/>
      <c r="D17" s="13"/>
      <c r="E17" s="13"/>
      <c r="F17" s="57"/>
      <c r="H17" s="226" t="s">
        <v>119</v>
      </c>
      <c r="I17" s="691">
        <f>IF('WEEK 45'!B34="",'WEEK 45'!B21,'WEEK 45'!B34)</f>
        <v>95</v>
      </c>
      <c r="J17" s="13"/>
      <c r="K17" s="13"/>
      <c r="L17" s="13"/>
      <c r="M17" s="57"/>
    </row>
    <row r="18">
      <c r="A18" s="96" t="s">
        <v>50</v>
      </c>
      <c r="B18" s="97" t="s">
        <v>51</v>
      </c>
      <c r="C18" s="97" t="s">
        <v>52</v>
      </c>
      <c r="D18" s="97" t="s">
        <v>53</v>
      </c>
      <c r="E18" s="98" t="s">
        <v>54</v>
      </c>
      <c r="F18" s="235" t="s">
        <v>55</v>
      </c>
      <c r="H18" s="96" t="s">
        <v>50</v>
      </c>
      <c r="I18" s="97" t="s">
        <v>51</v>
      </c>
      <c r="J18" s="97" t="s">
        <v>52</v>
      </c>
      <c r="K18" s="97" t="s">
        <v>53</v>
      </c>
      <c r="L18" s="341" t="s">
        <v>54</v>
      </c>
      <c r="M18" s="235" t="s">
        <v>55</v>
      </c>
    </row>
    <row r="19">
      <c r="A19" s="725">
        <v>1.0</v>
      </c>
      <c r="B19" s="344">
        <f>IF( 'WEEK 46'!B17&lt;125,45,mround('WEEK 46'!B17*0.5,5))</f>
        <v>0</v>
      </c>
      <c r="C19" s="1250" t="s">
        <v>65</v>
      </c>
      <c r="D19" s="1251" t="s">
        <v>208</v>
      </c>
      <c r="E19" s="84" t="str">
        <f>IF('WEEK 42'!B19='WEEK 46'!B19,'WEEK 42'!F19,"")</f>
        <v/>
      </c>
      <c r="F19" s="85"/>
      <c r="H19" s="342">
        <v>1.0</v>
      </c>
      <c r="I19" s="344">
        <f>mround('WEEK 46'!I17*0.5,5)</f>
        <v>0</v>
      </c>
      <c r="J19" s="1250" t="s">
        <v>65</v>
      </c>
      <c r="K19" s="343" t="s">
        <v>57</v>
      </c>
      <c r="L19" s="84" t="str">
        <f>IF('WEEK 42'!I19='WEEK 46'!I19,'WEEK 42'!M19,"")</f>
        <v/>
      </c>
      <c r="M19" s="85"/>
    </row>
    <row r="20">
      <c r="A20" s="342">
        <v>2.0</v>
      </c>
      <c r="B20" s="344">
        <f>IF( 'WEEK 46'!B17&lt;125,45,mround('WEEK 46'!B17*0.5,5))</f>
        <v>0</v>
      </c>
      <c r="C20" s="1250" t="s">
        <v>65</v>
      </c>
      <c r="D20" s="1251" t="s">
        <v>208</v>
      </c>
      <c r="E20" s="84" t="str">
        <f>IF('WEEK 42'!B20='WEEK 46'!B20,'WEEK 42'!F20,"")</f>
        <v/>
      </c>
      <c r="F20" s="85"/>
      <c r="H20" s="725">
        <f>IF(OR(ISBLANK('WEEK 46'!M19)),"",IF('WEEK 46'!M19&lt;10,"MOVE",2))</f>
        <v>2</v>
      </c>
      <c r="I20" s="344">
        <f>IF(OR(ISBLANK('WEEK 46'!M19)),"",IF('WEEK 46'!M19&lt;10,"TO",mround('WEEK 46'!I17*0.5,5)))</f>
        <v>0</v>
      </c>
      <c r="J20" s="1250" t="str">
        <f>IF(OR(ISBLANK('WEEK 46'!M19)),"",IF('WEEK 46'!M19&lt;10,"#","REP OUT"))</f>
        <v>REP OUT</v>
      </c>
      <c r="K20" s="343" t="str">
        <f>IF(OR(ISBLANK('WEEK 46'!M19)),"",IF('WEEK 46'!M19&lt;10,"2","1 MIN"))</f>
        <v>1 MIN</v>
      </c>
      <c r="L20" s="84" t="str">
        <f>IF('WEEK 42'!I20='WEEK 46'!I20,'WEEK 42'!M20,"")</f>
        <v/>
      </c>
      <c r="M20" s="85"/>
    </row>
    <row r="21">
      <c r="A21" s="735">
        <v>3.0</v>
      </c>
      <c r="B21" s="1252">
        <f>IF( 'WEEK 46'!B17&lt;125,45,mround('WEEK 46'!B17*0.5,5))</f>
        <v>0</v>
      </c>
      <c r="C21" s="1253" t="s">
        <v>65</v>
      </c>
      <c r="D21" s="1254" t="s">
        <v>208</v>
      </c>
      <c r="E21" s="84" t="str">
        <f>IF('WEEK 42'!B21='WEEK 46'!B21,'WEEK 42'!F21,"")</f>
        <v/>
      </c>
      <c r="F21" s="330"/>
      <c r="H21" s="725" t="str">
        <f>IF(OR(ISBLANK('WEEK 46'!M19),ISBLANK('WEEK 46'!M20)),"",IF('WEEK 46'!M20&lt;10,"MOVE",3))</f>
        <v/>
      </c>
      <c r="I21" s="344" t="str">
        <f>IF(OR(ISBLANK('WEEK 46'!M19),ISBLANK('WEEK 46'!M20)),"",IF('WEEK 46'!M20&lt;10,"TO",mround('WEEK 46'!I17*0.5,5)))</f>
        <v/>
      </c>
      <c r="J21" s="1250" t="str">
        <f>IF(OR(ISBLANK('WEEK 46'!M19),ISBLANK('WEEK 46'!M20)),"",IF('WEEK 46'!M20&lt;10,"#","REP OUT"))</f>
        <v/>
      </c>
      <c r="K21" s="343" t="str">
        <f>IF(OR(ISBLANK('WEEK 46'!M19),ISBLANK('WEEK 46'!M20)),"",IF('WEEK 46'!M20&lt;10,"2","1 MIN"))</f>
        <v/>
      </c>
      <c r="L21" s="84" t="str">
        <f>IF('WEEK 42'!I21='WEEK 46'!I21,'WEEK 42'!M21,"")</f>
        <v/>
      </c>
      <c r="M21" s="85"/>
    </row>
    <row r="22">
      <c r="A22" s="1471"/>
      <c r="B22" s="1471"/>
      <c r="C22" s="1471"/>
      <c r="D22" s="1471"/>
      <c r="E22" s="1492"/>
      <c r="F22" s="1471"/>
      <c r="H22" s="725" t="str">
        <f>IF(OR(ISBLANK('WEEK 46'!M19),ISBLANK('WEEK 46'!M20),ISBLANK('WEEK 46'!M21)),"",IF('WEEK 46'!M21&lt;10,"MOVE",4))</f>
        <v/>
      </c>
      <c r="I22" s="344" t="str">
        <f>IF(OR(ISBLANK('WEEK 46'!M19),ISBLANK('WEEK 46'!M20),ISBLANK('WEEK 46'!M21)),"",IF('WEEK 46'!M21&gt;=1&lt;10,"TO",mround('WEEK 46'!I17*0.5,5)))</f>
        <v/>
      </c>
      <c r="J22" s="1250" t="str">
        <f>IF(OR(ISBLANK('WEEK 46'!M19),ISBLANK('WEEK 46'!M20),ISBLANK('WEEK 46'!M21)),"",IF('WEEK 46'!M21&lt;10,"#","REP OUT"))</f>
        <v/>
      </c>
      <c r="K22" s="343" t="str">
        <f>IF(OR(ISBLANK('WEEK 46'!M19),ISBLANK('WEEK 46'!M20),ISBLANK('WEEK 46'!M21)),"",IF('WEEK 46'!M21&lt;10,"2","1 MIN"))</f>
        <v/>
      </c>
      <c r="L22" s="84" t="str">
        <f>IF('WEEK 42'!I22='WEEK 46'!I22,'WEEK 42'!M22,"")</f>
        <v/>
      </c>
      <c r="M22" s="85"/>
    </row>
    <row r="23">
      <c r="A23" s="1493"/>
      <c r="B23" s="1493"/>
      <c r="C23" s="1493"/>
      <c r="D23" s="1493"/>
      <c r="E23" s="1494"/>
      <c r="F23" s="1493"/>
      <c r="H23" s="725" t="str">
        <f>IF(OR(ISBLANK('WEEK 46'!M19),ISBLANK('WEEK 46'!M20),ISBLANK('WEEK 46'!M21),ISBLANK('WEEK 46'!M22)),"",IF('WEEK 46'!M22&lt;10,"MOVE",5))</f>
        <v/>
      </c>
      <c r="I23" s="344" t="str">
        <f>IF(OR(ISBLANK('WEEK 46'!M19),ISBLANK('WEEK 46'!M20),ISBLANK('WEEK 46'!M21),ISBLANK('WEEK 46'!M22)),"",IF('WEEK 46'!M22&lt;10,"TO",mround('WEEK 46'!I17*0.5,5)))</f>
        <v/>
      </c>
      <c r="J23" s="1250" t="str">
        <f>IF(OR(ISBLANK('WEEK 46'!M19),ISBLANK('WEEK 46'!M20),ISBLANK('WEEK 46'!M21),ISBLANK('WEEK 46'!M22)),"",IF('WEEK 46'!M22&lt;10,"#","REP OUT"))</f>
        <v/>
      </c>
      <c r="K23" s="343" t="str">
        <f>IF(OR(ISBLANK('WEEK 46'!M19),ISBLANK('WEEK 46'!M20),ISBLANK('WEEK 46'!M21),ISBLANK('WEEK 46'!M22)),"",IF('WEEK 46'!M22&lt;10,"2","1 MIN"))</f>
        <v/>
      </c>
      <c r="L23" s="84" t="str">
        <f>IF('WEEK 42'!I23='WEEK 46'!I23,'WEEK 42'!M23,"")</f>
        <v/>
      </c>
      <c r="M23" s="85"/>
    </row>
    <row r="24">
      <c r="A24" s="1493"/>
      <c r="B24" s="1493"/>
      <c r="C24" s="1493"/>
      <c r="D24" s="1493"/>
      <c r="E24" s="1494"/>
      <c r="F24" s="1493"/>
      <c r="H24" s="753" t="str">
        <f>IF(OR(ISBLANK('WEEK 46'!M19),ISBLANK('WEEK 46'!M20),ISBLANK('WEEK 46'!M21),ISBLANK('WEEK 46'!M22),ISBLANK('WEEK 46'!M23)),"",IF('WEEK 46'!M23&lt;10,"MOVE",6))</f>
        <v/>
      </c>
      <c r="I24" s="754" t="str">
        <f>IF(OR(ISBLANK('WEEK 46'!M19),ISBLANK('WEEK 46'!M20),ISBLANK('WEEK 46'!M21),ISBLANK('WEEK 46'!M22),ISBLANK('WEEK 46'!M23)),"",IF('WEEK 46'!M23&lt;10,"TO",mround('WEEK 46'!I17*0.5,5)))</f>
        <v/>
      </c>
      <c r="J24" s="1282" t="str">
        <f>IF(OR(ISBLANK('WEEK 46'!M19),ISBLANK('WEEK 46'!M20),ISBLANK('WEEK 46'!M21),ISBLANK('WEEK 46'!M22),ISBLANK('WEEK 46'!M23)),"",IF('WEEK 46'!M23&lt;10,"#","REP OUT"))</f>
        <v/>
      </c>
      <c r="K24" s="486" t="str">
        <f>IF(OR(ISBLANK('WEEK 46'!M19),ISBLANK('WEEK 46'!M20),ISBLANK('WEEK 46'!M21),ISBLANK('WEEK 46'!M22),ISBLANK('WEEK 46'!M23)),"",IF('WEEK 46'!M23&lt;10,"2","1 MIN"))</f>
        <v/>
      </c>
      <c r="L24" s="89" t="str">
        <f>IF('WEEK 42'!I24='WEEK 46'!I24,'WEEK 42'!M24,"")</f>
        <v/>
      </c>
      <c r="M24" s="85"/>
    </row>
    <row r="27">
      <c r="A27" s="73" t="str">
        <f>HYPERLINK("https://youtu.be/9YH1YvZbiY0","3. MACHINE LOW ROW ")</f>
        <v>3. MACHINE LOW ROW </v>
      </c>
      <c r="B27" s="53"/>
      <c r="C27" s="53"/>
      <c r="D27" s="53"/>
      <c r="E27" s="53"/>
      <c r="F27" s="54"/>
    </row>
    <row r="28">
      <c r="A28" s="226" t="s">
        <v>119</v>
      </c>
      <c r="B28" s="227" t="str">
        <f>'WEEK 45'!B61</f>
        <v/>
      </c>
      <c r="C28" s="20"/>
      <c r="D28" s="20"/>
      <c r="E28" s="20"/>
      <c r="F28" s="95"/>
    </row>
    <row r="29">
      <c r="A29" s="231" t="s">
        <v>50</v>
      </c>
      <c r="B29" s="232" t="s">
        <v>51</v>
      </c>
      <c r="C29" s="232" t="s">
        <v>52</v>
      </c>
      <c r="D29" s="232" t="s">
        <v>53</v>
      </c>
      <c r="E29" s="233" t="s">
        <v>54</v>
      </c>
      <c r="F29" s="61" t="s">
        <v>55</v>
      </c>
    </row>
    <row r="30">
      <c r="A30" s="236">
        <v>1.0</v>
      </c>
      <c r="B30" s="237">
        <f>mround('WEEK 46'!B28*0.35,5)</f>
        <v>95</v>
      </c>
      <c r="C30" s="237">
        <v>6.0</v>
      </c>
      <c r="D30" s="238" t="s">
        <v>120</v>
      </c>
      <c r="E30" s="84" t="str">
        <f>IF('WEEK 46'!B30='WEEK 38'!B47,'WEEK 38'!F47,"")</f>
        <v/>
      </c>
      <c r="F30" s="67"/>
    </row>
    <row r="31">
      <c r="A31" s="236">
        <v>2.0</v>
      </c>
      <c r="B31" s="237">
        <f>mround('WEEK 46'!B28*0.65,5)</f>
        <v>175</v>
      </c>
      <c r="C31" s="238">
        <v>3.0</v>
      </c>
      <c r="D31" s="238" t="s">
        <v>121</v>
      </c>
      <c r="E31" s="84" t="str">
        <f>IF('WEEK 46'!B31='WEEK 38'!B48,'WEEK 38'!F48,"")</f>
        <v/>
      </c>
      <c r="F31" s="67"/>
    </row>
    <row r="32">
      <c r="A32" s="242">
        <v>3.0</v>
      </c>
      <c r="B32" s="237">
        <f>mround('WEEK 46'!B28*0.9,5)</f>
        <v>245</v>
      </c>
      <c r="C32" s="63">
        <v>2.0</v>
      </c>
      <c r="D32" s="238" t="s">
        <v>121</v>
      </c>
      <c r="E32" s="84" t="str">
        <f>IF('WEEK 46'!B32='WEEK 38'!B49,'WEEK 38'!F49,"")</f>
        <v/>
      </c>
      <c r="F32" s="67"/>
    </row>
    <row r="33">
      <c r="A33" s="243">
        <v>4.0</v>
      </c>
      <c r="B33" s="237">
        <f>'WEEK 46'!B28</f>
        <v>270</v>
      </c>
      <c r="C33" s="257">
        <v>3.0</v>
      </c>
      <c r="D33" s="238" t="s">
        <v>122</v>
      </c>
      <c r="E33" s="84" t="str">
        <f>IF('WEEK 46'!B33='WEEK 38'!B50,'WEEK 38'!F50,"")</f>
        <v/>
      </c>
      <c r="F33" s="67"/>
    </row>
    <row r="34">
      <c r="A34" s="246" t="str">
        <f>IF('WEEK 46'!F33&lt;3,"PROCEED TO DOWN SETS","NEW 4 REP MAX ATTEMPT")</f>
        <v>PROCEED TO DOWN SETS</v>
      </c>
      <c r="B34" s="20"/>
      <c r="C34" s="20"/>
      <c r="D34" s="20"/>
      <c r="E34" s="20"/>
      <c r="F34" s="95"/>
    </row>
    <row r="35">
      <c r="A35" s="249" t="str">
        <f>if('WEEK 46'!F33&lt;=2,"",5)</f>
        <v/>
      </c>
      <c r="B35" s="175" t="str">
        <f>IF('WEEK 46'!F33&lt;=2,"",'WEEK 46'!B33+5)</f>
        <v/>
      </c>
      <c r="C35" s="238" t="str">
        <f>if('WEEK 46'!F33&lt;=2,"",4)</f>
        <v/>
      </c>
      <c r="D35" s="238" t="str">
        <f>if('WEEK 46'!F33&lt;=2,"","1-5 MIN")</f>
        <v/>
      </c>
      <c r="E35" s="84" t="str">
        <f>IF('WEEK 46'!B35='WEEK 38'!B52,'WEEK 38'!F52,"")</f>
        <v/>
      </c>
      <c r="F35" s="67"/>
    </row>
    <row r="36">
      <c r="A36" s="259" t="str">
        <f>IF('WEEK 46'!F35&lt;4,"","6")</f>
        <v/>
      </c>
      <c r="B36" s="237" t="str">
        <f>IF('WEEK 46'!F35&lt;4,"",'WEEK 46'!B35+5)</f>
        <v/>
      </c>
      <c r="C36" s="257" t="str">
        <f>IF('WEEK 46'!F35&lt;4,"","4")</f>
        <v/>
      </c>
      <c r="D36" s="257" t="str">
        <f>IF('WEEK 46'!F35&lt;4,"","1-5 MIN")</f>
        <v/>
      </c>
      <c r="E36" s="84" t="str">
        <f>IF('WEEK 46'!B36='WEEK 38'!B53,'WEEK 38'!F53,"")</f>
        <v/>
      </c>
      <c r="F36" s="67"/>
    </row>
    <row r="37">
      <c r="A37" s="246" t="s">
        <v>133</v>
      </c>
      <c r="B37" s="20"/>
      <c r="C37" s="20"/>
      <c r="D37" s="20"/>
      <c r="E37" s="20"/>
      <c r="F37" s="95"/>
    </row>
    <row r="38">
      <c r="A38" s="264" t="str">
        <f>IF(OR(ISBLANK('WEEK 46'!F33),ISBLANK('WEEK 46'!F32),ISBLANK('WEEK 46'!F31)),"",IF((AND('WEEK 46'!A35="",'WEEK 46'!A36="")),5,IF((AND('WEEK 46'!A35&gt;1,'WEEK 46'!A36="")),6,7)))</f>
        <v/>
      </c>
      <c r="B38" s="265">
        <f>MROUND('WEEK 46'!B40*0.8,5)</f>
        <v>0</v>
      </c>
      <c r="C38" s="266" t="s">
        <v>65</v>
      </c>
      <c r="D38" s="267" t="s">
        <v>127</v>
      </c>
      <c r="E38" s="84" t="str">
        <f>IF('WEEK 46'!B38='WEEK 38'!B55,'WEEK 38'!F55,"")</f>
        <v/>
      </c>
      <c r="F38" s="67"/>
    </row>
    <row r="39">
      <c r="A39" s="243" t="str">
        <f>IF(OR(ISBLANK('WEEK 46'!F33),ISBLANK('WEEK 46'!F32),ISBLANK('WEEK 46'!F31)),"",IF((AND('WEEK 46'!A35="",'WEEK 46'!A36="")),6,IF((AND('WEEK 46'!A35&gt;1,'WEEK 46'!A36="")),7,8)))</f>
        <v/>
      </c>
      <c r="B39" s="237">
        <f>mround('WEEK 46'!B40*0.7,5)</f>
        <v>0</v>
      </c>
      <c r="C39" s="245" t="s">
        <v>65</v>
      </c>
      <c r="D39" s="65" t="s">
        <v>127</v>
      </c>
      <c r="E39" s="84" t="str">
        <f>IF('WEEK 46'!B39='WEEK 38'!B56,'WEEK 38'!F56,"")</f>
        <v/>
      </c>
      <c r="F39" s="271"/>
    </row>
    <row r="40">
      <c r="A40" s="272" t="s">
        <v>124</v>
      </c>
      <c r="B40" s="273" t="str">
        <f>IF(OR(ISBLANK('WEEK 46'!F33),ISBLANK('WEEK 46'!F32),ISBLANK('WEEK 46'!F31)),"",IF('WEEK 46'!F36&gt;=4,'WEEK 46'!B36,IF('WEEK 46'!F35&gt;=1,'WEEK 46'!B35,IF('WEEK 46'!F33&lt;3,'WEEK 46'!B33-5,'WEEK 46'!B33))))</f>
        <v/>
      </c>
      <c r="C40" s="11"/>
      <c r="D40" s="11"/>
      <c r="E40" s="11"/>
      <c r="F40" s="46"/>
    </row>
    <row r="41">
      <c r="A41" s="292"/>
      <c r="B41" s="292"/>
      <c r="C41" s="292"/>
      <c r="D41" s="292"/>
      <c r="E41" s="292"/>
      <c r="F41" s="292"/>
    </row>
    <row r="42">
      <c r="A42" s="73" t="str">
        <f>HYPERLINK("https://youtu.be/hMUUvL3FlkE","4. MACHINE HIGH ROW")</f>
        <v>4. MACHINE HIGH ROW</v>
      </c>
      <c r="B42" s="53"/>
      <c r="C42" s="53"/>
      <c r="D42" s="53"/>
      <c r="E42" s="53"/>
      <c r="F42" s="54"/>
    </row>
    <row r="43">
      <c r="A43" s="282" t="s">
        <v>119</v>
      </c>
      <c r="B43" s="56">
        <f>'WEEK 45'!B69</f>
        <v>220</v>
      </c>
      <c r="C43" s="13"/>
      <c r="D43" s="13"/>
      <c r="E43" s="13"/>
      <c r="F43" s="57"/>
    </row>
    <row r="44">
      <c r="A44" s="58" t="s">
        <v>50</v>
      </c>
      <c r="B44" s="59" t="s">
        <v>51</v>
      </c>
      <c r="C44" s="59" t="s">
        <v>52</v>
      </c>
      <c r="D44" s="59" t="s">
        <v>53</v>
      </c>
      <c r="E44" s="60" t="s">
        <v>54</v>
      </c>
      <c r="F44" s="61" t="s">
        <v>55</v>
      </c>
    </row>
    <row r="45">
      <c r="A45" s="62">
        <v>1.0</v>
      </c>
      <c r="B45" s="63">
        <f>MROUND('WEEK 46'!B43*0.85,5)</f>
        <v>0</v>
      </c>
      <c r="C45" s="104" t="s">
        <v>65</v>
      </c>
      <c r="D45" s="65" t="s">
        <v>127</v>
      </c>
      <c r="E45" s="84" t="str">
        <f>IF('WEEK 46'!B45='WEEK 38'!B62,'WEEK 38'!F62,"")</f>
        <v/>
      </c>
      <c r="F45" s="67"/>
    </row>
    <row r="46">
      <c r="A46" s="62">
        <v>2.0</v>
      </c>
      <c r="B46" s="63">
        <f>IF('WEEK 46'!F45&lt;6,MROUND('WEEK 46'!B43*0.75,5),IF('WEEK 46'!F45&lt;=10,MROUND('WEEK 46'!B43*0.85,5),'WEEK 46'!B45))</f>
        <v>0</v>
      </c>
      <c r="C46" s="104" t="s">
        <v>65</v>
      </c>
      <c r="D46" s="65" t="s">
        <v>127</v>
      </c>
      <c r="E46" s="84" t="str">
        <f>IF('WEEK 46'!B46='WEEK 38'!B63,'WEEK 38'!F63,"")</f>
        <v/>
      </c>
      <c r="F46" s="67"/>
    </row>
    <row r="47">
      <c r="A47" s="68">
        <v>3.0</v>
      </c>
      <c r="B47" s="69">
        <f>IF('WEEK 46'!F46&lt;6,MROUND('WEEK 46'!B43*0.75,5),IF('WEEK 46'!F46&lt;=10,MROUND('WEEK 46'!B43*0.85,5),'WEEK 46'!B46))</f>
        <v>0</v>
      </c>
      <c r="C47" s="105" t="s">
        <v>65</v>
      </c>
      <c r="D47" s="71" t="s">
        <v>127</v>
      </c>
      <c r="E47" s="89" t="str">
        <f>IF('WEEK 46'!B47='WEEK 38'!B64,'WEEK 38'!F64,"")</f>
        <v/>
      </c>
      <c r="F47" s="67"/>
    </row>
    <row r="48">
      <c r="A48" s="657"/>
    </row>
    <row r="50">
      <c r="A50" s="440" t="str">
        <f>HYPERLINK("https://www.youtube.com/watch?v=PnaDzYh2axA","5. LAT PULL DOWN")</f>
        <v>5. LAT PULL DOWN</v>
      </c>
      <c r="B50" s="53"/>
      <c r="C50" s="53"/>
      <c r="D50" s="53"/>
      <c r="E50" s="53"/>
      <c r="F50" s="54"/>
    </row>
    <row r="51">
      <c r="A51" s="282" t="s">
        <v>119</v>
      </c>
      <c r="B51" s="56">
        <f>IF('WEEK 45'!B57="",'WEEK 45'!B45,'WEEK 45'!B57)</f>
        <v>240</v>
      </c>
      <c r="C51" s="13"/>
      <c r="D51" s="13"/>
      <c r="E51" s="13"/>
      <c r="F51" s="57"/>
    </row>
    <row r="52">
      <c r="A52" s="58" t="s">
        <v>50</v>
      </c>
      <c r="B52" s="59" t="s">
        <v>51</v>
      </c>
      <c r="C52" s="59" t="s">
        <v>52</v>
      </c>
      <c r="D52" s="59" t="s">
        <v>53</v>
      </c>
      <c r="E52" s="60" t="s">
        <v>54</v>
      </c>
      <c r="F52" s="61" t="s">
        <v>55</v>
      </c>
    </row>
    <row r="53">
      <c r="A53" s="62">
        <v>1.0</v>
      </c>
      <c r="B53" s="63">
        <f>MROUND('WEEK 46'!B51*0.8,5)</f>
        <v>0</v>
      </c>
      <c r="C53" s="104" t="s">
        <v>65</v>
      </c>
      <c r="D53" s="65" t="s">
        <v>127</v>
      </c>
      <c r="E53" s="84" t="str">
        <f>IF('WEEK 46'!B53='WEEK 38'!B70,'WEEK 38'!F70,"")</f>
        <v/>
      </c>
      <c r="F53" s="67"/>
    </row>
    <row r="54">
      <c r="A54" s="62">
        <v>2.0</v>
      </c>
      <c r="B54" s="663">
        <f>IF('WEEK 46'!F53&lt;6,MROUND('WEEK 46'!B53*0.85,5),IF('WEEK 46'!F53&lt;=10,MROUND('WEEK 46'!B53*0.95,5),'WEEK 46'!B53))</f>
        <v>0</v>
      </c>
      <c r="C54" s="104" t="s">
        <v>65</v>
      </c>
      <c r="D54" s="65" t="s">
        <v>127</v>
      </c>
      <c r="E54" s="84" t="str">
        <f>IF('WEEK 46'!B54='WEEK 38'!B71,'WEEK 38'!F71,"")</f>
        <v/>
      </c>
      <c r="F54" s="67"/>
    </row>
    <row r="55">
      <c r="A55" s="325">
        <v>3.0</v>
      </c>
      <c r="B55" s="663">
        <f>IF('WEEK 46'!F54&lt;6,MROUND('WEEK 46'!B54*0.85,5),IF('WEEK 46'!F54&lt;=10,MROUND('WEEK 46'!B54*0.95,5),'WEEK 46'!B54))</f>
        <v>0</v>
      </c>
      <c r="C55" s="327" t="s">
        <v>65</v>
      </c>
      <c r="D55" s="65" t="s">
        <v>127</v>
      </c>
      <c r="E55" s="84" t="str">
        <f>IF('WEEK 46'!B55='WEEK 38'!B72,'WEEK 38'!F72,"")</f>
        <v/>
      </c>
      <c r="F55" s="665"/>
    </row>
    <row r="56">
      <c r="A56" s="580"/>
      <c r="B56" s="666"/>
      <c r="C56" s="667"/>
      <c r="D56" s="666"/>
      <c r="E56" s="668"/>
      <c r="F56" s="666"/>
    </row>
    <row r="57">
      <c r="A57" s="581" t="str">
        <f>HYPERLINK("https://docs.google.com/a/fitnessresults.com/forms/d/e/1FAIpQLSd7MoczESe8Yjv6BKpmwAZGn9Aiymrs9-UdgfYIUpbr9t5NXg/viewform?usp=pp_url&amp;entry.93370101","CLICK TO COMPLETE WORKOUT")</f>
        <v>CLICK TO COMPLETE WORKOUT</v>
      </c>
      <c r="B57" s="25"/>
      <c r="C57" s="25"/>
      <c r="D57" s="25"/>
      <c r="E57" s="25"/>
      <c r="F57" s="26"/>
    </row>
    <row r="58">
      <c r="A58" s="336"/>
      <c r="B58" s="11"/>
      <c r="C58" s="11"/>
      <c r="D58" s="11"/>
      <c r="E58" s="11"/>
      <c r="F58" s="46"/>
    </row>
    <row r="59">
      <c r="A59" s="582"/>
      <c r="B59" s="582"/>
      <c r="C59" s="582"/>
      <c r="D59" s="582"/>
      <c r="E59" s="582"/>
      <c r="F59" s="582"/>
    </row>
    <row r="60">
      <c r="A60" s="669" t="s">
        <v>128</v>
      </c>
      <c r="B60" s="11"/>
      <c r="C60" s="11"/>
      <c r="D60" s="11"/>
      <c r="E60" s="11"/>
      <c r="F60" s="46"/>
    </row>
    <row r="62">
      <c r="A62" s="1355" t="str">
        <f>HYPERLINK("https://www.youtube.com/watch?v=5UOeRbRoFOI","1. MACHINE SQUAT")</f>
        <v>1. MACHINE SQUAT</v>
      </c>
      <c r="B62" s="53"/>
      <c r="C62" s="53"/>
      <c r="D62" s="53"/>
      <c r="E62" s="53"/>
      <c r="F62" s="54"/>
    </row>
    <row r="63">
      <c r="A63" s="1262" t="s">
        <v>192</v>
      </c>
      <c r="B63" s="1035">
        <f>'WEEK 40'!B66</f>
        <v>35</v>
      </c>
      <c r="C63" s="13"/>
      <c r="D63" s="13"/>
      <c r="E63" s="13"/>
      <c r="F63" s="57"/>
    </row>
    <row r="64">
      <c r="A64" s="231" t="s">
        <v>50</v>
      </c>
      <c r="B64" s="232" t="s">
        <v>51</v>
      </c>
      <c r="C64" s="232" t="s">
        <v>52</v>
      </c>
      <c r="D64" s="232" t="s">
        <v>53</v>
      </c>
      <c r="E64" s="233" t="s">
        <v>54</v>
      </c>
      <c r="F64" s="61" t="s">
        <v>55</v>
      </c>
    </row>
    <row r="65">
      <c r="A65" s="236">
        <v>1.0</v>
      </c>
      <c r="B65" s="237">
        <f>mround('WEEK 46'!B63*0.35,5)</f>
        <v>35</v>
      </c>
      <c r="C65" s="238">
        <v>10.0</v>
      </c>
      <c r="D65" s="238" t="s">
        <v>120</v>
      </c>
      <c r="E65" s="66" t="str">
        <f>IF('WEEK 46'!B65='WEEK 40'!B68,'WEEK 40'!F68,"")</f>
        <v/>
      </c>
      <c r="F65" s="67"/>
    </row>
    <row r="66">
      <c r="A66" s="236">
        <v>2.0</v>
      </c>
      <c r="B66" s="237">
        <f>mround('WEEK 46'!B63*0.65,5)</f>
        <v>65</v>
      </c>
      <c r="C66" s="238">
        <v>10.0</v>
      </c>
      <c r="D66" s="238" t="s">
        <v>121</v>
      </c>
      <c r="E66" s="66" t="str">
        <f>IF('WEEK 46'!B66='WEEK 40'!B69,'WEEK 40'!F69,"")</f>
        <v/>
      </c>
      <c r="F66" s="67"/>
    </row>
    <row r="67">
      <c r="A67" s="242">
        <v>3.0</v>
      </c>
      <c r="B67" s="237">
        <f>mround('WEEK 46'!B63*0.9,5)</f>
        <v>90</v>
      </c>
      <c r="C67" s="238">
        <v>10.0</v>
      </c>
      <c r="D67" s="238" t="s">
        <v>121</v>
      </c>
      <c r="E67" s="66" t="str">
        <f>IF('WEEK 46'!B67='WEEK 40'!B70,'WEEK 40'!F70,"")</f>
        <v/>
      </c>
      <c r="F67" s="67"/>
    </row>
    <row r="68">
      <c r="A68" s="249">
        <v>4.0</v>
      </c>
      <c r="B68" s="175">
        <f>if('WEEK 46'!F67&lt;10,MROUND('WEEK 46'!B67-('WEEK 46'!B67*20%),5),'WEEK 46'!B63)</f>
        <v>70</v>
      </c>
      <c r="C68" s="238">
        <v>10.0</v>
      </c>
      <c r="D68" s="238" t="s">
        <v>122</v>
      </c>
      <c r="E68" s="66" t="str">
        <f>IF('WEEK 46'!B68='WEEK 40'!B71,'WEEK 40'!F71,"")</f>
        <v/>
      </c>
      <c r="F68" s="67"/>
    </row>
    <row r="69">
      <c r="A69" s="249">
        <v>5.0</v>
      </c>
      <c r="B69" s="175">
        <f>IF((AND('WEEK 46'!B68&lt;='WEEK 46'!B67,'WEEK 46'!F68&gt;=10)),'WEEK 46'!B68,IF('WEEK 46'!F68&lt;10,MROUND('WEEK 46'!B68-('WEEK 46'!B68*20%),5),if( 'WEEK 46'!F68&lt;10,MROUND('WEEK 46'!B68-('WEEK 46'!B68*10%),5),MROUND('WEEK 46'!B68+('WEEK 46'!B68*10%),5))))</f>
        <v>55</v>
      </c>
      <c r="C69" s="238">
        <v>10.0</v>
      </c>
      <c r="D69" s="238" t="s">
        <v>122</v>
      </c>
      <c r="E69" s="66" t="str">
        <f>IF('WEEK 46'!B69='WEEK 40'!B72,'WEEK 40'!F72,"")</f>
        <v/>
      </c>
      <c r="F69" s="1037"/>
    </row>
    <row r="70">
      <c r="A70" s="249">
        <f>if('WEEK 46'!F68&lt;10,6,6)</f>
        <v>6</v>
      </c>
      <c r="B70" s="175">
        <f>IF((AND('WEEK 46'!B69&lt;='WEEK 46'!B68,'WEEK 46'!F69&gt;=10)),'WEEK 46'!B69,IF('WEEK 46'!F69&lt;10,MROUND('WEEK 46'!B69-('WEEK 46'!B69*20%),5),if( 'WEEK 46'!F69&lt;10,MROUND('WEEK 46'!B69-('WEEK 46'!B69*10%),5),MROUND('WEEK 46'!B69+('WEEK 46'!B69*10%),5))))</f>
        <v>45</v>
      </c>
      <c r="C70" s="238">
        <v>10.0</v>
      </c>
      <c r="D70" s="238" t="s">
        <v>122</v>
      </c>
      <c r="E70" s="66" t="str">
        <f>IF('WEEK 46'!B70='WEEK 40'!B73,'WEEK 40'!F73,"")</f>
        <v/>
      </c>
      <c r="F70" s="67"/>
    </row>
    <row r="71">
      <c r="A71" s="1038">
        <f>IF('WEEK 46'!F70&lt;10,7,"7")</f>
        <v>7</v>
      </c>
      <c r="B71" s="175">
        <f>IF((AND('WEEK 46'!B70&lt;='WEEK 46'!B69,'WEEK 46'!F70&gt;=10)),'WEEK 46'!B70,IF('WEEK 46'!F70&lt;10,MROUND('WEEK 46'!B70-('WEEK 46'!B70*20%),5),if( 'WEEK 46'!F70&lt;10,MROUND('WEEK 46'!B70-('WEEK 46'!B70*10%),5),MROUND('WEEK 46'!B70+('WEEK 46'!B70*10%),5))))</f>
        <v>35</v>
      </c>
      <c r="C71" s="238">
        <v>10.0</v>
      </c>
      <c r="D71" s="238" t="s">
        <v>122</v>
      </c>
      <c r="E71" s="66" t="str">
        <f>IF('WEEK 46'!B71='WEEK 40'!B74,'WEEK 40'!F74,"")</f>
        <v/>
      </c>
      <c r="F71" s="67"/>
    </row>
    <row r="72">
      <c r="A72" s="249">
        <f>IF('WEEK 46'!F71&lt;10,8,"8")</f>
        <v>8</v>
      </c>
      <c r="B72" s="175">
        <f>IF((AND('WEEK 46'!B71&lt;='WEEK 46'!B70,'WEEK 46'!F71&gt;=10)),'WEEK 46'!B71,IF('WEEK 46'!F71&lt;10,MROUND('WEEK 46'!B71-('WEEK 46'!B71*20%),5),if( 'WEEK 46'!F71&lt;10,MROUND('WEEK 46'!B71-('WEEK 46'!B71*10%),5),MROUND('WEEK 46'!B71+('WEEK 46'!B71*10%),5))))</f>
        <v>30</v>
      </c>
      <c r="C72" s="238">
        <v>10.0</v>
      </c>
      <c r="D72" s="238" t="s">
        <v>122</v>
      </c>
      <c r="E72" s="66" t="str">
        <f>IF('WEEK 46'!B72='WEEK 40'!B75,'WEEK 40'!F75,"")</f>
        <v/>
      </c>
      <c r="F72" s="67"/>
    </row>
    <row r="73">
      <c r="A73" s="1038">
        <f>IF('WEEK 46'!F72&lt;10,9,"9")</f>
        <v>9</v>
      </c>
      <c r="B73" s="175">
        <f>IF((AND('WEEK 46'!B72&lt;='WEEK 46'!B71,'WEEK 46'!F72&gt;=10)),'WEEK 46'!B72,IF('WEEK 46'!F72&lt;10,MROUND('WEEK 46'!B72-('WEEK 46'!B72*20%),5),if( 'WEEK 46'!F72&lt;10,MROUND('WEEK 46'!B72-('WEEK 46'!B72*10%),5),MROUND('WEEK 46'!B72+('WEEK 46'!B72*10%),5))))</f>
        <v>25</v>
      </c>
      <c r="C73" s="238">
        <v>10.0</v>
      </c>
      <c r="D73" s="238" t="s">
        <v>122</v>
      </c>
      <c r="E73" s="66" t="str">
        <f>IF('WEEK 46'!B73='WEEK 40'!B76,'WEEK 40'!F76,"")</f>
        <v/>
      </c>
      <c r="F73" s="67"/>
    </row>
    <row r="74">
      <c r="A74" s="1038" t="str">
        <f>IF('WEEK 46'!F73&lt;10,"10","10")</f>
        <v>10</v>
      </c>
      <c r="B74" s="175">
        <f>IF((AND('WEEK 46'!B73&lt;='WEEK 46'!B72,'WEEK 46'!F73&gt;=10)),'WEEK 46'!B73,IF('WEEK 46'!F73&lt;10,MROUND('WEEK 46'!B73-('WEEK 46'!B73*20%),5),if( 'WEEK 46'!F73&lt;10,MROUND('WEEK 46'!B73-('WEEK 46'!B73*10%),5),MROUND('WEEK 46'!B73+('WEEK 46'!B73*10%),5))))</f>
        <v>20</v>
      </c>
      <c r="C74" s="238">
        <v>10.0</v>
      </c>
      <c r="D74" s="238" t="s">
        <v>122</v>
      </c>
      <c r="E74" s="66" t="str">
        <f>IF('WEEK 46'!B74='WEEK 40'!B77,'WEEK 40'!F77,"")</f>
        <v/>
      </c>
      <c r="F74" s="67"/>
    </row>
    <row r="75">
      <c r="A75" s="272" t="s">
        <v>192</v>
      </c>
      <c r="B75" s="1109">
        <f>IF(OR(ISBLANK('WEEK 46'!F65),ISBLANK('WEEK 46'!F66)),'WEEK 46'!B63,IF((AND('WEEK 46'!F74&gt;=10,'WEEK 46'!B74&gt;'WEEK 46'!B73)),'WEEK 46'!B74,IF((AND('WEEK 46'!F73&gt;=10,'WEEK 46'!B73&gt;'WEEK 46'!B72)),'WEEK 46'!B73,IF((AND('WEEK 46'!F72&gt;=10,'WEEK 46'!B72&gt;'WEEK 46'!B71)),'WEEK 46'!B72,IF((AND('WEEK 46'!F71&gt;=10,'WEEK 46'!B71&gt;'WEEK 46'!B70)),'WEEK 46'!B71,IF((AND('WEEK 46'!F70&gt;=10,'WEEK 46'!B70&gt;'WEEK 46'!B69)),'WEEK 46'!B70,IF((AND('WEEK 46'!F69&gt;=10,'WEEK 46'!B69&gt;'WEEK 46'!B68)),'WEEK 46'!B69,IF((AND('WEEK 46'!F68&gt;=10,'WEEK 46'!B68&gt;'WEEK 46'!B67)),'WEEK 46'!B68,IF((AND('WEEK 46'!F67&gt;=10,'WEEK 46'!B67&gt;'WEEK 46'!B66)),'WEEK 46'!B67,IF((AND('WEEK 46'!F66&gt;=10,'WEEK 46'!B66&gt;'WEEK 46'!B65)),'WEEK 46'!B66))))))))))</f>
        <v>100</v>
      </c>
      <c r="C75" s="11"/>
      <c r="D75" s="11"/>
      <c r="E75" s="11"/>
      <c r="F75" s="46"/>
    </row>
    <row r="78">
      <c r="A78" s="1285" t="str">
        <f>HYPERLINK("https://www.youtube.com/watch?v=NZ9KiFtbiMs","2. LEG EXTENSION")</f>
        <v>2. LEG EXTENSION</v>
      </c>
      <c r="B78" s="53"/>
      <c r="C78" s="53"/>
      <c r="D78" s="53"/>
      <c r="E78" s="53"/>
      <c r="F78" s="54"/>
    </row>
    <row r="79">
      <c r="A79" s="1045" t="s">
        <v>119</v>
      </c>
      <c r="B79" s="1367">
        <f>IF('WEEK 45'!B100='WEEK 45'!B102,'WEEK 45'!B100+5,IF('WEEK 45'!F100&lt;=9,MROUND('WEEK 45'!B98*0.95,5),'WEEK 45'!B100))</f>
        <v>110</v>
      </c>
      <c r="C79" s="20"/>
      <c r="D79" s="20"/>
      <c r="E79" s="20"/>
      <c r="F79" s="95"/>
    </row>
    <row r="80">
      <c r="A80" s="567" t="s">
        <v>50</v>
      </c>
      <c r="B80" s="568" t="s">
        <v>51</v>
      </c>
      <c r="C80" s="568" t="s">
        <v>52</v>
      </c>
      <c r="D80" s="568" t="s">
        <v>53</v>
      </c>
      <c r="E80" s="1047" t="s">
        <v>54</v>
      </c>
      <c r="F80" s="1048" t="s">
        <v>55</v>
      </c>
    </row>
    <row r="81">
      <c r="A81" s="1049">
        <v>1.0</v>
      </c>
      <c r="B81" s="1050">
        <f>'WEEK 46'!B79</f>
        <v>50</v>
      </c>
      <c r="C81" s="1051" t="s">
        <v>61</v>
      </c>
      <c r="D81" s="1430" t="s">
        <v>121</v>
      </c>
      <c r="E81" s="1130" t="str">
        <f>IF('WEEK 45'!B100='WEEK 46'!B81,'WEEK 45'!F100,"")</f>
        <v/>
      </c>
      <c r="F81" s="1017"/>
    </row>
    <row r="82">
      <c r="A82" s="1049">
        <v>2.0</v>
      </c>
      <c r="B82" s="1050">
        <f>if('WEEK 46'!F81&lt;12,mround('WEEK 46'!B81*0.8,5),IF('WEEK 46'!F81&lt;=14,MROUND('WEEK 46'!B81*0.95,5),'WEEK 46'!B81))</f>
        <v>40</v>
      </c>
      <c r="C82" s="1051" t="s">
        <v>61</v>
      </c>
      <c r="D82" s="1430" t="s">
        <v>121</v>
      </c>
      <c r="E82" s="1130" t="str">
        <f>IF('WEEK 45'!B101='WEEK 46'!B82,'WEEK 45'!F101,"")</f>
        <v/>
      </c>
      <c r="F82" s="1017"/>
    </row>
    <row r="83">
      <c r="A83" s="1053">
        <v>3.0</v>
      </c>
      <c r="B83" s="1054">
        <f>if('WEEK 46'!F82&lt;12,mround('WEEK 46'!B82*0.8,5),IF('WEEK 46'!F82&lt;=14,MROUND('WEEK 46'!B82*0.95,5),'WEEK 46'!B82))</f>
        <v>30</v>
      </c>
      <c r="C83" s="1055" t="s">
        <v>61</v>
      </c>
      <c r="D83" s="1453" t="s">
        <v>121</v>
      </c>
      <c r="E83" s="1348" t="str">
        <f>IF('WEEK 45'!B102='WEEK 46'!B83,'WEEK 45'!F102,"")</f>
        <v/>
      </c>
      <c r="F83" s="1017"/>
    </row>
    <row r="86">
      <c r="A86" s="323" t="str">
        <f>HYPERLINK("https://www.youtube.com/watch?v=XepOfsnGFJg","3. MACHINE LEG CURL")</f>
        <v>3. MACHINE LEG CURL</v>
      </c>
      <c r="B86" s="53"/>
      <c r="C86" s="53"/>
      <c r="D86" s="53"/>
      <c r="E86" s="53"/>
      <c r="F86" s="54"/>
      <c r="G86" s="141"/>
      <c r="H86" s="323" t="str">
        <f>HYPERLINK("https://youtu.be/kmN9cJ79PDE","3. PRONE LEG CURL")</f>
        <v>3. PRONE LEG CURL</v>
      </c>
      <c r="I86" s="53"/>
      <c r="J86" s="53"/>
      <c r="K86" s="53"/>
      <c r="L86" s="53"/>
      <c r="M86" s="54"/>
    </row>
    <row r="87">
      <c r="A87" s="1045" t="s">
        <v>119</v>
      </c>
      <c r="B87" s="1367">
        <f>IF('WEEK 45'!B108='WEEK 45'!B110,'WEEK 45'!B108+5,IF('WEEK 45'!F108&lt;=9,MROUND('WEEK 45'!B106*0.95,5),'WEEK 45'!B108))</f>
        <v>105</v>
      </c>
      <c r="C87" s="20"/>
      <c r="D87" s="20"/>
      <c r="E87" s="20"/>
      <c r="F87" s="95"/>
      <c r="H87" s="1045" t="s">
        <v>119</v>
      </c>
      <c r="I87" s="1046">
        <f>'WEEK 46'!B87</f>
        <v>15</v>
      </c>
      <c r="J87" s="13"/>
      <c r="K87" s="13"/>
      <c r="L87" s="13"/>
      <c r="M87" s="57"/>
    </row>
    <row r="88">
      <c r="A88" s="567" t="s">
        <v>50</v>
      </c>
      <c r="B88" s="568" t="s">
        <v>51</v>
      </c>
      <c r="C88" s="568" t="s">
        <v>52</v>
      </c>
      <c r="D88" s="568" t="s">
        <v>53</v>
      </c>
      <c r="E88" s="1047" t="s">
        <v>54</v>
      </c>
      <c r="F88" s="1048" t="s">
        <v>55</v>
      </c>
      <c r="H88" s="567" t="s">
        <v>50</v>
      </c>
      <c r="I88" s="568" t="s">
        <v>51</v>
      </c>
      <c r="J88" s="568" t="s">
        <v>52</v>
      </c>
      <c r="K88" s="568" t="s">
        <v>53</v>
      </c>
      <c r="L88" s="1047" t="s">
        <v>54</v>
      </c>
      <c r="M88" s="1048" t="s">
        <v>55</v>
      </c>
    </row>
    <row r="89">
      <c r="A89" s="1049">
        <v>1.0</v>
      </c>
      <c r="B89" s="1050">
        <f>'WEEK 46'!B87</f>
        <v>15</v>
      </c>
      <c r="C89" s="1051" t="s">
        <v>61</v>
      </c>
      <c r="D89" s="1430" t="s">
        <v>121</v>
      </c>
      <c r="E89" s="1130" t="str">
        <f>IF('WEEK 45'!B108='WEEK 46'!B89,'WEEK 45'!F108,"")</f>
        <v/>
      </c>
      <c r="F89" s="1017"/>
      <c r="G89" s="434" t="s">
        <v>123</v>
      </c>
      <c r="H89" s="1049">
        <v>1.0</v>
      </c>
      <c r="I89" s="1050">
        <f>'WEEK 46'!I87</f>
        <v>15</v>
      </c>
      <c r="J89" s="1051" t="s">
        <v>61</v>
      </c>
      <c r="K89" s="1430" t="s">
        <v>121</v>
      </c>
      <c r="L89" s="1130" t="str">
        <f>IF('WEEK 45'!I108='WEEK 46'!I89,'WEEK 45'!M108,"")</f>
        <v/>
      </c>
      <c r="M89" s="1017"/>
    </row>
    <row r="90">
      <c r="A90" s="1049">
        <v>2.0</v>
      </c>
      <c r="B90" s="1050">
        <f>if('WEEK 46'!F89&lt;12,mround('WEEK 46'!B89*0.8,5),IF('WEEK 46'!F89&lt;=14,MROUND('WEEK 46'!B89*0.95,5),'WEEK 46'!B89))</f>
        <v>10</v>
      </c>
      <c r="C90" s="1051" t="s">
        <v>61</v>
      </c>
      <c r="D90" s="1430" t="s">
        <v>121</v>
      </c>
      <c r="E90" s="1130" t="str">
        <f>IF('WEEK 45'!B109='WEEK 46'!B90,'WEEK 45'!F109,"")</f>
        <v/>
      </c>
      <c r="F90" s="1017"/>
      <c r="H90" s="1049">
        <v>2.0</v>
      </c>
      <c r="I90" s="1050">
        <f>if('WEEK 46'!M89&lt;12,mround('WEEK 46'!I89*0.8,5),IF('WEEK 46'!M89&lt;=14,MROUND('WEEK 46'!I89*0.95,5),'WEEK 46'!I89))</f>
        <v>10</v>
      </c>
      <c r="J90" s="1051" t="s">
        <v>61</v>
      </c>
      <c r="K90" s="1430" t="s">
        <v>121</v>
      </c>
      <c r="L90" s="1130" t="str">
        <f>IF('WEEK 45'!I109='WEEK 46'!I90,'WEEK 45'!M109,"")</f>
        <v/>
      </c>
      <c r="M90" s="1017"/>
    </row>
    <row r="91">
      <c r="A91" s="1053">
        <v>3.0</v>
      </c>
      <c r="B91" s="1054">
        <f>if('WEEK 46'!F90&lt;12,mround('WEEK 46'!B90*0.8,5),IF('WEEK 46'!F90&lt;=14,MROUND('WEEK 46'!B90*0.95,5),'WEEK 46'!B90))</f>
        <v>10</v>
      </c>
      <c r="C91" s="1055" t="s">
        <v>61</v>
      </c>
      <c r="D91" s="1453" t="s">
        <v>121</v>
      </c>
      <c r="E91" s="1348" t="str">
        <f>IF('WEEK 45'!B110='WEEK 46'!B91,'WEEK 45'!F110,"")</f>
        <v/>
      </c>
      <c r="F91" s="1017"/>
      <c r="G91" s="682"/>
      <c r="H91" s="1053">
        <v>3.0</v>
      </c>
      <c r="I91" s="1054">
        <f>if('WEEK 46'!M90&lt;12,mround('WEEK 46'!I90*0.8,5),IF('WEEK 46'!M90&lt;=14,MROUND('WEEK 46'!I90*0.95,5),'WEEK 46'!I90))</f>
        <v>10</v>
      </c>
      <c r="J91" s="1055" t="s">
        <v>61</v>
      </c>
      <c r="K91" s="1453" t="s">
        <v>121</v>
      </c>
      <c r="L91" s="1348" t="str">
        <f>IF('WEEK 45'!I110='WEEK 46'!I91,'WEEK 45'!M110,"")</f>
        <v/>
      </c>
      <c r="M91" s="1017"/>
    </row>
    <row r="92">
      <c r="A92" s="849"/>
      <c r="B92" s="849"/>
      <c r="C92" s="849"/>
      <c r="D92" s="849"/>
      <c r="E92" s="849"/>
      <c r="F92" s="849"/>
      <c r="H92" s="849"/>
      <c r="I92" s="850"/>
      <c r="J92" s="850"/>
      <c r="K92" s="850"/>
      <c r="L92" s="850"/>
      <c r="M92" s="850"/>
    </row>
    <row r="94">
      <c r="A94" s="310" t="str">
        <f>HYPERLINK("https://docs.google.com/a/fitnessresults.com/forms/d/e/1FAIpQLSd7MoczESe8Yjv6BKpmwAZGn9Aiymrs9-UdgfYIUpbr9t5NXg/viewform?usp=pp_url&amp;entry.93370101","CLICK TO COMPLETE WORKOUT")</f>
        <v>CLICK TO COMPLETE WORKOUT</v>
      </c>
      <c r="B94" s="36"/>
      <c r="C94" s="36"/>
      <c r="D94" s="36"/>
      <c r="E94" s="36"/>
      <c r="F94" s="37"/>
    </row>
    <row r="95">
      <c r="E95" s="1248"/>
    </row>
    <row r="96">
      <c r="A96" s="224" t="s">
        <v>128</v>
      </c>
      <c r="B96" s="36"/>
      <c r="C96" s="36"/>
      <c r="D96" s="36"/>
      <c r="E96" s="36"/>
      <c r="F96" s="37"/>
    </row>
    <row r="99">
      <c r="A99" s="44" t="s">
        <v>131</v>
      </c>
      <c r="B99" s="36"/>
      <c r="C99" s="36"/>
      <c r="D99" s="36"/>
      <c r="E99" s="36"/>
      <c r="F99" s="37"/>
      <c r="H99" s="44" t="s">
        <v>131</v>
      </c>
      <c r="I99" s="36"/>
      <c r="J99" s="36"/>
      <c r="K99" s="36"/>
      <c r="L99" s="36"/>
      <c r="M99" s="37"/>
    </row>
    <row r="100">
      <c r="A100" s="1139" t="str">
        <f>HYPERLINK("https://www.youtube.com/watch?v=-cSBPE-y38M","1. MACHINE SHOULDER PRESS")</f>
        <v>1. MACHINE SHOULDER PRESS</v>
      </c>
      <c r="B100" s="13"/>
      <c r="C100" s="13"/>
      <c r="D100" s="13"/>
      <c r="E100" s="13"/>
      <c r="F100" s="57"/>
      <c r="H100" s="112" t="str">
        <f>HYPERLINK("https://www.youtube.com/watch?v=rmxOkkd2hUk","1. SHOULDER PRESS")</f>
        <v>1. SHOULDER PRESS</v>
      </c>
      <c r="I100" s="13"/>
      <c r="J100" s="13"/>
      <c r="K100" s="13"/>
      <c r="L100" s="13"/>
      <c r="M100" s="57"/>
    </row>
    <row r="101">
      <c r="A101" s="226" t="s">
        <v>119</v>
      </c>
      <c r="B101" s="227">
        <f>'WEEK 45'!I118</f>
        <v>228</v>
      </c>
      <c r="C101" s="20"/>
      <c r="D101" s="20"/>
      <c r="E101" s="20"/>
      <c r="F101" s="95"/>
      <c r="H101" s="226" t="s">
        <v>119</v>
      </c>
      <c r="I101" s="227">
        <f>'WEEK 45'!B118</f>
        <v>80</v>
      </c>
      <c r="J101" s="20"/>
      <c r="K101" s="20"/>
      <c r="L101" s="20"/>
      <c r="M101" s="95"/>
    </row>
    <row r="102">
      <c r="A102" s="231" t="s">
        <v>50</v>
      </c>
      <c r="B102" s="232" t="s">
        <v>51</v>
      </c>
      <c r="C102" s="232" t="s">
        <v>52</v>
      </c>
      <c r="D102" s="232" t="s">
        <v>53</v>
      </c>
      <c r="E102" s="233" t="s">
        <v>54</v>
      </c>
      <c r="F102" s="61" t="s">
        <v>55</v>
      </c>
      <c r="H102" s="231" t="s">
        <v>50</v>
      </c>
      <c r="I102" s="232" t="s">
        <v>51</v>
      </c>
      <c r="J102" s="232" t="s">
        <v>52</v>
      </c>
      <c r="K102" s="232" t="s">
        <v>53</v>
      </c>
      <c r="L102" s="233" t="s">
        <v>54</v>
      </c>
      <c r="M102" s="61" t="s">
        <v>55</v>
      </c>
    </row>
    <row r="103">
      <c r="A103" s="1140">
        <v>1.0</v>
      </c>
      <c r="B103" s="237">
        <f>mround('WEEK 46'!B101*0.35,5)</f>
        <v>35</v>
      </c>
      <c r="C103" s="237">
        <v>6.0</v>
      </c>
      <c r="D103" s="238" t="s">
        <v>120</v>
      </c>
      <c r="E103" s="84" t="str">
        <f>IF('WEEK 43'!B99='WEEK 46'!B103,'WEEK 43'!F99,"")</f>
        <v/>
      </c>
      <c r="F103" s="67"/>
      <c r="H103" s="1140">
        <v>1.0</v>
      </c>
      <c r="I103" s="237">
        <f>mround('WEEK 46'!I101*0.35,5)</f>
        <v>5</v>
      </c>
      <c r="J103" s="237">
        <v>6.0</v>
      </c>
      <c r="K103" s="238" t="s">
        <v>120</v>
      </c>
      <c r="L103" s="84" t="str">
        <f>IF('WEEK 43'!I99='WEEK 46'!I103,'WEEK 43'!M99,"")</f>
        <v/>
      </c>
      <c r="M103" s="67"/>
    </row>
    <row r="104">
      <c r="A104" s="236">
        <v>2.0</v>
      </c>
      <c r="B104" s="237">
        <f>mround('WEEK 46'!B101*0.65,5)</f>
        <v>70</v>
      </c>
      <c r="C104" s="237">
        <v>1.0</v>
      </c>
      <c r="D104" s="238" t="s">
        <v>121</v>
      </c>
      <c r="E104" s="84" t="str">
        <f>IF('WEEK 43'!B100='WEEK 46'!B104,'WEEK 43'!F100,"")</f>
        <v/>
      </c>
      <c r="F104" s="67"/>
      <c r="H104" s="236">
        <v>2.0</v>
      </c>
      <c r="I104" s="237">
        <f>mround('WEEK 46'!I101*0.65,5)</f>
        <v>5</v>
      </c>
      <c r="J104" s="237">
        <v>1.0</v>
      </c>
      <c r="K104" s="238" t="s">
        <v>121</v>
      </c>
      <c r="L104" s="84" t="str">
        <f>IF('WEEK 43'!I100='WEEK 46'!I104,'WEEK 43'!M100,"")</f>
        <v/>
      </c>
      <c r="M104" s="67"/>
    </row>
    <row r="105">
      <c r="A105" s="242">
        <v>3.0</v>
      </c>
      <c r="B105" s="237">
        <f>mround('WEEK 46'!B101*0.9,5)</f>
        <v>95</v>
      </c>
      <c r="C105" s="82">
        <v>1.0</v>
      </c>
      <c r="D105" s="238" t="s">
        <v>121</v>
      </c>
      <c r="E105" s="84" t="str">
        <f>IF('WEEK 43'!B101='WEEK 46'!B105,'WEEK 43'!F101,"")</f>
        <v/>
      </c>
      <c r="F105" s="67"/>
      <c r="H105" s="242">
        <v>3.0</v>
      </c>
      <c r="I105" s="237">
        <f>mround('WEEK 46'!I105*0.9,5)</f>
        <v>10</v>
      </c>
      <c r="J105" s="82">
        <v>1.0</v>
      </c>
      <c r="K105" s="238" t="s">
        <v>121</v>
      </c>
      <c r="L105" s="84" t="str">
        <f>IF('WEEK 43'!I101='WEEK 46'!I105,'WEEK 43'!M101,"")</f>
        <v/>
      </c>
      <c r="M105" s="67"/>
    </row>
    <row r="106">
      <c r="A106" s="243">
        <v>4.0</v>
      </c>
      <c r="B106" s="237">
        <f>'WEEK 46'!B101</f>
        <v>105</v>
      </c>
      <c r="C106" s="257">
        <v>1.0</v>
      </c>
      <c r="D106" s="238" t="s">
        <v>122</v>
      </c>
      <c r="E106" s="84" t="str">
        <f>IF('WEEK 43'!B102='WEEK 46'!B106,'WEEK 43'!F102,"")</f>
        <v/>
      </c>
      <c r="F106" s="67"/>
      <c r="H106" s="243">
        <v>4.0</v>
      </c>
      <c r="I106" s="237">
        <f>'WEEK 46'!I101</f>
        <v>10</v>
      </c>
      <c r="J106" s="257">
        <v>1.0</v>
      </c>
      <c r="K106" s="238" t="s">
        <v>122</v>
      </c>
      <c r="L106" s="84" t="str">
        <f>IF('WEEK 43'!I102='WEEK 46'!I106,'WEEK 43'!M102,"")</f>
        <v/>
      </c>
      <c r="M106" s="67"/>
    </row>
    <row r="107">
      <c r="A107" s="246" t="str">
        <f>IF('WEEK 46'!F106&lt;1,"PROCEED TO DOWN SETS","NEW 4 REP MAX ATTEMPT")</f>
        <v>PROCEED TO DOWN SETS</v>
      </c>
      <c r="B107" s="20"/>
      <c r="C107" s="20"/>
      <c r="D107" s="20"/>
      <c r="E107" s="20"/>
      <c r="F107" s="95"/>
      <c r="H107" s="246" t="str">
        <f>IF('WEEK 46'!M106&lt;1,"PROCEED TO DOWN SETS","NEW 4 REP MAX ATTEMPT")</f>
        <v>PROCEED TO DOWN SETS</v>
      </c>
      <c r="I107" s="20"/>
      <c r="J107" s="20"/>
      <c r="K107" s="20"/>
      <c r="L107" s="20"/>
      <c r="M107" s="95"/>
    </row>
    <row r="108">
      <c r="A108" s="249" t="str">
        <f>IF(OR(ISBLANK('WEEK 46'!F106),ISBLANK('WEEK 46'!F105),ISBLANK('WEEK 46'!F104)), "",if('WEEK 46'!F106&lt;1,"",5))</f>
        <v/>
      </c>
      <c r="B108" s="175" t="str">
        <f>IF('WEEK 46'!F106&lt;1,"",'WEEK 46'!B106+5)</f>
        <v/>
      </c>
      <c r="C108" s="238" t="str">
        <f>if('WEEK 46'!F106&lt;1,"",4)</f>
        <v/>
      </c>
      <c r="D108" s="238" t="str">
        <f>if('WEEK 46'!F106&lt;1,"","1-5 MIN")</f>
        <v/>
      </c>
      <c r="E108" s="84" t="str">
        <f>IF('WEEK 43'!B104='WEEK 46'!B108,'WEEK 43'!F104,"")</f>
        <v/>
      </c>
      <c r="F108" s="67"/>
      <c r="H108" s="249" t="str">
        <f>IF(OR(ISBLANK('WEEK 46'!M106),ISBLANK('WEEK 46'!M105),ISBLANK('WEEK 46'!M104)), "",if('WEEK 46'!M106&lt;1,"",5))</f>
        <v/>
      </c>
      <c r="I108" s="175" t="str">
        <f>IF('WEEK 46'!M106&lt;1,"",'WEEK 46'!I106+5)</f>
        <v/>
      </c>
      <c r="J108" s="238" t="str">
        <f>if('WEEK 46'!M106&lt;1,"",4)</f>
        <v/>
      </c>
      <c r="K108" s="238" t="str">
        <f>if('WEEK 46'!M106&lt;1,"","1-5 MIN")</f>
        <v/>
      </c>
      <c r="L108" s="84" t="str">
        <f>IF('WEEK 43'!I104='WEEK 46'!I108,'WEEK 43'!M104,"")</f>
        <v/>
      </c>
      <c r="M108" s="67"/>
    </row>
    <row r="109">
      <c r="A109" s="259" t="str">
        <f>IF(OR(ISBLANK('WEEK 46'!F105),ISBLANK('WEEK 46'!F106),ISBLANK('WEEK 46'!F108)), "",IF('WEEK 46'!F108&lt;4,"","6"))</f>
        <v/>
      </c>
      <c r="B109" s="237" t="str">
        <f>IF(OR(ISBLANK('WEEK 46'!F105),ISBLANK('WEEK 46'!F106),ISBLANK('WEEK 46'!F108)), "",IF('WEEK 46'!F108&lt;4,"",'WEEK 46'!B108+5))</f>
        <v/>
      </c>
      <c r="C109" s="257" t="str">
        <f>IF(OR(ISBLANK('WEEK 46'!F105),ISBLANK('WEEK 46'!F106),ISBLANK('WEEK 46'!F108)), "",IF('WEEK 46'!F108&lt;4,"","4"))</f>
        <v/>
      </c>
      <c r="D109" s="257" t="str">
        <f>IF(OR(ISBLANK('WEEK 46'!F105),ISBLANK('WEEK 46'!F106),ISBLANK('WEEK 46'!F108)), "",IF('WEEK 46'!F108&lt;4,"","1-5 MIN"))</f>
        <v/>
      </c>
      <c r="E109" s="84" t="str">
        <f>IF('WEEK 43'!B105='WEEK 46'!B109,'WEEK 43'!F105,"")</f>
        <v/>
      </c>
      <c r="F109" s="67"/>
      <c r="H109" s="259" t="str">
        <f>IF(OR(ISBLANK('WEEK 46'!M105),ISBLANK('WEEK 46'!M106),ISBLANK('WEEK 46'!M108)), "",IF('WEEK 46'!M108&lt;4,"","6"))</f>
        <v/>
      </c>
      <c r="I109" s="237" t="str">
        <f>IF(OR(ISBLANK('WEEK 46'!M105),ISBLANK('WEEK 46'!M106),ISBLANK('WEEK 46'!M108)), "",IF('WEEK 46'!M108&lt;4,"",'WEEK 46'!I108+5))</f>
        <v/>
      </c>
      <c r="J109" s="257" t="str">
        <f>IF(OR(ISBLANK('WEEK 46'!M105),ISBLANK('WEEK 46'!M106),ISBLANK('WEEK 46'!M108)), "",IF('WEEK 46'!M108&lt;4,"","4"))</f>
        <v/>
      </c>
      <c r="K109" s="257" t="str">
        <f>IF(OR(ISBLANK('WEEK 46'!M105),ISBLANK('WEEK 46'!M106),ISBLANK('WEEK 46'!M108)), "",IF('WEEK 46'!M108&lt;4,"","1-5 MIN"))</f>
        <v/>
      </c>
      <c r="L109" s="84" t="str">
        <f>IF('WEEK 43'!I105='WEEK 46'!I109,'WEEK 43'!M105,"")</f>
        <v/>
      </c>
      <c r="M109" s="67"/>
    </row>
    <row r="110">
      <c r="A110" s="246" t="s">
        <v>133</v>
      </c>
      <c r="B110" s="20"/>
      <c r="C110" s="20"/>
      <c r="D110" s="20"/>
      <c r="E110" s="20"/>
      <c r="F110" s="95"/>
      <c r="H110" s="246" t="s">
        <v>133</v>
      </c>
      <c r="I110" s="20"/>
      <c r="J110" s="20"/>
      <c r="K110" s="20"/>
      <c r="L110" s="20"/>
      <c r="M110" s="95"/>
    </row>
    <row r="111">
      <c r="A111" s="264" t="str">
        <f>IF(OR(ISBLANK('WEEK 46'!F106),ISBLANK('WEEK 46'!F105),ISBLANK('WEEK 46'!F104)),"",IF((AND(A108="",A109="")),5,IF((AND(A108&gt;1,A109="")),6,7)))</f>
        <v/>
      </c>
      <c r="B111" s="265">
        <f>MROUND('WEEK 46'!B113*0.9,5)</f>
        <v>0</v>
      </c>
      <c r="C111" s="266" t="s">
        <v>65</v>
      </c>
      <c r="D111" s="267" t="s">
        <v>127</v>
      </c>
      <c r="E111" s="84" t="str">
        <f>IF('WEEK 43'!B107='WEEK 46'!B111,'WEEK 43'!F107,"")</f>
        <v/>
      </c>
      <c r="F111" s="67"/>
      <c r="H111" s="264" t="str">
        <f>IF(OR(ISBLANK('WEEK 46'!M106),ISBLANK('WEEK 46'!M105),ISBLANK('WEEK 46'!M104)),"",IF((AND(H108="",H109="")),5,IF((AND(H108&gt;1,H109="")),6,7)))</f>
        <v/>
      </c>
      <c r="I111" s="265">
        <f>MROUND('WEEK 46'!I113*0.9,5)</f>
        <v>0</v>
      </c>
      <c r="J111" s="266" t="s">
        <v>65</v>
      </c>
      <c r="K111" s="267" t="s">
        <v>127</v>
      </c>
      <c r="L111" s="84" t="str">
        <f>IF('WEEK 43'!I107='WEEK 46'!I111,'WEEK 43'!M107,"")</f>
        <v/>
      </c>
      <c r="M111" s="67"/>
    </row>
    <row r="112">
      <c r="A112" s="243" t="str">
        <f>IF(OR(ISBLANK('WEEK 46'!F106),ISBLANK('WEEK 46'!F105),ISBLANK('WEEK 46'!F104)),"",IF((AND(A108="",A109="")),6,IF((AND(A108&gt;1,A109="")),7,8)))</f>
        <v/>
      </c>
      <c r="B112" s="237">
        <f>mround('WEEK 46'!B113*0.78,5)</f>
        <v>0</v>
      </c>
      <c r="C112" s="245" t="s">
        <v>65</v>
      </c>
      <c r="D112" s="65" t="s">
        <v>127</v>
      </c>
      <c r="E112" s="84" t="str">
        <f>IF('WEEK 43'!B108='WEEK 46'!B112,'WEEK 43'!F108,"")</f>
        <v/>
      </c>
      <c r="F112" s="271"/>
      <c r="H112" s="243" t="str">
        <f>IF(OR(ISBLANK('WEEK 46'!M106),ISBLANK('WEEK 46'!M105),ISBLANK('WEEK 46'!M104)),"",IF((AND(H108="",H109="")),6,IF((AND(H108&gt;1,H109="")),7,8)))</f>
        <v/>
      </c>
      <c r="I112" s="237">
        <f>mround('WEEK 46'!I113*0.78,5)</f>
        <v>0</v>
      </c>
      <c r="J112" s="245" t="s">
        <v>65</v>
      </c>
      <c r="K112" s="65" t="s">
        <v>127</v>
      </c>
      <c r="L112" s="84" t="str">
        <f>IF('WEEK 43'!I108='WEEK 46'!I112,'WEEK 43'!M108,"")</f>
        <v/>
      </c>
      <c r="M112" s="271"/>
    </row>
    <row r="113">
      <c r="A113" s="272" t="s">
        <v>124</v>
      </c>
      <c r="B113" s="273" t="str">
        <f>IF(OR(ISBLANK('WEEK 46'!F106),ISBLANK('WEEK 46'!F105),ISBLANK('WEEK 46'!F104)),"",IF('WEEK 46'!F109&gt;=1,'WEEK 46'!B109,IF('WEEK 46'!F108&gt;=4,'WEEK 46'!B108,IF('WEEK 46'!F106&lt;1,'WEEK 46'!B106-5,'WEEK 46'!B106))))</f>
        <v/>
      </c>
      <c r="C113" s="11"/>
      <c r="D113" s="11"/>
      <c r="E113" s="11"/>
      <c r="F113" s="46"/>
      <c r="H113" s="272" t="s">
        <v>124</v>
      </c>
      <c r="I113" s="273" t="str">
        <f>IF(OR(ISBLANK('WEEK 46'!M106),ISBLANK('WEEK 46'!M105),ISBLANK('WEEK 46'!M104)),"",IF('WEEK 46'!M109&gt;=1,'WEEK 46'!I109,IF('WEEK 46'!M108&gt;=4,'WEEK 46'!I108,IF('WEEK 46'!M106&lt;1,'WEEK 46'!I106-5,'WEEK 46'!I106))))</f>
        <v/>
      </c>
      <c r="J113" s="11"/>
      <c r="K113" s="11"/>
      <c r="L113" s="11"/>
      <c r="M113" s="46"/>
    </row>
    <row r="116">
      <c r="A116" s="687" t="str">
        <f>HYPERLINK("https://www.youtube.com/watch?v=XDLQt1j3qUU","2. DUMBBELL REAR DELT FLY ")</f>
        <v>2. DUMBBELL REAR DELT FLY </v>
      </c>
      <c r="B116" s="53"/>
      <c r="C116" s="53"/>
      <c r="D116" s="53"/>
      <c r="E116" s="53"/>
      <c r="F116" s="54"/>
    </row>
    <row r="117">
      <c r="A117" s="226" t="s">
        <v>145</v>
      </c>
      <c r="B117" s="691">
        <f>IF('WEEK 46'!I113="",'WEEK 46'!I101,'WEEK 46'!I113)</f>
        <v>10</v>
      </c>
      <c r="C117" s="13"/>
      <c r="D117" s="13"/>
      <c r="E117" s="13"/>
      <c r="F117" s="57"/>
    </row>
    <row r="118">
      <c r="A118" s="96" t="s">
        <v>50</v>
      </c>
      <c r="B118" s="97" t="s">
        <v>51</v>
      </c>
      <c r="C118" s="97" t="s">
        <v>52</v>
      </c>
      <c r="D118" s="97" t="s">
        <v>53</v>
      </c>
      <c r="E118" s="341" t="s">
        <v>54</v>
      </c>
      <c r="F118" s="235" t="s">
        <v>55</v>
      </c>
    </row>
    <row r="119">
      <c r="A119" s="556">
        <v>1.0</v>
      </c>
      <c r="B119" s="237">
        <f>MROUND('WEEK 46'!B117*0.2,2.5)</f>
        <v>2.5</v>
      </c>
      <c r="C119" s="65" t="s">
        <v>168</v>
      </c>
      <c r="D119" s="693" t="s">
        <v>127</v>
      </c>
      <c r="E119" s="84" t="str">
        <f>IF('WEEK 45'!B130='WEEK 46'!B119,'WEEK 45'!F130,"")</f>
        <v/>
      </c>
      <c r="F119" s="694"/>
    </row>
    <row r="120">
      <c r="A120" s="556">
        <v>2.0</v>
      </c>
      <c r="B120" s="237">
        <f>if('WEEK 46'!F119&lt;6,mround('WEEK 46'!B119*0.8,5),IF('WEEK 46'!F119&lt;=10,MROUND('WEEK 46'!B119*0.95,5),'WEEK 46'!B119))</f>
        <v>0</v>
      </c>
      <c r="C120" s="65" t="s">
        <v>169</v>
      </c>
      <c r="D120" s="693" t="s">
        <v>127</v>
      </c>
      <c r="E120" s="84" t="str">
        <f>IF('WEEK 45'!B131='WEEK 46'!B120,'WEEK 45'!F131,"")</f>
        <v/>
      </c>
      <c r="F120" s="694"/>
    </row>
    <row r="121">
      <c r="A121" s="561">
        <v>3.0</v>
      </c>
      <c r="B121" s="371">
        <f>if('WEEK 46'!F120&lt;8,mround('WEEK 46'!B120*0.8,5),IF('WEEK 46'!F120&lt;=14,MROUND('WEEK 46'!B120*0.95,5),'WEEK 46'!B120))</f>
        <v>0</v>
      </c>
      <c r="C121" s="71" t="s">
        <v>169</v>
      </c>
      <c r="D121" s="794" t="s">
        <v>127</v>
      </c>
      <c r="E121" s="89" t="str">
        <f>IF('WEEK 45'!B132='WEEK 46'!B121,'WEEK 45'!F132,"")</f>
        <v/>
      </c>
      <c r="F121" s="694"/>
    </row>
    <row r="122">
      <c r="A122" s="640"/>
    </row>
    <row r="124">
      <c r="A124" s="513" t="str">
        <f>HYPERLINK("https://youtu.be/QUNZvtb6mnY","3. DUMBBELL SIDE LATERAL RAISE")</f>
        <v>3. DUMBBELL SIDE LATERAL RAISE</v>
      </c>
      <c r="B124" s="53"/>
      <c r="C124" s="53"/>
      <c r="D124" s="53"/>
      <c r="E124" s="53"/>
      <c r="F124" s="54"/>
    </row>
    <row r="125">
      <c r="A125" s="226" t="s">
        <v>145</v>
      </c>
      <c r="B125" s="90">
        <f>IF('WEEK 46'!I113="",'WEEK 46'!I101,'WEEK 46'!I113)</f>
        <v>10</v>
      </c>
      <c r="C125" s="13"/>
      <c r="D125" s="13"/>
      <c r="E125" s="13"/>
      <c r="F125" s="57"/>
    </row>
    <row r="126">
      <c r="A126" s="376" t="s">
        <v>50</v>
      </c>
      <c r="B126" s="79" t="s">
        <v>51</v>
      </c>
      <c r="C126" s="79" t="s">
        <v>52</v>
      </c>
      <c r="D126" s="79" t="s">
        <v>53</v>
      </c>
      <c r="E126" s="98" t="s">
        <v>54</v>
      </c>
      <c r="F126" s="377" t="s">
        <v>55</v>
      </c>
    </row>
    <row r="127">
      <c r="A127" s="81">
        <v>1.0</v>
      </c>
      <c r="B127" s="82">
        <f>mround('WEEK 46'!B125*0.2,5)</f>
        <v>0</v>
      </c>
      <c r="C127" s="63" t="s">
        <v>61</v>
      </c>
      <c r="D127" s="83" t="s">
        <v>57</v>
      </c>
      <c r="E127" s="84" t="str">
        <f>IF('WEEK 45'!B138='WEEK 46'!B127,'WEEK 45'!F138,"")</f>
        <v/>
      </c>
      <c r="F127" s="796"/>
    </row>
    <row r="128">
      <c r="A128" s="81">
        <v>2.0</v>
      </c>
      <c r="B128" s="82">
        <f>if('WEEK 46'!F127&lt;12,mround('WEEK 46'!B125*0.15,2.5),'WEEK 46'!B127)</f>
        <v>2.5</v>
      </c>
      <c r="C128" s="63" t="s">
        <v>61</v>
      </c>
      <c r="D128" s="83" t="s">
        <v>57</v>
      </c>
      <c r="E128" s="84" t="str">
        <f>IF('WEEK 45'!B139='WEEK 46'!B128,'WEEK 45'!F139,"")</f>
        <v/>
      </c>
      <c r="F128" s="330"/>
    </row>
    <row r="129">
      <c r="A129" s="86">
        <v>3.0</v>
      </c>
      <c r="B129" s="87">
        <f>if('WEEK 46'!F128&lt;12,mround('WEEK 46'!B125*0.1,2.5),'WEEK 46'!B128)</f>
        <v>0</v>
      </c>
      <c r="C129" s="69" t="s">
        <v>61</v>
      </c>
      <c r="D129" s="88" t="s">
        <v>57</v>
      </c>
      <c r="E129" s="89" t="str">
        <f>IF('WEEK 45'!B140='WEEK 46'!B129,'WEEK 45'!F140,"")</f>
        <v/>
      </c>
      <c r="F129" s="85"/>
    </row>
    <row r="130">
      <c r="A130" s="640"/>
    </row>
    <row r="132">
      <c r="A132" s="361" t="str">
        <f>HYPERLINK("https://www.youtube.com/watch?v=Zt0LwrUdpNs","2.  TRICEP OVERHEAD ROPE EXTENSION")</f>
        <v>2.  TRICEP OVERHEAD ROPE EXTENSION</v>
      </c>
      <c r="B132" s="53"/>
      <c r="C132" s="53"/>
      <c r="D132" s="53"/>
      <c r="E132" s="53"/>
      <c r="F132" s="54"/>
    </row>
    <row r="133">
      <c r="A133" s="226" t="s">
        <v>119</v>
      </c>
      <c r="B133" s="1443">
        <f>IF('WEEK 45'!B146='WEEK 45'!B148,'WEEK 45'!B146+5,IF('WEEK 45'!B146&lt;=15,MROUND('WEEK 45'!F144*0.9,5),'WEEK 45'!B146))</f>
        <v>90</v>
      </c>
      <c r="C133" s="13"/>
      <c r="D133" s="13"/>
      <c r="E133" s="13"/>
      <c r="F133" s="57"/>
    </row>
    <row r="134">
      <c r="A134" s="77" t="s">
        <v>50</v>
      </c>
      <c r="B134" s="78" t="s">
        <v>51</v>
      </c>
      <c r="C134" s="78" t="s">
        <v>52</v>
      </c>
      <c r="D134" s="78" t="s">
        <v>53</v>
      </c>
      <c r="E134" s="80" t="s">
        <v>54</v>
      </c>
      <c r="F134" s="235" t="s">
        <v>55</v>
      </c>
    </row>
    <row r="135">
      <c r="A135" s="81">
        <v>1.0</v>
      </c>
      <c r="B135" s="82">
        <f>'WEEK 46'!B133</f>
        <v>5</v>
      </c>
      <c r="C135" s="65" t="s">
        <v>61</v>
      </c>
      <c r="D135" s="83" t="s">
        <v>58</v>
      </c>
      <c r="E135" s="84" t="str">
        <f>IF('WEEK 42'!B127='WEEK 42'!B135,'WEEK 42'!F127,"")</f>
        <v/>
      </c>
      <c r="F135" s="85"/>
    </row>
    <row r="136">
      <c r="A136" s="81">
        <v>2.0</v>
      </c>
      <c r="B136" s="82">
        <f>if('WEEK 46'!F135&lt;10,mround('WEEK 46'!B135*0.8,5),IF('WEEK 46'!F135&lt;=14,MROUND('WEEK 46'!B133*0.95,5),'WEEK 46'!B135))</f>
        <v>5</v>
      </c>
      <c r="C136" s="65" t="s">
        <v>61</v>
      </c>
      <c r="D136" s="83" t="s">
        <v>58</v>
      </c>
      <c r="E136" s="84" t="str">
        <f>IF('WEEK 42'!B128='WEEK 42'!B136,'WEEK 42'!F128,"")</f>
        <v/>
      </c>
      <c r="F136" s="85"/>
    </row>
    <row r="137">
      <c r="A137" s="86">
        <v>3.0</v>
      </c>
      <c r="B137" s="87">
        <f>if('WEEK 46'!F136&lt;10,mround('WEEK 46'!B136*0.8,5),IF('WEEK 46'!F136&lt;=14,MROUND('WEEK 46'!B136*0.95,5),'WEEK 46'!B136))</f>
        <v>5</v>
      </c>
      <c r="C137" s="71" t="s">
        <v>61</v>
      </c>
      <c r="D137" s="88" t="s">
        <v>58</v>
      </c>
      <c r="E137" s="89" t="str">
        <f>IF('WEEK 42'!B129='WEEK 42'!B137,'WEEK 42'!F129,"")</f>
        <v/>
      </c>
      <c r="F137" s="330"/>
    </row>
    <row r="138">
      <c r="A138" s="598"/>
    </row>
    <row r="140">
      <c r="A140" s="113" t="str">
        <f>HYPERLINK("https://www.youtube.com/watch?v=TorWpKwLCSg","5. ALTERNATING BICEP CURLS ")</f>
        <v>5. ALTERNATING BICEP CURLS </v>
      </c>
      <c r="B140" s="53"/>
      <c r="C140" s="53"/>
      <c r="D140" s="53"/>
      <c r="E140" s="53"/>
      <c r="F140" s="54"/>
    </row>
    <row r="141">
      <c r="A141" s="226" t="s">
        <v>119</v>
      </c>
      <c r="B141" s="839">
        <f>IF('WEEK 42'!B135='WEEK 42'!B137,'WEEK 42'!B135,IF('WEEK 42'!F135&lt;=15,MROUND('WEEK 42'!B133*0.9,5),'WEEK 42'!B135))</f>
        <v>40</v>
      </c>
      <c r="F141" s="28"/>
    </row>
    <row r="142">
      <c r="A142" s="77" t="s">
        <v>50</v>
      </c>
      <c r="B142" s="78" t="s">
        <v>51</v>
      </c>
      <c r="C142" s="78" t="s">
        <v>52</v>
      </c>
      <c r="D142" s="78" t="s">
        <v>53</v>
      </c>
      <c r="E142" s="80" t="s">
        <v>54</v>
      </c>
      <c r="F142" s="235" t="s">
        <v>55</v>
      </c>
    </row>
    <row r="143">
      <c r="A143" s="81">
        <v>1.0</v>
      </c>
      <c r="B143" s="82">
        <f>MROUND('WEEK 46'!B141,10)</f>
        <v>30</v>
      </c>
      <c r="C143" s="65" t="s">
        <v>61</v>
      </c>
      <c r="D143" s="83" t="s">
        <v>58</v>
      </c>
      <c r="E143" s="84" t="str">
        <f>IF('WEEK 42'!B135='WEEK 42'!B143,'WEEK 42'!F135,"")</f>
        <v/>
      </c>
      <c r="F143" s="85"/>
    </row>
    <row r="144">
      <c r="A144" s="81">
        <v>2.0</v>
      </c>
      <c r="B144" s="82">
        <f>if('WEEK 46'!F143&lt;15,mround('WEEK 46'!B143*0.8,5),IF('WEEK 46'!F143&lt;=18,MROUND('WEEK 46'!B141*0.95,5),'WEEK 46'!B143))</f>
        <v>25</v>
      </c>
      <c r="C144" s="65" t="s">
        <v>61</v>
      </c>
      <c r="D144" s="83" t="s">
        <v>58</v>
      </c>
      <c r="E144" s="84" t="str">
        <f>IF('WEEK 42'!B136='WEEK 42'!B144,'WEEK 42'!F136,"")</f>
        <v/>
      </c>
      <c r="F144" s="85"/>
    </row>
    <row r="145">
      <c r="A145" s="629">
        <v>3.0</v>
      </c>
      <c r="B145" s="630">
        <f>if('WEEK 46'!F144&lt;15,mround('WEEK 46'!B144*0.8,5),IF('WEEK 46'!F144&lt;=18,MROUND('WEEK 46'!B142*0.95,5),'WEEK 46'!B144))</f>
        <v>20</v>
      </c>
      <c r="C145" s="631" t="s">
        <v>61</v>
      </c>
      <c r="D145" s="328" t="s">
        <v>58</v>
      </c>
      <c r="E145" s="84" t="str">
        <f>IF('WEEK 42'!B137='WEEK 42'!B145,'WEEK 42'!F137,"")</f>
        <v/>
      </c>
      <c r="F145" s="330"/>
    </row>
    <row r="146">
      <c r="A146" s="633"/>
      <c r="B146" s="633"/>
      <c r="C146" s="633"/>
      <c r="D146" s="633"/>
      <c r="E146" s="633"/>
      <c r="F146" s="633"/>
    </row>
    <row r="147">
      <c r="A147" s="598"/>
    </row>
    <row r="148">
      <c r="A148" s="310" t="str">
        <f>HYPERLINK("https://docs.google.com/a/fitnessresults.com/forms/d/e/1FAIpQLSd7MoczESe8Yjv6BKpmwAZGn9Aiymrs9-UdgfYIUpbr9t5NXg/viewform?usp=pp_url&amp;entry.93370101","CLICK TO COMPLETE WORKOUT")</f>
        <v>CLICK TO COMPLETE WORKOUT</v>
      </c>
      <c r="B148" s="36"/>
      <c r="C148" s="36"/>
      <c r="D148" s="36"/>
      <c r="E148" s="36"/>
      <c r="F148" s="37"/>
    </row>
    <row r="149">
      <c r="A149" s="598"/>
      <c r="B149" s="598"/>
      <c r="C149" s="598"/>
      <c r="D149" s="598"/>
      <c r="E149" s="598"/>
      <c r="F149" s="598"/>
    </row>
    <row r="150">
      <c r="A150" s="639" t="s">
        <v>135</v>
      </c>
      <c r="B150" s="36"/>
      <c r="C150" s="36"/>
      <c r="D150" s="36"/>
      <c r="E150" s="36"/>
      <c r="F150" s="37"/>
    </row>
    <row r="151">
      <c r="A151" s="883"/>
    </row>
    <row r="152">
      <c r="A152" s="884" t="str">
        <f>HYPERLINK("https://www.amazon.com/30-Minute-Body-Investment-Champion/dp/0692791892/ref=sr_1_1?ie=UTF8&amp;qid=1490447969&amp;sr=8-1&amp;keywords=30+minute+body","WANT TO LEARN MORE?")</f>
        <v>WANT TO LEARN MORE?</v>
      </c>
      <c r="B152" s="16"/>
      <c r="C152" s="16"/>
      <c r="D152" s="16"/>
      <c r="E152" s="16"/>
      <c r="F152" s="17"/>
    </row>
    <row r="153">
      <c r="A153" s="18"/>
      <c r="B153" s="13"/>
      <c r="C153" s="13"/>
      <c r="D153" s="13"/>
      <c r="E153" s="13"/>
      <c r="F153" s="14"/>
    </row>
    <row r="154">
      <c r="A154" s="885"/>
      <c r="B154" s="886"/>
      <c r="C154" s="644" t="s">
        <v>67</v>
      </c>
      <c r="D154" s="25"/>
      <c r="E154" s="25"/>
      <c r="F154" s="26"/>
    </row>
    <row r="155">
      <c r="A155" s="887"/>
      <c r="B155" s="888"/>
      <c r="C155" s="529"/>
      <c r="F155" s="28"/>
    </row>
    <row r="156">
      <c r="A156" s="887"/>
      <c r="B156" s="888"/>
      <c r="C156" s="529"/>
      <c r="F156" s="28"/>
    </row>
    <row r="157">
      <c r="A157" s="887"/>
      <c r="B157" s="888"/>
      <c r="C157" s="529"/>
      <c r="F157" s="28"/>
    </row>
    <row r="158">
      <c r="A158" s="887"/>
      <c r="B158" s="888"/>
      <c r="C158" s="529"/>
      <c r="F158" s="28"/>
    </row>
    <row r="159">
      <c r="A159" s="887"/>
      <c r="B159" s="888"/>
      <c r="C159" s="529"/>
      <c r="F159" s="28"/>
    </row>
    <row r="160">
      <c r="A160" s="889"/>
      <c r="B160" s="888"/>
      <c r="C160" s="529"/>
      <c r="F160" s="28"/>
    </row>
    <row r="161">
      <c r="A161" s="887"/>
      <c r="B161" s="888"/>
      <c r="C161" s="529"/>
      <c r="F161" s="28"/>
    </row>
    <row r="162">
      <c r="A162" s="887"/>
      <c r="B162" s="888"/>
      <c r="C162" s="529"/>
      <c r="F162" s="28"/>
    </row>
    <row r="163">
      <c r="A163" s="890"/>
      <c r="B163" s="888"/>
      <c r="C163" s="529"/>
      <c r="F163" s="28"/>
    </row>
    <row r="164">
      <c r="A164" s="887"/>
      <c r="B164" s="888"/>
      <c r="C164" s="529"/>
      <c r="F164" s="28"/>
    </row>
    <row r="165">
      <c r="A165" s="887"/>
      <c r="B165" s="888"/>
      <c r="C165" s="529"/>
      <c r="F165" s="28"/>
    </row>
    <row r="166">
      <c r="A166" s="887"/>
      <c r="B166" s="888"/>
      <c r="C166" s="529"/>
      <c r="F166" s="28"/>
    </row>
    <row r="167">
      <c r="A167" s="887"/>
      <c r="B167" s="888"/>
      <c r="C167" s="529"/>
      <c r="F167" s="28"/>
    </row>
    <row r="168">
      <c r="A168" s="891"/>
      <c r="B168" s="892"/>
      <c r="C168" s="336"/>
      <c r="D168" s="11"/>
      <c r="E168" s="11"/>
      <c r="F168" s="46"/>
    </row>
  </sheetData>
  <mergeCells count="67">
    <mergeCell ref="A94:F94"/>
    <mergeCell ref="A96:F96"/>
    <mergeCell ref="A99:F99"/>
    <mergeCell ref="H99:M99"/>
    <mergeCell ref="A100:F100"/>
    <mergeCell ref="H100:M100"/>
    <mergeCell ref="I101:M101"/>
    <mergeCell ref="B101:F101"/>
    <mergeCell ref="A107:F107"/>
    <mergeCell ref="H107:M107"/>
    <mergeCell ref="A110:F110"/>
    <mergeCell ref="H110:M110"/>
    <mergeCell ref="B113:F113"/>
    <mergeCell ref="I113:M113"/>
    <mergeCell ref="A116:F116"/>
    <mergeCell ref="B117:F117"/>
    <mergeCell ref="A122:F123"/>
    <mergeCell ref="A124:F124"/>
    <mergeCell ref="B125:F125"/>
    <mergeCell ref="A130:F131"/>
    <mergeCell ref="A132:F132"/>
    <mergeCell ref="A151:F151"/>
    <mergeCell ref="A152:F153"/>
    <mergeCell ref="C154:F168"/>
    <mergeCell ref="B133:F133"/>
    <mergeCell ref="A138:F139"/>
    <mergeCell ref="A140:F140"/>
    <mergeCell ref="B141:F141"/>
    <mergeCell ref="A147:F147"/>
    <mergeCell ref="A148:F148"/>
    <mergeCell ref="A150:F150"/>
    <mergeCell ref="H16:M16"/>
    <mergeCell ref="I17:M17"/>
    <mergeCell ref="A9:F9"/>
    <mergeCell ref="H9:M9"/>
    <mergeCell ref="A10:F11"/>
    <mergeCell ref="H10:M10"/>
    <mergeCell ref="A12:F12"/>
    <mergeCell ref="A13:F13"/>
    <mergeCell ref="H15:M15"/>
    <mergeCell ref="A15:F15"/>
    <mergeCell ref="A16:F16"/>
    <mergeCell ref="B17:F17"/>
    <mergeCell ref="A27:F27"/>
    <mergeCell ref="B28:F28"/>
    <mergeCell ref="A34:F34"/>
    <mergeCell ref="A37:F37"/>
    <mergeCell ref="B40:F40"/>
    <mergeCell ref="A42:F42"/>
    <mergeCell ref="B43:F43"/>
    <mergeCell ref="A48:F49"/>
    <mergeCell ref="A50:F50"/>
    <mergeCell ref="B51:F51"/>
    <mergeCell ref="A57:F58"/>
    <mergeCell ref="A86:F86"/>
    <mergeCell ref="H86:M86"/>
    <mergeCell ref="I87:M87"/>
    <mergeCell ref="G86:G88"/>
    <mergeCell ref="G89:G90"/>
    <mergeCell ref="G91:G92"/>
    <mergeCell ref="A60:F60"/>
    <mergeCell ref="A62:F62"/>
    <mergeCell ref="B63:F63"/>
    <mergeCell ref="B75:F75"/>
    <mergeCell ref="A78:F78"/>
    <mergeCell ref="B79:F79"/>
    <mergeCell ref="B87:F87"/>
  </mergeCells>
  <dataValidations>
    <dataValidation type="decimal" operator="greaterThanOrEqual" allowBlank="1" showDropDown="1" showErrorMessage="1" sqref="M12:M13 F29:F32 F36 F38 F44:F47 F52:F56 F126:F129">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64:F68 F70">
      <formula1>0.0</formula1>
    </dataValidation>
  </dataValidations>
  <drawing r:id="rId2"/>
  <legacyDrawing r:id="rId3"/>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'MSW22'!A1</f>
        <v/>
      </c>
    </row>
    <row r="8">
      <c r="A8" s="11"/>
      <c r="B8" s="11"/>
      <c r="C8" s="11"/>
      <c r="D8" s="11"/>
      <c r="E8" s="11"/>
      <c r="F8" s="11"/>
      <c r="G8" s="11"/>
      <c r="H8" s="11"/>
      <c r="I8" s="11"/>
      <c r="J8" s="11"/>
      <c r="K8" s="11"/>
      <c r="L8" s="11"/>
      <c r="M8" s="11"/>
    </row>
    <row r="9">
      <c r="A9" s="12" t="str">
        <f>'MSW22'!A9</f>
        <v>Week 22</v>
      </c>
      <c r="B9" s="13"/>
      <c r="C9" s="13"/>
      <c r="D9" s="13"/>
      <c r="E9" s="13"/>
      <c r="F9" s="14"/>
      <c r="G9" s="103" t="str">
        <f>'MSW22'!G9</f>
        <v/>
      </c>
      <c r="H9" s="24" t="s">
        <v>35</v>
      </c>
      <c r="I9" s="25"/>
      <c r="J9" s="25"/>
      <c r="K9" s="25"/>
      <c r="L9" s="25"/>
      <c r="M9" s="26"/>
    </row>
    <row r="10">
      <c r="A10" s="15" t="str">
        <f>'MSW22'!A10</f>
        <v>PRESS TO RECORD BODY WEIGHT</v>
      </c>
      <c r="B10" s="16"/>
      <c r="C10" s="16"/>
      <c r="D10" s="16"/>
      <c r="E10" s="16"/>
      <c r="F10" s="17"/>
      <c r="H10" s="27" t="s">
        <v>400</v>
      </c>
      <c r="M10" s="28"/>
    </row>
    <row r="11">
      <c r="A11" s="18"/>
      <c r="B11" s="13"/>
      <c r="C11" s="13"/>
      <c r="D11" s="13"/>
      <c r="E11" s="13"/>
      <c r="F11" s="14"/>
      <c r="H11" s="29" t="s">
        <v>401</v>
      </c>
      <c r="I11" s="30"/>
      <c r="J11" s="30"/>
      <c r="K11" s="30"/>
      <c r="L11" s="30"/>
      <c r="M11" s="31"/>
    </row>
    <row r="12">
      <c r="A12" s="19" t="str">
        <f>'MSW22'!A12</f>
        <v>This Weeks Goals</v>
      </c>
      <c r="B12" s="20"/>
      <c r="C12" s="20"/>
      <c r="D12" s="20"/>
      <c r="E12" s="20"/>
      <c r="F12" s="21"/>
      <c r="G12" s="103" t="str">
        <f>'MSW22'!G12</f>
        <v/>
      </c>
    </row>
    <row r="13">
      <c r="A13" s="22" t="str">
        <f>'MSW22'!A13</f>
        <v>Get mentally prepared to lift some heavy weights this week. Strive for bettering yourself and achieving those new max reps. Remember keep proper form during all reps or it doesn't really count. No Cheating! Happy lifting. </v>
      </c>
      <c r="B13" s="20"/>
      <c r="C13" s="20"/>
      <c r="D13" s="20"/>
      <c r="E13" s="20"/>
      <c r="F13" s="21"/>
    </row>
    <row r="14">
      <c r="A14" t="str">
        <f>'MSW22'!A14</f>
        <v/>
      </c>
    </row>
    <row r="15">
      <c r="A15" s="51" t="str">
        <f>'MSW22'!A15</f>
        <v>CHEST &amp; BACK </v>
      </c>
      <c r="B15" s="36"/>
      <c r="C15" s="36"/>
      <c r="D15" s="36"/>
      <c r="E15" s="36"/>
      <c r="F15" s="37"/>
      <c r="G15" t="str">
        <f>'MSW22'!G15</f>
        <v/>
      </c>
      <c r="H15" s="51" t="str">
        <f>'MSW22'!H15</f>
        <v>CHEST &amp; BACK </v>
      </c>
      <c r="I15" s="36"/>
      <c r="J15" s="36"/>
      <c r="K15" s="36"/>
      <c r="L15" s="36"/>
      <c r="M15" s="37"/>
    </row>
    <row r="16">
      <c r="A16" s="93" t="str">
        <f>'MSW22'!A16</f>
        <v>1. BENCH PRESS</v>
      </c>
      <c r="B16" s="53"/>
      <c r="C16" s="53"/>
      <c r="D16" s="53"/>
      <c r="E16" s="53"/>
      <c r="F16" s="54"/>
      <c r="H16" s="93" t="str">
        <f>'MSW22'!H16</f>
        <v>1. DUMBELL INCLINE</v>
      </c>
      <c r="I16" s="53"/>
      <c r="J16" s="53"/>
      <c r="K16" s="53"/>
      <c r="L16" s="53"/>
      <c r="M16" s="54"/>
    </row>
    <row r="17">
      <c r="A17" s="226" t="str">
        <f>'MSW22'!A17</f>
        <v>CURRENT MAX</v>
      </c>
      <c r="B17" s="691" t="str">
        <f>'MSW22'!B17</f>
        <v/>
      </c>
      <c r="C17" s="13"/>
      <c r="D17" s="13"/>
      <c r="E17" s="13"/>
      <c r="F17" s="57"/>
      <c r="H17" s="226" t="str">
        <f>'MSW22'!H17</f>
        <v>CURRENT MAX</v>
      </c>
      <c r="I17" s="691" t="str">
        <f>'MSW22'!I17</f>
        <v/>
      </c>
      <c r="J17" s="13"/>
      <c r="K17" s="13"/>
      <c r="L17" s="13"/>
      <c r="M17" s="57"/>
    </row>
    <row r="18">
      <c r="A18" s="96" t="str">
        <f>'MSW22'!A18</f>
        <v>SET</v>
      </c>
      <c r="B18" s="97" t="str">
        <f>'MSW22'!B18</f>
        <v>WEIGHT</v>
      </c>
      <c r="C18" s="97" t="str">
        <f>'MSW22'!C18</f>
        <v>REPS</v>
      </c>
      <c r="D18" s="97" t="str">
        <f>'MSW22'!D18</f>
        <v>REST</v>
      </c>
      <c r="E18" s="98" t="str">
        <f>'MSW22'!E18</f>
        <v>PREVIOUS</v>
      </c>
      <c r="F18" s="235" t="str">
        <f>'MSW22'!F18</f>
        <v>REP LOG</v>
      </c>
      <c r="H18" s="96" t="str">
        <f>'MSW22'!H18</f>
        <v>SET</v>
      </c>
      <c r="I18" s="97" t="str">
        <f>'MSW22'!I18</f>
        <v>WEIGHT</v>
      </c>
      <c r="J18" s="97" t="str">
        <f>'MSW22'!J18</f>
        <v>REPS</v>
      </c>
      <c r="K18" s="97" t="str">
        <f>'MSW22'!K18</f>
        <v>REST</v>
      </c>
      <c r="L18" s="341" t="str">
        <f>'MSW22'!L18</f>
        <v>PREVIOUS</v>
      </c>
      <c r="M18" s="235" t="str">
        <f>'MSW22'!M18</f>
        <v>REP LOG</v>
      </c>
    </row>
    <row r="19">
      <c r="A19" s="725">
        <f>'MSW22'!A19</f>
        <v>1</v>
      </c>
      <c r="B19" s="344">
        <f>'MSW22'!B19</f>
        <v>0</v>
      </c>
      <c r="C19" s="1250" t="str">
        <f>'MSW22'!C19</f>
        <v>REP OUT</v>
      </c>
      <c r="D19" s="1251" t="str">
        <f>'MSW22'!D19</f>
        <v>1.5 - 3MIN</v>
      </c>
      <c r="E19" s="84" t="str">
        <f>'MSW22'!E19</f>
        <v/>
      </c>
      <c r="F19" s="85" t="str">
        <f>'MSW22'!F19</f>
        <v/>
      </c>
      <c r="H19" s="342">
        <f>'MSW22'!H19</f>
        <v>1</v>
      </c>
      <c r="I19" s="344">
        <f>'MSW22'!I19</f>
        <v>0</v>
      </c>
      <c r="J19" s="1250" t="str">
        <f>'MSW22'!J19</f>
        <v>REP OUT</v>
      </c>
      <c r="K19" s="343" t="str">
        <f>'MSW22'!K19</f>
        <v>1 MIN</v>
      </c>
      <c r="L19" s="84" t="str">
        <f>'MSW22'!L19</f>
        <v/>
      </c>
      <c r="M19" s="85">
        <v>20.0</v>
      </c>
    </row>
    <row r="20">
      <c r="A20" s="342">
        <f>'MSW22'!A20</f>
        <v>2</v>
      </c>
      <c r="B20" s="344">
        <f>'MSW22'!B20</f>
        <v>0</v>
      </c>
      <c r="C20" s="1250" t="str">
        <f>'MSW22'!C20</f>
        <v>REP OUT</v>
      </c>
      <c r="D20" s="1251" t="str">
        <f>'MSW22'!D20</f>
        <v>1.5 - 3MIN</v>
      </c>
      <c r="E20" s="84" t="str">
        <f>'MSW22'!E20</f>
        <v/>
      </c>
      <c r="F20" s="85" t="str">
        <f>'MSW22'!F20</f>
        <v/>
      </c>
      <c r="H20" s="725" t="str">
        <f>'MSW22'!H20</f>
        <v/>
      </c>
      <c r="I20" s="344" t="str">
        <f>'MSW22'!I20</f>
        <v/>
      </c>
      <c r="J20" s="1250" t="str">
        <f>'MSW22'!J20</f>
        <v/>
      </c>
      <c r="K20" s="343" t="str">
        <f>'MSW22'!K20</f>
        <v/>
      </c>
      <c r="L20" s="84" t="str">
        <f>'MSW22'!L20</f>
        <v/>
      </c>
      <c r="M20" s="85" t="str">
        <f>'MSW22'!M20</f>
        <v/>
      </c>
    </row>
    <row r="21">
      <c r="A21" s="735">
        <f>'MSW22'!A21</f>
        <v>3</v>
      </c>
      <c r="B21" s="1252">
        <f>'MSW22'!B21</f>
        <v>0</v>
      </c>
      <c r="C21" s="1253" t="str">
        <f>'MSW22'!C21</f>
        <v>REP OUT</v>
      </c>
      <c r="D21" s="1254" t="str">
        <f>'MSW22'!D21</f>
        <v>1.5 - 3MIN</v>
      </c>
      <c r="E21" s="84" t="str">
        <f>'MSW22'!E21</f>
        <v/>
      </c>
      <c r="F21" s="330" t="str">
        <f>'MSW22'!F21</f>
        <v/>
      </c>
      <c r="H21" s="725" t="str">
        <f>'MSW22'!H21</f>
        <v/>
      </c>
      <c r="I21" s="344" t="str">
        <f>'MSW22'!I21</f>
        <v/>
      </c>
      <c r="J21" s="1250" t="str">
        <f>'MSW22'!J21</f>
        <v/>
      </c>
      <c r="K21" s="343" t="str">
        <f>'MSW22'!K21</f>
        <v/>
      </c>
      <c r="L21" s="84" t="str">
        <f>'MSW22'!L21</f>
        <v/>
      </c>
      <c r="M21" s="85" t="str">
        <f>'MSW22'!M21</f>
        <v/>
      </c>
    </row>
    <row r="22">
      <c r="A22" s="1471" t="str">
        <f>'MSW22'!A22</f>
        <v/>
      </c>
      <c r="B22" s="25"/>
      <c r="C22" s="25"/>
      <c r="D22" s="25"/>
      <c r="E22" s="25"/>
      <c r="F22" s="25"/>
      <c r="G22" t="str">
        <f>'MSW22'!G22</f>
        <v/>
      </c>
      <c r="H22" s="725" t="str">
        <f>'MSW22'!H22</f>
        <v/>
      </c>
      <c r="I22" s="344" t="str">
        <f>'MSW22'!I22</f>
        <v/>
      </c>
      <c r="J22" s="1250" t="str">
        <f>'MSW22'!J22</f>
        <v/>
      </c>
      <c r="K22" s="343" t="str">
        <f>'MSW22'!K22</f>
        <v/>
      </c>
      <c r="L22" s="84" t="str">
        <f>'MSW22'!L22</f>
        <v/>
      </c>
      <c r="M22" s="85" t="str">
        <f>'MSW22'!M22</f>
        <v/>
      </c>
    </row>
    <row r="23">
      <c r="H23" s="725" t="str">
        <f>'MSW22'!H23</f>
        <v/>
      </c>
      <c r="I23" s="344" t="str">
        <f>'MSW22'!I23</f>
        <v/>
      </c>
      <c r="J23" s="1250" t="str">
        <f>'MSW22'!J23</f>
        <v/>
      </c>
      <c r="K23" s="343" t="str">
        <f>'MSW22'!K23</f>
        <v/>
      </c>
      <c r="L23" s="84" t="str">
        <f>'MSW22'!L23</f>
        <v/>
      </c>
      <c r="M23" s="85" t="str">
        <f>'MSW22'!M23</f>
        <v/>
      </c>
    </row>
    <row r="24">
      <c r="H24" s="753" t="str">
        <f>'MSW22'!H24</f>
        <v/>
      </c>
      <c r="I24" s="754" t="str">
        <f>'MSW22'!I24</f>
        <v/>
      </c>
      <c r="J24" s="1282" t="str">
        <f>'MSW22'!J24</f>
        <v/>
      </c>
      <c r="K24" s="486" t="str">
        <f>'MSW22'!K24</f>
        <v/>
      </c>
      <c r="L24" s="89" t="str">
        <f>'MSW22'!L24</f>
        <v/>
      </c>
      <c r="M24" s="85" t="str">
        <f>'MSW22'!M24</f>
        <v/>
      </c>
    </row>
    <row r="25">
      <c r="G25" t="str">
        <f>'MSW22'!G25</f>
        <v/>
      </c>
    </row>
    <row r="27">
      <c r="A27" s="73" t="str">
        <f>'MSW22'!A27</f>
        <v>3. MACHINE LOW ROW </v>
      </c>
      <c r="B27" s="53"/>
      <c r="C27" s="53"/>
      <c r="D27" s="53"/>
      <c r="E27" s="53"/>
      <c r="F27" s="54"/>
    </row>
    <row r="28">
      <c r="A28" s="226" t="str">
        <f>'MSW22'!A28</f>
        <v>CURRENT MAX</v>
      </c>
      <c r="B28" s="227">
        <f>'MSW22'!B28</f>
        <v>270</v>
      </c>
      <c r="C28" s="20"/>
      <c r="D28" s="20"/>
      <c r="E28" s="20"/>
      <c r="F28" s="95"/>
    </row>
    <row r="29">
      <c r="A29" s="231" t="str">
        <f>'MSW22'!A29</f>
        <v>SET</v>
      </c>
      <c r="B29" s="232" t="str">
        <f>'MSW22'!B29</f>
        <v>WEIGHT</v>
      </c>
      <c r="C29" s="232" t="str">
        <f>'MSW22'!C29</f>
        <v>REPS</v>
      </c>
      <c r="D29" s="232" t="str">
        <f>'MSW22'!D29</f>
        <v>REST</v>
      </c>
      <c r="E29" s="233" t="str">
        <f>'MSW22'!E29</f>
        <v>PREVIOUS</v>
      </c>
      <c r="F29" s="61" t="str">
        <f>'MSW22'!F29</f>
        <v>REP LOG</v>
      </c>
    </row>
    <row r="30">
      <c r="A30" s="236">
        <f>'MSW22'!A30</f>
        <v>1</v>
      </c>
      <c r="B30" s="237">
        <f>'MSW22'!B30</f>
        <v>95</v>
      </c>
      <c r="C30" s="237">
        <f>'MSW22'!C30</f>
        <v>6</v>
      </c>
      <c r="D30" s="238" t="str">
        <f>'MSW22'!D30</f>
        <v>30s</v>
      </c>
      <c r="E30" s="727" t="str">
        <f>'MSW22'!E30</f>
        <v/>
      </c>
      <c r="F30" s="67" t="str">
        <f>'MSW22'!F30</f>
        <v/>
      </c>
    </row>
    <row r="31">
      <c r="A31" s="236">
        <f>'MSW22'!A31</f>
        <v>2</v>
      </c>
      <c r="B31" s="237">
        <f>'MSW22'!B31</f>
        <v>175</v>
      </c>
      <c r="C31" s="238">
        <f>'MSW22'!C31</f>
        <v>3</v>
      </c>
      <c r="D31" s="238" t="str">
        <f>'MSW22'!D31</f>
        <v>1-2 MIN</v>
      </c>
      <c r="E31" s="727" t="str">
        <f>'MSW22'!E31</f>
        <v/>
      </c>
      <c r="F31" s="67" t="str">
        <f>'MSW22'!F31</f>
        <v/>
      </c>
    </row>
    <row r="32">
      <c r="A32" s="242">
        <f>'MSW22'!A32</f>
        <v>3</v>
      </c>
      <c r="B32" s="237">
        <f>'MSW22'!B32</f>
        <v>245</v>
      </c>
      <c r="C32" s="63">
        <f>'MSW22'!C32</f>
        <v>2</v>
      </c>
      <c r="D32" s="238" t="str">
        <f>'MSW22'!D32</f>
        <v>1-2 MIN</v>
      </c>
      <c r="E32" s="727" t="str">
        <f>'MSW22'!E32</f>
        <v/>
      </c>
      <c r="F32" s="67" t="str">
        <f>'MSW22'!F32</f>
        <v/>
      </c>
    </row>
    <row r="33">
      <c r="A33" s="243">
        <f>'MSW22'!A33</f>
        <v>4</v>
      </c>
      <c r="B33" s="237">
        <f>'MSW22'!B33</f>
        <v>270</v>
      </c>
      <c r="C33" s="257">
        <f>'MSW22'!C33</f>
        <v>3</v>
      </c>
      <c r="D33" s="238" t="str">
        <f>'MSW22'!D33</f>
        <v>1-5 MIN</v>
      </c>
      <c r="E33" s="727" t="str">
        <f>'MSW22'!E33</f>
        <v/>
      </c>
      <c r="F33" s="67" t="str">
        <f>'MSW22'!F33</f>
        <v/>
      </c>
    </row>
    <row r="34">
      <c r="A34" s="246" t="str">
        <f>'MSW22'!A34</f>
        <v>PROCEED TO DOWN SETS</v>
      </c>
      <c r="B34" s="20"/>
      <c r="C34" s="20"/>
      <c r="D34" s="20"/>
      <c r="E34" s="20"/>
      <c r="F34" s="95"/>
    </row>
    <row r="35">
      <c r="A35" s="249" t="str">
        <f>'MSW22'!A35</f>
        <v/>
      </c>
      <c r="B35" s="175" t="str">
        <f>'MSW22'!B35</f>
        <v/>
      </c>
      <c r="C35" s="238" t="str">
        <f>'MSW22'!C35</f>
        <v/>
      </c>
      <c r="D35" s="238" t="str">
        <f>'MSW22'!D35</f>
        <v/>
      </c>
      <c r="E35" s="727" t="str">
        <f>'MSW22'!E35</f>
        <v/>
      </c>
      <c r="F35" s="67" t="str">
        <f>'MSW22'!F35</f>
        <v/>
      </c>
    </row>
    <row r="36">
      <c r="A36" s="259" t="str">
        <f>'MSW22'!A36</f>
        <v/>
      </c>
      <c r="B36" s="237" t="str">
        <f>'MSW22'!B36</f>
        <v/>
      </c>
      <c r="C36" s="257" t="str">
        <f>'MSW22'!C36</f>
        <v/>
      </c>
      <c r="D36" s="257" t="str">
        <f>'MSW22'!D36</f>
        <v/>
      </c>
      <c r="E36" s="727" t="str">
        <f>'MSW22'!E36</f>
        <v/>
      </c>
      <c r="F36" s="67" t="str">
        <f>'MSW22'!F36</f>
        <v/>
      </c>
    </row>
    <row r="37">
      <c r="A37" s="246" t="str">
        <f>'MSW22'!A37</f>
        <v>DOWN SETS</v>
      </c>
      <c r="B37" s="20"/>
      <c r="C37" s="20"/>
      <c r="D37" s="20"/>
      <c r="E37" s="20"/>
      <c r="F37" s="95"/>
    </row>
    <row r="38">
      <c r="A38" s="264" t="str">
        <f>'MSW22'!A38</f>
        <v/>
      </c>
      <c r="B38" s="265">
        <f>'MSW22'!B38</f>
        <v>0</v>
      </c>
      <c r="C38" s="266" t="str">
        <f>'MSW22'!C38</f>
        <v>REP OUT</v>
      </c>
      <c r="D38" s="267" t="str">
        <f>'MSW22'!D38</f>
        <v>1-3 MIN</v>
      </c>
      <c r="E38" s="727" t="str">
        <f>'MSW22'!E38</f>
        <v/>
      </c>
      <c r="F38" s="67" t="str">
        <f>'MSW22'!F38</f>
        <v/>
      </c>
    </row>
    <row r="39">
      <c r="A39" s="243" t="str">
        <f>'MSW22'!A39</f>
        <v/>
      </c>
      <c r="B39" s="237">
        <f>'MSW22'!B39</f>
        <v>0</v>
      </c>
      <c r="C39" s="245" t="str">
        <f>'MSW22'!C39</f>
        <v>REP OUT</v>
      </c>
      <c r="D39" s="65" t="str">
        <f>'MSW22'!D39</f>
        <v>1-3 MIN</v>
      </c>
      <c r="E39" s="727" t="str">
        <f>'MSW22'!E39</f>
        <v/>
      </c>
      <c r="F39" s="271" t="str">
        <f>'MSW22'!F39</f>
        <v/>
      </c>
    </row>
    <row r="40">
      <c r="A40" s="228" t="str">
        <f>'MSW22'!A40</f>
        <v>FINAL MAX</v>
      </c>
      <c r="B40" s="549" t="str">
        <f>'MSW22'!B40</f>
        <v/>
      </c>
      <c r="F40" s="28"/>
    </row>
    <row r="41">
      <c r="A41" s="750" t="str">
        <f>'MSW22'!A41</f>
        <v/>
      </c>
      <c r="B41" s="36"/>
      <c r="C41" s="36"/>
      <c r="D41" s="36"/>
      <c r="E41" s="36"/>
      <c r="F41" s="36"/>
    </row>
    <row r="42">
      <c r="A42" s="751" t="str">
        <f>'MSW22'!A42</f>
        <v>4. MACHINE HIGH ROW</v>
      </c>
      <c r="B42" s="13"/>
      <c r="C42" s="13"/>
      <c r="D42" s="13"/>
      <c r="E42" s="13"/>
      <c r="F42" s="57"/>
    </row>
    <row r="43">
      <c r="A43" s="226" t="str">
        <f>'MSW22'!A43</f>
        <v>CURRENT MAX</v>
      </c>
      <c r="B43" s="691" t="str">
        <f>'MSW22'!B43</f>
        <v/>
      </c>
      <c r="C43" s="13"/>
      <c r="D43" s="13"/>
      <c r="E43" s="13"/>
      <c r="F43" s="57"/>
    </row>
    <row r="44">
      <c r="A44" s="96" t="str">
        <f>'MSW22'!A44</f>
        <v>SET</v>
      </c>
      <c r="B44" s="97" t="str">
        <f>'MSW22'!B44</f>
        <v>WEIGHT</v>
      </c>
      <c r="C44" s="97" t="str">
        <f>'MSW22'!C44</f>
        <v>REPS</v>
      </c>
      <c r="D44" s="97" t="str">
        <f>'MSW22'!D44</f>
        <v>REST</v>
      </c>
      <c r="E44" s="341" t="str">
        <f>'MSW22'!E44</f>
        <v>PREVIOUS</v>
      </c>
      <c r="F44" s="235" t="str">
        <f>'MSW22'!F44</f>
        <v>REP LOG</v>
      </c>
    </row>
    <row r="45">
      <c r="A45" s="725">
        <f>'MSW22'!A45</f>
        <v>1</v>
      </c>
      <c r="B45" s="344">
        <f>'MSW22'!B45</f>
        <v>0</v>
      </c>
      <c r="C45" s="437" t="str">
        <f>'MSW22'!C45</f>
        <v>REP OUT</v>
      </c>
      <c r="D45" s="343" t="str">
        <f>'MSW22'!D45</f>
        <v>1-3 MIN</v>
      </c>
      <c r="E45" s="727" t="str">
        <f>'MSW22'!E45</f>
        <v/>
      </c>
      <c r="F45" s="85" t="str">
        <f>'MSW22'!F45</f>
        <v/>
      </c>
    </row>
    <row r="46">
      <c r="A46" s="725">
        <f>'MSW22'!A46</f>
        <v>2</v>
      </c>
      <c r="B46" s="344">
        <f>'MSW22'!B46</f>
        <v>0</v>
      </c>
      <c r="C46" s="437" t="str">
        <f>'MSW22'!C46</f>
        <v>REP OUT</v>
      </c>
      <c r="D46" s="343" t="str">
        <f>'MSW22'!D46</f>
        <v>1-3 MIN</v>
      </c>
      <c r="E46" s="727" t="str">
        <f>'MSW22'!E46</f>
        <v/>
      </c>
      <c r="F46" s="85" t="str">
        <f>'MSW22'!F46</f>
        <v/>
      </c>
    </row>
    <row r="47">
      <c r="A47" s="753">
        <f>'MSW22'!A47</f>
        <v>3</v>
      </c>
      <c r="B47" s="754">
        <f>'MSW22'!B47</f>
        <v>0</v>
      </c>
      <c r="C47" s="733" t="str">
        <f>'MSW22'!C47</f>
        <v>REP OUT</v>
      </c>
      <c r="D47" s="486" t="str">
        <f>'MSW22'!D47</f>
        <v>1-3 MIN</v>
      </c>
      <c r="E47" s="734" t="str">
        <f>'MSW22'!E47</f>
        <v/>
      </c>
      <c r="F47" s="85" t="str">
        <f>'MSW22'!F47</f>
        <v/>
      </c>
    </row>
    <row r="48">
      <c r="A48" s="756" t="str">
        <f>'MSW22'!A48</f>
        <v/>
      </c>
    </row>
    <row r="50">
      <c r="A50" s="73" t="str">
        <f>'MSW22'!A50</f>
        <v>5. LAT PULL DOWN</v>
      </c>
      <c r="B50" s="53"/>
      <c r="C50" s="53"/>
      <c r="D50" s="53"/>
      <c r="E50" s="53"/>
      <c r="F50" s="54"/>
    </row>
    <row r="51">
      <c r="A51" s="226" t="str">
        <f>'MSW22'!A51</f>
        <v>CURRENT MAX</v>
      </c>
      <c r="B51" s="691" t="str">
        <f>'MSW22'!B51</f>
        <v/>
      </c>
      <c r="C51" s="13"/>
      <c r="D51" s="13"/>
      <c r="E51" s="13"/>
      <c r="F51" s="57"/>
    </row>
    <row r="52">
      <c r="A52" s="96" t="str">
        <f>'MSW22'!A52</f>
        <v>SET</v>
      </c>
      <c r="B52" s="97" t="str">
        <f>'MSW22'!B52</f>
        <v>WEIGHT</v>
      </c>
      <c r="C52" s="97" t="str">
        <f>'MSW22'!C52</f>
        <v>REPS</v>
      </c>
      <c r="D52" s="97" t="str">
        <f>'MSW22'!D52</f>
        <v>REST</v>
      </c>
      <c r="E52" s="341" t="str">
        <f>'MSW22'!E52</f>
        <v>PREVIOUS</v>
      </c>
      <c r="F52" s="235" t="str">
        <f>'MSW22'!F52</f>
        <v>REP LOG</v>
      </c>
    </row>
    <row r="53">
      <c r="A53" s="725">
        <f>'MSW22'!A53</f>
        <v>1</v>
      </c>
      <c r="B53" s="344">
        <f>'MSW22'!B53</f>
        <v>0</v>
      </c>
      <c r="C53" s="437" t="str">
        <f>'MSW22'!C53</f>
        <v>REP OUT</v>
      </c>
      <c r="D53" s="343" t="str">
        <f>'MSW22'!D53</f>
        <v>1-3 MIN</v>
      </c>
      <c r="E53" s="727" t="str">
        <f>'MSW22'!E53</f>
        <v/>
      </c>
      <c r="F53" s="85" t="str">
        <f>'MSW22'!F53</f>
        <v/>
      </c>
    </row>
    <row r="54">
      <c r="A54" s="725">
        <f>'MSW22'!A54</f>
        <v>2</v>
      </c>
      <c r="B54" s="344">
        <f>'MSW22'!B54</f>
        <v>0</v>
      </c>
      <c r="C54" s="437" t="str">
        <f>'MSW22'!C54</f>
        <v>REP OUT</v>
      </c>
      <c r="D54" s="343" t="str">
        <f>'MSW22'!D54</f>
        <v>1-3 MIN</v>
      </c>
      <c r="E54" s="727" t="str">
        <f>'MSW22'!E54</f>
        <v/>
      </c>
      <c r="F54" s="85" t="str">
        <f>'MSW22'!F54</f>
        <v/>
      </c>
    </row>
    <row r="55">
      <c r="A55" s="753">
        <f>'MSW22'!A55</f>
        <v>3</v>
      </c>
      <c r="B55" s="754">
        <f>'MSW22'!B55</f>
        <v>0</v>
      </c>
      <c r="C55" s="733" t="str">
        <f>'MSW22'!C55</f>
        <v>REP OUT</v>
      </c>
      <c r="D55" s="486" t="str">
        <f>'MSW22'!D55</f>
        <v>1-3 MIN</v>
      </c>
      <c r="E55" s="734" t="str">
        <f>'MSW22'!E55</f>
        <v/>
      </c>
      <c r="F55" s="85" t="str">
        <f>'MSW22'!F55</f>
        <v/>
      </c>
    </row>
    <row r="56">
      <c r="A56" s="1157" t="str">
        <f>'MSW22'!A56</f>
        <v/>
      </c>
      <c r="F56" s="39"/>
    </row>
    <row r="57">
      <c r="A57" s="310" t="str">
        <f>'MSW22'!A57</f>
        <v>CLICK TO COMPLETE WORKOUT</v>
      </c>
      <c r="B57" s="36"/>
      <c r="C57" s="36"/>
      <c r="D57" s="36"/>
      <c r="E57" s="36"/>
      <c r="F57" s="37"/>
    </row>
    <row r="58">
      <c r="A58" s="1472" t="str">
        <f>'MSW22'!A58</f>
        <v/>
      </c>
    </row>
    <row r="59">
      <c r="A59" s="529"/>
    </row>
    <row r="60">
      <c r="A60" s="50" t="str">
        <f>'MSW22'!A60</f>
        <v>DAY 2 </v>
      </c>
      <c r="B60" s="36"/>
      <c r="C60" s="36"/>
      <c r="D60" s="36"/>
      <c r="E60" s="36"/>
      <c r="F60" s="37"/>
    </row>
    <row r="61">
      <c r="A61" t="str">
        <f>'MSW22'!A61</f>
        <v/>
      </c>
    </row>
    <row r="62">
      <c r="A62" s="1355" t="str">
        <f>'MSW22'!A62</f>
        <v>1. MACHINE SQUAT</v>
      </c>
      <c r="B62" s="53"/>
      <c r="C62" s="53"/>
      <c r="D62" s="53"/>
      <c r="E62" s="53"/>
      <c r="F62" s="54"/>
    </row>
    <row r="63">
      <c r="A63" s="1262" t="str">
        <f>'MSW22'!A63</f>
        <v>10 REP MAX</v>
      </c>
      <c r="B63" s="1035">
        <f>'MSW22'!B63</f>
        <v>100</v>
      </c>
      <c r="C63" s="13"/>
      <c r="D63" s="13"/>
      <c r="E63" s="13"/>
      <c r="F63" s="57"/>
    </row>
    <row r="64">
      <c r="A64" s="231" t="str">
        <f>'MSW22'!A64</f>
        <v>SET</v>
      </c>
      <c r="B64" s="232" t="str">
        <f>'MSW22'!B64</f>
        <v>WEIGHT</v>
      </c>
      <c r="C64" s="232" t="str">
        <f>'MSW22'!C64</f>
        <v>REPS</v>
      </c>
      <c r="D64" s="232" t="str">
        <f>'MSW22'!D64</f>
        <v>REST</v>
      </c>
      <c r="E64" s="233" t="str">
        <f>'MSW22'!E64</f>
        <v>PREVIOUS</v>
      </c>
      <c r="F64" s="61" t="str">
        <f>'MSW22'!F64</f>
        <v>REP LOG</v>
      </c>
    </row>
    <row r="65">
      <c r="A65" s="236">
        <f>'MSW22'!A65</f>
        <v>1</v>
      </c>
      <c r="B65" s="237">
        <f>'MSW22'!B65</f>
        <v>35</v>
      </c>
      <c r="C65" s="238">
        <f>'MSW22'!C65</f>
        <v>10</v>
      </c>
      <c r="D65" s="238" t="str">
        <f>'MSW22'!D65</f>
        <v>30s</v>
      </c>
      <c r="E65" s="66" t="str">
        <f>'MSW22'!E65</f>
        <v/>
      </c>
      <c r="F65" s="67" t="str">
        <f>'MSW22'!F65</f>
        <v/>
      </c>
    </row>
    <row r="66">
      <c r="A66" s="236">
        <f>'MSW22'!A66</f>
        <v>2</v>
      </c>
      <c r="B66" s="237">
        <f>'MSW22'!B66</f>
        <v>65</v>
      </c>
      <c r="C66" s="238">
        <f>'MSW22'!C66</f>
        <v>10</v>
      </c>
      <c r="D66" s="238" t="str">
        <f>'MSW22'!D66</f>
        <v>1-2 MIN</v>
      </c>
      <c r="E66" s="66" t="str">
        <f>'MSW22'!E66</f>
        <v/>
      </c>
      <c r="F66" s="67" t="str">
        <f>'MSW22'!F66</f>
        <v/>
      </c>
    </row>
    <row r="67">
      <c r="A67" s="242">
        <f>'MSW22'!A67</f>
        <v>3</v>
      </c>
      <c r="B67" s="237">
        <f>'MSW22'!B67</f>
        <v>90</v>
      </c>
      <c r="C67" s="238">
        <f>'MSW22'!C67</f>
        <v>10</v>
      </c>
      <c r="D67" s="238" t="str">
        <f>'MSW22'!D67</f>
        <v>1-2 MIN</v>
      </c>
      <c r="E67" s="66" t="str">
        <f>'MSW22'!E67</f>
        <v/>
      </c>
      <c r="F67" s="67" t="str">
        <f>'MSW22'!F67</f>
        <v/>
      </c>
    </row>
    <row r="68">
      <c r="A68" s="249">
        <f>'MSW22'!A68</f>
        <v>4</v>
      </c>
      <c r="B68" s="175">
        <f>'MSW22'!B68</f>
        <v>70</v>
      </c>
      <c r="C68" s="238">
        <f>'MSW22'!C68</f>
        <v>10</v>
      </c>
      <c r="D68" s="238" t="str">
        <f>'MSW22'!D68</f>
        <v>1-5 MIN</v>
      </c>
      <c r="E68" s="66" t="str">
        <f>'MSW22'!E68</f>
        <v/>
      </c>
      <c r="F68" s="67" t="str">
        <f>'MSW22'!F68</f>
        <v/>
      </c>
    </row>
    <row r="69">
      <c r="A69" s="249">
        <f>'MSW22'!A69</f>
        <v>5</v>
      </c>
      <c r="B69" s="175">
        <f>'MSW22'!B69</f>
        <v>55</v>
      </c>
      <c r="C69" s="238">
        <f>'MSW22'!C69</f>
        <v>10</v>
      </c>
      <c r="D69" s="238" t="str">
        <f>'MSW22'!D69</f>
        <v>1-5 MIN</v>
      </c>
      <c r="E69" s="66" t="str">
        <f>'MSW22'!E69</f>
        <v/>
      </c>
      <c r="F69" s="1037" t="str">
        <f>'MSW22'!F69</f>
        <v/>
      </c>
    </row>
    <row r="70">
      <c r="A70" s="249">
        <f>'MSW22'!A70</f>
        <v>6</v>
      </c>
      <c r="B70" s="175">
        <f>'MSW22'!B70</f>
        <v>45</v>
      </c>
      <c r="C70" s="238">
        <f>'MSW22'!C70</f>
        <v>10</v>
      </c>
      <c r="D70" s="238" t="str">
        <f>'MSW22'!D70</f>
        <v>1-5 MIN</v>
      </c>
      <c r="E70" s="66" t="str">
        <f>'MSW22'!E70</f>
        <v/>
      </c>
      <c r="F70" s="67" t="str">
        <f>'MSW22'!F70</f>
        <v/>
      </c>
    </row>
    <row r="71">
      <c r="A71" s="1038">
        <f>'MSW22'!A71</f>
        <v>7</v>
      </c>
      <c r="B71" s="175">
        <f>'MSW22'!B71</f>
        <v>35</v>
      </c>
      <c r="C71" s="238">
        <f>'MSW22'!C71</f>
        <v>10</v>
      </c>
      <c r="D71" s="238" t="str">
        <f>'MSW22'!D71</f>
        <v>1-5 MIN</v>
      </c>
      <c r="E71" s="66" t="str">
        <f>'MSW22'!E71</f>
        <v/>
      </c>
      <c r="F71" s="67" t="str">
        <f>'MSW22'!F71</f>
        <v/>
      </c>
    </row>
    <row r="72">
      <c r="A72" s="249">
        <f>'MSW22'!A72</f>
        <v>8</v>
      </c>
      <c r="B72" s="175">
        <f>'MSW22'!B72</f>
        <v>30</v>
      </c>
      <c r="C72" s="238">
        <f>'MSW22'!C72</f>
        <v>10</v>
      </c>
      <c r="D72" s="238" t="str">
        <f>'MSW22'!D72</f>
        <v>1-5 MIN</v>
      </c>
      <c r="E72" s="66" t="str">
        <f>'MSW22'!E72</f>
        <v/>
      </c>
      <c r="F72" s="67" t="str">
        <f>'MSW22'!F72</f>
        <v/>
      </c>
    </row>
    <row r="73">
      <c r="A73" s="1038">
        <f>'MSW22'!A73</f>
        <v>9</v>
      </c>
      <c r="B73" s="175">
        <f>'MSW22'!B73</f>
        <v>25</v>
      </c>
      <c r="C73" s="238">
        <f>'MSW22'!C73</f>
        <v>10</v>
      </c>
      <c r="D73" s="238" t="str">
        <f>'MSW22'!D73</f>
        <v>1-5 MIN</v>
      </c>
      <c r="E73" s="1108" t="str">
        <f>'MSW22'!E73</f>
        <v/>
      </c>
      <c r="F73" s="67" t="str">
        <f>'MSW22'!F73</f>
        <v/>
      </c>
    </row>
    <row r="74">
      <c r="A74" s="1038" t="str">
        <f>'MSW22'!A74</f>
        <v>10</v>
      </c>
      <c r="B74" s="175">
        <f>'MSW22'!B74</f>
        <v>20</v>
      </c>
      <c r="C74" s="238">
        <f>'MSW22'!C74</f>
        <v>10</v>
      </c>
      <c r="D74" s="238" t="str">
        <f>'MSW22'!D74</f>
        <v>1-5 MIN</v>
      </c>
      <c r="E74" s="1108" t="str">
        <f>'MSW22'!E74</f>
        <v/>
      </c>
      <c r="F74" s="67" t="str">
        <f>'MSW22'!F74</f>
        <v/>
      </c>
    </row>
    <row r="75">
      <c r="A75" s="272" t="str">
        <f>'MSW22'!A75</f>
        <v>10 REP MAX</v>
      </c>
      <c r="B75" s="1109">
        <f>'MSW22'!B75</f>
        <v>100</v>
      </c>
      <c r="C75" s="11"/>
      <c r="D75" s="11"/>
      <c r="E75" s="11"/>
      <c r="F75" s="46"/>
    </row>
    <row r="76">
      <c r="A76" t="str">
        <f>'MSW22'!A76</f>
        <v/>
      </c>
    </row>
    <row r="78">
      <c r="A78" s="1285" t="str">
        <f>'MSW22'!A78</f>
        <v>2. LEG EXTENSION</v>
      </c>
      <c r="B78" s="53"/>
      <c r="C78" s="53"/>
      <c r="D78" s="53"/>
      <c r="E78" s="53"/>
      <c r="F78" s="54"/>
    </row>
    <row r="79">
      <c r="A79" s="1045" t="str">
        <f>'MSW22'!A79</f>
        <v>CURRENT MAX</v>
      </c>
      <c r="B79" s="1367">
        <f>'MSW22'!B79</f>
        <v>50</v>
      </c>
      <c r="C79" s="20"/>
      <c r="D79" s="20"/>
      <c r="E79" s="20"/>
      <c r="F79" s="95"/>
    </row>
    <row r="80">
      <c r="A80" s="567" t="str">
        <f>'MSW22'!A80</f>
        <v>SET</v>
      </c>
      <c r="B80" s="568" t="str">
        <f>'MSW22'!B80</f>
        <v>WEIGHT</v>
      </c>
      <c r="C80" s="568" t="str">
        <f>'MSW22'!C80</f>
        <v>REPS</v>
      </c>
      <c r="D80" s="568" t="str">
        <f>'MSW22'!D80</f>
        <v>REST</v>
      </c>
      <c r="E80" s="1047" t="str">
        <f>'MSW22'!E80</f>
        <v>PREVIOUS</v>
      </c>
      <c r="F80" s="1048" t="str">
        <f>'MSW22'!F80</f>
        <v>REP LOG</v>
      </c>
    </row>
    <row r="81">
      <c r="A81" s="1049">
        <f>'MSW22'!A81</f>
        <v>1</v>
      </c>
      <c r="B81" s="1050">
        <f>'MSW22'!B81</f>
        <v>50</v>
      </c>
      <c r="C81" s="1051" t="str">
        <f>'MSW22'!C81</f>
        <v>10 - 15</v>
      </c>
      <c r="D81" s="1430" t="str">
        <f>'MSW22'!D81</f>
        <v>1-2 MIN</v>
      </c>
      <c r="E81" s="1130" t="str">
        <f>'MSW22'!E81</f>
        <v/>
      </c>
      <c r="F81" s="1017" t="str">
        <f>'MSW22'!F81</f>
        <v/>
      </c>
    </row>
    <row r="82">
      <c r="A82" s="1049">
        <f>'MSW22'!A82</f>
        <v>2</v>
      </c>
      <c r="B82" s="1050">
        <f>'MSW22'!B82</f>
        <v>40</v>
      </c>
      <c r="C82" s="1051" t="str">
        <f>'MSW22'!C82</f>
        <v>10 - 15</v>
      </c>
      <c r="D82" s="1430" t="str">
        <f>'MSW22'!D82</f>
        <v>1-2 MIN</v>
      </c>
      <c r="E82" s="1130" t="str">
        <f>'MSW22'!E82</f>
        <v/>
      </c>
      <c r="F82" s="1017" t="str">
        <f>'MSW22'!F82</f>
        <v/>
      </c>
    </row>
    <row r="83">
      <c r="A83" s="1053">
        <f>'MSW22'!A83</f>
        <v>3</v>
      </c>
      <c r="B83" s="1054">
        <f>'MSW22'!B83</f>
        <v>30</v>
      </c>
      <c r="C83" s="1055" t="str">
        <f>'MSW22'!C83</f>
        <v>10 - 15</v>
      </c>
      <c r="D83" s="1453" t="str">
        <f>'MSW22'!D83</f>
        <v>1-2 MIN</v>
      </c>
      <c r="E83" s="1348" t="str">
        <f>'MSW22'!E83</f>
        <v/>
      </c>
      <c r="F83" s="1017" t="str">
        <f>'MSW22'!F83</f>
        <v/>
      </c>
    </row>
    <row r="84">
      <c r="A84" t="str">
        <f>'MSW22'!A84</f>
        <v/>
      </c>
    </row>
    <row r="86">
      <c r="A86" s="323" t="str">
        <f>'MSW22'!A86</f>
        <v>3. MACHINE LEG CURL</v>
      </c>
      <c r="B86" s="53"/>
      <c r="C86" s="53"/>
      <c r="D86" s="53"/>
      <c r="E86" s="53"/>
      <c r="F86" s="54"/>
      <c r="G86" s="141" t="str">
        <f>'MSW22'!G86</f>
        <v/>
      </c>
      <c r="H86" s="323" t="str">
        <f>'MSW22'!H86</f>
        <v>3. PRONE LEG CURL</v>
      </c>
      <c r="I86" s="53"/>
      <c r="J86" s="53"/>
      <c r="K86" s="53"/>
      <c r="L86" s="53"/>
      <c r="M86" s="54"/>
    </row>
    <row r="87">
      <c r="A87" s="1045" t="str">
        <f>'MSW22'!A87</f>
        <v>CURRENT MAX</v>
      </c>
      <c r="B87" s="1367">
        <f>'MSW22'!B87</f>
        <v>15</v>
      </c>
      <c r="C87" s="20"/>
      <c r="D87" s="20"/>
      <c r="E87" s="20"/>
      <c r="F87" s="95"/>
      <c r="H87" s="1045" t="str">
        <f>'MSW22'!H87</f>
        <v>CURRENT MAX</v>
      </c>
      <c r="I87" s="1046">
        <f>'MSW22'!I87</f>
        <v>15</v>
      </c>
      <c r="J87" s="13"/>
      <c r="K87" s="13"/>
      <c r="L87" s="13"/>
      <c r="M87" s="57"/>
    </row>
    <row r="88">
      <c r="A88" s="567" t="str">
        <f>'MSW22'!A88</f>
        <v>SET</v>
      </c>
      <c r="B88" s="568" t="str">
        <f>'MSW22'!B88</f>
        <v>WEIGHT</v>
      </c>
      <c r="C88" s="568" t="str">
        <f>'MSW22'!C88</f>
        <v>REPS</v>
      </c>
      <c r="D88" s="568" t="str">
        <f>'MSW22'!D88</f>
        <v>REST</v>
      </c>
      <c r="E88" s="1047" t="str">
        <f>'MSW22'!E88</f>
        <v>PREVIOUS</v>
      </c>
      <c r="F88" s="1048" t="str">
        <f>'MSW22'!F88</f>
        <v>REP LOG</v>
      </c>
      <c r="H88" s="567" t="str">
        <f>'MSW22'!H88</f>
        <v>SET</v>
      </c>
      <c r="I88" s="568" t="str">
        <f>'MSW22'!I88</f>
        <v>WEIGHT</v>
      </c>
      <c r="J88" s="568" t="str">
        <f>'MSW22'!J88</f>
        <v>REPS</v>
      </c>
      <c r="K88" s="568" t="str">
        <f>'MSW22'!K88</f>
        <v>REST</v>
      </c>
      <c r="L88" s="1047" t="str">
        <f>'MSW22'!L88</f>
        <v>PREVIOUS</v>
      </c>
      <c r="M88" s="1048" t="str">
        <f>'MSW22'!M88</f>
        <v>REP LOG</v>
      </c>
    </row>
    <row r="89">
      <c r="A89" s="1049">
        <f>'MSW22'!A89</f>
        <v>1</v>
      </c>
      <c r="B89" s="1050">
        <f>'MSW22'!B89</f>
        <v>15</v>
      </c>
      <c r="C89" s="1051" t="str">
        <f>'MSW22'!C89</f>
        <v>10 - 15</v>
      </c>
      <c r="D89" s="1430" t="str">
        <f>'MSW22'!D89</f>
        <v>1-2 MIN</v>
      </c>
      <c r="E89" s="1130" t="str">
        <f>'MSW22'!E89</f>
        <v/>
      </c>
      <c r="F89" s="1017" t="str">
        <f>'MSW22'!F89</f>
        <v/>
      </c>
      <c r="G89" s="434" t="str">
        <f>'MSW22'!G89</f>
        <v>ALTERNATE</v>
      </c>
      <c r="H89" s="1049">
        <f>'MSW22'!H89</f>
        <v>1</v>
      </c>
      <c r="I89" s="1050">
        <f>'MSW22'!I89</f>
        <v>15</v>
      </c>
      <c r="J89" s="1051" t="str">
        <f>'MSW22'!J89</f>
        <v>10 - 15</v>
      </c>
      <c r="K89" s="1430" t="str">
        <f>'MSW22'!K89</f>
        <v>1-2 MIN</v>
      </c>
      <c r="L89" s="1130" t="str">
        <f>'MSW22'!L89</f>
        <v/>
      </c>
      <c r="M89" s="1017" t="str">
        <f>'MSW22'!M89</f>
        <v/>
      </c>
    </row>
    <row r="90">
      <c r="A90" s="1049">
        <f>'MSW22'!A90</f>
        <v>2</v>
      </c>
      <c r="B90" s="1050">
        <f>'MSW22'!B90</f>
        <v>10</v>
      </c>
      <c r="C90" s="1051" t="str">
        <f>'MSW22'!C90</f>
        <v>10 - 15</v>
      </c>
      <c r="D90" s="1430" t="str">
        <f>'MSW22'!D90</f>
        <v>1-2 MIN</v>
      </c>
      <c r="E90" s="1130" t="str">
        <f>'MSW22'!E90</f>
        <v/>
      </c>
      <c r="F90" s="1017" t="str">
        <f>'MSW22'!F90</f>
        <v/>
      </c>
      <c r="H90" s="1049">
        <f>'MSW22'!H90</f>
        <v>2</v>
      </c>
      <c r="I90" s="1050">
        <f>'MSW22'!I90</f>
        <v>10</v>
      </c>
      <c r="J90" s="1051" t="str">
        <f>'MSW22'!J90</f>
        <v>10 - 15</v>
      </c>
      <c r="K90" s="1430" t="str">
        <f>'MSW22'!K90</f>
        <v>1-2 MIN</v>
      </c>
      <c r="L90" s="1130" t="str">
        <f>'MSW22'!L90</f>
        <v/>
      </c>
      <c r="M90" s="1017" t="str">
        <f>'MSW22'!M90</f>
        <v/>
      </c>
    </row>
    <row r="91">
      <c r="A91" s="1053">
        <f>'MSW22'!A91</f>
        <v>3</v>
      </c>
      <c r="B91" s="1054">
        <f>'MSW22'!B91</f>
        <v>10</v>
      </c>
      <c r="C91" s="1055" t="str">
        <f>'MSW22'!C91</f>
        <v>10 - 15</v>
      </c>
      <c r="D91" s="1453" t="str">
        <f>'MSW22'!D91</f>
        <v>1-2 MIN</v>
      </c>
      <c r="E91" s="1348" t="str">
        <f>'MSW22'!E91</f>
        <v/>
      </c>
      <c r="F91" s="1017" t="str">
        <f>'MSW22'!F91</f>
        <v/>
      </c>
      <c r="G91" s="682" t="str">
        <f>'MSW22'!G91</f>
        <v/>
      </c>
      <c r="H91" s="1053">
        <f>'MSW22'!H91</f>
        <v>3</v>
      </c>
      <c r="I91" s="1054">
        <f>'MSW22'!I91</f>
        <v>10</v>
      </c>
      <c r="J91" s="1055" t="str">
        <f>'MSW22'!J91</f>
        <v>10 - 15</v>
      </c>
      <c r="K91" s="1453" t="str">
        <f>'MSW22'!K91</f>
        <v>1-2 MIN</v>
      </c>
      <c r="L91" s="1348" t="str">
        <f>'MSW22'!L91</f>
        <v/>
      </c>
      <c r="M91" s="1017" t="str">
        <f>'MSW22'!M91</f>
        <v/>
      </c>
    </row>
    <row r="92">
      <c r="A92" s="849" t="str">
        <f>'MSW22'!A92</f>
        <v/>
      </c>
      <c r="G92" s="849" t="str">
        <f>'MSW22'!H92</f>
        <v/>
      </c>
    </row>
    <row r="94">
      <c r="A94" s="310" t="str">
        <f>'MSW22'!A94</f>
        <v>CLICK TO COMPLETE WORKOUT</v>
      </c>
      <c r="B94" s="36"/>
      <c r="C94" s="36"/>
      <c r="D94" s="36"/>
      <c r="E94" s="36"/>
      <c r="F94" s="37"/>
    </row>
    <row r="95">
      <c r="A95" t="str">
        <f>'MSW22'!A95</f>
        <v/>
      </c>
    </row>
    <row r="96">
      <c r="A96" s="224" t="str">
        <f>'MSW22'!A96</f>
        <v>DAY 2 </v>
      </c>
      <c r="B96" s="36"/>
      <c r="C96" s="36"/>
      <c r="D96" s="36"/>
      <c r="E96" s="36"/>
      <c r="F96" s="37"/>
    </row>
    <row r="97">
      <c r="A97" t="str">
        <f>'MSW22'!A97</f>
        <v/>
      </c>
    </row>
    <row r="99">
      <c r="A99" s="44" t="str">
        <f>'MSW22'!A99</f>
        <v>SHOULDERS &amp; ARMS</v>
      </c>
      <c r="B99" s="36"/>
      <c r="C99" s="36"/>
      <c r="D99" s="36"/>
      <c r="E99" s="36"/>
      <c r="F99" s="37"/>
      <c r="G99" t="str">
        <f>'MSW22'!G99</f>
        <v/>
      </c>
      <c r="H99" s="44" t="str">
        <f>'MSW22'!H99</f>
        <v>SHOULDERS &amp; ARMS</v>
      </c>
      <c r="I99" s="36"/>
      <c r="J99" s="36"/>
      <c r="K99" s="36"/>
      <c r="L99" s="36"/>
      <c r="M99" s="37"/>
    </row>
    <row r="100">
      <c r="A100" s="1139" t="str">
        <f>'MSW22'!A100</f>
        <v>1. MACHINE SHOULDER PRESS</v>
      </c>
      <c r="B100" s="13"/>
      <c r="C100" s="13"/>
      <c r="D100" s="13"/>
      <c r="E100" s="13"/>
      <c r="F100" s="57"/>
      <c r="H100" s="112" t="str">
        <f>'MSW22'!H100</f>
        <v>1. SHOULDER PRESS</v>
      </c>
      <c r="I100" s="13"/>
      <c r="J100" s="13"/>
      <c r="K100" s="13"/>
      <c r="L100" s="13"/>
      <c r="M100" s="57"/>
    </row>
    <row r="101">
      <c r="A101" s="226" t="str">
        <f>'MSW22'!A101</f>
        <v>CURRENT MAX</v>
      </c>
      <c r="B101" s="227">
        <f>'MSW22'!B101</f>
        <v>105</v>
      </c>
      <c r="C101" s="20"/>
      <c r="D101" s="20"/>
      <c r="E101" s="20"/>
      <c r="F101" s="95"/>
      <c r="H101" s="226" t="str">
        <f>'MSW22'!H101</f>
        <v>CURRENT MAX</v>
      </c>
      <c r="I101" s="227">
        <f>'MSW22'!I101</f>
        <v>10</v>
      </c>
      <c r="J101" s="20"/>
      <c r="K101" s="20"/>
      <c r="L101" s="20"/>
      <c r="M101" s="95"/>
    </row>
    <row r="102">
      <c r="A102" s="231" t="str">
        <f>'MSW22'!A102</f>
        <v>SET</v>
      </c>
      <c r="B102" s="232" t="str">
        <f>'MSW22'!B102</f>
        <v>WEIGHT</v>
      </c>
      <c r="C102" s="232" t="str">
        <f>'MSW22'!C102</f>
        <v>REPS</v>
      </c>
      <c r="D102" s="232" t="str">
        <f>'MSW22'!D102</f>
        <v>REST</v>
      </c>
      <c r="E102" s="233" t="str">
        <f>'MSW22'!E102</f>
        <v>PREVIOUS</v>
      </c>
      <c r="F102" s="61" t="str">
        <f>'MSW22'!F102</f>
        <v>REP LOG</v>
      </c>
      <c r="H102" s="231" t="str">
        <f>'MSW22'!H102</f>
        <v>SET</v>
      </c>
      <c r="I102" s="232" t="str">
        <f>'MSW22'!I102</f>
        <v>WEIGHT</v>
      </c>
      <c r="J102" s="232" t="str">
        <f>'MSW22'!J102</f>
        <v>REPS</v>
      </c>
      <c r="K102" s="232" t="str">
        <f>'MSW22'!K102</f>
        <v>REST</v>
      </c>
      <c r="L102" s="233" t="str">
        <f>'MSW22'!L102</f>
        <v>PREVIOUS</v>
      </c>
      <c r="M102" s="61" t="str">
        <f>'MSW22'!M102</f>
        <v>REP LOG</v>
      </c>
    </row>
    <row r="103">
      <c r="A103" s="1140">
        <f>'MSW22'!A103</f>
        <v>1</v>
      </c>
      <c r="B103" s="237">
        <f>'MSW22'!B103</f>
        <v>35</v>
      </c>
      <c r="C103" s="237">
        <f>'MSW22'!C103</f>
        <v>6</v>
      </c>
      <c r="D103" s="238" t="str">
        <f>'MSW22'!D103</f>
        <v>30s</v>
      </c>
      <c r="E103" s="84" t="str">
        <f>'MSW22'!E103</f>
        <v/>
      </c>
      <c r="F103" s="67"/>
      <c r="H103" s="1140">
        <f>'MSW22'!H103</f>
        <v>1</v>
      </c>
      <c r="I103" s="237">
        <f>'MSW22'!I103</f>
        <v>5</v>
      </c>
      <c r="J103" s="237">
        <f>'MSW22'!J103</f>
        <v>6</v>
      </c>
      <c r="K103" s="238" t="str">
        <f>'MSW22'!K103</f>
        <v>30s</v>
      </c>
      <c r="L103" s="84" t="str">
        <f>'MSW22'!L103</f>
        <v/>
      </c>
      <c r="M103" s="67"/>
    </row>
    <row r="104">
      <c r="A104" s="236">
        <f>'MSW22'!A104</f>
        <v>2</v>
      </c>
      <c r="B104" s="237">
        <f>'MSW22'!B104</f>
        <v>70</v>
      </c>
      <c r="C104" s="237">
        <f>'MSW22'!C104</f>
        <v>1</v>
      </c>
      <c r="D104" s="238" t="str">
        <f>'MSW22'!D104</f>
        <v>1-2 MIN</v>
      </c>
      <c r="E104" s="84" t="str">
        <f>'MSW22'!E104</f>
        <v/>
      </c>
      <c r="F104" s="67"/>
      <c r="H104" s="236">
        <f>'MSW22'!H104</f>
        <v>2</v>
      </c>
      <c r="I104" s="237">
        <f>'MSW22'!I104</f>
        <v>5</v>
      </c>
      <c r="J104" s="237">
        <f>'MSW22'!J104</f>
        <v>1</v>
      </c>
      <c r="K104" s="238" t="str">
        <f>'MSW22'!K104</f>
        <v>1-2 MIN</v>
      </c>
      <c r="L104" s="84" t="str">
        <f>'MSW22'!L104</f>
        <v/>
      </c>
      <c r="M104" s="67"/>
    </row>
    <row r="105">
      <c r="A105" s="242">
        <f>'MSW22'!A105</f>
        <v>3</v>
      </c>
      <c r="B105" s="237">
        <f>'MSW22'!B105</f>
        <v>95</v>
      </c>
      <c r="C105" s="82">
        <f>'MSW22'!C105</f>
        <v>1</v>
      </c>
      <c r="D105" s="238" t="str">
        <f>'MSW22'!D105</f>
        <v>1-2 MIN</v>
      </c>
      <c r="E105" s="84" t="str">
        <f>'MSW22'!E105</f>
        <v/>
      </c>
      <c r="F105" s="67"/>
      <c r="H105" s="242">
        <f>'MSW22'!H105</f>
        <v>3</v>
      </c>
      <c r="I105" s="237">
        <f>'MSW22'!I105</f>
        <v>10</v>
      </c>
      <c r="J105" s="82">
        <f>'MSW22'!J105</f>
        <v>1</v>
      </c>
      <c r="K105" s="238" t="str">
        <f>'MSW22'!K105</f>
        <v>1-2 MIN</v>
      </c>
      <c r="L105" s="84" t="str">
        <f>'MSW22'!L105</f>
        <v/>
      </c>
      <c r="M105" s="67"/>
    </row>
    <row r="106">
      <c r="A106" s="243">
        <f>'MSW22'!A106</f>
        <v>4</v>
      </c>
      <c r="B106" s="237">
        <f>'MSW22'!B106</f>
        <v>105</v>
      </c>
      <c r="C106" s="257">
        <f>'MSW22'!C106</f>
        <v>1</v>
      </c>
      <c r="D106" s="238" t="str">
        <f>'MSW22'!D106</f>
        <v>1-5 MIN</v>
      </c>
      <c r="E106" s="84" t="str">
        <f>'MSW22'!E106</f>
        <v/>
      </c>
      <c r="F106" s="67"/>
      <c r="H106" s="243">
        <f>'MSW22'!H106</f>
        <v>4</v>
      </c>
      <c r="I106" s="237">
        <f>'MSW22'!I106</f>
        <v>10</v>
      </c>
      <c r="J106" s="257">
        <f>'MSW22'!J106</f>
        <v>1</v>
      </c>
      <c r="K106" s="238" t="str">
        <f>'MSW22'!K106</f>
        <v>1-5 MIN</v>
      </c>
      <c r="L106" s="84" t="str">
        <f>'MSW22'!L106</f>
        <v/>
      </c>
      <c r="M106" s="67"/>
    </row>
    <row r="107">
      <c r="A107" s="246" t="str">
        <f>'MSW22'!A107</f>
        <v>PROCEED TO DOWN SETS</v>
      </c>
      <c r="B107" s="20"/>
      <c r="C107" s="20"/>
      <c r="D107" s="20"/>
      <c r="E107" s="20"/>
      <c r="F107" s="95"/>
      <c r="H107" s="246" t="str">
        <f>'MSW22'!H107</f>
        <v>PROCEED TO DOWN SETS</v>
      </c>
      <c r="I107" s="20"/>
      <c r="J107" s="20"/>
      <c r="K107" s="20"/>
      <c r="L107" s="20"/>
      <c r="M107" s="95"/>
    </row>
    <row r="108">
      <c r="A108" s="249" t="str">
        <f>'MSW22'!A108</f>
        <v/>
      </c>
      <c r="B108" s="175" t="str">
        <f>'MSW22'!B108</f>
        <v/>
      </c>
      <c r="C108" s="238" t="str">
        <f>'MSW22'!C108</f>
        <v/>
      </c>
      <c r="D108" s="238" t="str">
        <f>'MSW22'!D108</f>
        <v/>
      </c>
      <c r="E108" s="84" t="str">
        <f>'MSW22'!E108</f>
        <v/>
      </c>
      <c r="F108" s="67"/>
      <c r="H108" s="249" t="str">
        <f>'MSW22'!H108</f>
        <v/>
      </c>
      <c r="I108" s="175" t="str">
        <f>'MSW22'!I108</f>
        <v/>
      </c>
      <c r="J108" s="238" t="str">
        <f>'MSW22'!J108</f>
        <v/>
      </c>
      <c r="K108" s="238" t="str">
        <f>'MSW22'!K108</f>
        <v/>
      </c>
      <c r="L108" s="84" t="str">
        <f>'MSW22'!L108</f>
        <v/>
      </c>
      <c r="M108" s="67"/>
    </row>
    <row r="109">
      <c r="A109" s="259" t="str">
        <f>'MSW22'!A109</f>
        <v/>
      </c>
      <c r="B109" s="237" t="str">
        <f>'MSW22'!B109</f>
        <v/>
      </c>
      <c r="C109" s="257" t="str">
        <f>'MSW22'!C109</f>
        <v/>
      </c>
      <c r="D109" s="257" t="str">
        <f>'MSW22'!D109</f>
        <v/>
      </c>
      <c r="E109" s="84" t="str">
        <f>'MSW22'!E109</f>
        <v/>
      </c>
      <c r="F109" s="67"/>
      <c r="H109" s="259" t="str">
        <f>'MSW22'!H109</f>
        <v/>
      </c>
      <c r="I109" s="237" t="str">
        <f>'MSW22'!I109</f>
        <v/>
      </c>
      <c r="J109" s="257" t="str">
        <f>'MSW22'!J109</f>
        <v/>
      </c>
      <c r="K109" s="257" t="str">
        <f>'MSW22'!K109</f>
        <v/>
      </c>
      <c r="L109" s="84" t="str">
        <f>'MSW22'!L109</f>
        <v/>
      </c>
      <c r="M109" s="67" t="str">
        <f>'MSW22'!M109</f>
        <v/>
      </c>
    </row>
    <row r="110">
      <c r="A110" s="246" t="str">
        <f>'MSW22'!A110</f>
        <v>DOWN SETS</v>
      </c>
      <c r="B110" s="20"/>
      <c r="C110" s="20"/>
      <c r="D110" s="20"/>
      <c r="E110" s="20"/>
      <c r="F110" s="95"/>
      <c r="H110" s="246" t="str">
        <f>'MSW22'!H110</f>
        <v>DOWN SETS</v>
      </c>
      <c r="I110" s="20"/>
      <c r="J110" s="20"/>
      <c r="K110" s="20"/>
      <c r="L110" s="20"/>
      <c r="M110" s="95"/>
    </row>
    <row r="111">
      <c r="A111" s="264" t="str">
        <f>'MSW22'!A111</f>
        <v/>
      </c>
      <c r="B111" s="265">
        <f>'MSW22'!B111</f>
        <v>0</v>
      </c>
      <c r="C111" s="266" t="str">
        <f>'MSW22'!C111</f>
        <v>REP OUT</v>
      </c>
      <c r="D111" s="267" t="str">
        <f>'MSW22'!D111</f>
        <v>1-3 MIN</v>
      </c>
      <c r="E111" s="84" t="str">
        <f>'MSW22'!E111</f>
        <v/>
      </c>
      <c r="F111" s="67"/>
      <c r="H111" s="264" t="str">
        <f>'MSW22'!H111</f>
        <v/>
      </c>
      <c r="I111" s="265">
        <f>'MSW22'!I111</f>
        <v>0</v>
      </c>
      <c r="J111" s="266" t="str">
        <f>'MSW22'!J111</f>
        <v>REP OUT</v>
      </c>
      <c r="K111" s="267" t="str">
        <f>'MSW22'!K111</f>
        <v>1-3 MIN</v>
      </c>
      <c r="L111" s="84" t="str">
        <f>'MSW22'!L111</f>
        <v/>
      </c>
      <c r="M111" s="67" t="str">
        <f>'MSW22'!M111</f>
        <v/>
      </c>
    </row>
    <row r="112">
      <c r="A112" s="243" t="str">
        <f>'MSW22'!A112</f>
        <v/>
      </c>
      <c r="B112" s="237">
        <f>'MSW22'!B112</f>
        <v>0</v>
      </c>
      <c r="C112" s="245" t="str">
        <f>'MSW22'!C112</f>
        <v>REP OUT</v>
      </c>
      <c r="D112" s="65" t="str">
        <f>'MSW22'!D112</f>
        <v>1-3 MIN</v>
      </c>
      <c r="E112" s="84" t="str">
        <f>'MSW22'!E112</f>
        <v/>
      </c>
      <c r="F112" s="271" t="str">
        <f>'MSW22'!F112</f>
        <v/>
      </c>
      <c r="H112" s="243" t="str">
        <f>'MSW22'!H112</f>
        <v/>
      </c>
      <c r="I112" s="237">
        <f>'MSW22'!I112</f>
        <v>0</v>
      </c>
      <c r="J112" s="245" t="str">
        <f>'MSW22'!J112</f>
        <v>REP OUT</v>
      </c>
      <c r="K112" s="65" t="str">
        <f>'MSW22'!K112</f>
        <v>1-3 MIN</v>
      </c>
      <c r="L112" s="84" t="str">
        <f>'MSW22'!L112</f>
        <v/>
      </c>
      <c r="M112" s="271" t="str">
        <f>'MSW22'!M112</f>
        <v/>
      </c>
    </row>
    <row r="113">
      <c r="A113" s="272" t="str">
        <f>'MSW22'!A113</f>
        <v>FINAL MAX</v>
      </c>
      <c r="B113" s="273" t="str">
        <f>'MSW22'!B113</f>
        <v/>
      </c>
      <c r="C113" s="11"/>
      <c r="D113" s="11"/>
      <c r="E113" s="11"/>
      <c r="F113" s="46"/>
      <c r="H113" s="272" t="str">
        <f>'MSW22'!H113</f>
        <v>FINAL MAX</v>
      </c>
      <c r="I113" s="273" t="str">
        <f>'MSW22'!I113</f>
        <v/>
      </c>
      <c r="J113" s="11"/>
      <c r="K113" s="11"/>
      <c r="L113" s="11"/>
      <c r="M113" s="46"/>
    </row>
    <row r="114">
      <c r="A114" t="str">
        <f>'MSW22'!A114</f>
        <v/>
      </c>
      <c r="G114" t="str">
        <f>'MSW22'!G114</f>
        <v/>
      </c>
    </row>
    <row r="116">
      <c r="A116" s="687" t="str">
        <f>'MSW22'!A116</f>
        <v>2. DUMBBELL REAR DELT FLY </v>
      </c>
      <c r="B116" s="53"/>
      <c r="C116" s="53"/>
      <c r="D116" s="53"/>
      <c r="E116" s="53"/>
      <c r="F116" s="54"/>
    </row>
    <row r="117">
      <c r="A117" s="226" t="str">
        <f>'MSW22'!A117</f>
        <v>SHLDR PRESS MAX</v>
      </c>
      <c r="B117" s="691">
        <f>'MSW22'!B117</f>
        <v>10</v>
      </c>
      <c r="C117" s="13"/>
      <c r="D117" s="13"/>
      <c r="E117" s="13"/>
      <c r="F117" s="57"/>
    </row>
    <row r="118">
      <c r="A118" s="96" t="str">
        <f>'MSW22'!A118</f>
        <v>SET</v>
      </c>
      <c r="B118" s="97" t="str">
        <f>'MSW22'!B118</f>
        <v>WEIGHT</v>
      </c>
      <c r="C118" s="97" t="str">
        <f>'MSW22'!C118</f>
        <v>REPS</v>
      </c>
      <c r="D118" s="97" t="str">
        <f>'MSW22'!D118</f>
        <v>REST</v>
      </c>
      <c r="E118" s="341" t="str">
        <f>'MSW22'!E118</f>
        <v>PREVIOUS</v>
      </c>
      <c r="F118" s="235" t="str">
        <f>'MSW22'!F118</f>
        <v>REP LOG</v>
      </c>
    </row>
    <row r="119">
      <c r="A119" s="556">
        <f>'MSW22'!A119</f>
        <v>1</v>
      </c>
      <c r="B119" s="237">
        <f>'MSW22'!B119</f>
        <v>2.5</v>
      </c>
      <c r="C119" s="65" t="str">
        <f>'MSW22'!C119</f>
        <v>5 - 15</v>
      </c>
      <c r="D119" s="693" t="str">
        <f>'MSW22'!D119</f>
        <v>1-3 MIN</v>
      </c>
      <c r="E119" s="84" t="str">
        <f>'MSW22'!E119</f>
        <v/>
      </c>
      <c r="F119" s="85"/>
    </row>
    <row r="120">
      <c r="A120" s="556">
        <f>'MSW22'!A120</f>
        <v>2</v>
      </c>
      <c r="B120" s="237">
        <f>'MSW22'!B120</f>
        <v>0</v>
      </c>
      <c r="C120" s="65" t="str">
        <f>'MSW22'!C120</f>
        <v>5 -15</v>
      </c>
      <c r="D120" s="693" t="str">
        <f>'MSW22'!D120</f>
        <v>1-3 MIN</v>
      </c>
      <c r="E120" s="84" t="str">
        <f>'MSW22'!E120</f>
        <v/>
      </c>
      <c r="F120" s="85"/>
    </row>
    <row r="121">
      <c r="A121" s="561">
        <f>'MSW22'!A121</f>
        <v>3</v>
      </c>
      <c r="B121" s="371">
        <f>'MSW22'!B121</f>
        <v>0</v>
      </c>
      <c r="C121" s="71" t="str">
        <f>'MSW22'!C121</f>
        <v>5 -15</v>
      </c>
      <c r="D121" s="794" t="str">
        <f>'MSW22'!D121</f>
        <v>1-3 MIN</v>
      </c>
      <c r="E121" s="89" t="str">
        <f>'MSW22'!E121</f>
        <v/>
      </c>
      <c r="F121" s="694" t="str">
        <f>'MSW22'!F121</f>
        <v/>
      </c>
    </row>
    <row r="122">
      <c r="A122" s="640" t="str">
        <f>'MSW22'!A122</f>
        <v/>
      </c>
    </row>
    <row r="124">
      <c r="A124" s="513" t="str">
        <f>'MSW22'!A124</f>
        <v>3. DUMBBELL SIDE LATERAL RAISE</v>
      </c>
      <c r="B124" s="53"/>
      <c r="C124" s="53"/>
      <c r="D124" s="53"/>
      <c r="E124" s="53"/>
      <c r="F124" s="54"/>
    </row>
    <row r="125">
      <c r="A125" s="226" t="str">
        <f>'MSW22'!A125</f>
        <v>SHLDR PRESS MAX</v>
      </c>
      <c r="B125" s="90">
        <f>'MSW22'!B125</f>
        <v>10</v>
      </c>
      <c r="C125" s="13"/>
      <c r="D125" s="13"/>
      <c r="E125" s="13"/>
      <c r="F125" s="57"/>
    </row>
    <row r="126">
      <c r="A126" s="376" t="str">
        <f>'MSW22'!A126</f>
        <v>SET</v>
      </c>
      <c r="B126" s="79" t="str">
        <f>'MSW22'!B126</f>
        <v>WEIGHT</v>
      </c>
      <c r="C126" s="79" t="str">
        <f>'MSW22'!C126</f>
        <v>REPS</v>
      </c>
      <c r="D126" s="79" t="str">
        <f>'MSW22'!D126</f>
        <v>REST</v>
      </c>
      <c r="E126" s="98" t="str">
        <f>'MSW22'!E126</f>
        <v>PREVIOUS</v>
      </c>
      <c r="F126" s="377" t="str">
        <f>'MSW22'!F126</f>
        <v>REP LOG</v>
      </c>
    </row>
    <row r="127">
      <c r="A127" s="81">
        <f>'MSW22'!A127</f>
        <v>1</v>
      </c>
      <c r="B127" s="82">
        <f>'MSW22'!B127</f>
        <v>0</v>
      </c>
      <c r="C127" s="63" t="str">
        <f>'MSW22'!C127</f>
        <v>10 - 15</v>
      </c>
      <c r="D127" s="83" t="str">
        <f>'MSW22'!D127</f>
        <v>1 MIN</v>
      </c>
      <c r="E127" s="84" t="str">
        <f>'MSW22'!E127</f>
        <v/>
      </c>
      <c r="F127" s="796"/>
    </row>
    <row r="128">
      <c r="A128" s="81">
        <f>'MSW22'!A128</f>
        <v>2</v>
      </c>
      <c r="B128" s="82">
        <f>'MSW22'!B128</f>
        <v>2.5</v>
      </c>
      <c r="C128" s="63" t="str">
        <f>'MSW22'!C128</f>
        <v>10 - 15</v>
      </c>
      <c r="D128" s="83" t="str">
        <f>'MSW22'!D128</f>
        <v>1 MIN</v>
      </c>
      <c r="E128" s="84" t="str">
        <f>'MSW22'!E128</f>
        <v/>
      </c>
      <c r="F128" s="330" t="str">
        <f>'MSW22'!F128</f>
        <v/>
      </c>
    </row>
    <row r="129">
      <c r="A129" s="86">
        <f>'MSW22'!A129</f>
        <v>3</v>
      </c>
      <c r="B129" s="87">
        <f>'MSW22'!B129</f>
        <v>0</v>
      </c>
      <c r="C129" s="69" t="str">
        <f>'MSW22'!C129</f>
        <v>10 - 15</v>
      </c>
      <c r="D129" s="88" t="str">
        <f>'MSW22'!D129</f>
        <v>1 MIN</v>
      </c>
      <c r="E129" s="89" t="str">
        <f>'MSW22'!E129</f>
        <v/>
      </c>
      <c r="F129" s="85" t="str">
        <f>'MSW22'!F129</f>
        <v/>
      </c>
    </row>
    <row r="130">
      <c r="A130" s="640" t="str">
        <f>'MSW22'!A130</f>
        <v/>
      </c>
    </row>
    <row r="132">
      <c r="A132" s="361" t="str">
        <f>'MSW22'!A132</f>
        <v>2.  TRICEP OVERHEAD ROPE EXTENSION</v>
      </c>
      <c r="B132" s="53"/>
      <c r="C132" s="53"/>
      <c r="D132" s="53"/>
      <c r="E132" s="53"/>
      <c r="F132" s="54"/>
    </row>
    <row r="133">
      <c r="A133" s="226" t="str">
        <f>'MSW22'!A133</f>
        <v>CURRENT MAX</v>
      </c>
      <c r="B133" s="76">
        <f>'MSW22'!B133</f>
        <v>5</v>
      </c>
      <c r="C133" s="13"/>
      <c r="D133" s="13"/>
      <c r="E133" s="13"/>
      <c r="F133" s="57"/>
    </row>
    <row r="134">
      <c r="A134" s="77" t="str">
        <f>'MSW22'!A134</f>
        <v>SET</v>
      </c>
      <c r="B134" s="78" t="str">
        <f>'MSW22'!B134</f>
        <v>WEIGHT</v>
      </c>
      <c r="C134" s="78" t="str">
        <f>'MSW22'!C134</f>
        <v>REPS</v>
      </c>
      <c r="D134" s="78" t="str">
        <f>'MSW22'!D134</f>
        <v>REST</v>
      </c>
      <c r="E134" s="80" t="str">
        <f>'MSW22'!E134</f>
        <v>PREVIOUS</v>
      </c>
      <c r="F134" s="235" t="str">
        <f>'MSW22'!F134</f>
        <v>REP LOG</v>
      </c>
    </row>
    <row r="135">
      <c r="A135" s="81">
        <f>'MSW22'!A135</f>
        <v>1</v>
      </c>
      <c r="B135" s="82">
        <f>'MSW22'!B135</f>
        <v>5</v>
      </c>
      <c r="C135" s="65" t="str">
        <f>'MSW22'!C135</f>
        <v>10 - 15</v>
      </c>
      <c r="D135" s="83" t="str">
        <f>'MSW22'!D135</f>
        <v>1MIN</v>
      </c>
      <c r="E135" s="84" t="str">
        <f>'MSW22'!E135</f>
        <v/>
      </c>
      <c r="F135" s="85" t="str">
        <f>'MSW22'!F135</f>
        <v/>
      </c>
    </row>
    <row r="136">
      <c r="A136" s="81">
        <f>'MSW22'!A136</f>
        <v>2</v>
      </c>
      <c r="B136" s="82">
        <f>'MSW22'!B136</f>
        <v>5</v>
      </c>
      <c r="C136" s="65" t="str">
        <f>'MSW22'!C136</f>
        <v>10 - 15</v>
      </c>
      <c r="D136" s="83" t="str">
        <f>'MSW22'!D136</f>
        <v>1MIN</v>
      </c>
      <c r="E136" s="84" t="str">
        <f>'MSW22'!E136</f>
        <v/>
      </c>
      <c r="F136" s="85" t="str">
        <f>'MSW22'!F136</f>
        <v/>
      </c>
    </row>
    <row r="137">
      <c r="A137" s="86">
        <f>'MSW22'!A137</f>
        <v>3</v>
      </c>
      <c r="B137" s="87">
        <f>'MSW22'!B137</f>
        <v>5</v>
      </c>
      <c r="C137" s="71" t="str">
        <f>'MSW22'!C137</f>
        <v>10 - 15</v>
      </c>
      <c r="D137" s="88" t="str">
        <f>'MSW22'!D137</f>
        <v>1MIN</v>
      </c>
      <c r="E137" s="89" t="str">
        <f>'MSW22'!E137</f>
        <v/>
      </c>
      <c r="F137" s="85" t="str">
        <f>'MSW22'!F137</f>
        <v/>
      </c>
    </row>
    <row r="138">
      <c r="A138" s="598" t="str">
        <f>'MSW22'!A138</f>
        <v/>
      </c>
    </row>
    <row r="140">
      <c r="A140" s="113" t="str">
        <f>'MSW22'!A140</f>
        <v>5. ALTERNATING BICEP CURLS </v>
      </c>
      <c r="B140" s="53"/>
      <c r="C140" s="53"/>
      <c r="D140" s="53"/>
      <c r="E140" s="53"/>
      <c r="F140" s="54"/>
    </row>
    <row r="141">
      <c r="A141" s="226" t="str">
        <f>'MSW22'!A141</f>
        <v>CURRENT MAX</v>
      </c>
      <c r="B141" s="839">
        <f>'MSW22'!B141</f>
        <v>25</v>
      </c>
      <c r="F141" s="28"/>
    </row>
    <row r="142">
      <c r="A142" s="77" t="str">
        <f>'MSW22'!A142</f>
        <v>SET</v>
      </c>
      <c r="B142" s="78" t="str">
        <f>'MSW22'!B142</f>
        <v>WEIGHT</v>
      </c>
      <c r="C142" s="78" t="str">
        <f>'MSW22'!C142</f>
        <v>REPS</v>
      </c>
      <c r="D142" s="78" t="str">
        <f>'MSW22'!D142</f>
        <v>REST</v>
      </c>
      <c r="E142" s="80" t="str">
        <f>'MSW22'!E142</f>
        <v>PREVIOUS</v>
      </c>
      <c r="F142" s="235" t="str">
        <f>'MSW22'!F142</f>
        <v>REP LOG</v>
      </c>
    </row>
    <row r="143">
      <c r="A143" s="81">
        <f>'MSW22'!A143</f>
        <v>1</v>
      </c>
      <c r="B143" s="82">
        <f>'MSW22'!B143</f>
        <v>30</v>
      </c>
      <c r="C143" s="65" t="str">
        <f>'MSW22'!C143</f>
        <v>10 - 15</v>
      </c>
      <c r="D143" s="83" t="str">
        <f>'MSW22'!D143</f>
        <v>1MIN</v>
      </c>
      <c r="E143" s="84" t="str">
        <f>'MSW22'!E143</f>
        <v/>
      </c>
      <c r="F143" s="85" t="str">
        <f>'MSW22'!F143</f>
        <v/>
      </c>
    </row>
    <row r="144">
      <c r="A144" s="81">
        <f>'MSW22'!A144</f>
        <v>2</v>
      </c>
      <c r="B144" s="82">
        <f>'MSW22'!B144</f>
        <v>25</v>
      </c>
      <c r="C144" s="65" t="str">
        <f>'MSW22'!C144</f>
        <v>10 - 15</v>
      </c>
      <c r="D144" s="83" t="str">
        <f>'MSW22'!D144</f>
        <v>1MIN</v>
      </c>
      <c r="E144" s="84" t="str">
        <f>'MSW22'!E144</f>
        <v/>
      </c>
      <c r="F144" s="85" t="str">
        <f>'MSW22'!F144</f>
        <v/>
      </c>
    </row>
    <row r="145">
      <c r="A145" s="629">
        <f>'MSW22'!A145</f>
        <v>3</v>
      </c>
      <c r="B145" s="630">
        <f>'MSW22'!B145</f>
        <v>20</v>
      </c>
      <c r="C145" s="631" t="str">
        <f>'MSW22'!C145</f>
        <v>10 - 15</v>
      </c>
      <c r="D145" s="328" t="str">
        <f>'MSW22'!D145</f>
        <v>1MIN</v>
      </c>
      <c r="E145" s="84" t="str">
        <f>'MSW22'!E145</f>
        <v/>
      </c>
      <c r="F145" s="330" t="str">
        <f>'MSW22'!F145</f>
        <v/>
      </c>
    </row>
    <row r="146">
      <c r="A146" s="633" t="str">
        <f>'MSW22'!A146</f>
        <v/>
      </c>
      <c r="B146" s="25"/>
      <c r="C146" s="25"/>
      <c r="D146" s="25"/>
      <c r="E146" s="25"/>
      <c r="F146" s="25"/>
    </row>
    <row r="148">
      <c r="A148" s="310" t="str">
        <f>'MSW22'!A148</f>
        <v>CLICK TO COMPLETE WORKOUT</v>
      </c>
      <c r="B148" s="36"/>
      <c r="C148" s="36"/>
      <c r="D148" s="36"/>
      <c r="E148" s="36"/>
      <c r="F148" s="37"/>
    </row>
    <row r="149">
      <c r="A149" s="598" t="str">
        <f>'MSW22'!A149</f>
        <v/>
      </c>
    </row>
    <row r="150">
      <c r="A150" s="639" t="str">
        <f>'MSW22'!A150</f>
        <v>WORKOUT COMPLETE!</v>
      </c>
      <c r="B150" s="36"/>
      <c r="C150" s="36"/>
      <c r="D150" s="36"/>
      <c r="E150" s="36"/>
      <c r="F150" s="37"/>
    </row>
    <row r="151">
      <c r="A151" s="883" t="str">
        <f>'MSW22'!A151</f>
        <v/>
      </c>
    </row>
    <row r="152">
      <c r="A152" s="884" t="str">
        <f>'MSW22'!A152</f>
        <v>WANT TO LEARN MORE?</v>
      </c>
      <c r="B152" s="16"/>
      <c r="C152" s="16"/>
      <c r="D152" s="16"/>
      <c r="E152" s="16"/>
      <c r="F152" s="17"/>
    </row>
    <row r="153">
      <c r="A153" s="18"/>
      <c r="B153" s="13"/>
      <c r="C153" s="13"/>
      <c r="D153" s="13"/>
      <c r="E153" s="13"/>
      <c r="F153" s="14"/>
    </row>
    <row r="154">
      <c r="A154" s="885" t="str">
        <f>'MSW22'!A154</f>
        <v/>
      </c>
      <c r="B154" s="886" t="str">
        <f>'MSW22'!B154</f>
        <v/>
      </c>
      <c r="C154" s="644" t="str">
        <f>'MSW22'!C154</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54" s="25"/>
      <c r="E154" s="25"/>
      <c r="F154" s="26"/>
    </row>
    <row r="155">
      <c r="A155" s="887" t="str">
        <f>'MSW22'!A155</f>
        <v/>
      </c>
      <c r="B155" s="888" t="str">
        <f>'MSW22'!B155</f>
        <v/>
      </c>
      <c r="C155" s="529"/>
      <c r="F155" s="28"/>
    </row>
    <row r="156">
      <c r="A156" s="887" t="str">
        <f>'MSW22'!A156</f>
        <v/>
      </c>
      <c r="B156" s="888" t="str">
        <f>'MSW22'!B156</f>
        <v/>
      </c>
      <c r="C156" s="529"/>
      <c r="F156" s="28"/>
    </row>
    <row r="157">
      <c r="A157" s="887" t="str">
        <f>'MSW22'!A157</f>
        <v/>
      </c>
      <c r="B157" s="888" t="str">
        <f>'MSW22'!B157</f>
        <v/>
      </c>
      <c r="C157" s="529"/>
      <c r="F157" s="28"/>
    </row>
    <row r="158">
      <c r="A158" s="887" t="str">
        <f>'MSW22'!A158</f>
        <v/>
      </c>
      <c r="B158" s="888" t="str">
        <f>'MSW22'!B158</f>
        <v/>
      </c>
      <c r="C158" s="529"/>
      <c r="F158" s="28"/>
    </row>
    <row r="159">
      <c r="A159" s="887" t="str">
        <f>'MSW22'!A159</f>
        <v/>
      </c>
      <c r="B159" s="888" t="str">
        <f>'MSW22'!B159</f>
        <v/>
      </c>
      <c r="C159" s="529"/>
      <c r="F159" s="28"/>
    </row>
    <row r="160">
      <c r="A160" s="889" t="str">
        <f>'MSW22'!A160</f>
        <v/>
      </c>
      <c r="B160" s="888" t="str">
        <f>'MSW22'!B160</f>
        <v/>
      </c>
      <c r="C160" s="529"/>
      <c r="F160" s="28"/>
    </row>
    <row r="161">
      <c r="A161" s="887" t="str">
        <f>'MSW22'!A161</f>
        <v/>
      </c>
      <c r="B161" s="888" t="str">
        <f>'MSW22'!B161</f>
        <v/>
      </c>
      <c r="C161" s="529"/>
      <c r="F161" s="28"/>
    </row>
    <row r="162">
      <c r="A162" s="887" t="str">
        <f>'MSW22'!A162</f>
        <v/>
      </c>
      <c r="B162" s="888" t="str">
        <f>'MSW22'!B162</f>
        <v/>
      </c>
      <c r="C162" s="529"/>
      <c r="F162" s="28"/>
    </row>
    <row r="163">
      <c r="A163" s="890" t="str">
        <f>'MSW22'!A163</f>
        <v/>
      </c>
      <c r="B163" s="888" t="str">
        <f>'MSW22'!B163</f>
        <v/>
      </c>
      <c r="C163" s="529"/>
      <c r="F163" s="28"/>
    </row>
    <row r="164">
      <c r="A164" s="887" t="str">
        <f>'MSW22'!A164</f>
        <v/>
      </c>
      <c r="B164" s="888" t="str">
        <f>'MSW22'!B164</f>
        <v/>
      </c>
      <c r="C164" s="529"/>
      <c r="F164" s="28"/>
    </row>
    <row r="165">
      <c r="A165" s="887" t="str">
        <f>'MSW22'!A165</f>
        <v/>
      </c>
      <c r="B165" s="888" t="str">
        <f>'MSW22'!B165</f>
        <v/>
      </c>
      <c r="C165" s="529"/>
      <c r="F165" s="28"/>
    </row>
    <row r="166">
      <c r="A166" s="887" t="str">
        <f>'MSW22'!A166</f>
        <v/>
      </c>
      <c r="B166" s="888" t="str">
        <f>'MSW22'!B166</f>
        <v/>
      </c>
      <c r="C166" s="529"/>
      <c r="F166" s="28"/>
    </row>
    <row r="167">
      <c r="A167" s="887" t="str">
        <f>'MSW22'!A167</f>
        <v/>
      </c>
      <c r="B167" s="888" t="str">
        <f>'MSW22'!B167</f>
        <v/>
      </c>
      <c r="C167" s="529"/>
      <c r="F167" s="28"/>
    </row>
    <row r="168">
      <c r="A168" s="891" t="str">
        <f>'MSW22'!A168</f>
        <v/>
      </c>
      <c r="B168" s="892" t="str">
        <f>'MSW22'!B168</f>
        <v/>
      </c>
      <c r="C168" s="336"/>
      <c r="D168" s="11"/>
      <c r="E168" s="11"/>
      <c r="F168" s="46"/>
    </row>
    <row r="169">
      <c r="A169" t="str">
        <f>'MSW22'!A169</f>
        <v/>
      </c>
    </row>
  </sheetData>
  <mergeCells count="89">
    <mergeCell ref="A78:F78"/>
    <mergeCell ref="B79:F79"/>
    <mergeCell ref="A84:F85"/>
    <mergeCell ref="A86:F86"/>
    <mergeCell ref="B87:F87"/>
    <mergeCell ref="A92:F93"/>
    <mergeCell ref="A94:F94"/>
    <mergeCell ref="B113:F113"/>
    <mergeCell ref="A114:F115"/>
    <mergeCell ref="A95:F95"/>
    <mergeCell ref="A96:F96"/>
    <mergeCell ref="G99:G113"/>
    <mergeCell ref="A100:F100"/>
    <mergeCell ref="B101:F101"/>
    <mergeCell ref="A107:F107"/>
    <mergeCell ref="A110:F110"/>
    <mergeCell ref="A124:F124"/>
    <mergeCell ref="B125:F125"/>
    <mergeCell ref="G86:G88"/>
    <mergeCell ref="G89:G90"/>
    <mergeCell ref="A97:F98"/>
    <mergeCell ref="A99:F99"/>
    <mergeCell ref="A116:F116"/>
    <mergeCell ref="B117:F117"/>
    <mergeCell ref="A122:F123"/>
    <mergeCell ref="A148:F148"/>
    <mergeCell ref="A149:F149"/>
    <mergeCell ref="A130:F131"/>
    <mergeCell ref="A132:F132"/>
    <mergeCell ref="B133:F133"/>
    <mergeCell ref="A138:F139"/>
    <mergeCell ref="A140:F140"/>
    <mergeCell ref="B141:F141"/>
    <mergeCell ref="A146:F147"/>
    <mergeCell ref="A1:M8"/>
    <mergeCell ref="A9:F9"/>
    <mergeCell ref="G9:G11"/>
    <mergeCell ref="H9:M9"/>
    <mergeCell ref="A10:F11"/>
    <mergeCell ref="H10:M10"/>
    <mergeCell ref="A14:F14"/>
    <mergeCell ref="A12:F12"/>
    <mergeCell ref="A13:F13"/>
    <mergeCell ref="A15:F15"/>
    <mergeCell ref="G15:G21"/>
    <mergeCell ref="A16:F16"/>
    <mergeCell ref="B17:F17"/>
    <mergeCell ref="G22:G24"/>
    <mergeCell ref="A22:F26"/>
    <mergeCell ref="A27:F27"/>
    <mergeCell ref="B28:F28"/>
    <mergeCell ref="A34:F34"/>
    <mergeCell ref="A37:F37"/>
    <mergeCell ref="B40:F40"/>
    <mergeCell ref="A41:F41"/>
    <mergeCell ref="A42:F42"/>
    <mergeCell ref="B43:F43"/>
    <mergeCell ref="A48:F49"/>
    <mergeCell ref="A50:F50"/>
    <mergeCell ref="B51:F51"/>
    <mergeCell ref="A56:F56"/>
    <mergeCell ref="A57:F57"/>
    <mergeCell ref="G92:M98"/>
    <mergeCell ref="H99:M99"/>
    <mergeCell ref="H100:M100"/>
    <mergeCell ref="I101:M101"/>
    <mergeCell ref="H107:M107"/>
    <mergeCell ref="H110:M110"/>
    <mergeCell ref="I113:M113"/>
    <mergeCell ref="G114:M169"/>
    <mergeCell ref="G12:M14"/>
    <mergeCell ref="H15:M15"/>
    <mergeCell ref="H16:M16"/>
    <mergeCell ref="I17:M17"/>
    <mergeCell ref="G25:M85"/>
    <mergeCell ref="H86:M86"/>
    <mergeCell ref="I87:M87"/>
    <mergeCell ref="A150:F150"/>
    <mergeCell ref="A151:F151"/>
    <mergeCell ref="A152:F153"/>
    <mergeCell ref="C154:F168"/>
    <mergeCell ref="A169:F169"/>
    <mergeCell ref="A58:F59"/>
    <mergeCell ref="A60:F60"/>
    <mergeCell ref="A61:F61"/>
    <mergeCell ref="A62:F62"/>
    <mergeCell ref="B63:F63"/>
    <mergeCell ref="B75:F75"/>
    <mergeCell ref="A76:F77"/>
  </mergeCells>
  <dataValidations>
    <dataValidation type="decimal" allowBlank="1" showDropDown="1" showInputMessage="1" showErrorMessage="1" prompt="Enter a number between 0 and 30" sqref="F18:F21 M18:M24 F29:F33 F35:F36 F38:F39 F44:F47 F52:F55 F64:F74 F80:F83 F88:F91 M88:M91 F102:F106 M102:M106 F108:F109 M108:M109 F111:F112 M111:M112 F118:F121 F126:F129 F134:F137 F142:F145">
      <formula1>0.0</formula1>
      <formula2>30.0</formula2>
    </dataValidation>
    <dataValidation type="decimal" operator="greaterThan" allowBlank="1" showDropDown="1" showErrorMessage="1" sqref="M11">
      <formula1>0.0</formula1>
    </dataValidation>
  </dataValidations>
  <drawing r:id="rId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'MSW47'!A1</f>
        <v/>
      </c>
    </row>
    <row r="8">
      <c r="A8" s="11"/>
      <c r="B8" s="11"/>
      <c r="C8" s="11"/>
      <c r="D8" s="11"/>
      <c r="E8" s="11"/>
      <c r="F8" s="11"/>
      <c r="G8" s="11"/>
      <c r="H8" s="11"/>
      <c r="I8" s="11"/>
      <c r="J8" s="11"/>
      <c r="K8" s="11"/>
      <c r="L8" s="11"/>
      <c r="M8" s="11"/>
    </row>
    <row r="9">
      <c r="A9" s="12" t="str">
        <f>'MSW47'!A9</f>
        <v>Week 47</v>
      </c>
      <c r="B9" s="13"/>
      <c r="C9" s="13"/>
      <c r="D9" s="13"/>
      <c r="E9" s="13"/>
      <c r="F9" s="14"/>
      <c r="G9" s="103" t="str">
        <f>'MSW47'!G9</f>
        <v/>
      </c>
      <c r="H9" s="24" t="s">
        <v>35</v>
      </c>
      <c r="I9" s="25"/>
      <c r="J9" s="25"/>
      <c r="K9" s="25"/>
      <c r="L9" s="25"/>
      <c r="M9" s="26"/>
    </row>
    <row r="10">
      <c r="A10" s="15" t="str">
        <f>'MSW47'!A10</f>
        <v>PRESS TO RECORD BODY WEIGHT</v>
      </c>
      <c r="B10" s="16"/>
      <c r="C10" s="16"/>
      <c r="D10" s="16"/>
      <c r="E10" s="16"/>
      <c r="F10" s="17"/>
      <c r="H10" s="27" t="s">
        <v>402</v>
      </c>
      <c r="M10" s="28"/>
    </row>
    <row r="11">
      <c r="A11" s="18"/>
      <c r="B11" s="13"/>
      <c r="C11" s="13"/>
      <c r="D11" s="13"/>
      <c r="E11" s="13"/>
      <c r="F11" s="14"/>
      <c r="H11" s="29" t="s">
        <v>403</v>
      </c>
      <c r="I11" s="30"/>
      <c r="J11" s="30"/>
      <c r="K11" s="30"/>
      <c r="L11" s="30"/>
      <c r="M11" s="31"/>
    </row>
    <row r="12">
      <c r="A12" s="19" t="str">
        <f>'MSW47'!A12</f>
        <v>This Weeks Goals</v>
      </c>
      <c r="B12" s="20"/>
      <c r="C12" s="20"/>
      <c r="D12" s="20"/>
      <c r="E12" s="20"/>
      <c r="F12" s="21"/>
      <c r="G12" s="103" t="str">
        <f>'MSW47'!G12</f>
        <v/>
      </c>
    </row>
    <row r="13">
      <c r="A13" s="22" t="str">
        <f>'MSW47'!A13</f>
        <v>Working hard this week establishing new maxes in a few areas. Give it everything you've got. Pay close attention to rest times and rep counts. </v>
      </c>
      <c r="B13" s="20"/>
      <c r="C13" s="20"/>
      <c r="D13" s="20"/>
      <c r="E13" s="20"/>
      <c r="F13" s="21"/>
    </row>
    <row r="14">
      <c r="A14" s="219" t="str">
        <f>'MSW47'!A14</f>
        <v/>
      </c>
    </row>
    <row r="16">
      <c r="A16" s="50" t="str">
        <f>'MSW47'!A16</f>
        <v>DAY 1</v>
      </c>
      <c r="B16" s="36"/>
      <c r="C16" s="36"/>
      <c r="D16" s="36"/>
      <c r="E16" s="36"/>
      <c r="F16" s="37"/>
      <c r="G16" s="141" t="str">
        <f>'MSW47'!G16</f>
        <v/>
      </c>
      <c r="H16" s="50" t="str">
        <f>'MSW47'!H16</f>
        <v>ALTERNATE WORKOUTS</v>
      </c>
      <c r="I16" s="36"/>
      <c r="J16" s="36"/>
      <c r="K16" s="36"/>
      <c r="L16" s="36"/>
      <c r="M16" s="37"/>
    </row>
    <row r="17">
      <c r="A17" s="657" t="str">
        <f>'MSW47'!A17</f>
        <v/>
      </c>
    </row>
    <row r="19">
      <c r="A19" s="1344" t="str">
        <f>'MSW47'!A19</f>
        <v>CHEST &amp; BACK </v>
      </c>
      <c r="B19" s="36"/>
      <c r="C19" s="36"/>
      <c r="D19" s="36"/>
      <c r="E19" s="36"/>
      <c r="F19" s="37"/>
      <c r="G19" s="141" t="str">
        <f>'MSW47'!G19</f>
        <v/>
      </c>
      <c r="H19" s="51" t="str">
        <f>'MSW47'!H19</f>
        <v>CHEST &amp; BACK </v>
      </c>
      <c r="I19" s="36"/>
      <c r="J19" s="36"/>
      <c r="K19" s="36"/>
      <c r="L19" s="36"/>
      <c r="M19" s="37"/>
    </row>
    <row r="20">
      <c r="A20" s="52" t="str">
        <f>'MSW47'!A20</f>
        <v>1. DUMBBELL INCLINE PRESS</v>
      </c>
      <c r="B20" s="53"/>
      <c r="C20" s="53"/>
      <c r="D20" s="53"/>
      <c r="E20" s="53"/>
      <c r="F20" s="54"/>
      <c r="H20" s="52" t="str">
        <f>'MSW47'!H20</f>
        <v>1. MACHINE PRESS</v>
      </c>
      <c r="I20" s="53"/>
      <c r="J20" s="53"/>
      <c r="K20" s="53"/>
      <c r="L20" s="53"/>
      <c r="M20" s="54"/>
    </row>
    <row r="21">
      <c r="A21" s="228" t="str">
        <f>'MSW47'!A21</f>
        <v>CURRENT MAX</v>
      </c>
      <c r="B21" s="229" t="str">
        <f>'MSW47'!B21</f>
        <v/>
      </c>
      <c r="C21" s="16"/>
      <c r="D21" s="16"/>
      <c r="E21" s="16"/>
      <c r="F21" s="230"/>
      <c r="H21" s="228" t="str">
        <f>'MSW47'!H21</f>
        <v>CURRENT MAX</v>
      </c>
      <c r="I21" s="229" t="str">
        <f>'MSW47'!I21</f>
        <v/>
      </c>
      <c r="J21" s="16"/>
      <c r="K21" s="16"/>
      <c r="L21" s="16"/>
      <c r="M21" s="230"/>
    </row>
    <row r="22">
      <c r="A22" s="96" t="str">
        <f>'MSW47'!A22</f>
        <v>SET</v>
      </c>
      <c r="B22" s="97" t="str">
        <f>'MSW47'!B22</f>
        <v>WEIGHT</v>
      </c>
      <c r="C22" s="97" t="str">
        <f>'MSW47'!C22</f>
        <v>REPS</v>
      </c>
      <c r="D22" s="97" t="str">
        <f>'MSW47'!D22</f>
        <v>REST</v>
      </c>
      <c r="E22" s="98" t="str">
        <f>'MSW47'!E22</f>
        <v>PREVIOUS</v>
      </c>
      <c r="F22" s="235" t="str">
        <f>'MSW47'!F22</f>
        <v>REP LOG</v>
      </c>
      <c r="H22" s="96" t="str">
        <f>'MSW47'!H22</f>
        <v>SET</v>
      </c>
      <c r="I22" s="97" t="str">
        <f>'MSW47'!I22</f>
        <v>WEIGHT</v>
      </c>
      <c r="J22" s="97" t="str">
        <f>'MSW47'!J22</f>
        <v>REPS</v>
      </c>
      <c r="K22" s="97" t="str">
        <f>'MSW47'!K22</f>
        <v>REST</v>
      </c>
      <c r="L22" s="98" t="str">
        <f>'MSW47'!L22</f>
        <v>PREVIOUS</v>
      </c>
      <c r="M22" s="235" t="str">
        <f>'MSW47'!M22</f>
        <v>REP LOG</v>
      </c>
    </row>
    <row r="23">
      <c r="A23" s="244">
        <f>'MSW47'!A23</f>
        <v>1</v>
      </c>
      <c r="B23" s="241">
        <f>'MSW47'!B23</f>
        <v>0</v>
      </c>
      <c r="C23" s="63">
        <f>'MSW47'!C23</f>
        <v>6</v>
      </c>
      <c r="D23" s="83" t="str">
        <f>'MSW47'!D23</f>
        <v>1 MIN</v>
      </c>
      <c r="E23" s="84" t="str">
        <f>'MSW47'!E23</f>
        <v/>
      </c>
      <c r="F23" s="85" t="str">
        <f>'MSW47'!F23</f>
        <v/>
      </c>
      <c r="H23" s="244">
        <f>'MSW47'!H23</f>
        <v>1</v>
      </c>
      <c r="I23" s="241">
        <f>'MSW47'!I23</f>
        <v>0</v>
      </c>
      <c r="J23" s="63">
        <f>'MSW47'!J23</f>
        <v>6</v>
      </c>
      <c r="K23" s="83" t="str">
        <f>'MSW47'!K23</f>
        <v>1 MIN</v>
      </c>
      <c r="L23" s="84" t="str">
        <f>'MSW47'!L23</f>
        <v/>
      </c>
      <c r="M23" s="85" t="str">
        <f>'MSW47'!M23</f>
        <v/>
      </c>
    </row>
    <row r="24">
      <c r="A24" s="240">
        <f>'MSW47'!A24</f>
        <v>2</v>
      </c>
      <c r="B24" s="241">
        <f>'MSW47'!B24</f>
        <v>0</v>
      </c>
      <c r="C24" s="241">
        <f>'MSW47'!C24</f>
        <v>1</v>
      </c>
      <c r="D24" s="83" t="str">
        <f>'MSW47'!D24</f>
        <v>1 MIN</v>
      </c>
      <c r="E24" s="84" t="str">
        <f>'MSW47'!E24</f>
        <v/>
      </c>
      <c r="F24" s="85" t="str">
        <f>'MSW47'!F24</f>
        <v/>
      </c>
      <c r="H24" s="240">
        <f>'MSW47'!H24</f>
        <v>2</v>
      </c>
      <c r="I24" s="241">
        <f>'MSW47'!I24</f>
        <v>0</v>
      </c>
      <c r="J24" s="241">
        <f>'MSW47'!J24</f>
        <v>1</v>
      </c>
      <c r="K24" s="83" t="str">
        <f>'MSW47'!K24</f>
        <v>1 MIN</v>
      </c>
      <c r="L24" s="84" t="str">
        <f>'MSW47'!L24</f>
        <v/>
      </c>
      <c r="M24" s="85" t="str">
        <f>'MSW47'!M24</f>
        <v/>
      </c>
    </row>
    <row r="25">
      <c r="A25" s="240">
        <f>'MSW47'!A25</f>
        <v>3</v>
      </c>
      <c r="B25" s="241">
        <f>'MSW47'!B25</f>
        <v>0</v>
      </c>
      <c r="C25" s="63">
        <f>'MSW47'!C25</f>
        <v>1</v>
      </c>
      <c r="D25" s="83" t="str">
        <f>'MSW47'!D25</f>
        <v>1 MIN</v>
      </c>
      <c r="E25" s="84" t="str">
        <f>'MSW47'!E25</f>
        <v/>
      </c>
      <c r="F25" s="85" t="str">
        <f>'MSW47'!F25</f>
        <v/>
      </c>
      <c r="H25" s="240">
        <f>'MSW47'!H25</f>
        <v>3</v>
      </c>
      <c r="I25" s="241">
        <f>'MSW47'!I25</f>
        <v>0</v>
      </c>
      <c r="J25" s="241">
        <f>'MSW47'!J25</f>
        <v>1</v>
      </c>
      <c r="K25" s="83" t="str">
        <f>'MSW47'!K25</f>
        <v>1 MIN</v>
      </c>
      <c r="L25" s="84" t="str">
        <f>'MSW47'!L25</f>
        <v/>
      </c>
      <c r="M25" s="85" t="str">
        <f>'MSW47'!M25</f>
        <v/>
      </c>
    </row>
    <row r="26">
      <c r="A26" s="240">
        <f>'MSW47'!A26</f>
        <v>4</v>
      </c>
      <c r="B26" s="241">
        <f>'MSW47'!B26</f>
        <v>0</v>
      </c>
      <c r="C26" s="245" t="str">
        <f>'MSW47'!C26</f>
        <v>REP OUT</v>
      </c>
      <c r="D26" s="83" t="str">
        <f>'MSW47'!D26</f>
        <v>1 MIN</v>
      </c>
      <c r="E26" s="84" t="str">
        <f>'MSW47'!E26</f>
        <v/>
      </c>
      <c r="F26" s="85" t="str">
        <f>'MSW47'!F26</f>
        <v/>
      </c>
      <c r="H26" s="240">
        <f>'MSW47'!H26</f>
        <v>4</v>
      </c>
      <c r="I26" s="241">
        <f>'MSW47'!I26</f>
        <v>0</v>
      </c>
      <c r="J26" s="245" t="str">
        <f>'MSW47'!J26</f>
        <v>REP OUT</v>
      </c>
      <c r="K26" s="83" t="str">
        <f>'MSW47'!K26</f>
        <v>1 MIN</v>
      </c>
      <c r="L26" s="84" t="str">
        <f>'MSW47'!L26</f>
        <v/>
      </c>
      <c r="M26" s="85" t="str">
        <f>'MSW47'!M26</f>
        <v/>
      </c>
    </row>
    <row r="27">
      <c r="A27" s="248" t="str">
        <f>'MSW47'!A27</f>
        <v>PROCEED TO DOWNSETS</v>
      </c>
      <c r="F27" s="28"/>
      <c r="G27" s="247" t="str">
        <f>'MSW47'!G27</f>
        <v>ALTERNATE</v>
      </c>
      <c r="H27" s="248" t="str">
        <f>'MSW47'!H27</f>
        <v>PROCEED TO DOWNSETS</v>
      </c>
      <c r="M27" s="28"/>
    </row>
    <row r="28">
      <c r="A28" s="251" t="str">
        <f>'MSW47'!A28</f>
        <v/>
      </c>
      <c r="B28" s="252" t="str">
        <f>'MSW47'!B28</f>
        <v/>
      </c>
      <c r="C28" s="253" t="str">
        <f>'MSW47'!C28</f>
        <v/>
      </c>
      <c r="D28" s="254" t="str">
        <f>'MSW47'!D28</f>
        <v/>
      </c>
      <c r="E28" s="84" t="str">
        <f>'MSW47'!E28</f>
        <v/>
      </c>
      <c r="F28" s="67" t="str">
        <f>'MSW47'!F28</f>
        <v/>
      </c>
      <c r="H28" s="251" t="str">
        <f>'MSW47'!H28</f>
        <v/>
      </c>
      <c r="I28" s="252" t="str">
        <f>'MSW47'!I28</f>
        <v/>
      </c>
      <c r="J28" s="253" t="str">
        <f>'MSW47'!J28</f>
        <v/>
      </c>
      <c r="K28" s="254" t="str">
        <f>'MSW47'!K28</f>
        <v/>
      </c>
      <c r="L28" s="84" t="str">
        <f>'MSW47'!L28</f>
        <v/>
      </c>
      <c r="M28" s="67" t="str">
        <f>'MSW47'!M28</f>
        <v/>
      </c>
    </row>
    <row r="29">
      <c r="A29" s="260" t="str">
        <f>'MSW47'!A29</f>
        <v>FILL OUT REP LOG FIRST</v>
      </c>
      <c r="B29" s="16"/>
      <c r="C29" s="16"/>
      <c r="D29" s="16"/>
      <c r="E29" s="16"/>
      <c r="F29" s="230"/>
      <c r="G29" s="141" t="str">
        <f>'MSW47'!G29</f>
        <v/>
      </c>
      <c r="H29" s="260" t="str">
        <f>'MSW47'!H29</f>
        <v>FILL OUT REP LOG FIRST</v>
      </c>
      <c r="I29" s="16"/>
      <c r="J29" s="16"/>
      <c r="K29" s="16"/>
      <c r="L29" s="16"/>
      <c r="M29" s="230"/>
    </row>
    <row r="30">
      <c r="A30" s="545" t="str">
        <f>'MSW47'!A30</f>
        <v/>
      </c>
      <c r="B30" s="261" t="str">
        <f>'MSW47'!B30</f>
        <v/>
      </c>
      <c r="C30" s="262" t="str">
        <f>'MSW47'!C30</f>
        <v/>
      </c>
      <c r="D30" s="65" t="str">
        <f>'MSW47'!D30</f>
        <v/>
      </c>
      <c r="E30" s="84" t="str">
        <f>'MSW47'!E30</f>
        <v/>
      </c>
      <c r="F30" s="263" t="str">
        <f>'MSW47'!F30</f>
        <v/>
      </c>
      <c r="H30" s="91" t="str">
        <f>'MSW47'!H30</f>
        <v/>
      </c>
      <c r="I30" s="261" t="str">
        <f>'MSW47'!I30</f>
        <v/>
      </c>
      <c r="J30" s="262" t="str">
        <f>'MSW47'!J30</f>
        <v/>
      </c>
      <c r="K30" s="65" t="str">
        <f>'MSW47'!K30</f>
        <v/>
      </c>
      <c r="L30" s="84" t="str">
        <f>'MSW47'!L30</f>
        <v/>
      </c>
      <c r="M30" s="263" t="str">
        <f>'MSW47'!M30</f>
        <v/>
      </c>
    </row>
    <row r="31">
      <c r="A31" s="546" t="str">
        <f>'MSW47'!A31</f>
        <v/>
      </c>
      <c r="B31" s="254" t="str">
        <f>'MSW47'!B31</f>
        <v/>
      </c>
      <c r="C31" s="253" t="str">
        <f>'MSW47'!C31</f>
        <v/>
      </c>
      <c r="D31" s="65" t="str">
        <f>'MSW47'!D31</f>
        <v/>
      </c>
      <c r="E31" s="84" t="str">
        <f>'MSW47'!E31</f>
        <v/>
      </c>
      <c r="F31" s="270" t="str">
        <f>'MSW47'!F31</f>
        <v/>
      </c>
      <c r="H31" s="269" t="str">
        <f>'MSW47'!H31</f>
        <v/>
      </c>
      <c r="I31" s="254" t="str">
        <f>'MSW47'!I31</f>
        <v/>
      </c>
      <c r="J31" s="253" t="str">
        <f>'MSW47'!J31</f>
        <v/>
      </c>
      <c r="K31" s="65" t="str">
        <f>'MSW47'!K31</f>
        <v/>
      </c>
      <c r="L31" s="84" t="str">
        <f>'MSW47'!L31</f>
        <v/>
      </c>
      <c r="M31" s="270" t="str">
        <f>'MSW47'!M31</f>
        <v/>
      </c>
    </row>
    <row r="32">
      <c r="A32" s="546" t="str">
        <f>'MSW47'!A32</f>
        <v/>
      </c>
      <c r="B32" s="254">
        <f>'MSW47'!B32</f>
        <v>90</v>
      </c>
      <c r="C32" s="253" t="str">
        <f>'MSW47'!C32</f>
        <v/>
      </c>
      <c r="D32" s="65" t="str">
        <f>'MSW47'!D32</f>
        <v/>
      </c>
      <c r="E32" s="84" t="str">
        <f>'MSW47'!E32</f>
        <v/>
      </c>
      <c r="F32" s="270" t="str">
        <f>'MSW47'!F32</f>
        <v/>
      </c>
      <c r="G32" s="141" t="str">
        <f>'MSW47'!G32</f>
        <v/>
      </c>
      <c r="H32" s="269" t="str">
        <f>'MSW47'!H32</f>
        <v/>
      </c>
      <c r="I32" s="254" t="str">
        <f>'MSW47'!I32</f>
        <v/>
      </c>
      <c r="J32" s="253" t="str">
        <f>'MSW47'!J32</f>
        <v/>
      </c>
      <c r="K32" s="65" t="str">
        <f>'MSW47'!K32</f>
        <v/>
      </c>
      <c r="L32" s="84" t="str">
        <f>'MSW47'!L32</f>
        <v/>
      </c>
      <c r="M32" s="270" t="str">
        <f>'MSW47'!M32</f>
        <v/>
      </c>
    </row>
    <row r="33">
      <c r="A33" s="546" t="str">
        <f>'MSW47'!A33</f>
        <v/>
      </c>
      <c r="B33" s="254" t="str">
        <f>'MSW47'!B33</f>
        <v/>
      </c>
      <c r="C33" s="253" t="str">
        <f>'MSW47'!C33</f>
        <v/>
      </c>
      <c r="D33" s="65" t="str">
        <f>'MSW47'!D33</f>
        <v/>
      </c>
      <c r="E33" s="84" t="str">
        <f>'MSW47'!E33</f>
        <v/>
      </c>
      <c r="F33" s="270" t="str">
        <f>'MSW47'!F33</f>
        <v/>
      </c>
      <c r="G33" s="141" t="str">
        <f>'MSW47'!G33</f>
        <v/>
      </c>
      <c r="H33" s="269" t="str">
        <f>'MSW47'!H33</f>
        <v/>
      </c>
      <c r="I33" s="254" t="str">
        <f>'MSW47'!I33</f>
        <v/>
      </c>
      <c r="J33" s="253" t="str">
        <f>'MSW47'!J33</f>
        <v/>
      </c>
      <c r="K33" s="65" t="str">
        <f>'MSW47'!K33</f>
        <v/>
      </c>
      <c r="L33" s="84" t="str">
        <f>'MSW47'!L33</f>
        <v/>
      </c>
      <c r="M33" s="270" t="str">
        <f>'MSW47'!M33</f>
        <v/>
      </c>
    </row>
    <row r="34">
      <c r="A34" s="280" t="str">
        <f>'MSW47'!A34</f>
        <v>FINAL MAX</v>
      </c>
      <c r="B34" s="273" t="str">
        <f>'MSW47'!B34</f>
        <v/>
      </c>
      <c r="C34" s="11"/>
      <c r="D34" s="11"/>
      <c r="E34" s="11"/>
      <c r="F34" s="46"/>
      <c r="G34" s="141" t="str">
        <f>'MSW47'!G34</f>
        <v/>
      </c>
      <c r="H34" s="280" t="str">
        <f>'MSW47'!H34</f>
        <v>FINAL MAX</v>
      </c>
      <c r="I34" s="273" t="str">
        <f>'MSW47'!I34</f>
        <v/>
      </c>
      <c r="J34" s="11"/>
      <c r="K34" s="11"/>
      <c r="L34" s="11"/>
      <c r="M34" s="46"/>
    </row>
    <row r="35">
      <c r="A35" s="658" t="str">
        <f>'MSW47'!A35</f>
        <v/>
      </c>
    </row>
    <row r="37">
      <c r="A37" s="440" t="str">
        <f>'MSW47'!A37</f>
        <v>2. DUMBBELL CHEST FLY</v>
      </c>
      <c r="B37" s="53"/>
      <c r="C37" s="53"/>
      <c r="D37" s="53"/>
      <c r="E37" s="53"/>
      <c r="F37" s="54"/>
      <c r="G37" s="659" t="str">
        <f>'MSW47'!G37</f>
        <v/>
      </c>
      <c r="H37" s="504" t="str">
        <f>'MSW47'!H37</f>
        <v>2. MACHINE CHEST FLY</v>
      </c>
      <c r="I37" s="53"/>
      <c r="J37" s="53"/>
      <c r="K37" s="53"/>
      <c r="L37" s="53"/>
      <c r="M37" s="54"/>
    </row>
    <row r="38">
      <c r="A38" s="226" t="str">
        <f>'MSW47'!A38</f>
        <v>DB INCL PRSS MAX</v>
      </c>
      <c r="B38" s="548" t="str">
        <f>'MSW47'!B38</f>
        <v/>
      </c>
      <c r="C38" s="13"/>
      <c r="D38" s="13"/>
      <c r="E38" s="13"/>
      <c r="F38" s="57"/>
      <c r="G38" s="247" t="str">
        <f>'MSW47'!G38</f>
        <v>ALTERNATE</v>
      </c>
      <c r="H38" s="226" t="str">
        <f>'MSW47'!H38</f>
        <v>DB INCL PRSS MAX</v>
      </c>
      <c r="I38" s="548" t="str">
        <f>'MSW47'!I38</f>
        <v/>
      </c>
      <c r="J38" s="13"/>
      <c r="K38" s="13"/>
      <c r="L38" s="13"/>
      <c r="M38" s="57"/>
    </row>
    <row r="39">
      <c r="A39" s="96" t="str">
        <f>'MSW47'!A39</f>
        <v>SET</v>
      </c>
      <c r="B39" s="97" t="str">
        <f>'MSW47'!B39</f>
        <v>WEIGHT</v>
      </c>
      <c r="C39" s="97" t="str">
        <f>'MSW47'!C39</f>
        <v>REPS</v>
      </c>
      <c r="D39" s="97" t="str">
        <f>'MSW47'!D39</f>
        <v>REST</v>
      </c>
      <c r="E39" s="98" t="str">
        <f>'MSW47'!E39</f>
        <v>PREVIOUS</v>
      </c>
      <c r="F39" s="235" t="str">
        <f>'MSW47'!F39</f>
        <v>REP LOG</v>
      </c>
      <c r="H39" s="96" t="str">
        <f>'MSW47'!H39</f>
        <v>SET</v>
      </c>
      <c r="I39" s="97" t="str">
        <f>'MSW47'!I39</f>
        <v>WEIGHT</v>
      </c>
      <c r="J39" s="97" t="str">
        <f>'MSW47'!J39</f>
        <v>REPS</v>
      </c>
      <c r="K39" s="97" t="str">
        <f>'MSW47'!K39</f>
        <v>REST</v>
      </c>
      <c r="L39" s="341" t="str">
        <f>'MSW47'!L39</f>
        <v>PREVIOUS</v>
      </c>
      <c r="M39" s="235" t="str">
        <f>'MSW47'!M39</f>
        <v>REP LOG</v>
      </c>
    </row>
    <row r="40">
      <c r="A40" s="240">
        <f>'MSW47'!A40</f>
        <v>1</v>
      </c>
      <c r="B40" s="254">
        <f>'MSW47'!B40</f>
        <v>0</v>
      </c>
      <c r="C40" s="241">
        <f>'MSW47'!C40</f>
        <v>15</v>
      </c>
      <c r="D40" s="83" t="str">
        <f>'MSW47'!D40</f>
        <v>1 MIN</v>
      </c>
      <c r="E40" s="84" t="str">
        <f>'MSW47'!E40</f>
        <v/>
      </c>
      <c r="F40" s="85" t="str">
        <f>'MSW47'!F40</f>
        <v/>
      </c>
      <c r="G40" s="659" t="str">
        <f>'MSW47'!G40</f>
        <v/>
      </c>
      <c r="H40" s="240">
        <f>'MSW47'!H40</f>
        <v>1</v>
      </c>
      <c r="I40" s="254">
        <f>'MSW47'!I40</f>
        <v>0</v>
      </c>
      <c r="J40" s="241">
        <f>'MSW47'!J40</f>
        <v>15</v>
      </c>
      <c r="K40" s="83" t="str">
        <f>'MSW47'!K40</f>
        <v>1 MIN</v>
      </c>
      <c r="L40" s="84" t="str">
        <f>'MSW47'!L40</f>
        <v/>
      </c>
      <c r="M40" s="85" t="str">
        <f>'MSW47'!M40</f>
        <v/>
      </c>
    </row>
    <row r="41">
      <c r="A41" s="661">
        <f>'MSW47'!A41</f>
        <v>2</v>
      </c>
      <c r="B41" s="662">
        <f>'MSW47'!B41</f>
        <v>0</v>
      </c>
      <c r="C41" s="69">
        <f>'MSW47'!C41</f>
        <v>15</v>
      </c>
      <c r="D41" s="88" t="str">
        <f>'MSW47'!D41</f>
        <v>1 MIN</v>
      </c>
      <c r="E41" s="89" t="str">
        <f>'MSW47'!E41</f>
        <v/>
      </c>
      <c r="F41" s="85" t="str">
        <f>'MSW47'!F41</f>
        <v/>
      </c>
      <c r="H41" s="661">
        <f>'MSW47'!H41</f>
        <v>2</v>
      </c>
      <c r="I41" s="662">
        <f>'MSW47'!I41</f>
        <v>0</v>
      </c>
      <c r="J41" s="662">
        <f>'MSW47'!J41</f>
        <v>15</v>
      </c>
      <c r="K41" s="88" t="str">
        <f>'MSW47'!K41</f>
        <v>1 MIN</v>
      </c>
      <c r="L41" s="89" t="str">
        <f>'MSW47'!L41</f>
        <v/>
      </c>
      <c r="M41" s="85" t="str">
        <f>'MSW47'!M41</f>
        <v/>
      </c>
    </row>
    <row r="42">
      <c r="A42" t="str">
        <f>'MSW47'!A42</f>
        <v/>
      </c>
      <c r="G42" t="str">
        <f>'MSW47'!G42</f>
        <v/>
      </c>
    </row>
    <row r="44">
      <c r="A44" s="73" t="str">
        <f>'MSW47'!A44</f>
        <v>3. MACHINE HIGH ROW</v>
      </c>
      <c r="B44" s="53"/>
      <c r="C44" s="53"/>
      <c r="D44" s="53"/>
      <c r="E44" s="53"/>
      <c r="F44" s="54"/>
    </row>
    <row r="45">
      <c r="A45" s="226" t="str">
        <f>'MSW47'!A45</f>
        <v>CURRENT MAX</v>
      </c>
      <c r="B45" s="227" t="str">
        <f>'MSW47'!B45</f>
        <v/>
      </c>
      <c r="C45" s="20"/>
      <c r="D45" s="20"/>
      <c r="E45" s="20"/>
      <c r="F45" s="95"/>
    </row>
    <row r="46">
      <c r="A46" s="231" t="str">
        <f>'MSW47'!A46</f>
        <v>SET</v>
      </c>
      <c r="B46" s="232" t="str">
        <f>'MSW47'!B46</f>
        <v>WEIGHT</v>
      </c>
      <c r="C46" s="232" t="str">
        <f>'MSW47'!C46</f>
        <v>REPS</v>
      </c>
      <c r="D46" s="232" t="str">
        <f>'MSW47'!D46</f>
        <v>REST</v>
      </c>
      <c r="E46" s="233" t="str">
        <f>'MSW47'!E46</f>
        <v>PREVIOUS</v>
      </c>
      <c r="F46" s="61" t="str">
        <f>'MSW47'!F46</f>
        <v>REP LOG</v>
      </c>
    </row>
    <row r="47">
      <c r="A47" s="236">
        <f>'MSW47'!A47</f>
        <v>1</v>
      </c>
      <c r="B47" s="237">
        <f>'MSW47'!B47</f>
        <v>0</v>
      </c>
      <c r="C47" s="237">
        <f>'MSW47'!C47</f>
        <v>6</v>
      </c>
      <c r="D47" s="238" t="str">
        <f>'MSW47'!D47</f>
        <v>30s</v>
      </c>
      <c r="E47" s="727" t="str">
        <f>'MSW47'!E47</f>
        <v/>
      </c>
      <c r="F47" s="67" t="str">
        <f>'MSW47'!F47</f>
        <v/>
      </c>
    </row>
    <row r="48">
      <c r="A48" s="236">
        <f>'MSW47'!A48</f>
        <v>2</v>
      </c>
      <c r="B48" s="237">
        <f>'MSW47'!B48</f>
        <v>0</v>
      </c>
      <c r="C48" s="238">
        <f>'MSW47'!C48</f>
        <v>3</v>
      </c>
      <c r="D48" s="238" t="str">
        <f>'MSW47'!D48</f>
        <v>1-2 MIN</v>
      </c>
      <c r="E48" s="727" t="str">
        <f>'MSW47'!E48</f>
        <v/>
      </c>
      <c r="F48" s="67" t="str">
        <f>'MSW47'!F48</f>
        <v/>
      </c>
    </row>
    <row r="49">
      <c r="A49" s="242">
        <f>'MSW47'!A49</f>
        <v>3</v>
      </c>
      <c r="B49" s="237">
        <f>'MSW47'!B49</f>
        <v>0</v>
      </c>
      <c r="C49" s="63">
        <f>'MSW47'!C49</f>
        <v>2</v>
      </c>
      <c r="D49" s="238" t="str">
        <f>'MSW47'!D49</f>
        <v>1-2 MIN</v>
      </c>
      <c r="E49" s="727" t="str">
        <f>'MSW47'!E49</f>
        <v/>
      </c>
      <c r="F49" s="67" t="str">
        <f>'MSW47'!F49</f>
        <v/>
      </c>
    </row>
    <row r="50">
      <c r="A50" s="243">
        <f>'MSW47'!A50</f>
        <v>4</v>
      </c>
      <c r="B50" s="237" t="str">
        <f>'MSW47'!B50</f>
        <v/>
      </c>
      <c r="C50" s="257">
        <f>'MSW47'!C50</f>
        <v>3</v>
      </c>
      <c r="D50" s="238" t="str">
        <f>'MSW47'!D50</f>
        <v>1-5 MIN</v>
      </c>
      <c r="E50" s="727" t="str">
        <f>'MSW47'!E50</f>
        <v/>
      </c>
      <c r="F50" s="67" t="str">
        <f>'MSW47'!F50</f>
        <v/>
      </c>
    </row>
    <row r="51">
      <c r="A51" s="246" t="str">
        <f>'MSW47'!A51</f>
        <v>PROCEED TO DOWN SETS</v>
      </c>
      <c r="B51" s="20"/>
      <c r="C51" s="20"/>
      <c r="D51" s="20"/>
      <c r="E51" s="20"/>
      <c r="F51" s="95"/>
    </row>
    <row r="52">
      <c r="A52" s="249" t="str">
        <f>'MSW47'!A52</f>
        <v/>
      </c>
      <c r="B52" s="175" t="str">
        <f>'MSW47'!B52</f>
        <v/>
      </c>
      <c r="C52" s="238" t="str">
        <f>'MSW47'!C52</f>
        <v/>
      </c>
      <c r="D52" s="238" t="str">
        <f>'MSW47'!D52</f>
        <v/>
      </c>
      <c r="E52" s="727" t="str">
        <f>'MSW47'!E52</f>
        <v/>
      </c>
      <c r="F52" s="67" t="str">
        <f>'MSW47'!F52</f>
        <v/>
      </c>
    </row>
    <row r="53">
      <c r="A53" s="259" t="str">
        <f>'MSW47'!A53</f>
        <v/>
      </c>
      <c r="B53" s="237" t="str">
        <f>'MSW47'!B53</f>
        <v/>
      </c>
      <c r="C53" s="257" t="str">
        <f>'MSW47'!C53</f>
        <v/>
      </c>
      <c r="D53" s="257" t="str">
        <f>'MSW47'!D53</f>
        <v/>
      </c>
      <c r="E53" s="727" t="str">
        <f>'MSW47'!E53</f>
        <v/>
      </c>
      <c r="F53" s="67" t="str">
        <f>'MSW47'!F53</f>
        <v/>
      </c>
    </row>
    <row r="54">
      <c r="A54" s="246" t="str">
        <f>'MSW47'!A54</f>
        <v>DOWN SETS</v>
      </c>
      <c r="B54" s="20"/>
      <c r="C54" s="20"/>
      <c r="D54" s="20"/>
      <c r="E54" s="20"/>
      <c r="F54" s="95"/>
    </row>
    <row r="55">
      <c r="A55" s="264">
        <f>'MSW47'!A55</f>
        <v>5</v>
      </c>
      <c r="B55" s="265">
        <f>'MSW47'!B55</f>
        <v>0</v>
      </c>
      <c r="C55" s="266" t="str">
        <f>'MSW47'!C55</f>
        <v>REP OUT</v>
      </c>
      <c r="D55" s="267" t="str">
        <f>'MSW47'!D55</f>
        <v>1-3 MIN</v>
      </c>
      <c r="E55" s="727" t="str">
        <f>'MSW47'!E55</f>
        <v/>
      </c>
      <c r="F55" s="67" t="str">
        <f>'MSW47'!F55</f>
        <v/>
      </c>
    </row>
    <row r="56">
      <c r="A56" s="243">
        <f>'MSW47'!A56</f>
        <v>6</v>
      </c>
      <c r="B56" s="237">
        <f>'MSW47'!B56</f>
        <v>0</v>
      </c>
      <c r="C56" s="245" t="str">
        <f>'MSW47'!C56</f>
        <v>REP OUT</v>
      </c>
      <c r="D56" s="65" t="str">
        <f>'MSW47'!D56</f>
        <v>1-3 MIN</v>
      </c>
      <c r="E56" s="727" t="str">
        <f>'MSW47'!E56</f>
        <v/>
      </c>
      <c r="F56" s="271" t="str">
        <f>'MSW47'!F56</f>
        <v/>
      </c>
    </row>
    <row r="57">
      <c r="A57" s="228" t="str">
        <f>'MSW47'!A57</f>
        <v>FINAL MAX</v>
      </c>
      <c r="B57" s="549" t="str">
        <f>'MSW47'!B57</f>
        <v/>
      </c>
      <c r="F57" s="28"/>
    </row>
    <row r="58">
      <c r="A58" s="750" t="str">
        <f>'MSW47'!A58</f>
        <v/>
      </c>
      <c r="B58" s="36"/>
      <c r="C58" s="36"/>
      <c r="D58" s="36"/>
      <c r="E58" s="36"/>
      <c r="F58" s="36"/>
    </row>
    <row r="59">
      <c r="A59" s="751" t="str">
        <f>'MSW47'!A59</f>
        <v>4. LAT PULL DOWN</v>
      </c>
      <c r="B59" s="13"/>
      <c r="C59" s="13"/>
      <c r="D59" s="13"/>
      <c r="E59" s="13"/>
      <c r="F59" s="57"/>
    </row>
    <row r="60">
      <c r="A60" s="226" t="str">
        <f>'MSW47'!A60</f>
        <v>CURRENT MAX</v>
      </c>
      <c r="B60" s="691" t="str">
        <f>'MSW47'!B60</f>
        <v/>
      </c>
      <c r="C60" s="13"/>
      <c r="D60" s="13"/>
      <c r="E60" s="13"/>
      <c r="F60" s="57"/>
    </row>
    <row r="61">
      <c r="A61" s="96" t="str">
        <f>'MSW47'!A61</f>
        <v>SET</v>
      </c>
      <c r="B61" s="97" t="str">
        <f>'MSW47'!B61</f>
        <v>WEIGHT</v>
      </c>
      <c r="C61" s="97" t="str">
        <f>'MSW47'!C61</f>
        <v>REPS</v>
      </c>
      <c r="D61" s="97" t="str">
        <f>'MSW47'!D61</f>
        <v>REST</v>
      </c>
      <c r="E61" s="341" t="str">
        <f>'MSW47'!E61</f>
        <v>PREVIOUS</v>
      </c>
      <c r="F61" s="235" t="str">
        <f>'MSW47'!F61</f>
        <v>REP LOG</v>
      </c>
    </row>
    <row r="62">
      <c r="A62" s="725">
        <f>'MSW47'!A62</f>
        <v>1</v>
      </c>
      <c r="B62" s="344">
        <f>'MSW47'!B62</f>
        <v>0</v>
      </c>
      <c r="C62" s="437" t="str">
        <f>'MSW47'!C62</f>
        <v>REP OUT</v>
      </c>
      <c r="D62" s="343" t="str">
        <f>'MSW47'!D62</f>
        <v>1 MIN</v>
      </c>
      <c r="E62" s="727" t="str">
        <f>'MSW47'!E62</f>
        <v/>
      </c>
      <c r="F62" s="85"/>
    </row>
    <row r="63">
      <c r="A63" s="725">
        <f>'MSW47'!A63</f>
        <v>2</v>
      </c>
      <c r="B63" s="344">
        <f>'MSW47'!B63</f>
        <v>0</v>
      </c>
      <c r="C63" s="437" t="str">
        <f>'MSW47'!C63</f>
        <v>REP OUT</v>
      </c>
      <c r="D63" s="343" t="str">
        <f>'MSW47'!D63</f>
        <v>1 MIN</v>
      </c>
      <c r="E63" s="727" t="str">
        <f>'MSW47'!E63</f>
        <v/>
      </c>
      <c r="F63" s="85"/>
    </row>
    <row r="64">
      <c r="A64" s="753">
        <f>'MSW47'!A64</f>
        <v>3</v>
      </c>
      <c r="B64" s="754">
        <f>'MSW47'!B64</f>
        <v>0</v>
      </c>
      <c r="C64" s="733" t="str">
        <f>'MSW47'!C64</f>
        <v>REP OUT</v>
      </c>
      <c r="D64" s="486" t="str">
        <f>'MSW47'!D64</f>
        <v>1 MIN</v>
      </c>
      <c r="E64" s="734" t="str">
        <f>'MSW47'!E64</f>
        <v/>
      </c>
      <c r="F64" s="85" t="str">
        <f>'MSW47'!F64</f>
        <v/>
      </c>
    </row>
    <row r="65">
      <c r="A65" s="756" t="str">
        <f>'MSW47'!A65</f>
        <v/>
      </c>
    </row>
    <row r="67">
      <c r="A67" s="73" t="str">
        <f>'MSW47'!A67</f>
        <v>5. LOW ROW </v>
      </c>
      <c r="B67" s="53"/>
      <c r="C67" s="53"/>
      <c r="D67" s="53"/>
      <c r="E67" s="53"/>
      <c r="F67" s="54"/>
    </row>
    <row r="68">
      <c r="A68" s="226" t="str">
        <f>'MSW47'!A68</f>
        <v>CURRENT MAX</v>
      </c>
      <c r="B68" s="691">
        <f>'MSW47'!B68</f>
        <v>270</v>
      </c>
      <c r="C68" s="13"/>
      <c r="D68" s="13"/>
      <c r="E68" s="13"/>
      <c r="F68" s="57"/>
    </row>
    <row r="69">
      <c r="A69" s="96" t="str">
        <f>'MSW47'!A69</f>
        <v>SET</v>
      </c>
      <c r="B69" s="97" t="str">
        <f>'MSW47'!B69</f>
        <v>WEIGHT</v>
      </c>
      <c r="C69" s="97" t="str">
        <f>'MSW47'!C69</f>
        <v>REPS</v>
      </c>
      <c r="D69" s="97" t="str">
        <f>'MSW47'!D69</f>
        <v>REST</v>
      </c>
      <c r="E69" s="341" t="str">
        <f>'MSW47'!E69</f>
        <v>PREVIOUS</v>
      </c>
      <c r="F69" s="235" t="str">
        <f>'MSW47'!F69</f>
        <v>REP LOG</v>
      </c>
    </row>
    <row r="70">
      <c r="A70" s="725">
        <f>'MSW47'!A70</f>
        <v>1</v>
      </c>
      <c r="B70" s="344">
        <f>'MSW47'!B70</f>
        <v>230</v>
      </c>
      <c r="C70" s="437" t="str">
        <f>'MSW47'!C70</f>
        <v>REP OUT</v>
      </c>
      <c r="D70" s="343" t="str">
        <f>'MSW47'!D70</f>
        <v>1-3 MIN</v>
      </c>
      <c r="E70" s="727" t="str">
        <f>'MSW47'!E70</f>
        <v/>
      </c>
      <c r="F70" s="85" t="str">
        <f>'MSW47'!F70</f>
        <v/>
      </c>
    </row>
    <row r="71">
      <c r="A71" s="725">
        <f>'MSW47'!A71</f>
        <v>2</v>
      </c>
      <c r="B71" s="344">
        <f>'MSW47'!B71</f>
        <v>175</v>
      </c>
      <c r="C71" s="437" t="str">
        <f>'MSW47'!C71</f>
        <v>REP OUT</v>
      </c>
      <c r="D71" s="343" t="str">
        <f>'MSW47'!D71</f>
        <v>1-3 MIN</v>
      </c>
      <c r="E71" s="727" t="str">
        <f>'MSW47'!E71</f>
        <v/>
      </c>
      <c r="F71" s="85" t="str">
        <f>'MSW47'!F71</f>
        <v/>
      </c>
    </row>
    <row r="72">
      <c r="A72" s="753">
        <f>'MSW47'!A72</f>
        <v>3</v>
      </c>
      <c r="B72" s="754">
        <f>'MSW47'!B72</f>
        <v>140</v>
      </c>
      <c r="C72" s="733" t="str">
        <f>'MSW47'!C72</f>
        <v>REP OUT</v>
      </c>
      <c r="D72" s="486" t="str">
        <f>'MSW47'!D72</f>
        <v>1-3 MIN</v>
      </c>
      <c r="E72" s="734" t="str">
        <f>'MSW47'!E72</f>
        <v/>
      </c>
      <c r="F72" s="85" t="str">
        <f>'MSW47'!F72</f>
        <v/>
      </c>
    </row>
    <row r="73">
      <c r="A73" s="1157" t="str">
        <f>'MSW47'!A73</f>
        <v/>
      </c>
      <c r="F73" s="39"/>
    </row>
    <row r="74">
      <c r="A74" s="310" t="str">
        <f>'MSW47'!A74</f>
        <v>CLICK TO COMPLETE WORKOUT</v>
      </c>
      <c r="B74" s="36"/>
      <c r="C74" s="36"/>
      <c r="D74" s="36"/>
      <c r="E74" s="36"/>
      <c r="F74" s="37"/>
    </row>
    <row r="75">
      <c r="A75" s="763" t="str">
        <f>'MSW47'!A75</f>
        <v/>
      </c>
      <c r="B75" s="11"/>
      <c r="C75" s="11"/>
      <c r="D75" s="11"/>
      <c r="E75" s="11"/>
      <c r="F75" s="11"/>
    </row>
    <row r="76">
      <c r="A76" s="50" t="str">
        <f>'MSW47'!A76</f>
        <v>DAY 2 </v>
      </c>
      <c r="B76" s="36"/>
      <c r="C76" s="36"/>
      <c r="D76" s="36"/>
      <c r="E76" s="36"/>
      <c r="F76" s="37"/>
    </row>
    <row r="77">
      <c r="A77" t="str">
        <f>'MSW47'!A77</f>
        <v/>
      </c>
    </row>
    <row r="79">
      <c r="A79" s="1355" t="str">
        <f>'MSW47'!A79</f>
        <v>1. MACHINE SQUAT</v>
      </c>
      <c r="B79" s="53"/>
      <c r="C79" s="53"/>
      <c r="D79" s="53"/>
      <c r="E79" s="53"/>
      <c r="F79" s="54"/>
    </row>
    <row r="80">
      <c r="A80" s="1262" t="str">
        <f>'MSW47'!A80</f>
        <v>CURRENT MAX</v>
      </c>
      <c r="B80" s="1035">
        <f>'MSW47'!B80</f>
        <v>35</v>
      </c>
      <c r="C80" s="13"/>
      <c r="D80" s="13"/>
      <c r="E80" s="13"/>
      <c r="F80" s="57"/>
    </row>
    <row r="81">
      <c r="A81" s="231" t="str">
        <f>'MSW47'!A81</f>
        <v>SET</v>
      </c>
      <c r="B81" s="232" t="str">
        <f>'MSW47'!B81</f>
        <v>WEIGHT</v>
      </c>
      <c r="C81" s="232" t="str">
        <f>'MSW47'!C81</f>
        <v>REPS</v>
      </c>
      <c r="D81" s="232" t="str">
        <f>'MSW47'!D81</f>
        <v>REST</v>
      </c>
      <c r="E81" s="233" t="str">
        <f>'MSW47'!E81</f>
        <v>PREVIOUS</v>
      </c>
      <c r="F81" s="61" t="str">
        <f>'MSW47'!F81</f>
        <v>REP LOG</v>
      </c>
    </row>
    <row r="82">
      <c r="A82" s="236">
        <f>'MSW47'!A82</f>
        <v>1</v>
      </c>
      <c r="B82" s="237">
        <f>'MSW47'!B82</f>
        <v>10</v>
      </c>
      <c r="C82" s="238">
        <f>'MSW47'!C82</f>
        <v>10</v>
      </c>
      <c r="D82" s="238" t="str">
        <f>'MSW47'!D82</f>
        <v>30s</v>
      </c>
      <c r="E82" s="66" t="str">
        <f>'MSW47'!E82</f>
        <v/>
      </c>
      <c r="F82" s="1300" t="str">
        <f>'MSW47'!F82</f>
        <v/>
      </c>
    </row>
    <row r="83">
      <c r="A83" s="236">
        <f>'MSW47'!A83</f>
        <v>2</v>
      </c>
      <c r="B83" s="237">
        <f>'MSW47'!B83</f>
        <v>25</v>
      </c>
      <c r="C83" s="238">
        <f>'MSW47'!C83</f>
        <v>10</v>
      </c>
      <c r="D83" s="238" t="str">
        <f>'MSW47'!D83</f>
        <v>1-2 MIN</v>
      </c>
      <c r="E83" s="66" t="str">
        <f>'MSW47'!E83</f>
        <v/>
      </c>
      <c r="F83" s="1300" t="str">
        <f>'MSW47'!F83</f>
        <v/>
      </c>
    </row>
    <row r="84">
      <c r="A84" s="242">
        <f>'MSW47'!A84</f>
        <v>3</v>
      </c>
      <c r="B84" s="237">
        <f>'MSW47'!B84</f>
        <v>30</v>
      </c>
      <c r="C84" s="238">
        <f>'MSW47'!C84</f>
        <v>10</v>
      </c>
      <c r="D84" s="238" t="str">
        <f>'MSW47'!D84</f>
        <v>1-2 MIN</v>
      </c>
      <c r="E84" s="66" t="str">
        <f>'MSW47'!E84</f>
        <v/>
      </c>
      <c r="F84" s="1300" t="str">
        <f>'MSW47'!F84</f>
        <v/>
      </c>
    </row>
    <row r="85">
      <c r="A85" s="249">
        <f>'MSW47'!A85</f>
        <v>4</v>
      </c>
      <c r="B85" s="175">
        <f>'MSW47'!B85</f>
        <v>25</v>
      </c>
      <c r="C85" s="238">
        <f>'MSW47'!C85</f>
        <v>10</v>
      </c>
      <c r="D85" s="238" t="str">
        <f>'MSW47'!D85</f>
        <v>1-5 MIN</v>
      </c>
      <c r="E85" s="66" t="str">
        <f>'MSW47'!E85</f>
        <v/>
      </c>
      <c r="F85" s="1300" t="str">
        <f>'MSW47'!F85</f>
        <v/>
      </c>
    </row>
    <row r="86">
      <c r="A86" s="249">
        <f>'MSW47'!A86</f>
        <v>5</v>
      </c>
      <c r="B86" s="175">
        <f>'MSW47'!B86</f>
        <v>20</v>
      </c>
      <c r="C86" s="238">
        <f>'MSW47'!C86</f>
        <v>10</v>
      </c>
      <c r="D86" s="238" t="str">
        <f>'MSW47'!D86</f>
        <v>1-5 MIN</v>
      </c>
      <c r="E86" s="66" t="str">
        <f>'MSW47'!E86</f>
        <v/>
      </c>
      <c r="F86" s="1301" t="str">
        <f>'MSW47'!F86</f>
        <v/>
      </c>
    </row>
    <row r="87">
      <c r="A87" s="249">
        <f>'MSW47'!A87</f>
        <v>6</v>
      </c>
      <c r="B87" s="175">
        <f>'MSW47'!B87</f>
        <v>15</v>
      </c>
      <c r="C87" s="238">
        <f>'MSW47'!C87</f>
        <v>10</v>
      </c>
      <c r="D87" s="238" t="str">
        <f>'MSW47'!D87</f>
        <v>1-5 MIN</v>
      </c>
      <c r="E87" s="66" t="str">
        <f>'MSW47'!E87</f>
        <v/>
      </c>
      <c r="F87" s="1300" t="str">
        <f>'MSW47'!F87</f>
        <v/>
      </c>
    </row>
    <row r="88">
      <c r="A88" s="1038">
        <f>'MSW47'!A88</f>
        <v>7</v>
      </c>
      <c r="B88" s="175">
        <f>'MSW47'!B88</f>
        <v>10</v>
      </c>
      <c r="C88" s="238">
        <f>'MSW47'!C88</f>
        <v>10</v>
      </c>
      <c r="D88" s="238" t="str">
        <f>'MSW47'!D88</f>
        <v>1-5 MIN</v>
      </c>
      <c r="E88" s="66" t="str">
        <f>'MSW47'!E88</f>
        <v/>
      </c>
      <c r="F88" s="1300" t="str">
        <f>'MSW47'!F88</f>
        <v/>
      </c>
    </row>
    <row r="89">
      <c r="A89" s="249">
        <f>'MSW47'!A89</f>
        <v>8</v>
      </c>
      <c r="B89" s="175">
        <f>'MSW47'!B89</f>
        <v>10</v>
      </c>
      <c r="C89" s="238">
        <f>'MSW47'!C89</f>
        <v>10</v>
      </c>
      <c r="D89" s="238" t="str">
        <f>'MSW47'!D89</f>
        <v>1-5 MIN</v>
      </c>
      <c r="E89" s="66" t="str">
        <f>'MSW47'!E89</f>
        <v/>
      </c>
      <c r="F89" s="1300" t="str">
        <f>'MSW47'!F89</f>
        <v/>
      </c>
    </row>
    <row r="90">
      <c r="A90" s="1038">
        <f>'MSW47'!A90</f>
        <v>9</v>
      </c>
      <c r="B90" s="175">
        <f>'MSW47'!B90</f>
        <v>10</v>
      </c>
      <c r="C90" s="238">
        <f>'MSW47'!C90</f>
        <v>10</v>
      </c>
      <c r="D90" s="238" t="str">
        <f>'MSW47'!D90</f>
        <v>1-5 MIN</v>
      </c>
      <c r="E90" s="1108" t="str">
        <f>'MSW47'!E90</f>
        <v/>
      </c>
      <c r="F90" s="1300" t="str">
        <f>'MSW47'!F90</f>
        <v/>
      </c>
    </row>
    <row r="91">
      <c r="A91" s="1038" t="str">
        <f>'MSW47'!A91</f>
        <v>10</v>
      </c>
      <c r="B91" s="175">
        <f>'MSW47'!B91</f>
        <v>10</v>
      </c>
      <c r="C91" s="238">
        <f>'MSW47'!C91</f>
        <v>10</v>
      </c>
      <c r="D91" s="238" t="str">
        <f>'MSW47'!D91</f>
        <v>1-5 MIN</v>
      </c>
      <c r="E91" s="1108" t="str">
        <f>'MSW47'!E91</f>
        <v/>
      </c>
      <c r="F91" s="1300" t="str">
        <f>'MSW47'!F91</f>
        <v/>
      </c>
    </row>
    <row r="92">
      <c r="A92" s="272" t="str">
        <f>'MSW47'!A92</f>
        <v>4 REP MAX</v>
      </c>
      <c r="B92" s="1109">
        <f>'MSW47'!B92</f>
        <v>35</v>
      </c>
      <c r="C92" s="11"/>
      <c r="D92" s="11"/>
      <c r="E92" s="11"/>
      <c r="F92" s="46"/>
    </row>
    <row r="93">
      <c r="A93" t="str">
        <f>'MSW47'!A93</f>
        <v/>
      </c>
    </row>
    <row r="95">
      <c r="A95" s="1285" t="str">
        <f>'MSW47'!A95</f>
        <v>2. LEG EXTENSION</v>
      </c>
      <c r="B95" s="53"/>
      <c r="C95" s="53"/>
      <c r="D95" s="53"/>
      <c r="E95" s="53"/>
      <c r="F95" s="54"/>
    </row>
    <row r="96">
      <c r="A96" s="1045" t="str">
        <f>'MSW47'!A96</f>
        <v>CURRENT MAX</v>
      </c>
      <c r="B96" s="1367">
        <f>'MSW47'!B96</f>
        <v>50</v>
      </c>
      <c r="C96" s="20"/>
      <c r="D96" s="20"/>
      <c r="E96" s="20"/>
      <c r="F96" s="95"/>
    </row>
    <row r="97">
      <c r="A97" s="567" t="str">
        <f>'MSW47'!A97</f>
        <v>SET</v>
      </c>
      <c r="B97" s="568" t="str">
        <f>'MSW47'!B97</f>
        <v>WEIGHT</v>
      </c>
      <c r="C97" s="568" t="str">
        <f>'MSW47'!C97</f>
        <v>REPS</v>
      </c>
      <c r="D97" s="568" t="str">
        <f>'MSW47'!D97</f>
        <v>REST</v>
      </c>
      <c r="E97" s="1047" t="str">
        <f>'MSW47'!E97</f>
        <v>PREVIOUS</v>
      </c>
      <c r="F97" s="1048" t="str">
        <f>'MSW47'!F97</f>
        <v>REP LOG</v>
      </c>
    </row>
    <row r="98">
      <c r="A98" s="1049">
        <f>'MSW47'!A98</f>
        <v>1</v>
      </c>
      <c r="B98" s="1050">
        <f>'MSW47'!B98</f>
        <v>50</v>
      </c>
      <c r="C98" s="1051" t="str">
        <f>'MSW47'!C98</f>
        <v>10 - 15</v>
      </c>
      <c r="D98" s="1430" t="str">
        <f>'MSW47'!D98</f>
        <v>1-2 MIN</v>
      </c>
      <c r="E98" s="1130" t="str">
        <f>'MSW47'!E98</f>
        <v/>
      </c>
      <c r="F98" s="1017" t="str">
        <f>'MSW47'!F98</f>
        <v/>
      </c>
    </row>
    <row r="99">
      <c r="A99" s="1049">
        <f>'MSW47'!A99</f>
        <v>2</v>
      </c>
      <c r="B99" s="1050">
        <f>'MSW47'!B99</f>
        <v>40</v>
      </c>
      <c r="C99" s="1051" t="str">
        <f>'MSW47'!C99</f>
        <v>10 - 15</v>
      </c>
      <c r="D99" s="1430" t="str">
        <f>'MSW47'!D99</f>
        <v>1-2 MIN</v>
      </c>
      <c r="E99" s="1130" t="str">
        <f>'MSW47'!E99</f>
        <v/>
      </c>
      <c r="F99" s="1017" t="str">
        <f>'MSW47'!F99</f>
        <v/>
      </c>
    </row>
    <row r="100">
      <c r="A100" s="1053">
        <f>'MSW47'!A100</f>
        <v>3</v>
      </c>
      <c r="B100" s="1054">
        <f>'MSW47'!B100</f>
        <v>30</v>
      </c>
      <c r="C100" s="1055" t="str">
        <f>'MSW47'!C100</f>
        <v>10 - 15</v>
      </c>
      <c r="D100" s="1453" t="str">
        <f>'MSW47'!D100</f>
        <v>1-2 MIN</v>
      </c>
      <c r="E100" s="1348" t="str">
        <f>'MSW47'!E100</f>
        <v/>
      </c>
      <c r="F100" s="1017" t="str">
        <f>'MSW47'!F100</f>
        <v/>
      </c>
    </row>
    <row r="101">
      <c r="A101" t="str">
        <f>'MSW47'!A101</f>
        <v/>
      </c>
    </row>
    <row r="103">
      <c r="A103" s="323" t="str">
        <f>'MSW47'!A103</f>
        <v>3. MACHINE LEG CURL</v>
      </c>
      <c r="B103" s="53"/>
      <c r="C103" s="53"/>
      <c r="D103" s="53"/>
      <c r="E103" s="53"/>
      <c r="F103" s="54"/>
      <c r="G103" s="141" t="str">
        <f>'MSW47'!G103</f>
        <v/>
      </c>
      <c r="H103" s="323" t="str">
        <f>'MSW47'!H103</f>
        <v>3. PRONE LEG CURL</v>
      </c>
      <c r="I103" s="53"/>
      <c r="J103" s="53"/>
      <c r="K103" s="53"/>
      <c r="L103" s="53"/>
      <c r="M103" s="54"/>
    </row>
    <row r="104">
      <c r="A104" s="1045" t="str">
        <f>'MSW47'!A104</f>
        <v>CURRENT MAX</v>
      </c>
      <c r="B104" s="1367">
        <f>'MSW47'!B104</f>
        <v>15</v>
      </c>
      <c r="C104" s="20"/>
      <c r="D104" s="20"/>
      <c r="E104" s="20"/>
      <c r="F104" s="95"/>
      <c r="H104" s="1045" t="str">
        <f>'MSW47'!H104</f>
        <v>CURRENT MAX</v>
      </c>
      <c r="I104" s="1046">
        <f>'MSW47'!I104</f>
        <v>15</v>
      </c>
      <c r="J104" s="13"/>
      <c r="K104" s="13"/>
      <c r="L104" s="13"/>
      <c r="M104" s="57"/>
    </row>
    <row r="105">
      <c r="A105" s="567" t="str">
        <f>'MSW47'!A105</f>
        <v>SET</v>
      </c>
      <c r="B105" s="568" t="str">
        <f>'MSW47'!B105</f>
        <v>WEIGHT</v>
      </c>
      <c r="C105" s="568" t="str">
        <f>'MSW47'!C105</f>
        <v>REPS</v>
      </c>
      <c r="D105" s="568" t="str">
        <f>'MSW47'!D105</f>
        <v>REST</v>
      </c>
      <c r="E105" s="1047" t="str">
        <f>'MSW47'!E105</f>
        <v>PREVIOUS</v>
      </c>
      <c r="F105" s="1048" t="str">
        <f>'MSW47'!F105</f>
        <v>REP LOG</v>
      </c>
      <c r="H105" s="567" t="str">
        <f>'MSW47'!H105</f>
        <v>SET</v>
      </c>
      <c r="I105" s="568" t="str">
        <f>'MSW47'!I105</f>
        <v>WEIGHT</v>
      </c>
      <c r="J105" s="568" t="str">
        <f>'MSW47'!J105</f>
        <v>REPS</v>
      </c>
      <c r="K105" s="568" t="str">
        <f>'MSW47'!K105</f>
        <v>REST</v>
      </c>
      <c r="L105" s="1047" t="str">
        <f>'MSW47'!L105</f>
        <v>PREVIOUS</v>
      </c>
      <c r="M105" s="1048" t="str">
        <f>'MSW47'!M105</f>
        <v>REP LOG</v>
      </c>
    </row>
    <row r="106">
      <c r="A106" s="1049">
        <f>'MSW47'!A106</f>
        <v>1</v>
      </c>
      <c r="B106" s="1050">
        <f>'MSW47'!B106</f>
        <v>15</v>
      </c>
      <c r="C106" s="1051" t="str">
        <f>'MSW47'!C106</f>
        <v>10 - 15</v>
      </c>
      <c r="D106" s="1430" t="str">
        <f>'MSW47'!D106</f>
        <v>1-2 MIN</v>
      </c>
      <c r="E106" s="1130" t="str">
        <f>'MSW47'!E106</f>
        <v/>
      </c>
      <c r="F106" s="1017" t="str">
        <f>'MSW47'!F106</f>
        <v/>
      </c>
      <c r="G106" s="434" t="str">
        <f>'MSW47'!G106</f>
        <v>ALTERNATE</v>
      </c>
      <c r="H106" s="1049">
        <f>'MSW47'!H106</f>
        <v>1</v>
      </c>
      <c r="I106" s="1050">
        <f>'MSW47'!I106</f>
        <v>15</v>
      </c>
      <c r="J106" s="1051" t="str">
        <f>'MSW47'!J106</f>
        <v>10 - 15</v>
      </c>
      <c r="K106" s="1430" t="str">
        <f>'MSW47'!K106</f>
        <v>1-2 MIN</v>
      </c>
      <c r="L106" s="1130" t="str">
        <f>'MSW47'!L106</f>
        <v/>
      </c>
      <c r="M106" s="1017" t="str">
        <f>'MSW47'!M106</f>
        <v/>
      </c>
    </row>
    <row r="107">
      <c r="A107" s="1049">
        <f>'MSW47'!A107</f>
        <v>2</v>
      </c>
      <c r="B107" s="1050">
        <f>'MSW47'!B107</f>
        <v>10</v>
      </c>
      <c r="C107" s="1051" t="str">
        <f>'MSW47'!C107</f>
        <v>10 - 15</v>
      </c>
      <c r="D107" s="1430" t="str">
        <f>'MSW47'!D107</f>
        <v>1-2 MIN</v>
      </c>
      <c r="E107" s="1130" t="str">
        <f>'MSW47'!E107</f>
        <v/>
      </c>
      <c r="F107" s="1017" t="str">
        <f>'MSW47'!F107</f>
        <v/>
      </c>
      <c r="H107" s="1049">
        <f>'MSW47'!H107</f>
        <v>2</v>
      </c>
      <c r="I107" s="1050">
        <f>'MSW47'!I107</f>
        <v>10</v>
      </c>
      <c r="J107" s="1051" t="str">
        <f>'MSW47'!J107</f>
        <v>10 - 15</v>
      </c>
      <c r="K107" s="1430" t="str">
        <f>'MSW47'!K107</f>
        <v>1-2 MIN</v>
      </c>
      <c r="L107" s="1130" t="str">
        <f>'MSW47'!L107</f>
        <v/>
      </c>
      <c r="M107" s="1017" t="str">
        <f>'MSW47'!M107</f>
        <v/>
      </c>
    </row>
    <row r="108">
      <c r="A108" s="1053">
        <f>'MSW47'!A108</f>
        <v>3</v>
      </c>
      <c r="B108" s="1054">
        <f>'MSW47'!B108</f>
        <v>10</v>
      </c>
      <c r="C108" s="1055" t="str">
        <f>'MSW47'!C108</f>
        <v>10 - 15</v>
      </c>
      <c r="D108" s="1453" t="str">
        <f>'MSW47'!D108</f>
        <v>1-2 MIN</v>
      </c>
      <c r="E108" s="1348" t="str">
        <f>'MSW47'!E108</f>
        <v/>
      </c>
      <c r="F108" s="1017" t="str">
        <f>'MSW47'!F108</f>
        <v/>
      </c>
      <c r="G108" s="682" t="str">
        <f>'MSW47'!G108</f>
        <v/>
      </c>
      <c r="H108" s="1053">
        <f>'MSW47'!H108</f>
        <v>3</v>
      </c>
      <c r="I108" s="1054">
        <f>'MSW47'!I108</f>
        <v>10</v>
      </c>
      <c r="J108" s="1055" t="str">
        <f>'MSW47'!J108</f>
        <v>10 - 15</v>
      </c>
      <c r="K108" s="1453" t="str">
        <f>'MSW47'!K108</f>
        <v>1-2 MIN</v>
      </c>
      <c r="L108" s="1348" t="str">
        <f>'MSW47'!L108</f>
        <v/>
      </c>
      <c r="M108" s="1017" t="str">
        <f>'MSW47'!M108</f>
        <v/>
      </c>
    </row>
    <row r="109">
      <c r="A109" s="849" t="str">
        <f>'MSW47'!A109</f>
        <v/>
      </c>
      <c r="G109" s="849" t="str">
        <f>'MSW47'!H109</f>
        <v/>
      </c>
    </row>
    <row r="111">
      <c r="A111" s="1120" t="str">
        <f>'MSW47'!A111</f>
        <v>DAY 3</v>
      </c>
      <c r="B111" s="36"/>
      <c r="C111" s="36"/>
      <c r="D111" s="36"/>
      <c r="E111" s="36"/>
      <c r="F111" s="37"/>
    </row>
    <row r="112">
      <c r="A112" t="str">
        <f>'MSW47'!A112</f>
        <v/>
      </c>
    </row>
    <row r="114">
      <c r="A114" s="960" t="str">
        <f>'MSW47'!A114</f>
        <v>1. SHOULDER CLEANS</v>
      </c>
      <c r="B114" s="53"/>
      <c r="C114" s="53"/>
      <c r="D114" s="53"/>
      <c r="E114" s="53"/>
      <c r="F114" s="54"/>
    </row>
    <row r="115">
      <c r="A115" s="961" t="str">
        <f>'MSW47'!A115</f>
        <v>CURRENT MAX</v>
      </c>
      <c r="B115" s="76">
        <f>'MSW47'!B115</f>
        <v>30</v>
      </c>
      <c r="C115" s="13"/>
      <c r="D115" s="13"/>
      <c r="E115" s="13"/>
      <c r="F115" s="57"/>
    </row>
    <row r="116">
      <c r="A116" s="962" t="str">
        <f>'MSW47'!A116</f>
        <v>SET</v>
      </c>
      <c r="B116" s="963" t="str">
        <f>'MSW47'!B116</f>
        <v>WEIGHT</v>
      </c>
      <c r="C116" s="963" t="str">
        <f>'MSW47'!C116</f>
        <v>REPS</v>
      </c>
      <c r="D116" s="981" t="str">
        <f>'MSW47'!D116</f>
        <v>REST</v>
      </c>
      <c r="E116" s="1312" t="str">
        <f>'MSW47'!E116</f>
        <v>PREVIOUS</v>
      </c>
      <c r="F116" s="1404" t="str">
        <f>'MSW47'!F116</f>
        <v>REP LOG</v>
      </c>
    </row>
    <row r="117">
      <c r="A117" s="967">
        <f>'MSW47'!A117</f>
        <v>1</v>
      </c>
      <c r="B117" s="968">
        <f>'MSW47'!B117</f>
        <v>30</v>
      </c>
      <c r="C117" s="968">
        <f>'MSW47'!C117</f>
        <v>20</v>
      </c>
      <c r="D117" s="969" t="str">
        <f>'MSW47'!D117</f>
        <v>1 MIN</v>
      </c>
      <c r="E117" s="1130" t="str">
        <f>'MSW47'!E117</f>
        <v/>
      </c>
      <c r="F117" s="455"/>
    </row>
    <row r="118">
      <c r="A118" s="967">
        <f>'MSW47'!A118</f>
        <v>2</v>
      </c>
      <c r="B118" s="968">
        <f>'MSW47'!B118</f>
        <v>25</v>
      </c>
      <c r="C118" s="968">
        <f>'MSW47'!C118</f>
        <v>20</v>
      </c>
      <c r="D118" s="969" t="str">
        <f>'MSW47'!D118</f>
        <v>1 MIN</v>
      </c>
      <c r="E118" s="1130">
        <f>'MSW47'!E118</f>
        <v>20</v>
      </c>
      <c r="F118" s="455"/>
    </row>
    <row r="119">
      <c r="A119" s="971">
        <f>'MSW47'!A119</f>
        <v>3</v>
      </c>
      <c r="B119" s="972">
        <f>'MSW47'!B119</f>
        <v>15</v>
      </c>
      <c r="C119" s="972">
        <f>'MSW47'!C119</f>
        <v>20</v>
      </c>
      <c r="D119" s="973" t="str">
        <f>'MSW47'!D119</f>
        <v>1 MIN</v>
      </c>
      <c r="E119" s="1348" t="str">
        <f>'MSW47'!E119</f>
        <v/>
      </c>
      <c r="F119" s="455"/>
    </row>
    <row r="120">
      <c r="A120" t="str">
        <f>'MSW47'!A120</f>
        <v/>
      </c>
    </row>
    <row r="121">
      <c r="A121" s="361" t="str">
        <f>'MSW47'!A121</f>
        <v>2.  CABLE HIGH PULLEY ROW</v>
      </c>
      <c r="B121" s="53"/>
      <c r="C121" s="53"/>
      <c r="D121" s="53"/>
      <c r="E121" s="53"/>
      <c r="F121" s="54"/>
    </row>
    <row r="122">
      <c r="A122" s="226" t="str">
        <f>'MSW47'!A122</f>
        <v>SHLDR PRSS MAX</v>
      </c>
      <c r="B122" s="90">
        <f>'MSW47'!B122</f>
        <v>10</v>
      </c>
      <c r="C122" s="13"/>
      <c r="D122" s="13"/>
      <c r="E122" s="13"/>
      <c r="F122" s="57"/>
    </row>
    <row r="123">
      <c r="A123" s="77" t="str">
        <f>'MSW47'!A123</f>
        <v>SET</v>
      </c>
      <c r="B123" s="78" t="str">
        <f>'MSW47'!B123</f>
        <v>WEIGHT</v>
      </c>
      <c r="C123" s="78" t="str">
        <f>'MSW47'!C123</f>
        <v>REPS</v>
      </c>
      <c r="D123" s="78" t="str">
        <f>'MSW47'!D123</f>
        <v>REST</v>
      </c>
      <c r="E123" s="80" t="str">
        <f>'MSW47'!E123</f>
        <v>PREVIOUS</v>
      </c>
      <c r="F123" s="235" t="str">
        <f>'MSW47'!F123</f>
        <v>REP LOG</v>
      </c>
    </row>
    <row r="124">
      <c r="A124" s="81">
        <f>'MSW47'!A124</f>
        <v>1</v>
      </c>
      <c r="B124" s="82">
        <f>'MSW47'!B124</f>
        <v>15</v>
      </c>
      <c r="C124" s="65">
        <f>'MSW47'!C124</f>
        <v>20</v>
      </c>
      <c r="D124" s="83" t="str">
        <f>'MSW47'!D124</f>
        <v>1MIN</v>
      </c>
      <c r="E124" s="84" t="str">
        <f>'MSW47'!E124</f>
        <v/>
      </c>
      <c r="F124" s="85"/>
    </row>
    <row r="125">
      <c r="A125" s="81">
        <f>'MSW47'!A125</f>
        <v>2</v>
      </c>
      <c r="B125" s="82">
        <f>'MSW47'!B125</f>
        <v>10</v>
      </c>
      <c r="C125" s="65">
        <f>'MSW47'!C125</f>
        <v>20</v>
      </c>
      <c r="D125" s="83" t="str">
        <f>'MSW47'!D125</f>
        <v>1MIN</v>
      </c>
      <c r="E125" s="84" t="str">
        <f>'MSW47'!E125</f>
        <v/>
      </c>
      <c r="F125" s="85"/>
    </row>
    <row r="126">
      <c r="A126" s="86">
        <f>'MSW47'!A126</f>
        <v>3</v>
      </c>
      <c r="B126" s="87">
        <f>'MSW47'!B126</f>
        <v>10</v>
      </c>
      <c r="C126" s="71">
        <f>'MSW47'!C126</f>
        <v>20</v>
      </c>
      <c r="D126" s="88" t="str">
        <f>'MSW47'!D126</f>
        <v>1MIN</v>
      </c>
      <c r="E126" s="89" t="str">
        <f>'MSW47'!E126</f>
        <v/>
      </c>
      <c r="F126" s="85" t="str">
        <f>'MSW47'!F126</f>
        <v/>
      </c>
    </row>
    <row r="127">
      <c r="A127" t="str">
        <f>'MSW47'!A127</f>
        <v/>
      </c>
    </row>
    <row r="128">
      <c r="A128" s="513" t="str">
        <f>'MSW47'!A128</f>
        <v>3. DUMBBELL SIDE LATERAL RAISE</v>
      </c>
      <c r="B128" s="53"/>
      <c r="C128" s="53"/>
      <c r="D128" s="53"/>
      <c r="E128" s="53"/>
      <c r="F128" s="54"/>
    </row>
    <row r="129">
      <c r="A129" s="226" t="str">
        <f>'MSW47'!A129</f>
        <v>SHLDR PRSS MAX</v>
      </c>
      <c r="B129" s="90">
        <f>'MSW47'!B129</f>
        <v>10</v>
      </c>
      <c r="C129" s="13"/>
      <c r="D129" s="13"/>
      <c r="E129" s="13"/>
      <c r="F129" s="57"/>
    </row>
    <row r="130">
      <c r="A130" s="376" t="str">
        <f>'MSW47'!A130</f>
        <v>SET</v>
      </c>
      <c r="B130" s="79" t="str">
        <f>'MSW47'!B130</f>
        <v>WEIGHT</v>
      </c>
      <c r="C130" s="79" t="str">
        <f>'MSW47'!C130</f>
        <v>REPS</v>
      </c>
      <c r="D130" s="79" t="str">
        <f>'MSW47'!D130</f>
        <v>REST</v>
      </c>
      <c r="E130" s="98" t="str">
        <f>'MSW47'!E130</f>
        <v>PREVIOUS</v>
      </c>
      <c r="F130" s="377" t="str">
        <f>'MSW47'!F130</f>
        <v>REP LOG</v>
      </c>
    </row>
    <row r="131">
      <c r="A131" s="81">
        <f>'MSW47'!A131</f>
        <v>1</v>
      </c>
      <c r="B131" s="82">
        <f>'MSW47'!B131</f>
        <v>0</v>
      </c>
      <c r="C131" s="65">
        <f>'MSW47'!C131</f>
        <v>20</v>
      </c>
      <c r="D131" s="83" t="str">
        <f>'MSW47'!D131</f>
        <v>1 MIN</v>
      </c>
      <c r="E131" s="84" t="str">
        <f>'MSW47'!E131</f>
        <v/>
      </c>
      <c r="F131" s="796" t="str">
        <f>'MSW47'!F131</f>
        <v/>
      </c>
    </row>
    <row r="132">
      <c r="A132" s="81">
        <f>'MSW47'!A132</f>
        <v>2</v>
      </c>
      <c r="B132" s="82">
        <f>'MSW47'!B132</f>
        <v>2.5</v>
      </c>
      <c r="C132" s="65">
        <f>'MSW47'!C132</f>
        <v>20</v>
      </c>
      <c r="D132" s="83" t="str">
        <f>'MSW47'!D132</f>
        <v>1 MIN</v>
      </c>
      <c r="E132" s="84" t="str">
        <f>'MSW47'!E132</f>
        <v/>
      </c>
      <c r="F132" s="330" t="str">
        <f>'MSW47'!F132</f>
        <v/>
      </c>
    </row>
    <row r="133">
      <c r="A133" s="86">
        <f>'MSW47'!A133</f>
        <v>3</v>
      </c>
      <c r="B133" s="87">
        <f>'MSW47'!B133</f>
        <v>0</v>
      </c>
      <c r="C133" s="71">
        <f>'MSW47'!C133</f>
        <v>20</v>
      </c>
      <c r="D133" s="88" t="str">
        <f>'MSW47'!D133</f>
        <v>1 MIN</v>
      </c>
      <c r="E133" s="89" t="str">
        <f>'MSW47'!E133</f>
        <v/>
      </c>
      <c r="F133" s="85" t="str">
        <f>'MSW47'!F133</f>
        <v/>
      </c>
    </row>
    <row r="134">
      <c r="A134" t="str">
        <f>'MSW47'!A134</f>
        <v/>
      </c>
    </row>
    <row r="135">
      <c r="A135" s="73" t="str">
        <f>'MSW47'!A135</f>
        <v>4. TRICEP PUSH DOWNS</v>
      </c>
      <c r="B135" s="53"/>
      <c r="C135" s="53"/>
      <c r="D135" s="53"/>
      <c r="E135" s="53"/>
      <c r="F135" s="54"/>
    </row>
    <row r="136">
      <c r="A136" s="226" t="str">
        <f>'MSW47'!A136</f>
        <v>CURRENT MAX</v>
      </c>
      <c r="B136" s="90">
        <f>'MSW47'!B136</f>
        <v>80</v>
      </c>
      <c r="C136" s="13"/>
      <c r="D136" s="13"/>
      <c r="E136" s="13"/>
      <c r="F136" s="57"/>
    </row>
    <row r="137">
      <c r="A137" s="77" t="str">
        <f>'MSW47'!A137</f>
        <v>SET</v>
      </c>
      <c r="B137" s="78" t="str">
        <f>'MSW47'!B137</f>
        <v>WEIGHT</v>
      </c>
      <c r="C137" s="78" t="str">
        <f>'MSW47'!C137</f>
        <v>REPS</v>
      </c>
      <c r="D137" s="78" t="str">
        <f>'MSW47'!D137</f>
        <v>REST</v>
      </c>
      <c r="E137" s="80" t="str">
        <f>'MSW47'!E137</f>
        <v>PREVIOUS</v>
      </c>
      <c r="F137" s="235" t="str">
        <f>'MSW47'!F137</f>
        <v>REP LOG</v>
      </c>
    </row>
    <row r="138">
      <c r="A138" s="81">
        <f>'MSW47'!A138</f>
        <v>1</v>
      </c>
      <c r="B138" s="82">
        <f>'MSW47'!B138</f>
        <v>80</v>
      </c>
      <c r="C138" s="65">
        <f>'MSW47'!C138</f>
        <v>20</v>
      </c>
      <c r="D138" s="83" t="str">
        <f>'MSW47'!D138</f>
        <v>1MIN</v>
      </c>
      <c r="E138" s="84" t="str">
        <f>'MSW47'!E138</f>
        <v/>
      </c>
      <c r="F138" s="85" t="str">
        <f>'MSW47'!F138</f>
        <v/>
      </c>
    </row>
    <row r="139">
      <c r="A139" s="81">
        <f>'MSW47'!A139</f>
        <v>2</v>
      </c>
      <c r="B139" s="82">
        <f>'MSW47'!B139</f>
        <v>65</v>
      </c>
      <c r="C139" s="65">
        <f>'MSW47'!C139</f>
        <v>20</v>
      </c>
      <c r="D139" s="83" t="str">
        <f>'MSW47'!D139</f>
        <v>1MIN</v>
      </c>
      <c r="E139" s="84" t="str">
        <f>'MSW47'!E139</f>
        <v/>
      </c>
      <c r="F139" s="85" t="str">
        <f>'MSW47'!F139</f>
        <v/>
      </c>
    </row>
    <row r="140">
      <c r="A140" s="86">
        <f>'MSW47'!A140</f>
        <v>3</v>
      </c>
      <c r="B140" s="87">
        <f>'MSW47'!B140</f>
        <v>50</v>
      </c>
      <c r="C140" s="71">
        <f>'MSW47'!C140</f>
        <v>20</v>
      </c>
      <c r="D140" s="88" t="str">
        <f>'MSW47'!D140</f>
        <v>1MIN</v>
      </c>
      <c r="E140" s="89" t="str">
        <f>'MSW47'!E140</f>
        <v/>
      </c>
      <c r="F140" s="85" t="str">
        <f>'MSW47'!F140</f>
        <v/>
      </c>
    </row>
    <row r="141">
      <c r="A141" t="str">
        <f>'MSW47'!A141</f>
        <v/>
      </c>
    </row>
    <row r="143">
      <c r="A143" s="75" t="str">
        <f>'MSW47'!A143</f>
        <v>5. BICEP CABLE CURL</v>
      </c>
      <c r="B143" s="53"/>
      <c r="C143" s="53"/>
      <c r="D143" s="53"/>
      <c r="E143" s="53"/>
      <c r="F143" s="54"/>
      <c r="G143" s="698" t="str">
        <f>'MSW47'!G143</f>
        <v/>
      </c>
      <c r="H143" s="75" t="str">
        <f>'MSW47'!H143</f>
        <v>4. BICEP BAR CURL</v>
      </c>
      <c r="I143" s="53"/>
      <c r="J143" s="53"/>
      <c r="K143" s="53"/>
      <c r="L143" s="53"/>
      <c r="M143" s="54"/>
    </row>
    <row r="144">
      <c r="A144" s="226" t="str">
        <f>'MSW47'!A144</f>
        <v>CURRENT MAX</v>
      </c>
      <c r="B144" s="76">
        <f>'MSW47'!B144</f>
        <v>50</v>
      </c>
      <c r="C144" s="13"/>
      <c r="D144" s="13"/>
      <c r="E144" s="13"/>
      <c r="F144" s="57"/>
      <c r="G144" s="985"/>
      <c r="H144" s="226" t="str">
        <f>'MSW47'!H144</f>
        <v>CURRENT MAX</v>
      </c>
      <c r="I144" s="76">
        <f>'MSW47'!I144</f>
        <v>15</v>
      </c>
      <c r="J144" s="13"/>
      <c r="K144" s="13"/>
      <c r="L144" s="13"/>
      <c r="M144" s="57"/>
    </row>
    <row r="145">
      <c r="A145" s="77" t="str">
        <f>'MSW47'!A145</f>
        <v>SET</v>
      </c>
      <c r="B145" s="78" t="str">
        <f>'MSW47'!B145</f>
        <v>WEIGHT</v>
      </c>
      <c r="C145" s="78" t="str">
        <f>'MSW47'!C145</f>
        <v>REPS</v>
      </c>
      <c r="D145" s="78" t="str">
        <f>'MSW47'!D145</f>
        <v>REST</v>
      </c>
      <c r="E145" s="80" t="str">
        <f>'MSW47'!E145</f>
        <v>PREVIOUS</v>
      </c>
      <c r="F145" s="235" t="str">
        <f>'MSW47'!F145</f>
        <v>REP LOG</v>
      </c>
      <c r="G145" s="985"/>
      <c r="H145" s="77" t="str">
        <f>'MSW47'!H145</f>
        <v>SET</v>
      </c>
      <c r="I145" s="78" t="str">
        <f>'MSW47'!I145</f>
        <v>WEIGHT</v>
      </c>
      <c r="J145" s="78" t="str">
        <f>'MSW47'!J145</f>
        <v>REPS</v>
      </c>
      <c r="K145" s="78" t="str">
        <f>'MSW47'!K145</f>
        <v>REST</v>
      </c>
      <c r="L145" s="80" t="str">
        <f>'MSW47'!L145</f>
        <v>PREVIOUS</v>
      </c>
      <c r="M145" s="235" t="str">
        <f>'MSW47'!M145</f>
        <v>REP LOG</v>
      </c>
    </row>
    <row r="146">
      <c r="A146" s="81">
        <f>'MSW47'!A146</f>
        <v>1</v>
      </c>
      <c r="B146" s="82">
        <f>'MSW47'!B146</f>
        <v>50</v>
      </c>
      <c r="C146" s="65">
        <f>'MSW47'!C146</f>
        <v>20</v>
      </c>
      <c r="D146" s="83" t="str">
        <f>'MSW47'!D146</f>
        <v>1MIN</v>
      </c>
      <c r="E146" s="84" t="str">
        <f>'MSW47'!E146</f>
        <v/>
      </c>
      <c r="F146" s="85" t="str">
        <f>'MSW47'!F146</f>
        <v/>
      </c>
      <c r="G146" s="985"/>
      <c r="H146" s="81">
        <f>'MSW47'!H146</f>
        <v>1</v>
      </c>
      <c r="I146" s="82">
        <f>'MSW47'!I146</f>
        <v>15</v>
      </c>
      <c r="J146" s="65">
        <f>'MSW47'!J146</f>
        <v>20</v>
      </c>
      <c r="K146" s="83" t="str">
        <f>'MSW47'!K146</f>
        <v>1MIN</v>
      </c>
      <c r="L146" s="84" t="str">
        <f>'MSW47'!L146</f>
        <v/>
      </c>
      <c r="M146" s="85" t="str">
        <f>'MSW47'!M146</f>
        <v/>
      </c>
    </row>
    <row r="147">
      <c r="A147" s="81">
        <f>'MSW47'!A147</f>
        <v>2</v>
      </c>
      <c r="B147" s="82">
        <f>'MSW47'!B147</f>
        <v>40</v>
      </c>
      <c r="C147" s="65">
        <f>'MSW47'!C147</f>
        <v>20</v>
      </c>
      <c r="D147" s="83" t="str">
        <f>'MSW47'!D147</f>
        <v>1MIN</v>
      </c>
      <c r="E147" s="84" t="str">
        <f>'MSW47'!E147</f>
        <v/>
      </c>
      <c r="F147" s="85" t="str">
        <f>'MSW47'!F147</f>
        <v/>
      </c>
      <c r="G147" s="985"/>
      <c r="H147" s="81">
        <f>'MSW47'!H147</f>
        <v>2</v>
      </c>
      <c r="I147" s="82">
        <f>'MSW47'!I147</f>
        <v>10</v>
      </c>
      <c r="J147" s="65">
        <f>'MSW47'!J147</f>
        <v>20</v>
      </c>
      <c r="K147" s="83" t="str">
        <f>'MSW47'!K147</f>
        <v>1MIN</v>
      </c>
      <c r="L147" s="84" t="str">
        <f>'MSW47'!L147</f>
        <v/>
      </c>
      <c r="M147" s="85" t="str">
        <f>'MSW47'!M147</f>
        <v/>
      </c>
    </row>
    <row r="148">
      <c r="A148" s="86">
        <f>'MSW47'!A148</f>
        <v>3</v>
      </c>
      <c r="B148" s="87">
        <f>'MSW47'!B148</f>
        <v>30</v>
      </c>
      <c r="C148" s="71">
        <f>'MSW47'!C148</f>
        <v>20</v>
      </c>
      <c r="D148" s="88" t="str">
        <f>'MSW47'!D148</f>
        <v>1MIN</v>
      </c>
      <c r="E148" s="89" t="str">
        <f>'MSW47'!E148</f>
        <v/>
      </c>
      <c r="F148" s="85" t="str">
        <f>'MSW47'!F148</f>
        <v/>
      </c>
      <c r="G148" s="985"/>
      <c r="H148" s="86">
        <f>'MSW47'!H148</f>
        <v>3</v>
      </c>
      <c r="I148" s="87">
        <f>'MSW47'!I148</f>
        <v>10</v>
      </c>
      <c r="J148" s="71">
        <f>'MSW47'!J148</f>
        <v>20</v>
      </c>
      <c r="K148" s="88" t="str">
        <f>'MSW47'!K148</f>
        <v>1MIN</v>
      </c>
      <c r="L148" s="89" t="str">
        <f>'MSW47'!L148</f>
        <v/>
      </c>
      <c r="M148" s="85" t="str">
        <f>'MSW47'!M148</f>
        <v/>
      </c>
    </row>
    <row r="149">
      <c r="A149" t="str">
        <f>'MSW47'!A149</f>
        <v/>
      </c>
      <c r="G149" t="str">
        <f>'MSW47'!G149</f>
        <v/>
      </c>
    </row>
    <row r="151">
      <c r="A151" s="310" t="str">
        <f>'MSW47'!A151</f>
        <v>CLICK TO COMPLETE WORKOUT</v>
      </c>
      <c r="B151" s="36"/>
      <c r="C151" s="36"/>
      <c r="D151" s="36"/>
      <c r="E151" s="36"/>
      <c r="F151" s="37"/>
    </row>
    <row r="152">
      <c r="A152" s="598" t="str">
        <f>'MSW47'!A152</f>
        <v/>
      </c>
    </row>
    <row r="153">
      <c r="A153" s="639" t="str">
        <f>'MSW47'!A153</f>
        <v>WORKOUT COMPLETE!</v>
      </c>
      <c r="B153" s="36"/>
      <c r="C153" s="36"/>
      <c r="D153" s="36"/>
      <c r="E153" s="36"/>
      <c r="F153" s="37"/>
    </row>
    <row r="154">
      <c r="A154" s="883" t="str">
        <f>'MSW47'!A154</f>
        <v/>
      </c>
    </row>
    <row r="155">
      <c r="A155" s="884" t="str">
        <f>'MSW47'!A155</f>
        <v>WANT TO LEARN MORE?</v>
      </c>
      <c r="B155" s="16"/>
      <c r="C155" s="16"/>
      <c r="D155" s="16"/>
      <c r="E155" s="16"/>
      <c r="F155" s="17"/>
    </row>
    <row r="156">
      <c r="A156" s="18"/>
      <c r="B156" s="13"/>
      <c r="C156" s="13"/>
      <c r="D156" s="13"/>
      <c r="E156" s="13"/>
      <c r="F156" s="14"/>
    </row>
    <row r="157">
      <c r="A157" s="1496"/>
      <c r="B157" s="886" t="str">
        <f>'MSW47'!B157</f>
        <v/>
      </c>
      <c r="C157" s="644" t="str">
        <f>'MSW47'!C157</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57" s="25"/>
      <c r="E157" s="25"/>
      <c r="F157" s="26"/>
    </row>
    <row r="158">
      <c r="A158" s="887" t="str">
        <f>'MSW47'!A158</f>
        <v/>
      </c>
      <c r="B158" s="888" t="str">
        <f>'MSW47'!B158</f>
        <v/>
      </c>
      <c r="C158" s="529"/>
      <c r="F158" s="28"/>
    </row>
    <row r="159">
      <c r="A159" s="887" t="str">
        <f>'MSW47'!A159</f>
        <v/>
      </c>
      <c r="B159" s="888" t="str">
        <f>'MSW47'!B159</f>
        <v/>
      </c>
      <c r="C159" s="529"/>
      <c r="F159" s="28"/>
    </row>
    <row r="160">
      <c r="A160" s="887" t="str">
        <f>'MSW47'!A160</f>
        <v/>
      </c>
      <c r="B160" s="888" t="str">
        <f>'MSW47'!B160</f>
        <v/>
      </c>
      <c r="C160" s="529"/>
      <c r="F160" s="28"/>
    </row>
    <row r="161">
      <c r="A161" s="887" t="str">
        <f>'MSW47'!A161</f>
        <v/>
      </c>
      <c r="B161" s="888" t="str">
        <f>'MSW47'!B161</f>
        <v/>
      </c>
      <c r="C161" s="529"/>
      <c r="F161" s="28"/>
    </row>
    <row r="162">
      <c r="A162" s="887" t="str">
        <f>'MSW47'!A162</f>
        <v/>
      </c>
      <c r="B162" s="888" t="str">
        <f>'MSW47'!B162</f>
        <v/>
      </c>
      <c r="C162" s="529"/>
      <c r="F162" s="28"/>
    </row>
    <row r="163">
      <c r="A163" s="889" t="str">
        <f>'MSW47'!A163</f>
        <v/>
      </c>
      <c r="B163" s="888" t="str">
        <f>'MSW47'!B163</f>
        <v/>
      </c>
      <c r="C163" s="529"/>
      <c r="F163" s="28"/>
    </row>
    <row r="164">
      <c r="A164" s="887" t="str">
        <f>'MSW47'!A164</f>
        <v/>
      </c>
      <c r="B164" s="888" t="str">
        <f>'MSW47'!B164</f>
        <v/>
      </c>
      <c r="C164" s="529"/>
      <c r="F164" s="28"/>
    </row>
    <row r="165">
      <c r="A165" s="887" t="str">
        <f>'MSW47'!A165</f>
        <v/>
      </c>
      <c r="B165" s="888" t="str">
        <f>'MSW47'!B165</f>
        <v/>
      </c>
      <c r="C165" s="529"/>
      <c r="F165" s="28"/>
    </row>
    <row r="166">
      <c r="A166" s="890" t="str">
        <f>'MSW47'!A166</f>
        <v/>
      </c>
      <c r="B166" s="888" t="str">
        <f>'MSW47'!B166</f>
        <v/>
      </c>
      <c r="C166" s="529"/>
      <c r="F166" s="28"/>
    </row>
    <row r="167">
      <c r="A167" s="887" t="str">
        <f>'MSW47'!A167</f>
        <v/>
      </c>
      <c r="B167" s="888" t="str">
        <f>'MSW47'!B167</f>
        <v/>
      </c>
      <c r="C167" s="529"/>
      <c r="F167" s="28"/>
    </row>
    <row r="168">
      <c r="A168" s="887" t="str">
        <f>'MSW47'!A168</f>
        <v/>
      </c>
      <c r="B168" s="888" t="str">
        <f>'MSW47'!B168</f>
        <v/>
      </c>
      <c r="C168" s="529"/>
      <c r="F168" s="28"/>
    </row>
    <row r="169">
      <c r="A169" s="887" t="str">
        <f>'MSW47'!A169</f>
        <v/>
      </c>
      <c r="B169" s="888" t="str">
        <f>'MSW47'!B169</f>
        <v/>
      </c>
      <c r="C169" s="529"/>
      <c r="F169" s="28"/>
    </row>
    <row r="170">
      <c r="A170" s="887" t="str">
        <f>'MSW47'!A170</f>
        <v/>
      </c>
      <c r="B170" s="888" t="str">
        <f>'MSW47'!B170</f>
        <v/>
      </c>
      <c r="C170" s="529"/>
      <c r="F170" s="28"/>
    </row>
    <row r="171">
      <c r="A171" s="891" t="str">
        <f>'MSW47'!A171</f>
        <v/>
      </c>
      <c r="B171" s="892" t="str">
        <f>'MSW47'!B171</f>
        <v/>
      </c>
      <c r="C171" s="336"/>
      <c r="D171" s="11"/>
      <c r="E171" s="11"/>
      <c r="F171" s="46"/>
    </row>
    <row r="172">
      <c r="A172" t="str">
        <f>'MSW47'!A172</f>
        <v/>
      </c>
    </row>
  </sheetData>
  <mergeCells count="96">
    <mergeCell ref="B57:F57"/>
    <mergeCell ref="A58:F58"/>
    <mergeCell ref="A37:F37"/>
    <mergeCell ref="B38:F38"/>
    <mergeCell ref="A42:F43"/>
    <mergeCell ref="A44:F44"/>
    <mergeCell ref="B45:F45"/>
    <mergeCell ref="A51:F51"/>
    <mergeCell ref="A54:F54"/>
    <mergeCell ref="A74:F74"/>
    <mergeCell ref="A75:F75"/>
    <mergeCell ref="B34:F34"/>
    <mergeCell ref="A59:F59"/>
    <mergeCell ref="B60:F60"/>
    <mergeCell ref="A65:F66"/>
    <mergeCell ref="A67:F67"/>
    <mergeCell ref="B68:F68"/>
    <mergeCell ref="A73:F73"/>
    <mergeCell ref="H103:M103"/>
    <mergeCell ref="I104:M104"/>
    <mergeCell ref="G106:G107"/>
    <mergeCell ref="G109:M142"/>
    <mergeCell ref="G143:G148"/>
    <mergeCell ref="H143:M143"/>
    <mergeCell ref="I144:M144"/>
    <mergeCell ref="G149:M172"/>
    <mergeCell ref="G19:G26"/>
    <mergeCell ref="G27:G28"/>
    <mergeCell ref="G29:G31"/>
    <mergeCell ref="G38:G39"/>
    <mergeCell ref="G40:G41"/>
    <mergeCell ref="G42:M102"/>
    <mergeCell ref="G103:G105"/>
    <mergeCell ref="A93:F94"/>
    <mergeCell ref="A95:F95"/>
    <mergeCell ref="B96:F96"/>
    <mergeCell ref="A101:F102"/>
    <mergeCell ref="A103:F103"/>
    <mergeCell ref="B104:F104"/>
    <mergeCell ref="A109:F110"/>
    <mergeCell ref="A111:F111"/>
    <mergeCell ref="A112:F113"/>
    <mergeCell ref="A114:F114"/>
    <mergeCell ref="B115:F115"/>
    <mergeCell ref="A120:F120"/>
    <mergeCell ref="A121:F121"/>
    <mergeCell ref="B122:F122"/>
    <mergeCell ref="A155:F156"/>
    <mergeCell ref="C157:F171"/>
    <mergeCell ref="A172:F172"/>
    <mergeCell ref="A143:F143"/>
    <mergeCell ref="B144:F144"/>
    <mergeCell ref="A149:F150"/>
    <mergeCell ref="A151:F151"/>
    <mergeCell ref="A152:F152"/>
    <mergeCell ref="A153:F153"/>
    <mergeCell ref="A154:F154"/>
    <mergeCell ref="A1:M8"/>
    <mergeCell ref="A9:F9"/>
    <mergeCell ref="G9:G11"/>
    <mergeCell ref="H9:M9"/>
    <mergeCell ref="A10:F11"/>
    <mergeCell ref="H10:M10"/>
    <mergeCell ref="G12:M13"/>
    <mergeCell ref="H19:M19"/>
    <mergeCell ref="H20:M20"/>
    <mergeCell ref="B21:F21"/>
    <mergeCell ref="I21:M21"/>
    <mergeCell ref="A14:M15"/>
    <mergeCell ref="A16:F16"/>
    <mergeCell ref="H16:M16"/>
    <mergeCell ref="A17:M18"/>
    <mergeCell ref="A19:F19"/>
    <mergeCell ref="A20:F20"/>
    <mergeCell ref="H27:M27"/>
    <mergeCell ref="A27:F27"/>
    <mergeCell ref="A29:F29"/>
    <mergeCell ref="H29:M29"/>
    <mergeCell ref="I34:M34"/>
    <mergeCell ref="A35:M36"/>
    <mergeCell ref="H37:M37"/>
    <mergeCell ref="I38:M38"/>
    <mergeCell ref="A12:F12"/>
    <mergeCell ref="A13:F13"/>
    <mergeCell ref="A76:F76"/>
    <mergeCell ref="A77:F78"/>
    <mergeCell ref="A79:F79"/>
    <mergeCell ref="B80:F80"/>
    <mergeCell ref="B92:F92"/>
    <mergeCell ref="A127:F127"/>
    <mergeCell ref="A128:F128"/>
    <mergeCell ref="B129:F129"/>
    <mergeCell ref="A134:F134"/>
    <mergeCell ref="A135:F135"/>
    <mergeCell ref="B136:F136"/>
    <mergeCell ref="A141:F142"/>
  </mergeCells>
  <dataValidations>
    <dataValidation type="decimal" allowBlank="1" showDropDown="1" showInputMessage="1" showErrorMessage="1" prompt="Enter a number between 0 and 30" sqref="F22:F26 M22:M26 F28 M28 F30:F33 M30:M33 F39:F41 M39:M41 F46:F50 F52:F53 F55:F56 F61:F64 F69:F72 F81:F91 F97:F100 F105:F108 M105:M108 F116:F119 F123:F126 F130:F133 F137:F140 F145:F148 M145:M148">
      <formula1>0.0</formula1>
      <formula2>30.0</formula2>
    </dataValidation>
    <dataValidation type="decimal" operator="greaterThan" allowBlank="1" showDropDown="1" showErrorMessage="1" sqref="M11">
      <formula1>0.0</formula1>
    </dataValidation>
  </dataValidations>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218" t="s">
        <v>404</v>
      </c>
      <c r="B9" s="20"/>
      <c r="C9" s="20"/>
      <c r="D9" s="20"/>
      <c r="E9" s="20"/>
      <c r="F9" s="21"/>
      <c r="G9" s="103"/>
      <c r="H9" s="24" t="s">
        <v>35</v>
      </c>
      <c r="I9" s="25"/>
      <c r="J9" s="25"/>
      <c r="K9" s="25"/>
      <c r="L9" s="25"/>
      <c r="M9" s="26"/>
    </row>
    <row r="10">
      <c r="A10" s="15" t="str">
        <f>HYPERLINK("https://goo.gl/forms/3ibooB993Hi7SS2d2","PRESS TO RECORD BODY WEIGHT")</f>
        <v>PRESS TO RECORD BODY WEIGHT</v>
      </c>
      <c r="B10" s="16"/>
      <c r="C10" s="16"/>
      <c r="D10" s="16"/>
      <c r="E10" s="16"/>
      <c r="F10" s="17"/>
      <c r="G10" s="103"/>
      <c r="H10" s="147" t="s">
        <v>405</v>
      </c>
      <c r="M10" s="28"/>
    </row>
    <row r="11">
      <c r="A11" s="18"/>
      <c r="B11" s="13"/>
      <c r="C11" s="13"/>
      <c r="D11" s="13"/>
      <c r="E11" s="13"/>
      <c r="F11" s="14"/>
      <c r="G11" s="103"/>
      <c r="H11" s="29" t="s">
        <v>406</v>
      </c>
      <c r="I11" s="30"/>
      <c r="J11" s="30"/>
      <c r="K11" s="30"/>
      <c r="L11" s="30"/>
      <c r="M11" s="31"/>
    </row>
    <row r="12">
      <c r="A12" s="19" t="s">
        <v>69</v>
      </c>
      <c r="B12" s="20"/>
      <c r="C12" s="20"/>
      <c r="D12" s="20"/>
      <c r="E12" s="20"/>
      <c r="F12" s="21"/>
      <c r="G12" s="103"/>
      <c r="H12" s="219"/>
      <c r="I12" s="220"/>
      <c r="J12" s="221"/>
      <c r="K12" s="219"/>
      <c r="L12" s="222"/>
      <c r="M12" s="103"/>
    </row>
    <row r="13">
      <c r="A13" s="22" t="s">
        <v>177</v>
      </c>
      <c r="B13" s="20"/>
      <c r="C13" s="20"/>
      <c r="D13" s="20"/>
      <c r="E13" s="20"/>
      <c r="F13" s="21"/>
      <c r="G13" s="103"/>
      <c r="H13" s="103"/>
      <c r="I13" s="103"/>
      <c r="J13" s="103"/>
      <c r="K13" s="103"/>
      <c r="L13" s="222"/>
      <c r="M13" s="103"/>
    </row>
    <row r="14">
      <c r="A14" s="219"/>
      <c r="B14" s="219"/>
      <c r="C14" s="219"/>
      <c r="D14" s="219"/>
      <c r="E14" s="223"/>
      <c r="F14" s="103"/>
      <c r="G14" s="103"/>
      <c r="H14" s="219"/>
      <c r="I14" s="219"/>
      <c r="J14" s="219"/>
      <c r="K14" s="103"/>
      <c r="L14" s="222"/>
      <c r="M14" s="103"/>
    </row>
    <row r="15">
      <c r="A15" s="209"/>
      <c r="G15" s="277"/>
      <c r="H15" s="850"/>
    </row>
    <row r="16">
      <c r="A16" s="50" t="s">
        <v>79</v>
      </c>
      <c r="B16" s="36"/>
      <c r="C16" s="36"/>
      <c r="D16" s="36"/>
      <c r="E16" s="36"/>
      <c r="F16" s="37"/>
      <c r="G16" s="141"/>
      <c r="H16" s="50" t="s">
        <v>118</v>
      </c>
      <c r="I16" s="36"/>
      <c r="J16" s="36"/>
      <c r="K16" s="36"/>
      <c r="L16" s="36"/>
      <c r="M16" s="37"/>
    </row>
    <row r="17">
      <c r="A17" s="657"/>
    </row>
    <row r="19">
      <c r="A19" s="1344" t="s">
        <v>48</v>
      </c>
      <c r="B19" s="36"/>
      <c r="C19" s="36"/>
      <c r="D19" s="36"/>
      <c r="E19" s="36"/>
      <c r="F19" s="37"/>
      <c r="G19" s="141"/>
      <c r="H19" s="51" t="s">
        <v>48</v>
      </c>
      <c r="I19" s="36"/>
      <c r="J19" s="36"/>
      <c r="K19" s="36"/>
      <c r="L19" s="36"/>
      <c r="M19" s="37"/>
    </row>
    <row r="20">
      <c r="A20" s="52" t="str">
        <f>HYPERLINK("https://youtu.be/ujVN-A0Z-ic","1. DUMBBELL INCLINE PRESS")</f>
        <v>1. DUMBBELL INCLINE PRESS</v>
      </c>
      <c r="B20" s="53"/>
      <c r="C20" s="53"/>
      <c r="D20" s="53"/>
      <c r="E20" s="53"/>
      <c r="F20" s="54"/>
      <c r="H20" s="52" t="str">
        <f>HYPERLINK("https://youtu.be/75e_H9Vq_Lw","1. MACHINE PRESS")</f>
        <v>1. MACHINE PRESS</v>
      </c>
      <c r="I20" s="53"/>
      <c r="J20" s="53"/>
      <c r="K20" s="53"/>
      <c r="L20" s="53"/>
      <c r="M20" s="54"/>
    </row>
    <row r="21">
      <c r="A21" s="228" t="s">
        <v>119</v>
      </c>
      <c r="B21" s="229" t="str">
        <f>'WEEK 46'!I17</f>
        <v/>
      </c>
      <c r="C21" s="16"/>
      <c r="D21" s="16"/>
      <c r="E21" s="16"/>
      <c r="F21" s="230"/>
      <c r="H21" s="228" t="s">
        <v>119</v>
      </c>
      <c r="I21" s="229" t="str">
        <f>IF('WEEK 45'!I34="",'WEEK 45'!I21,'WEEK 45'!I34)</f>
        <v/>
      </c>
      <c r="J21" s="16"/>
      <c r="K21" s="16"/>
      <c r="L21" s="16"/>
      <c r="M21" s="230"/>
    </row>
    <row r="22">
      <c r="A22" s="96" t="s">
        <v>50</v>
      </c>
      <c r="B22" s="97" t="s">
        <v>51</v>
      </c>
      <c r="C22" s="97" t="s">
        <v>52</v>
      </c>
      <c r="D22" s="97" t="s">
        <v>53</v>
      </c>
      <c r="E22" s="98" t="s">
        <v>54</v>
      </c>
      <c r="F22" s="235" t="s">
        <v>55</v>
      </c>
      <c r="H22" s="96" t="s">
        <v>50</v>
      </c>
      <c r="I22" s="97" t="s">
        <v>51</v>
      </c>
      <c r="J22" s="97" t="s">
        <v>52</v>
      </c>
      <c r="K22" s="97" t="s">
        <v>53</v>
      </c>
      <c r="L22" s="98" t="s">
        <v>54</v>
      </c>
      <c r="M22" s="235" t="s">
        <v>55</v>
      </c>
    </row>
    <row r="23">
      <c r="A23" s="244">
        <v>1.0</v>
      </c>
      <c r="B23" s="241">
        <f>mround('WEEK 47'!B21*0.35,5)</f>
        <v>0</v>
      </c>
      <c r="C23" s="63">
        <v>6.0</v>
      </c>
      <c r="D23" s="83" t="s">
        <v>57</v>
      </c>
      <c r="E23" s="84" t="str">
        <f>IF('WEEK 45'!B23='WEEK 47'!B23,'WEEK 45'!F23,"")</f>
        <v/>
      </c>
      <c r="F23" s="85"/>
      <c r="H23" s="244">
        <v>1.0</v>
      </c>
      <c r="I23" s="241">
        <f>mround('WEEK 47'!I21*0.35,5)</f>
        <v>0</v>
      </c>
      <c r="J23" s="63">
        <v>6.0</v>
      </c>
      <c r="K23" s="83" t="s">
        <v>57</v>
      </c>
      <c r="L23" s="84" t="str">
        <f>IF('WEEK 45'!I23='WEEK 47'!I23,'WEEK 45'!M23,"")</f>
        <v/>
      </c>
      <c r="M23" s="85"/>
    </row>
    <row r="24">
      <c r="A24" s="240">
        <v>2.0</v>
      </c>
      <c r="B24" s="241">
        <f>mround('WEEK 47'!B21*0.65,5)</f>
        <v>0</v>
      </c>
      <c r="C24" s="241">
        <v>1.0</v>
      </c>
      <c r="D24" s="83" t="s">
        <v>57</v>
      </c>
      <c r="E24" s="84" t="str">
        <f>IF('WEEK 45'!B24='WEEK 47'!B24,'WEEK 45'!F24,"")</f>
        <v/>
      </c>
      <c r="F24" s="85"/>
      <c r="H24" s="240">
        <v>2.0</v>
      </c>
      <c r="I24" s="241">
        <f>mround('WEEK 47'!I21*0.65,5)</f>
        <v>0</v>
      </c>
      <c r="J24" s="241">
        <v>1.0</v>
      </c>
      <c r="K24" s="83" t="s">
        <v>57</v>
      </c>
      <c r="L24" s="84" t="str">
        <f>IF('WEEK 45'!I24='WEEK 47'!I24,'WEEK 45'!M24,"")</f>
        <v/>
      </c>
      <c r="M24" s="85"/>
    </row>
    <row r="25">
      <c r="A25" s="240">
        <v>3.0</v>
      </c>
      <c r="B25" s="241">
        <f>mround('WEEK 47'!B21*0.85,5)</f>
        <v>0</v>
      </c>
      <c r="C25" s="63">
        <v>1.0</v>
      </c>
      <c r="D25" s="83" t="s">
        <v>57</v>
      </c>
      <c r="E25" s="84" t="str">
        <f>IF('WEEK 45'!B25='WEEK 47'!B25,'WEEK 45'!F25,"")</f>
        <v/>
      </c>
      <c r="F25" s="85"/>
      <c r="H25" s="240">
        <v>3.0</v>
      </c>
      <c r="I25" s="241">
        <f>mround('WEEK 47'!I21*0.85,5)</f>
        <v>0</v>
      </c>
      <c r="J25" s="241">
        <v>1.0</v>
      </c>
      <c r="K25" s="83" t="s">
        <v>57</v>
      </c>
      <c r="L25" s="84" t="str">
        <f>IF('WEEK 45'!I25='WEEK 47'!I25,'WEEK 45'!M25,"")</f>
        <v/>
      </c>
      <c r="M25" s="85"/>
    </row>
    <row r="26">
      <c r="A26" s="240">
        <v>4.0</v>
      </c>
      <c r="B26" s="241">
        <f>mround('WEEK 47'!B21*1,5)</f>
        <v>0</v>
      </c>
      <c r="C26" s="245" t="s">
        <v>65</v>
      </c>
      <c r="D26" s="83" t="s">
        <v>57</v>
      </c>
      <c r="E26" s="84" t="str">
        <f>IF('WEEK 45'!B26='WEEK 47'!B26,'WEEK 45'!F26,"")</f>
        <v/>
      </c>
      <c r="F26" s="85"/>
      <c r="H26" s="240">
        <v>4.0</v>
      </c>
      <c r="I26" s="241">
        <f>mround('WEEK 47'!I21*1,5)</f>
        <v>0</v>
      </c>
      <c r="J26" s="245" t="s">
        <v>65</v>
      </c>
      <c r="K26" s="83" t="s">
        <v>57</v>
      </c>
      <c r="L26" s="84" t="str">
        <f>IF('WEEK 45'!I26='WEEK 47'!I26,'WEEK 45'!M26,"")</f>
        <v/>
      </c>
      <c r="M26" s="85"/>
    </row>
    <row r="27">
      <c r="A27" s="248" t="str">
        <f>IF(OR(ISBLANK('WEEK 47'!F26),ISBLANK('WEEK 47'!F25),ISBLANK('WEEK 47'!F24)),"PROCEED TO DOWNSETS",if('WEEK 47'!F26&gt;=6,"NEW 4 REP MAX ATTEMPT","PROCEED TO DOWN SETS"))</f>
        <v>PROCEED TO DOWNSETS</v>
      </c>
      <c r="F27" s="28"/>
      <c r="G27" s="247" t="s">
        <v>123</v>
      </c>
      <c r="H27" s="248" t="str">
        <f>IF(OR(ISBLANK('WEEK 47'!M26),ISBLANK('WEEK 47'!M25),ISBLANK('WEEK 47'!M24)),"PROCEED TO DOWNSETS",if('WEEK 47'!M26&gt;=6,"NEW 4 REP MAX ATTEMPT","PROCEED TO DOWN SETS"))</f>
        <v>PROCEED TO DOWNSETS</v>
      </c>
      <c r="M27" s="28"/>
    </row>
    <row r="28">
      <c r="A28" s="251" t="str">
        <f>IF(OR(ISBLANK('WEEK 47'!F26),ISBLANK('WEEK 47'!F25),ISBLANK('WEEK 47'!F24)),"",IF('WEEK 47'!F26&gt;=6,5,""))</f>
        <v/>
      </c>
      <c r="B28" s="252" t="str">
        <f>IF(OR(ISBLANK('WEEK 47'!F26),ISBLANK('WEEK 47'!F25),ISBLANK('WEEK 47'!F24)),"",IF('WEEK 47'!F26&gt;=6,'WEEK 47'!B21+5,""))</f>
        <v/>
      </c>
      <c r="C28" s="253" t="str">
        <f>IF(OR(ISBLANK('WEEK 47'!F26),ISBLANK('WEEK 47'!F25),ISBLANK('WEEK 47'!F24)),"",IF('WEEK 47'!F26&gt;=6,"REP OUT",""))</f>
        <v/>
      </c>
      <c r="D28" s="254" t="str">
        <f>IF(OR(ISBLANK('WEEK 47'!F26),ISBLANK('WEEK 47'!F25),ISBLANK('WEEK 47'!F24)),"",IF('WEEK 47'!F26&gt;5,"1 MIN",""))</f>
        <v/>
      </c>
      <c r="E28" s="84" t="str">
        <f>IF('WEEK 45'!B28='WEEK 47'!B28,'WEEK 45'!F28,"")</f>
        <v/>
      </c>
      <c r="F28" s="67"/>
      <c r="H28" s="251" t="str">
        <f>IF(OR(ISBLANK('WEEK 47'!M26),ISBLANK('WEEK 47'!M25),ISBLANK('WEEK 47'!M24)),"",IF('WEEK 47'!M26&gt;=6,5,""))</f>
        <v/>
      </c>
      <c r="I28" s="252" t="str">
        <f>IF(OR(ISBLANK('WEEK 47'!M26),ISBLANK('WEEK 47'!M25),ISBLANK('WEEK 47'!M24)),"",IF('WEEK 47'!M26&gt;=6,'WEEK 47'!I21+5,""))</f>
        <v/>
      </c>
      <c r="J28" s="253" t="str">
        <f>IF(OR(ISBLANK('WEEK 47'!M26),ISBLANK('WEEK 47'!M25),ISBLANK('WEEK 47'!M24)),"",IF('WEEK 47'!M26&gt;=6,"REP OUT",""))</f>
        <v/>
      </c>
      <c r="K28" s="254" t="str">
        <f>IF(OR(ISBLANK('WEEK 47'!M26),ISBLANK('WEEK 47'!M25),ISBLANK('WEEK 47'!M24)),"",IF('WEEK 47'!M26&gt;5,"1 MIN",""))</f>
        <v/>
      </c>
      <c r="L28" s="84" t="str">
        <f>IF('WEEK 45'!I28='WEEK 47'!I28,'WEEK 45'!M28,"")</f>
        <v/>
      </c>
      <c r="M28" s="67"/>
    </row>
    <row r="29">
      <c r="A29" s="260" t="str">
        <f>IF(OR(ISBLANK('WEEK 47'!F26),ISBLANK('WEEK 47'!F25),ISBLANK('WEEK 47'!F24)),"FILL OUT REP LOG FIRST","DOWN SETS")</f>
        <v>FILL OUT REP LOG FIRST</v>
      </c>
      <c r="B29" s="16"/>
      <c r="C29" s="16"/>
      <c r="D29" s="16"/>
      <c r="E29" s="16"/>
      <c r="F29" s="230"/>
      <c r="G29" s="141"/>
      <c r="H29" s="260" t="str">
        <f>IF(OR(ISBLANK('WEEK 47'!M26),ISBLANK('WEEK 47'!M25),ISBLANK('WEEK 47'!M24)),"FILL OUT REP LOG FIRST","DOWN SETS")</f>
        <v>FILL OUT REP LOG FIRST</v>
      </c>
      <c r="I29" s="16"/>
      <c r="J29" s="16"/>
      <c r="K29" s="16"/>
      <c r="L29" s="16"/>
      <c r="M29" s="230"/>
    </row>
    <row r="30">
      <c r="A30" s="545" t="str">
        <f>IF('WEEK 47'!F28&gt;=4,"",IF(OR(ISBLANK('WEEK 47'!F26),ISBLANK('WEEK 47'!F25),ISBLANK('WEEK 47'!F24)),"",IF('WEEK 47'!F26&gt;5,6,5)))</f>
        <v/>
      </c>
      <c r="B30" s="261" t="str">
        <f>IF('WEEK 47'!F28&gt;=4,"",IF(OR(ISBLANK('WEEK 47'!F26),ISBLANK('WEEK 47'!F25),ISBLANK('WEEK 47'!F24)),"",IF('WEEK 47'!F26&lt;6,mround('WEEK 47'!B21*0.8,5),IF('WEEK 47'!F26&lt;10,mround('WEEK 47'!B21*0.93,5),mround('WEEK 47'!B21*0.7,5)))))</f>
        <v/>
      </c>
      <c r="C30" s="262" t="str">
        <f>IF('WEEK 47'!F28&gt;=4,"",IF(OR(ISBLANK('WEEK 47'!F26),ISBLANK('WEEK 47'!F25),ISBLANK('WEEK 47'!F24)),"","REP OUT"))</f>
        <v/>
      </c>
      <c r="D30" s="65" t="str">
        <f>IF('WEEK 47'!F28&gt;=4,"",IF(OR(ISBLANK('WEEK 47'!F26),ISBLANK('WEEK 47'!F25),ISBLANK('WEEK 47'!F24)),"","1 MIN"))</f>
        <v/>
      </c>
      <c r="E30" s="84" t="str">
        <f>IF('WEEK 45'!B30='WEEK 47'!B30,'WEEK 45'!F30,"")</f>
        <v/>
      </c>
      <c r="F30" s="263"/>
      <c r="H30" s="91" t="str">
        <f>IF('WEEK 47'!M28&gt;=4,"",IF(OR(ISBLANK('WEEK 47'!M26),ISBLANK('WEEK 47'!M25),ISBLANK('WEEK 47'!M24)),"",IF('WEEK 47'!M26&gt;5,6,5)))</f>
        <v/>
      </c>
      <c r="I30" s="261" t="str">
        <f>IF('WEEK 47'!M28&gt;=4,"",IF(OR(ISBLANK('WEEK 47'!M26),ISBLANK('WEEK 47'!M25),ISBLANK('WEEK 47'!M24)),"",IF('WEEK 47'!M26&lt;6,mround('WEEK 47'!I21*0.8,5),IF('WEEK 47'!M26&lt;10,mround('WEEK 47'!I21*0.93,5),mround('WEEK 47'!I21*0.7,5)))))</f>
        <v/>
      </c>
      <c r="J30" s="262" t="str">
        <f>IF('WEEK 47'!M28&gt;=4,"",IF(OR(ISBLANK('WEEK 47'!M26),ISBLANK('WEEK 47'!M25),ISBLANK('WEEK 47'!M24)),"","REP OUT"))</f>
        <v/>
      </c>
      <c r="K30" s="65" t="str">
        <f>IF('WEEK 47'!M28&gt;=4,"",IF(OR(ISBLANK('WEEK 47'!M26),ISBLANK('WEEK 47'!M25),ISBLANK('WEEK 47'!M24)),"","1 MIN"))</f>
        <v/>
      </c>
      <c r="L30" s="84" t="str">
        <f>IF('WEEK 45'!I30='WEEK 47'!I30,'WEEK 45'!M30,"")</f>
        <v/>
      </c>
      <c r="M30" s="263"/>
    </row>
    <row r="31">
      <c r="A31" s="546" t="str">
        <f>IF('WEEK 47'!F28&gt;=4,"",IF(OR(ISBLANK('WEEK 47'!F26),ISBLANK('WEEK 47'!F25),ISBLANK('WEEK 47'!F24)),"",IF('WEEK 47'!F26&gt;5,7,6)))</f>
        <v/>
      </c>
      <c r="B31" s="254" t="str">
        <f>IF('WEEK 47'!F28&gt;=4,"",IF(OR(ISBLANK('WEEK 47'!F26),ISBLANK('WEEK 47'!F25),ISBLANK('WEEK 47'!F24)),"",IF('WEEK 47'!F26&lt;6,mround('WEEK 47'!B21*0.65,5),IF('WEEK 47'!F26&lt;10,mround('WEEK 47'!B21*0.7,5),mround('WEEK 47'!B21*0.65,5)))))</f>
        <v/>
      </c>
      <c r="C31" s="253" t="str">
        <f>IF('WEEK 47'!F28&gt;=4,"",IF(OR(ISBLANK('WEEK 47'!F26),ISBLANK('WEEK 47'!F25),ISBLANK('WEEK 47'!F24)),"","REP OUT"))</f>
        <v/>
      </c>
      <c r="D31" s="65" t="str">
        <f>IF('WEEK 47'!F28&gt;=4,"",IF(OR(ISBLANK('WEEK 47'!F26),ISBLANK('WEEK 47'!F25),ISBLANK('WEEK 47'!F24)),"","1 MIN"))</f>
        <v/>
      </c>
      <c r="E31" s="84" t="str">
        <f>IF('WEEK 45'!B31='WEEK 47'!B31,'WEEK 45'!F31,"")</f>
        <v/>
      </c>
      <c r="F31" s="270"/>
      <c r="H31" s="269" t="str">
        <f>IF('WEEK 47'!M28&gt;=4,"",IF(OR(ISBLANK('WEEK 47'!M26),ISBLANK('WEEK 47'!M25),ISBLANK('WEEK 47'!M24)),"",IF('WEEK 47'!M26&gt;5,7,6)))</f>
        <v/>
      </c>
      <c r="I31" s="254" t="str">
        <f>IF('WEEK 47'!M28&gt;=4,"",IF(OR(ISBLANK('WEEK 47'!M26),ISBLANK('WEEK 47'!M25),ISBLANK('WEEK 47'!M24)),"",IF('WEEK 47'!M26&lt;6,mround('WEEK 47'!I21*0.65,5),IF('WEEK 47'!M26&lt;10,mround('WEEK 47'!I21*0.7,5),mround('WEEK 47'!I21*0.65,5)))))</f>
        <v/>
      </c>
      <c r="J31" s="253" t="str">
        <f>IF('WEEK 47'!M28&gt;=4,"",IF(OR(ISBLANK('WEEK 47'!M26),ISBLANK('WEEK 47'!M25),ISBLANK('WEEK 47'!M24)),"","REP OUT"))</f>
        <v/>
      </c>
      <c r="K31" s="65" t="str">
        <f>IF('WEEK 47'!M28&gt;=4,"",IF(OR(ISBLANK('WEEK 47'!M26),ISBLANK('WEEK 47'!M25),ISBLANK('WEEK 47'!M24)),"","1 MIN"))</f>
        <v/>
      </c>
      <c r="L31" s="84" t="str">
        <f>IF('WEEK 45'!I31='WEEK 47'!I31,'WEEK 45'!M31,"")</f>
        <v/>
      </c>
      <c r="M31" s="270"/>
    </row>
    <row r="32">
      <c r="A32" s="546" t="str">
        <f>IF('WEEK 47'!F28&lt;4,"",IF(OR(ISBLANK('WEEK 47'!F26),ISBLANK('WEEK 47'!F25),ISBLANK('WEEK 47'!F24)),"",IF('WEEK 47'!F28&gt;3,6,5)))</f>
        <v/>
      </c>
      <c r="B32" s="254">
        <f>IF('WEEK 45'!F28&lt;4,"",IF(OR(ISBLANK('WEEK 45'!F26),ISBLANK('WEEK 45'!F25),ISBLANK('WEEK 45'!F24)),"",IF('WEEK 45'!F28&lt;6,mround('WEEK 45'!B34*0.8,5),IF('WEEK 45'!F28&lt;10,mround('WEEK 45'!B34*0.93,5),mround(B34*0.7,5)))))</f>
        <v>90</v>
      </c>
      <c r="C32" s="253" t="str">
        <f>IF('WEEK 47'!F28&lt;4,"",IF(OR(ISBLANK('WEEK 47'!F26),ISBLANK('WEEK 47'!F25),ISBLANK('WEEK 47'!F24)),"","REP OUT"))</f>
        <v/>
      </c>
      <c r="D32" s="65" t="str">
        <f>IF('WEEK 47'!F28&lt;4,"",IF(OR(ISBLANK('WEEK 47'!F26),ISBLANK('WEEK 47'!F25),ISBLANK('WEEK 47'!F24)),"","1 MIN"))</f>
        <v/>
      </c>
      <c r="E32" s="84" t="str">
        <f>IF('WEEK 45'!B32='WEEK 47'!B32,'WEEK 45'!F32,"")</f>
        <v/>
      </c>
      <c r="F32" s="270"/>
      <c r="G32" s="141"/>
      <c r="H32" s="269" t="str">
        <f>IF('WEEK 47'!M28&lt;4,"",IF(OR(ISBLANK('WEEK 47'!M26),ISBLANK('WEEK 47'!M25),ISBLANK('WEEK 47'!M24)),"",IF('WEEK 47'!M28&gt;3,6,5)))</f>
        <v/>
      </c>
      <c r="I32" s="254" t="str">
        <f>IF('WEEK 47'!M28&lt;4,"",IF(OR(ISBLANK('WEEK 47'!M26),ISBLANK('WEEK 47'!M25),ISBLANK('WEEK 47'!M24)),"",IF('WEEK 47'!M28&lt;6,mround('WEEK 47'!I34*0.7,5),IF('WEEK 47'!M28&lt;10,mround('WEEK 47'!I34*0.8,5),mround(I34*0.93,5)))))</f>
        <v/>
      </c>
      <c r="J32" s="253" t="str">
        <f>IF('WEEK 47'!M28&lt;4,"",IF(OR(ISBLANK('WEEK 47'!M26),ISBLANK('WEEK 47'!M25),ISBLANK('WEEK 47'!M24)),"","REP OUT"))</f>
        <v/>
      </c>
      <c r="K32" s="65" t="str">
        <f>IF('WEEK 47'!M28&lt;4,"",IF(OR(ISBLANK('WEEK 47'!M26),ISBLANK('WEEK 47'!M25),ISBLANK('WEEK 47'!M24)),"","1 MIN"))</f>
        <v/>
      </c>
      <c r="L32" s="84" t="str">
        <f>IF('WEEK 45'!I32='WEEK 47'!I32,'WEEK 45'!M32,"")</f>
        <v/>
      </c>
      <c r="M32" s="270"/>
    </row>
    <row r="33">
      <c r="A33" s="546" t="str">
        <f>IF('WEEK 47'!F28&lt;4,"",IF(OR(ISBLANK('WEEK 47'!F26),ISBLANK('WEEK 47'!F25),ISBLANK('WEEK 47'!F24)),"",IF('WEEK 47'!F28&gt;3,7,"")))</f>
        <v/>
      </c>
      <c r="B33" s="254" t="str">
        <f>IF('WEEK 47'!F28&lt;4,"",IF(OR(ISBLANK('WEEK 47'!F26),ISBLANK('WEEK 47'!F25),ISBLANK('WEEK 47'!F24)),"",IF('WEEK 47'!F28&lt;6,mround('WEEK 47'!B34*0.65,5),IF('WEEK 47'!F28&lt;10,mround('WEEK 47'!B34*0.7,5),mround(B34*0.65,5)))))</f>
        <v/>
      </c>
      <c r="C33" s="253" t="str">
        <f>IF('WEEK 47'!F28&lt;4,"",IF(OR(ISBLANK('WEEK 47'!F26),ISBLANK('WEEK 47'!F25),ISBLANK('WEEK 47'!F24)),"","REP OUT"))</f>
        <v/>
      </c>
      <c r="D33" s="65" t="str">
        <f>IF('WEEK 47'!F28&lt;4,"",IF(OR(ISBLANK('WEEK 47'!F26),ISBLANK('WEEK 47'!F25),ISBLANK('WEEK 47'!F24)),"","1 MIN"))</f>
        <v/>
      </c>
      <c r="E33" s="84" t="str">
        <f>IF('WEEK 45'!B33='WEEK 47'!B33,'WEEK 45'!F33,"")</f>
        <v/>
      </c>
      <c r="F33" s="270"/>
      <c r="G33" s="141"/>
      <c r="H33" s="269" t="str">
        <f>IF('WEEK 47'!M28&lt;4,"",IF(OR(ISBLANK('WEEK 47'!M26),ISBLANK('WEEK 47'!M25),ISBLANK('WEEK 47'!M24)),"",IF('WEEK 47'!M28&gt;3,7,"")))</f>
        <v/>
      </c>
      <c r="I33" s="254" t="str">
        <f>IF('WEEK 47'!M28&lt;4,"",IF(OR(ISBLANK('WEEK 47'!M26),ISBLANK('WEEK 47'!M25),ISBLANK('WEEK 47'!M24)),"",IF('WEEK 47'!M28&lt;6,mround('WEEK 47'!I34*0.65,5),IF('WEEK 47'!M28&lt;10,mround('WEEK 47'!I34*0.7,5),mround(I34*0.75,5)))))</f>
        <v/>
      </c>
      <c r="J33" s="253" t="str">
        <f>IF('WEEK 47'!M28&lt;4,"",IF(OR(ISBLANK('WEEK 47'!M26),ISBLANK('WEEK 47'!M25),ISBLANK('WEEK 47'!M24)),"","REP OUT"))</f>
        <v/>
      </c>
      <c r="K33" s="65" t="str">
        <f>IF('WEEK 47'!M28&lt;4,"",IF(OR(ISBLANK('WEEK 47'!M26),ISBLANK('WEEK 47'!M25),ISBLANK('WEEK 47'!M24)),"","1 MIN"))</f>
        <v/>
      </c>
      <c r="L33" s="84" t="str">
        <f>IF('WEEK 45'!I33='WEEK 47'!I33,'WEEK 45'!M33,"")</f>
        <v/>
      </c>
      <c r="M33" s="270"/>
    </row>
    <row r="34">
      <c r="A34" s="280" t="s">
        <v>124</v>
      </c>
      <c r="B34" s="273" t="str">
        <f>IF(OR(ISBLANK('WEEK 47'!F24),ISBLANK('WEEK 47'!F25),ISBLANK('WEEK 47'!F26)),"",IF('WEEK 47'!F28&gt;=4,'WEEK 47'!B28,IF('WEEK 47'!F26&lt;=3,'WEEK 47'!B26-5,'WEEK 47'!B26)))</f>
        <v/>
      </c>
      <c r="C34" s="11"/>
      <c r="D34" s="11"/>
      <c r="E34" s="11"/>
      <c r="F34" s="46"/>
      <c r="G34" s="141"/>
      <c r="H34" s="280" t="s">
        <v>124</v>
      </c>
      <c r="I34" s="273" t="str">
        <f>IF(OR(ISBLANK('WEEK 47'!M24),ISBLANK('WEEK 47'!M25),ISBLANK('WEEK 47'!M26)),"",IF('WEEK 47'!M28&gt;=4,'WEEK 47'!I28,IF('WEEK 47'!M26&lt;=3,'WEEK 47'!I26-5,'WEEK 47'!I26)))</f>
        <v/>
      </c>
      <c r="J34" s="11"/>
      <c r="K34" s="11"/>
      <c r="L34" s="11"/>
      <c r="M34" s="46"/>
    </row>
    <row r="35">
      <c r="A35" s="658"/>
    </row>
    <row r="37">
      <c r="A37" s="440" t="str">
        <f>HYPERLINK("https://www.youtube.com/watch?v=mGv8D2DGyNQ","2. DUMBBELL CHEST FLY")</f>
        <v>2. DUMBBELL CHEST FLY</v>
      </c>
      <c r="B37" s="53"/>
      <c r="C37" s="53"/>
      <c r="D37" s="53"/>
      <c r="E37" s="53"/>
      <c r="F37" s="54"/>
      <c r="G37" s="659"/>
      <c r="H37" s="504" t="str">
        <f>HYPERLINK("https://www.youtube.com/watch?v=THb0dhfIu1k","2. MACHINE CHEST FLY")</f>
        <v>2. MACHINE CHEST FLY</v>
      </c>
      <c r="I37" s="53"/>
      <c r="J37" s="53"/>
      <c r="K37" s="53"/>
      <c r="L37" s="53"/>
      <c r="M37" s="54"/>
    </row>
    <row r="38">
      <c r="A38" s="226" t="s">
        <v>228</v>
      </c>
      <c r="B38" s="548" t="str">
        <f>if('WEEK 47'!B34="",'WEEK 47'!B21,'WEEK 47'!B34)</f>
        <v/>
      </c>
      <c r="C38" s="13"/>
      <c r="D38" s="13"/>
      <c r="E38" s="13"/>
      <c r="F38" s="57"/>
      <c r="G38" s="247" t="s">
        <v>123</v>
      </c>
      <c r="H38" s="226" t="s">
        <v>228</v>
      </c>
      <c r="I38" s="548" t="str">
        <f>'WEEK 47'!B38</f>
        <v/>
      </c>
      <c r="J38" s="13"/>
      <c r="K38" s="13"/>
      <c r="L38" s="13"/>
      <c r="M38" s="57"/>
    </row>
    <row r="39">
      <c r="A39" s="96" t="s">
        <v>50</v>
      </c>
      <c r="B39" s="97" t="s">
        <v>51</v>
      </c>
      <c r="C39" s="97" t="s">
        <v>52</v>
      </c>
      <c r="D39" s="97" t="s">
        <v>53</v>
      </c>
      <c r="E39" s="98" t="s">
        <v>54</v>
      </c>
      <c r="F39" s="235" t="s">
        <v>55</v>
      </c>
      <c r="H39" s="96" t="s">
        <v>50</v>
      </c>
      <c r="I39" s="97" t="s">
        <v>51</v>
      </c>
      <c r="J39" s="97" t="s">
        <v>52</v>
      </c>
      <c r="K39" s="97" t="s">
        <v>53</v>
      </c>
      <c r="L39" s="341" t="s">
        <v>54</v>
      </c>
      <c r="M39" s="235" t="s">
        <v>55</v>
      </c>
    </row>
    <row r="40">
      <c r="A40" s="240">
        <v>1.0</v>
      </c>
      <c r="B40" s="254">
        <f>mround('WEEK 47'!B38*0.29,2.5)</f>
        <v>0</v>
      </c>
      <c r="C40" s="241">
        <v>15.0</v>
      </c>
      <c r="D40" s="83" t="s">
        <v>57</v>
      </c>
      <c r="E40" s="84" t="str">
        <f>IF('WEEK 45'!B40='WEEK 47'!B40,'WEEK 45'!F40,"")</f>
        <v/>
      </c>
      <c r="F40" s="85"/>
      <c r="G40" s="659"/>
      <c r="H40" s="240">
        <v>1.0</v>
      </c>
      <c r="I40" s="254">
        <f>mround('WEEK 47'!I38*2*0.75,10)</f>
        <v>0</v>
      </c>
      <c r="J40" s="241">
        <v>15.0</v>
      </c>
      <c r="K40" s="83" t="s">
        <v>57</v>
      </c>
      <c r="L40" s="84" t="str">
        <f>IF('WEEK 45'!I40='WEEK 47'!I40,'WEEK 45'!M40,"")</f>
        <v/>
      </c>
      <c r="M40" s="85"/>
    </row>
    <row r="41">
      <c r="A41" s="661">
        <v>2.0</v>
      </c>
      <c r="B41" s="662">
        <f>mround('WEEK 47'!B38*0.29,2.5)</f>
        <v>0</v>
      </c>
      <c r="C41" s="69">
        <v>15.0</v>
      </c>
      <c r="D41" s="88" t="s">
        <v>57</v>
      </c>
      <c r="E41" s="89" t="str">
        <f>IF('WEEK 45'!B41='WEEK 47'!B41,'WEEK 45'!F41,"")</f>
        <v/>
      </c>
      <c r="F41" s="85"/>
      <c r="H41" s="661">
        <v>2.0</v>
      </c>
      <c r="I41" s="662">
        <f>mround('WEEK 47'!I38*2*0.75,10)</f>
        <v>0</v>
      </c>
      <c r="J41" s="662">
        <v>15.0</v>
      </c>
      <c r="K41" s="88" t="s">
        <v>57</v>
      </c>
      <c r="L41" s="89" t="str">
        <f>IF('WEEK 45'!I41='WEEK 47'!I41,'WEEK 45'!M41,"")</f>
        <v/>
      </c>
      <c r="M41" s="85"/>
    </row>
    <row r="44">
      <c r="A44" s="73" t="str">
        <f>HYPERLINK("https://youtu.be/hMUUvL3FlkE","3. MACHINE HIGH ROW")</f>
        <v>3. MACHINE HIGH ROW</v>
      </c>
      <c r="B44" s="53"/>
      <c r="C44" s="53"/>
      <c r="D44" s="53"/>
      <c r="E44" s="53"/>
      <c r="F44" s="54"/>
    </row>
    <row r="45">
      <c r="A45" s="226" t="s">
        <v>119</v>
      </c>
      <c r="B45" s="227" t="str">
        <f>'WEEK 46'!B43</f>
        <v/>
      </c>
      <c r="C45" s="20"/>
      <c r="D45" s="20"/>
      <c r="E45" s="20"/>
      <c r="F45" s="95"/>
    </row>
    <row r="46">
      <c r="A46" s="231" t="s">
        <v>50</v>
      </c>
      <c r="B46" s="232" t="s">
        <v>51</v>
      </c>
      <c r="C46" s="232" t="s">
        <v>52</v>
      </c>
      <c r="D46" s="232" t="s">
        <v>53</v>
      </c>
      <c r="E46" s="233" t="s">
        <v>54</v>
      </c>
      <c r="F46" s="61" t="s">
        <v>55</v>
      </c>
    </row>
    <row r="47">
      <c r="A47" s="236">
        <v>1.0</v>
      </c>
      <c r="B47" s="237">
        <f>mround('WEEK 47'!B45*0.35,5)</f>
        <v>0</v>
      </c>
      <c r="C47" s="237">
        <v>6.0</v>
      </c>
      <c r="D47" s="238" t="s">
        <v>120</v>
      </c>
      <c r="E47" s="727" t="str">
        <f>IF('WEEK 47'!B47='WEEK 43'!B42,'WEEK 43'!F42,"")</f>
        <v/>
      </c>
      <c r="F47" s="67"/>
    </row>
    <row r="48">
      <c r="A48" s="236">
        <v>2.0</v>
      </c>
      <c r="B48" s="237">
        <f>mround('WEEK 47'!B45*0.65,5)</f>
        <v>0</v>
      </c>
      <c r="C48" s="238">
        <v>3.0</v>
      </c>
      <c r="D48" s="238" t="s">
        <v>121</v>
      </c>
      <c r="E48" s="727" t="str">
        <f>IF('WEEK 47'!B48='WEEK 43'!B43,'WEEK 43'!F43,"")</f>
        <v/>
      </c>
      <c r="F48" s="67"/>
    </row>
    <row r="49">
      <c r="A49" s="242">
        <v>3.0</v>
      </c>
      <c r="B49" s="237">
        <f>mround('WEEK 47'!B45*0.9,5)</f>
        <v>0</v>
      </c>
      <c r="C49" s="63">
        <v>2.0</v>
      </c>
      <c r="D49" s="238" t="s">
        <v>121</v>
      </c>
      <c r="E49" s="727" t="str">
        <f>IF('WEEK 47'!B49='WEEK 43'!B44,'WEEK 43'!F44,"")</f>
        <v/>
      </c>
      <c r="F49" s="67"/>
    </row>
    <row r="50">
      <c r="A50" s="243">
        <v>4.0</v>
      </c>
      <c r="B50" s="237" t="str">
        <f>'WEEK 47'!B45</f>
        <v/>
      </c>
      <c r="C50" s="257">
        <v>3.0</v>
      </c>
      <c r="D50" s="238" t="s">
        <v>122</v>
      </c>
      <c r="E50" s="727" t="str">
        <f>IF('WEEK 47'!B50='WEEK 43'!B45,'WEEK 43'!F45,"")</f>
        <v/>
      </c>
      <c r="F50" s="67"/>
    </row>
    <row r="51">
      <c r="A51" s="246" t="str">
        <f>IF('WEEK 47'!F50&lt;3,"PROCEED TO DOWN SETS","NEW 4 REP MAX ATTEMPT")</f>
        <v>PROCEED TO DOWN SETS</v>
      </c>
      <c r="B51" s="20"/>
      <c r="C51" s="20"/>
      <c r="D51" s="20"/>
      <c r="E51" s="20"/>
      <c r="F51" s="95"/>
    </row>
    <row r="52">
      <c r="A52" s="249" t="str">
        <f>if('WEEK 47'!F50&lt;=2,"",5)</f>
        <v/>
      </c>
      <c r="B52" s="175" t="str">
        <f>IF('WEEK 47'!F50&lt;=2,"",'WEEK 47'!B50+5)</f>
        <v/>
      </c>
      <c r="C52" s="238" t="str">
        <f>if('WEEK 47'!F50&lt;=2,"",4)</f>
        <v/>
      </c>
      <c r="D52" s="238" t="str">
        <f>if('WEEK 47'!F50&lt;=2,"","1-5 MIN")</f>
        <v/>
      </c>
      <c r="E52" s="727" t="str">
        <f>IF('WEEK 47'!B52='WEEK 43'!B47,'WEEK 43'!F47,"")</f>
        <v/>
      </c>
      <c r="F52" s="67"/>
    </row>
    <row r="53">
      <c r="A53" s="259" t="str">
        <f>IF('WEEK 47'!F52&lt;4,"","6")</f>
        <v/>
      </c>
      <c r="B53" s="237" t="str">
        <f>IF('WEEK 47'!F52&lt;4,"",'WEEK 47'!B52+5)</f>
        <v/>
      </c>
      <c r="C53" s="257" t="str">
        <f>IF('WEEK 47'!F52&lt;4,"","4")</f>
        <v/>
      </c>
      <c r="D53" s="257" t="str">
        <f>IF('WEEK 47'!F52&lt;4,"","1-5 MIN")</f>
        <v/>
      </c>
      <c r="E53" s="727" t="str">
        <f>IF('WEEK 47'!B53='WEEK 43'!B48,'WEEK 43'!F48,"")</f>
        <v/>
      </c>
      <c r="F53" s="67"/>
    </row>
    <row r="54">
      <c r="A54" s="246" t="s">
        <v>133</v>
      </c>
      <c r="B54" s="20"/>
      <c r="C54" s="20"/>
      <c r="D54" s="20"/>
      <c r="E54" s="20"/>
      <c r="F54" s="95"/>
    </row>
    <row r="55">
      <c r="A55" s="264">
        <f>IF('WEEK 47'!F52&gt;=1,7,IF('WEEK 47'!F50&lt;1,5,6))</f>
        <v>5</v>
      </c>
      <c r="B55" s="265">
        <f>MROUND('WEEK 47'!B57*0.8,5)</f>
        <v>0</v>
      </c>
      <c r="C55" s="266" t="s">
        <v>65</v>
      </c>
      <c r="D55" s="267" t="s">
        <v>127</v>
      </c>
      <c r="E55" s="727" t="str">
        <f>IF('WEEK 47'!B55='WEEK 43'!B50,'WEEK 43'!F50,"")</f>
        <v/>
      </c>
      <c r="F55" s="67"/>
    </row>
    <row r="56">
      <c r="A56" s="243">
        <f>IF('WEEK 47'!F52&gt;=1,8,IF('WEEK 47'!F50&lt;1,6,7))</f>
        <v>6</v>
      </c>
      <c r="B56" s="237">
        <f>mround('WEEK 47'!B57*0.7,5)</f>
        <v>0</v>
      </c>
      <c r="C56" s="245" t="s">
        <v>65</v>
      </c>
      <c r="D56" s="65" t="s">
        <v>127</v>
      </c>
      <c r="E56" s="727" t="str">
        <f>IF('WEEK 47'!B56='WEEK 43'!B51,'WEEK 43'!F51,"")</f>
        <v/>
      </c>
      <c r="F56" s="271"/>
    </row>
    <row r="57">
      <c r="A57" s="228" t="s">
        <v>124</v>
      </c>
      <c r="B57" s="549" t="str">
        <f>IF(OR(ISBLANK('WEEK 47'!F50),ISBLANK('WEEK 47'!F49),ISBLANK('WEEK 47'!F48)),"",IF('WEEK 47'!F53&gt;=4,'WEEK 47'!B53,IF('WEEK 47'!F52&gt;=1,'WEEK 47'!B52,IF('WEEK 47'!F50&lt;3,'WEEK 47'!B50-5,'WEEK 47'!B50))))</f>
        <v/>
      </c>
      <c r="F57" s="28"/>
    </row>
    <row r="58">
      <c r="A58" s="750"/>
      <c r="B58" s="750"/>
      <c r="C58" s="750"/>
      <c r="D58" s="750"/>
      <c r="E58" s="750"/>
      <c r="F58" s="750"/>
    </row>
    <row r="59">
      <c r="A59" s="751" t="str">
        <f>HYPERLINK("https://www.youtube.com/watch?v=PnaDzYh2axA","4. LAT PULL DOWN")</f>
        <v>4. LAT PULL DOWN</v>
      </c>
      <c r="B59" s="13"/>
      <c r="C59" s="13"/>
      <c r="D59" s="13"/>
      <c r="E59" s="13"/>
      <c r="F59" s="57"/>
    </row>
    <row r="60">
      <c r="A60" s="226" t="s">
        <v>119</v>
      </c>
      <c r="B60" s="691" t="str">
        <f>'WEEK 46'!B51</f>
        <v/>
      </c>
      <c r="C60" s="13"/>
      <c r="D60" s="13"/>
      <c r="E60" s="13"/>
      <c r="F60" s="57"/>
    </row>
    <row r="61">
      <c r="A61" s="96" t="s">
        <v>50</v>
      </c>
      <c r="B61" s="97" t="s">
        <v>51</v>
      </c>
      <c r="C61" s="97" t="s">
        <v>52</v>
      </c>
      <c r="D61" s="97" t="s">
        <v>53</v>
      </c>
      <c r="E61" s="341" t="s">
        <v>54</v>
      </c>
      <c r="F61" s="235" t="s">
        <v>55</v>
      </c>
    </row>
    <row r="62">
      <c r="A62" s="725">
        <v>1.0</v>
      </c>
      <c r="B62" s="344">
        <f> mround('WEEK 47'!B60*0.9,5)</f>
        <v>0</v>
      </c>
      <c r="C62" s="437" t="s">
        <v>65</v>
      </c>
      <c r="D62" s="343" t="s">
        <v>57</v>
      </c>
      <c r="E62" s="727" t="str">
        <f>IF('WEEK 47'!B62='WEEK 46'!B53,'WEEK 46'!F53,"")</f>
        <v/>
      </c>
      <c r="F62" s="85">
        <v>3.0</v>
      </c>
    </row>
    <row r="63">
      <c r="A63" s="725">
        <v>2.0</v>
      </c>
      <c r="B63" s="344">
        <f>IF('WEEK 47'!F62&lt;6,MROUND('WEEK 47'!B62*0.8,5),IF('WEEK 47'!F62&lt;=11,MROUND('WEEK 47'!B62*0.8,5),'WEEK 47'!B62))</f>
        <v>0</v>
      </c>
      <c r="C63" s="437" t="s">
        <v>65</v>
      </c>
      <c r="D63" s="343" t="s">
        <v>57</v>
      </c>
      <c r="E63" s="727" t="str">
        <f>IF('WEEK 47'!B63='WEEK 46'!B54,'WEEK 46'!F54,"")</f>
        <v/>
      </c>
      <c r="F63" s="85">
        <v>3.0</v>
      </c>
    </row>
    <row r="64">
      <c r="A64" s="753">
        <v>3.0</v>
      </c>
      <c r="B64" s="754">
        <f>IF('WEEK 47'!F63&lt;6,MROUND('WEEK 47'!B63*0.75,5),IF('WEEK 47'!F63&lt;=11,MROUND('WEEK 47'!B63*0.85,5),'WEEK 47'!B63))</f>
        <v>0</v>
      </c>
      <c r="C64" s="733" t="s">
        <v>65</v>
      </c>
      <c r="D64" s="486" t="s">
        <v>57</v>
      </c>
      <c r="E64" s="734" t="str">
        <f>IF('WEEK 47'!B64='WEEK 46'!B55,'WEEK 46'!F55,"")</f>
        <v/>
      </c>
      <c r="F64" s="85"/>
    </row>
    <row r="65">
      <c r="A65" s="756"/>
      <c r="B65" s="756"/>
      <c r="C65" s="756"/>
      <c r="D65" s="756"/>
      <c r="E65" s="757"/>
      <c r="F65" s="419"/>
    </row>
    <row r="66">
      <c r="A66" s="756"/>
      <c r="B66" s="756"/>
      <c r="C66" s="756"/>
      <c r="D66" s="756"/>
      <c r="E66" s="757"/>
      <c r="F66" s="419"/>
    </row>
    <row r="67">
      <c r="A67" s="73" t="str">
        <f>HYPERLINK("https://youtu.be/9YH1YvZbiY0","5. LOW ROW ")</f>
        <v>5. LOW ROW </v>
      </c>
      <c r="B67" s="53"/>
      <c r="C67" s="53"/>
      <c r="D67" s="53"/>
      <c r="E67" s="53"/>
      <c r="F67" s="54"/>
    </row>
    <row r="68">
      <c r="A68" s="226" t="s">
        <v>119</v>
      </c>
      <c r="B68" s="691">
        <f>IF('WEEK 46'!B40="",'WEEK 46'!B28,'WEEK 46'!B40)</f>
        <v>270</v>
      </c>
      <c r="C68" s="13"/>
      <c r="D68" s="13"/>
      <c r="E68" s="13"/>
      <c r="F68" s="57"/>
    </row>
    <row r="69">
      <c r="A69" s="96" t="s">
        <v>50</v>
      </c>
      <c r="B69" s="97" t="s">
        <v>51</v>
      </c>
      <c r="C69" s="97" t="s">
        <v>52</v>
      </c>
      <c r="D69" s="97" t="s">
        <v>53</v>
      </c>
      <c r="E69" s="341" t="s">
        <v>54</v>
      </c>
      <c r="F69" s="235" t="s">
        <v>55</v>
      </c>
    </row>
    <row r="70">
      <c r="A70" s="725">
        <v>1.0</v>
      </c>
      <c r="B70" s="344">
        <f>mround('WEEK 47'!B68*0.85,5)</f>
        <v>230</v>
      </c>
      <c r="C70" s="437" t="s">
        <v>65</v>
      </c>
      <c r="D70" s="343" t="s">
        <v>127</v>
      </c>
      <c r="E70" s="727" t="str">
        <f>IF('WEEK 47'!B70='WEEK 45'!B63,'WEEK 45'!F63,"")</f>
        <v/>
      </c>
      <c r="F70" s="85"/>
    </row>
    <row r="71">
      <c r="A71" s="725">
        <v>2.0</v>
      </c>
      <c r="B71" s="344">
        <f>IF('WEEK 47'!F70&lt;6,MROUND('WEEK 47'!B70*0.75,5),IF('WEEK 47'!F70&lt;=11,MROUND('WEEK 47'!B70*0.75,5),'WEEK 47'!B70))</f>
        <v>175</v>
      </c>
      <c r="C71" s="437" t="s">
        <v>65</v>
      </c>
      <c r="D71" s="343" t="s">
        <v>127</v>
      </c>
      <c r="E71" s="727" t="str">
        <f>IF('WEEK 47'!B71='WEEK 45'!B64,'WEEK 45'!F64,"")</f>
        <v/>
      </c>
      <c r="F71" s="85"/>
    </row>
    <row r="72">
      <c r="A72" s="753">
        <v>3.0</v>
      </c>
      <c r="B72" s="754">
        <f>IF('WEEK 47'!F71&lt;6,MROUND('WEEK 47'!B71*0.8,5),IF('WEEK 47'!F71&lt;=11,MROUND('WEEK 47'!B68*0.75,5),'WEEK 47'!B71))</f>
        <v>140</v>
      </c>
      <c r="C72" s="733" t="s">
        <v>65</v>
      </c>
      <c r="D72" s="486" t="s">
        <v>127</v>
      </c>
      <c r="E72" s="734" t="str">
        <f>IF('WEEK 47'!B72='WEEK 45'!B65,'WEEK 45'!F65,"")</f>
        <v/>
      </c>
      <c r="F72" s="85"/>
    </row>
    <row r="73">
      <c r="A73" s="758"/>
      <c r="B73" s="736"/>
      <c r="C73" s="759"/>
      <c r="D73" s="760"/>
      <c r="E73" s="761"/>
      <c r="F73" s="762"/>
    </row>
    <row r="74">
      <c r="A74" s="310" t="str">
        <f>HYPERLINK("https://docs.google.com/a/fitnessresults.com/forms/d/e/1FAIpQLSd7MoczESe8Yjv6BKpmwAZGn9Aiymrs9-UdgfYIUpbr9t5NXg/viewform?usp=pp_url&amp;entry.93370101","CLICK TO COMPLETE WORKOUT")</f>
        <v>CLICK TO COMPLETE WORKOUT</v>
      </c>
      <c r="B74" s="36"/>
      <c r="C74" s="36"/>
      <c r="D74" s="36"/>
      <c r="E74" s="36"/>
      <c r="F74" s="37"/>
    </row>
    <row r="75">
      <c r="A75" s="763"/>
      <c r="B75" s="764"/>
      <c r="C75" s="764"/>
      <c r="D75" s="764"/>
      <c r="E75" s="764"/>
      <c r="F75" s="764"/>
    </row>
    <row r="76">
      <c r="A76" s="50" t="s">
        <v>128</v>
      </c>
      <c r="B76" s="36"/>
      <c r="C76" s="36"/>
      <c r="D76" s="36"/>
      <c r="E76" s="36"/>
      <c r="F76" s="37"/>
    </row>
    <row r="79">
      <c r="A79" s="1355" t="str">
        <f>HYPERLINK("https://www.youtube.com/watch?v=5UOeRbRoFOI","1. MACHINE SQUAT")</f>
        <v>1. MACHINE SQUAT</v>
      </c>
      <c r="B79" s="53"/>
      <c r="C79" s="53"/>
      <c r="D79" s="53"/>
      <c r="E79" s="53"/>
      <c r="F79" s="54"/>
    </row>
    <row r="80">
      <c r="A80" s="1262" t="s">
        <v>119</v>
      </c>
      <c r="B80" s="1035">
        <f>'WEEK 38'!B93</f>
        <v>35</v>
      </c>
      <c r="C80" s="13"/>
      <c r="D80" s="13"/>
      <c r="E80" s="13"/>
      <c r="F80" s="57"/>
    </row>
    <row r="81">
      <c r="A81" s="231" t="s">
        <v>50</v>
      </c>
      <c r="B81" s="232" t="s">
        <v>51</v>
      </c>
      <c r="C81" s="232" t="s">
        <v>52</v>
      </c>
      <c r="D81" s="232" t="s">
        <v>53</v>
      </c>
      <c r="E81" s="233" t="s">
        <v>54</v>
      </c>
      <c r="F81" s="61" t="s">
        <v>55</v>
      </c>
    </row>
    <row r="82">
      <c r="A82" s="236">
        <v>1.0</v>
      </c>
      <c r="B82" s="237">
        <f>mround('WEEK 47'!B80*0.35,5)</f>
        <v>10</v>
      </c>
      <c r="C82" s="238">
        <v>10.0</v>
      </c>
      <c r="D82" s="238" t="s">
        <v>120</v>
      </c>
      <c r="E82" s="66" t="str">
        <f>IF('WEEK 47'!B82='WEEK 38'!B83,'WEEK 38'!F83,"")</f>
        <v/>
      </c>
      <c r="F82" s="67"/>
    </row>
    <row r="83">
      <c r="A83" s="236">
        <v>2.0</v>
      </c>
      <c r="B83" s="237">
        <f>mround('WEEK 47'!B80*0.65,5)</f>
        <v>25</v>
      </c>
      <c r="C83" s="238">
        <v>10.0</v>
      </c>
      <c r="D83" s="238" t="s">
        <v>121</v>
      </c>
      <c r="E83" s="66" t="str">
        <f>IF('WEEK 47'!B83='WEEK 38'!B84,'WEEK 38'!F84,"")</f>
        <v/>
      </c>
      <c r="F83" s="67"/>
    </row>
    <row r="84">
      <c r="A84" s="242">
        <v>3.0</v>
      </c>
      <c r="B84" s="237">
        <f>mround('WEEK 47'!B80*0.9,5)</f>
        <v>30</v>
      </c>
      <c r="C84" s="238">
        <v>10.0</v>
      </c>
      <c r="D84" s="238" t="s">
        <v>121</v>
      </c>
      <c r="E84" s="66" t="str">
        <f>IF('WEEK 47'!B84='WEEK 38'!B85,'WEEK 38'!F85,"")</f>
        <v/>
      </c>
      <c r="F84" s="67"/>
    </row>
    <row r="85">
      <c r="A85" s="249">
        <v>4.0</v>
      </c>
      <c r="B85" s="175">
        <f>if('WEEK 47'!F84&lt;4,MROUND('WEEK 47'!B84-('WEEK 47'!B84*20%),5),'WEEK 47'!B80)</f>
        <v>25</v>
      </c>
      <c r="C85" s="238">
        <v>10.0</v>
      </c>
      <c r="D85" s="238" t="s">
        <v>122</v>
      </c>
      <c r="E85" s="66" t="str">
        <f>IF('WEEK 47'!B85='WEEK 38'!B86,'WEEK 38'!F86,"")</f>
        <v/>
      </c>
      <c r="F85" s="67"/>
    </row>
    <row r="86">
      <c r="A86" s="249">
        <v>5.0</v>
      </c>
      <c r="B86" s="175">
        <f>IF((AND('WEEK 47'!B85&lt;='WEEK 47'!B84,'WEEK 47'!F85&gt;=4)),'WEEK 47'!B85,IF('WEEK 47'!F85&lt;4,MROUND('WEEK 47'!B85-('WEEK 47'!B85*20%),5),if( 'WEEK 47'!F85&lt;4,MROUND('WEEK 47'!B85-('WEEK 47'!B85*10%),5),MROUND('WEEK 47'!B85+('WEEK 47'!B85*10%),5))))</f>
        <v>20</v>
      </c>
      <c r="C86" s="238">
        <v>10.0</v>
      </c>
      <c r="D86" s="238" t="s">
        <v>122</v>
      </c>
      <c r="E86" s="66" t="str">
        <f>IF('WEEK 47'!B86='WEEK 38'!B87,'WEEK 38'!F87,"")</f>
        <v/>
      </c>
      <c r="F86" s="1037"/>
    </row>
    <row r="87">
      <c r="A87" s="249">
        <f>if('WEEK 47'!F85&lt;4,6,6)</f>
        <v>6</v>
      </c>
      <c r="B87" s="175">
        <f>IF((AND('WEEK 47'!B86&lt;='WEEK 47'!B85,'WEEK 47'!F86&gt;=4)),'WEEK 47'!B86,IF('WEEK 47'!F86&lt;4,MROUND('WEEK 47'!B86-('WEEK 47'!B86*20%),5),if( 'WEEK 47'!F86&lt;4,MROUND('WEEK 47'!B86-('WEEK 47'!B86*10%),5),MROUND('WEEK 47'!B86+('WEEK 47'!B86*10%),5))))</f>
        <v>15</v>
      </c>
      <c r="C87" s="238">
        <v>10.0</v>
      </c>
      <c r="D87" s="238" t="s">
        <v>122</v>
      </c>
      <c r="E87" s="66" t="str">
        <f>IF('WEEK 47'!B87='WEEK 38'!B88,'WEEK 38'!F88,"")</f>
        <v/>
      </c>
      <c r="F87" s="67"/>
    </row>
    <row r="88">
      <c r="A88" s="1038">
        <f>IF('WEEK 47'!F87&lt;4,7,"7")</f>
        <v>7</v>
      </c>
      <c r="B88" s="175">
        <f>IF((AND('WEEK 47'!B87&lt;='WEEK 47'!B86,'WEEK 47'!F87&gt;=4)),'WEEK 47'!B87,IF('WEEK 47'!F87&lt;4,MROUND('WEEK 47'!B87-('WEEK 47'!B87*20%),5),if( 'WEEK 47'!F87&lt;4,MROUND('WEEK 47'!B87-('WEEK 47'!B87*10%),5),MROUND('WEEK 47'!B87+('WEEK 47'!B87*10%),5))))</f>
        <v>10</v>
      </c>
      <c r="C88" s="238">
        <v>10.0</v>
      </c>
      <c r="D88" s="238" t="s">
        <v>122</v>
      </c>
      <c r="E88" s="66" t="str">
        <f>IF('WEEK 47'!B88='WEEK 38'!B89,'WEEK 38'!F89,"")</f>
        <v/>
      </c>
      <c r="F88" s="67"/>
    </row>
    <row r="89">
      <c r="A89" s="249">
        <f>IF('WEEK 47'!F88&lt;4,8,"8")</f>
        <v>8</v>
      </c>
      <c r="B89" s="175">
        <f>IF((AND('WEEK 47'!B88&lt;='WEEK 47'!B87,'WEEK 47'!F88&gt;=4)),'WEEK 47'!B88,IF('WEEK 47'!F88&lt;4,MROUND('WEEK 47'!B88-('WEEK 47'!B88*20%),5),if( 'WEEK 47'!F88&lt;4,MROUND('WEEK 47'!B88-('WEEK 47'!B88*10%),5),MROUND('WEEK 47'!B88+('WEEK 47'!B88*10%),5))))</f>
        <v>10</v>
      </c>
      <c r="C89" s="238">
        <v>10.0</v>
      </c>
      <c r="D89" s="238" t="s">
        <v>122</v>
      </c>
      <c r="E89" s="66" t="str">
        <f>IF('WEEK 47'!B89='WEEK 38'!B90,'WEEK 38'!F90,"")</f>
        <v/>
      </c>
      <c r="F89" s="67"/>
    </row>
    <row r="90">
      <c r="A90" s="1038">
        <f>IF('WEEK 47'!F89&lt;4,9,"9")</f>
        <v>9</v>
      </c>
      <c r="B90" s="175">
        <f>IF((AND('WEEK 47'!B89&lt;='WEEK 47'!B88,'WEEK 47'!F89&gt;=4)),'WEEK 47'!B89,IF('WEEK 47'!F89&lt;4,MROUND('WEEK 47'!B89-('WEEK 47'!B89*20%),5),if( 'WEEK 47'!F89&lt;4,MROUND('WEEK 47'!B89-('WEEK 47'!B89*10%),5),MROUND('WEEK 47'!B89+('WEEK 47'!B89*10%),5))))</f>
        <v>10</v>
      </c>
      <c r="C90" s="238">
        <v>10.0</v>
      </c>
      <c r="D90" s="238" t="s">
        <v>122</v>
      </c>
      <c r="E90" s="66" t="str">
        <f>IF('WEEK 47'!B90='WEEK 38'!B91,'WEEK 38'!F91,"")</f>
        <v/>
      </c>
      <c r="F90" s="67"/>
    </row>
    <row r="91">
      <c r="A91" s="1038" t="str">
        <f>IF('WEEK 47'!F90&lt;4,"10","10")</f>
        <v>10</v>
      </c>
      <c r="B91" s="175">
        <f>IF((AND('WEEK 47'!B90&lt;='WEEK 47'!B89,'WEEK 47'!F90&gt;=4)),'WEEK 47'!B90,IF('WEEK 47'!F90&lt;4,MROUND('WEEK 47'!B90-('WEEK 47'!B90*20%),5),if( 'WEEK 47'!F90&lt;4,MROUND('WEEK 47'!B90-('WEEK 47'!B90*10%),5),MROUND('WEEK 47'!B90+('WEEK 47'!B90*10%),5))))</f>
        <v>10</v>
      </c>
      <c r="C91" s="238">
        <v>10.0</v>
      </c>
      <c r="D91" s="238" t="s">
        <v>122</v>
      </c>
      <c r="E91" s="66" t="str">
        <f>IF('WEEK 47'!B91='WEEK 38'!B92,'WEEK 38'!F92,"")</f>
        <v/>
      </c>
      <c r="F91" s="67"/>
    </row>
    <row r="92">
      <c r="A92" s="272" t="s">
        <v>216</v>
      </c>
      <c r="B92" s="1109">
        <f>IF(OR(ISBLANK('WEEK 47'!F82),ISBLANK('WEEK 47'!F83)),'WEEK 47'!B80,IF((AND('WEEK 47'!F91&gt;=4,'WEEK 47'!B91&gt;'WEEK 47'!B90)),'WEEK 47'!B91,IF((AND('WEEK 47'!F90&gt;=4,'WEEK 47'!B90&gt;'WEEK 47'!B89)),'WEEK 47'!B90,IF((AND('WEEK 47'!F89&gt;=4,'WEEK 47'!B89&gt;'WEEK 47'!B88)),'WEEK 47'!B89,IF((AND('WEEK 47'!F88&gt;=4,'WEEK 47'!B88&gt;'WEEK 47'!B87)),'WEEK 47'!B88,IF((AND('WEEK 47'!F87&gt;=4,'WEEK 47'!B87&gt;'WEEK 47'!B86)),'WEEK 47'!B87,IF((AND('WEEK 47'!F86&gt;=4,'WEEK 47'!B86&gt;'WEEK 47'!B85)),'WEEK 47'!B86,IF((AND('WEEK 47'!F85&gt;=4,'WEEK 47'!B85&gt;'WEEK 47'!B84)),'WEEK 47'!B85,IF((AND('WEEK 47'!F84&gt;=4,'WEEK 47'!B84&gt;'WEEK 47'!B83)),'WEEK 47'!B84,IF((AND('WEEK 47'!F83&gt;=4,'WEEK 47'!B83&gt;'WEEK 47'!B82)),'WEEK 47'!B83))))))))))</f>
        <v>35</v>
      </c>
      <c r="C92" s="11"/>
      <c r="D92" s="11"/>
      <c r="E92" s="11"/>
      <c r="F92" s="46"/>
    </row>
    <row r="95">
      <c r="A95" s="1285" t="str">
        <f>HYPERLINK("https://www.youtube.com/watch?v=NZ9KiFtbiMs","2. LEG EXTENSION")</f>
        <v>2. LEG EXTENSION</v>
      </c>
      <c r="B95" s="53"/>
      <c r="C95" s="53"/>
      <c r="D95" s="53"/>
      <c r="E95" s="53"/>
      <c r="F95" s="54"/>
    </row>
    <row r="96">
      <c r="A96" s="1045" t="s">
        <v>119</v>
      </c>
      <c r="B96" s="1367">
        <f>IF('WEEK 46'!B81='WEEK 46'!B83,'WEEK 46'!B81+5,IF('WEEK 46'!F81&lt;=9,MROUND('WEEK 46'!B79*0.95,5),'WEEK 46'!B81))</f>
        <v>50</v>
      </c>
      <c r="C96" s="20"/>
      <c r="D96" s="20"/>
      <c r="E96" s="20"/>
      <c r="F96" s="95"/>
    </row>
    <row r="97">
      <c r="A97" s="567" t="s">
        <v>50</v>
      </c>
      <c r="B97" s="568" t="s">
        <v>51</v>
      </c>
      <c r="C97" s="568" t="s">
        <v>52</v>
      </c>
      <c r="D97" s="568" t="s">
        <v>53</v>
      </c>
      <c r="E97" s="1047" t="s">
        <v>54</v>
      </c>
      <c r="F97" s="1048" t="s">
        <v>55</v>
      </c>
    </row>
    <row r="98">
      <c r="A98" s="1049">
        <v>1.0</v>
      </c>
      <c r="B98" s="1050">
        <f>'WEEK 47'!B96</f>
        <v>50</v>
      </c>
      <c r="C98" s="1051" t="s">
        <v>61</v>
      </c>
      <c r="D98" s="1430" t="s">
        <v>121</v>
      </c>
      <c r="E98" s="1130" t="str">
        <f>IF('WEEK 46'!B81='WEEK 47'!B98,'WEEK 46'!F81,"")</f>
        <v/>
      </c>
      <c r="F98" s="1017"/>
    </row>
    <row r="99">
      <c r="A99" s="1049">
        <v>2.0</v>
      </c>
      <c r="B99" s="1050">
        <f>if('WEEK 47'!F98&lt;12,mround('WEEK 47'!B98*0.8,5),IF('WEEK 47'!F98&lt;=14,MROUND('WEEK 47'!B98*0.95,5),'WEEK 47'!B98))</f>
        <v>40</v>
      </c>
      <c r="C99" s="1051" t="s">
        <v>61</v>
      </c>
      <c r="D99" s="1430" t="s">
        <v>121</v>
      </c>
      <c r="E99" s="1130" t="str">
        <f>IF('WEEK 46'!B82='WEEK 47'!B99,'WEEK 46'!F82,"")</f>
        <v/>
      </c>
      <c r="F99" s="1017"/>
    </row>
    <row r="100">
      <c r="A100" s="1053">
        <v>3.0</v>
      </c>
      <c r="B100" s="1054">
        <f>if('WEEK 47'!F99&lt;12,mround('WEEK 47'!B99*0.8,5),IF('WEEK 47'!F99&lt;=14,MROUND('WEEK 47'!B99*0.95,5),'WEEK 47'!B99))</f>
        <v>30</v>
      </c>
      <c r="C100" s="1055" t="s">
        <v>61</v>
      </c>
      <c r="D100" s="1453" t="s">
        <v>121</v>
      </c>
      <c r="E100" s="1348" t="str">
        <f>IF('WEEK 46'!B83='WEEK 47'!B100,'WEEK 46'!F83,"")</f>
        <v/>
      </c>
      <c r="F100" s="1017"/>
    </row>
    <row r="103">
      <c r="A103" s="323" t="str">
        <f>HYPERLINK("https://www.youtube.com/watch?v=XepOfsnGFJg","3. MACHINE LEG CURL")</f>
        <v>3. MACHINE LEG CURL</v>
      </c>
      <c r="B103" s="53"/>
      <c r="C103" s="53"/>
      <c r="D103" s="53"/>
      <c r="E103" s="53"/>
      <c r="F103" s="54"/>
      <c r="G103" s="141"/>
      <c r="H103" s="323" t="str">
        <f>HYPERLINK("https://youtu.be/kmN9cJ79PDE","3. PRONE LEG CURL")</f>
        <v>3. PRONE LEG CURL</v>
      </c>
      <c r="I103" s="53"/>
      <c r="J103" s="53"/>
      <c r="K103" s="53"/>
      <c r="L103" s="53"/>
      <c r="M103" s="54"/>
    </row>
    <row r="104">
      <c r="A104" s="1045" t="s">
        <v>119</v>
      </c>
      <c r="B104" s="1367">
        <f>IF('WEEK 46'!B89='WEEK 46'!B91,'WEEK 46'!B89+5,IF('WEEK 46'!F89&lt;=9,MROUND('WEEK 46'!B87*0.95,5),'WEEK 46'!B89))</f>
        <v>15</v>
      </c>
      <c r="C104" s="20"/>
      <c r="D104" s="20"/>
      <c r="E104" s="20"/>
      <c r="F104" s="95"/>
      <c r="H104" s="1045" t="s">
        <v>119</v>
      </c>
      <c r="I104" s="1046">
        <f>'WEEK 47'!B104</f>
        <v>15</v>
      </c>
      <c r="J104" s="13"/>
      <c r="K104" s="13"/>
      <c r="L104" s="13"/>
      <c r="M104" s="57"/>
    </row>
    <row r="105">
      <c r="A105" s="567" t="s">
        <v>50</v>
      </c>
      <c r="B105" s="568" t="s">
        <v>51</v>
      </c>
      <c r="C105" s="568" t="s">
        <v>52</v>
      </c>
      <c r="D105" s="568" t="s">
        <v>53</v>
      </c>
      <c r="E105" s="1047" t="s">
        <v>54</v>
      </c>
      <c r="F105" s="1048" t="s">
        <v>55</v>
      </c>
      <c r="H105" s="567" t="s">
        <v>50</v>
      </c>
      <c r="I105" s="568" t="s">
        <v>51</v>
      </c>
      <c r="J105" s="568" t="s">
        <v>52</v>
      </c>
      <c r="K105" s="568" t="s">
        <v>53</v>
      </c>
      <c r="L105" s="1047" t="s">
        <v>54</v>
      </c>
      <c r="M105" s="1048" t="s">
        <v>55</v>
      </c>
    </row>
    <row r="106">
      <c r="A106" s="1049">
        <v>1.0</v>
      </c>
      <c r="B106" s="1050">
        <f>'WEEK 47'!B104</f>
        <v>15</v>
      </c>
      <c r="C106" s="1051" t="s">
        <v>61</v>
      </c>
      <c r="D106" s="1430" t="s">
        <v>121</v>
      </c>
      <c r="E106" s="1130" t="str">
        <f>IF('WEEK 46'!B89='WEEK 47'!B106,'WEEK 46'!F89,"")</f>
        <v/>
      </c>
      <c r="F106" s="1017"/>
      <c r="G106" s="434" t="s">
        <v>123</v>
      </c>
      <c r="H106" s="1049">
        <v>1.0</v>
      </c>
      <c r="I106" s="1050">
        <f>'WEEK 47'!I104</f>
        <v>15</v>
      </c>
      <c r="J106" s="1051" t="s">
        <v>61</v>
      </c>
      <c r="K106" s="1430" t="s">
        <v>121</v>
      </c>
      <c r="L106" s="1130" t="str">
        <f>IF('WEEK 46'!I89='WEEK 47'!I106,'WEEK 46'!M89,"")</f>
        <v/>
      </c>
      <c r="M106" s="1017"/>
    </row>
    <row r="107">
      <c r="A107" s="1049">
        <v>2.0</v>
      </c>
      <c r="B107" s="1050">
        <f>if('WEEK 47'!F106&lt;12,mround('WEEK 47'!B106*0.8,5),IF('WEEK 47'!F106&lt;=14,MROUND('WEEK 47'!B106*0.95,5),'WEEK 47'!B106))</f>
        <v>10</v>
      </c>
      <c r="C107" s="1051" t="s">
        <v>61</v>
      </c>
      <c r="D107" s="1430" t="s">
        <v>121</v>
      </c>
      <c r="E107" s="1130" t="str">
        <f>IF('WEEK 46'!B90='WEEK 47'!B107,'WEEK 46'!F90,"")</f>
        <v/>
      </c>
      <c r="F107" s="1017"/>
      <c r="H107" s="1049">
        <v>2.0</v>
      </c>
      <c r="I107" s="1050">
        <f>if('WEEK 47'!M106&lt;12,mround('WEEK 47'!I106*0.8,5),IF('WEEK 47'!M106&lt;=14,MROUND('WEEK 47'!I106*0.95,5),'WEEK 47'!I106))</f>
        <v>10</v>
      </c>
      <c r="J107" s="1051" t="s">
        <v>61</v>
      </c>
      <c r="K107" s="1430" t="s">
        <v>121</v>
      </c>
      <c r="L107" s="1130" t="str">
        <f>IF('WEEK 46'!I90='WEEK 47'!I107,'WEEK 46'!M90,"")</f>
        <v/>
      </c>
      <c r="M107" s="1017"/>
    </row>
    <row r="108">
      <c r="A108" s="1053">
        <v>3.0</v>
      </c>
      <c r="B108" s="1054">
        <f>if('WEEK 47'!F107&lt;12,mround('WEEK 47'!B107*0.8,5),IF('WEEK 47'!F107&lt;=14,MROUND('WEEK 47'!B107*0.95,5),'WEEK 47'!B107))</f>
        <v>10</v>
      </c>
      <c r="C108" s="1055" t="s">
        <v>61</v>
      </c>
      <c r="D108" s="1453" t="s">
        <v>121</v>
      </c>
      <c r="E108" s="1348" t="str">
        <f>IF('WEEK 46'!B91='WEEK 47'!B108,'WEEK 46'!F91,"")</f>
        <v/>
      </c>
      <c r="F108" s="1017"/>
      <c r="G108" s="682"/>
      <c r="H108" s="1053">
        <v>3.0</v>
      </c>
      <c r="I108" s="1054">
        <f>if('WEEK 47'!M107&lt;12,mround('WEEK 47'!I107*0.8,5),IF('WEEK 47'!M107&lt;=14,MROUND('WEEK 47'!I107*0.95,5),'WEEK 47'!I107))</f>
        <v>10</v>
      </c>
      <c r="J108" s="1055" t="s">
        <v>61</v>
      </c>
      <c r="K108" s="1453" t="s">
        <v>121</v>
      </c>
      <c r="L108" s="1348" t="str">
        <f>IF('WEEK 46'!I91='WEEK 47'!I108,'WEEK 46'!M91,"")</f>
        <v/>
      </c>
      <c r="M108" s="1017"/>
    </row>
    <row r="109">
      <c r="A109" s="849"/>
      <c r="B109" s="849"/>
      <c r="C109" s="849"/>
      <c r="D109" s="849"/>
      <c r="E109" s="849"/>
      <c r="F109" s="849"/>
      <c r="H109" s="849"/>
      <c r="I109" s="850"/>
      <c r="J109" s="850"/>
      <c r="K109" s="850"/>
      <c r="L109" s="850"/>
      <c r="M109" s="850"/>
    </row>
    <row r="111">
      <c r="A111" s="1120" t="s">
        <v>62</v>
      </c>
      <c r="B111" s="36"/>
      <c r="C111" s="36"/>
      <c r="D111" s="36"/>
      <c r="E111" s="36"/>
      <c r="F111" s="37"/>
    </row>
    <row r="114">
      <c r="A114" s="960" t="str">
        <f>HYPERLINK("https://youtu.be/ZhZ733bUA9Q","1. SHOULDER CLEANS")</f>
        <v>1. SHOULDER CLEANS</v>
      </c>
      <c r="B114" s="53"/>
      <c r="C114" s="53"/>
      <c r="D114" s="53"/>
      <c r="E114" s="53"/>
      <c r="F114" s="54"/>
    </row>
    <row r="115">
      <c r="A115" s="961" t="s">
        <v>119</v>
      </c>
      <c r="B115" s="76">
        <f>IF('WEEK 44'!B104='WEEK 44'!B106,'WEEK 44'!B104+5,IF('WEEK 44'!F104&lt;=15,MROUND('WEEK 44'!B102*0.85,5),'WEEK 44'!B104))</f>
        <v>30</v>
      </c>
      <c r="C115" s="13"/>
      <c r="D115" s="13"/>
      <c r="E115" s="13"/>
      <c r="F115" s="57"/>
    </row>
    <row r="116">
      <c r="A116" s="962" t="s">
        <v>50</v>
      </c>
      <c r="B116" s="963" t="s">
        <v>51</v>
      </c>
      <c r="C116" s="963" t="s">
        <v>52</v>
      </c>
      <c r="D116" s="981" t="s">
        <v>53</v>
      </c>
      <c r="E116" s="1312" t="s">
        <v>54</v>
      </c>
      <c r="F116" s="1404" t="s">
        <v>55</v>
      </c>
    </row>
    <row r="117">
      <c r="A117" s="967">
        <v>1.0</v>
      </c>
      <c r="B117" s="968">
        <f>MROUND('WEEK 47'!B115,2.5)</f>
        <v>30</v>
      </c>
      <c r="C117" s="968">
        <v>20.0</v>
      </c>
      <c r="D117" s="969" t="s">
        <v>57</v>
      </c>
      <c r="E117" s="1130" t="str">
        <f>IF('WEEK 44'!B104='WEEK 47'!B117,'WEEK 44'!F104,"")</f>
        <v/>
      </c>
      <c r="F117" s="455"/>
    </row>
    <row r="118">
      <c r="A118" s="967">
        <v>2.0</v>
      </c>
      <c r="B118" s="968">
        <f>if('WEEK 47'!F117&lt;20,mround('WEEK 47'!B117*0.75,5),'WEEK 47'!B117)</f>
        <v>25</v>
      </c>
      <c r="C118" s="968">
        <v>20.0</v>
      </c>
      <c r="D118" s="969" t="s">
        <v>57</v>
      </c>
      <c r="E118" s="1130">
        <f>IF('WEEK 44'!B105='WEEK 47'!B118,'WEEK 44'!F105,"")</f>
        <v>20</v>
      </c>
      <c r="F118" s="1495"/>
    </row>
    <row r="119">
      <c r="A119" s="971">
        <v>3.0</v>
      </c>
      <c r="B119" s="972">
        <f>if('WEEK 47'!F118&lt;20,mround('WEEK 47'!B118*0.6,5),'WEEK 47'!B118)</f>
        <v>15</v>
      </c>
      <c r="C119" s="972">
        <v>20.0</v>
      </c>
      <c r="D119" s="973" t="s">
        <v>57</v>
      </c>
      <c r="E119" s="1348" t="str">
        <f>IF('WEEK 44'!B106='WEEK 47'!B119,'WEEK 44'!F106,"")</f>
        <v/>
      </c>
      <c r="F119" s="1495"/>
    </row>
    <row r="121">
      <c r="A121" s="361" t="str">
        <f>HYPERLINK("https://www.youtube.com/watch?v=gxWVN6F_uxo","2.  CABLE HIGH PULLEY ROW")</f>
        <v>2.  CABLE HIGH PULLEY ROW</v>
      </c>
      <c r="B121" s="53"/>
      <c r="C121" s="53"/>
      <c r="D121" s="53"/>
      <c r="E121" s="53"/>
      <c r="F121" s="54"/>
    </row>
    <row r="122">
      <c r="A122" s="226" t="s">
        <v>134</v>
      </c>
      <c r="B122" s="90">
        <f>IF('WEEK 46'!I113="",'WEEK 46'!I101,'WEEK 46'!I113)</f>
        <v>10</v>
      </c>
      <c r="C122" s="13"/>
      <c r="D122" s="13"/>
      <c r="E122" s="13"/>
      <c r="F122" s="57"/>
    </row>
    <row r="123">
      <c r="A123" s="77" t="s">
        <v>50</v>
      </c>
      <c r="B123" s="78" t="s">
        <v>51</v>
      </c>
      <c r="C123" s="78" t="s">
        <v>52</v>
      </c>
      <c r="D123" s="78" t="s">
        <v>53</v>
      </c>
      <c r="E123" s="80" t="s">
        <v>54</v>
      </c>
      <c r="F123" s="235" t="s">
        <v>55</v>
      </c>
    </row>
    <row r="124">
      <c r="A124" s="81">
        <v>1.0</v>
      </c>
      <c r="B124" s="82">
        <f> mround('WEEK 47'!B122*2*0.7,5)</f>
        <v>15</v>
      </c>
      <c r="C124" s="65">
        <v>20.0</v>
      </c>
      <c r="D124" s="83" t="s">
        <v>58</v>
      </c>
      <c r="E124" s="84" t="str">
        <f>IF('WEEK 43'!B115='WEEK 47'!B124,'WEEK 43'!F115,"")</f>
        <v/>
      </c>
      <c r="F124" s="85"/>
    </row>
    <row r="125">
      <c r="A125" s="81">
        <v>2.0</v>
      </c>
      <c r="B125" s="82">
        <f>if('WEEK 47'!F124&lt;10,mround(B124*0.8,5),IF('WEEK 47'!F124&lt;=14,MROUND('WEEK 47'!B124*0.95,5),'WEEK 47'!B124))</f>
        <v>10</v>
      </c>
      <c r="C125" s="65">
        <v>20.0</v>
      </c>
      <c r="D125" s="83" t="s">
        <v>58</v>
      </c>
      <c r="E125" s="84" t="str">
        <f>IF('WEEK 43'!B116='WEEK 47'!B125,'WEEK 43'!F116,"")</f>
        <v/>
      </c>
      <c r="F125" s="85"/>
    </row>
    <row r="126">
      <c r="A126" s="86">
        <v>3.0</v>
      </c>
      <c r="B126" s="87">
        <f>if('WEEK 47'!F125&lt;8,mround('WEEK 47'!B125*0.8,5),IF('WEEK 47'!F125&lt;=14,MROUND('WEEK 47'!B125*0.95,5),'WEEK 47'!B125))</f>
        <v>10</v>
      </c>
      <c r="C126" s="71">
        <v>20.0</v>
      </c>
      <c r="D126" s="88" t="s">
        <v>58</v>
      </c>
      <c r="E126" s="89" t="str">
        <f>IF('WEEK 43'!B117='WEEK 47'!B126,'WEEK 43'!F117,"")</f>
        <v/>
      </c>
      <c r="F126" s="85"/>
    </row>
    <row r="128">
      <c r="A128" s="513" t="str">
        <f>HYPERLINK("https://youtu.be/QUNZvtb6mnY","3. DUMBBELL SIDE LATERAL RAISE")</f>
        <v>3. DUMBBELL SIDE LATERAL RAISE</v>
      </c>
      <c r="B128" s="53"/>
      <c r="C128" s="53"/>
      <c r="D128" s="53"/>
      <c r="E128" s="53"/>
      <c r="F128" s="54"/>
    </row>
    <row r="129">
      <c r="A129" s="226" t="s">
        <v>134</v>
      </c>
      <c r="B129" s="90">
        <f>IF('WEEK 46'!I113="",'WEEK 46'!I101,'WEEK 46'!I113)</f>
        <v>10</v>
      </c>
      <c r="C129" s="13"/>
      <c r="D129" s="13"/>
      <c r="E129" s="13"/>
      <c r="F129" s="57"/>
    </row>
    <row r="130">
      <c r="A130" s="376" t="s">
        <v>50</v>
      </c>
      <c r="B130" s="79" t="s">
        <v>51</v>
      </c>
      <c r="C130" s="79" t="s">
        <v>52</v>
      </c>
      <c r="D130" s="79" t="s">
        <v>53</v>
      </c>
      <c r="E130" s="98" t="s">
        <v>54</v>
      </c>
      <c r="F130" s="377" t="s">
        <v>55</v>
      </c>
    </row>
    <row r="131">
      <c r="A131" s="81">
        <v>1.0</v>
      </c>
      <c r="B131" s="82">
        <f>mround('WEEK 47'!B129*0.2,5)</f>
        <v>0</v>
      </c>
      <c r="C131" s="65">
        <v>20.0</v>
      </c>
      <c r="D131" s="83" t="s">
        <v>57</v>
      </c>
      <c r="E131" s="84" t="str">
        <f>IF('WEEK 46'!B127='WEEK 47'!B131,'WEEK 46'!F127,"")</f>
        <v/>
      </c>
      <c r="F131" s="796"/>
    </row>
    <row r="132">
      <c r="A132" s="81">
        <v>2.0</v>
      </c>
      <c r="B132" s="82">
        <f>if('WEEK 47'!F131&lt;12,mround('WEEK 47'!B129*0.15,2.5),'WEEK 47'!B131)</f>
        <v>2.5</v>
      </c>
      <c r="C132" s="65">
        <v>20.0</v>
      </c>
      <c r="D132" s="83" t="s">
        <v>57</v>
      </c>
      <c r="E132" s="84" t="str">
        <f>IF('WEEK 46'!B128='WEEK 47'!B132,'WEEK 46'!F128,"")</f>
        <v/>
      </c>
      <c r="F132" s="330"/>
    </row>
    <row r="133">
      <c r="A133" s="86">
        <v>3.0</v>
      </c>
      <c r="B133" s="87">
        <f>if('WEEK 47'!F132&lt;12,mround('WEEK 47'!B129*0.1,2.5),'WEEK 47'!B132)</f>
        <v>0</v>
      </c>
      <c r="C133" s="71">
        <v>20.0</v>
      </c>
      <c r="D133" s="88" t="s">
        <v>57</v>
      </c>
      <c r="E133" s="89" t="str">
        <f>IF('WEEK 46'!B129='WEEK 47'!B133,'WEEK 46'!F129,"")</f>
        <v/>
      </c>
      <c r="F133" s="85"/>
    </row>
    <row r="135">
      <c r="A135" s="73" t="str">
        <f>HYPERLINK("https://youtu.be/Yke__29qVfo","4. TRICEP PUSH DOWNS")</f>
        <v>4. TRICEP PUSH DOWNS</v>
      </c>
      <c r="B135" s="53"/>
      <c r="C135" s="53"/>
      <c r="D135" s="53"/>
      <c r="E135" s="53"/>
      <c r="F135" s="54"/>
      <c r="G135" s="697"/>
      <c r="H135" s="697"/>
      <c r="I135" s="697"/>
      <c r="J135" s="697"/>
      <c r="K135" s="697"/>
      <c r="L135" s="697"/>
      <c r="M135" s="697"/>
    </row>
    <row r="136">
      <c r="A136" s="226" t="s">
        <v>119</v>
      </c>
      <c r="B136" s="90">
        <f>IF('WEEK 44'!B128='WEEK 44'!B130,'WEEK 44'!B128+5,IF('WEEK 44'!F128&lt;=9,MROUND('WEEK 44'!B126*0.95,5),'WEEK 44'!B128))</f>
        <v>80</v>
      </c>
      <c r="C136" s="13"/>
      <c r="D136" s="13"/>
      <c r="E136" s="13"/>
      <c r="F136" s="57"/>
      <c r="G136" s="697"/>
      <c r="H136" s="697"/>
      <c r="I136" s="697"/>
      <c r="J136" s="697"/>
      <c r="K136" s="697"/>
      <c r="L136" s="697"/>
      <c r="M136" s="697"/>
    </row>
    <row r="137">
      <c r="A137" s="77" t="s">
        <v>50</v>
      </c>
      <c r="B137" s="78" t="s">
        <v>51</v>
      </c>
      <c r="C137" s="78" t="s">
        <v>52</v>
      </c>
      <c r="D137" s="78" t="s">
        <v>53</v>
      </c>
      <c r="E137" s="80" t="s">
        <v>54</v>
      </c>
      <c r="F137" s="235" t="s">
        <v>55</v>
      </c>
      <c r="G137" s="697"/>
      <c r="H137" s="697"/>
      <c r="I137" s="697"/>
      <c r="J137" s="697"/>
      <c r="K137" s="697"/>
      <c r="L137" s="697"/>
      <c r="M137" s="697"/>
    </row>
    <row r="138">
      <c r="A138" s="81">
        <v>1.0</v>
      </c>
      <c r="B138" s="82">
        <f>'WEEK 47'!B136</f>
        <v>80</v>
      </c>
      <c r="C138" s="65">
        <v>20.0</v>
      </c>
      <c r="D138" s="83" t="s">
        <v>58</v>
      </c>
      <c r="E138" s="84" t="str">
        <f>IF('WEEK 44'!B128='WEEK 47'!B138,'WEEK 44'!F128,"")</f>
        <v/>
      </c>
      <c r="F138" s="85"/>
      <c r="G138" s="697"/>
      <c r="H138" s="697"/>
      <c r="I138" s="697"/>
      <c r="J138" s="697"/>
      <c r="K138" s="697"/>
      <c r="L138" s="697"/>
      <c r="M138" s="697"/>
    </row>
    <row r="139">
      <c r="A139" s="81">
        <v>2.0</v>
      </c>
      <c r="B139" s="82">
        <f>if('WEEK 47'!F138&lt;10,mround('WEEK 47'!B138*0.8,5),IF('WEEK 47'!F138&lt;=14,MROUND('WEEK 47'!B136*0.95,5),'WEEK 47'!B138))</f>
        <v>65</v>
      </c>
      <c r="C139" s="65">
        <v>20.0</v>
      </c>
      <c r="D139" s="83" t="s">
        <v>58</v>
      </c>
      <c r="E139" s="84" t="str">
        <f>IF('WEEK 44'!B129='WEEK 47'!B139,'WEEK 44'!F129,"")</f>
        <v/>
      </c>
      <c r="F139" s="85"/>
      <c r="G139" s="697"/>
      <c r="H139" s="697"/>
      <c r="I139" s="697"/>
      <c r="J139" s="697"/>
      <c r="K139" s="697"/>
      <c r="L139" s="697"/>
      <c r="M139" s="697"/>
    </row>
    <row r="140">
      <c r="A140" s="86">
        <v>3.0</v>
      </c>
      <c r="B140" s="87">
        <f>if('WEEK 47'!F139&lt;10,mround('WEEK 47'!B139*0.8,5),IF('WEEK 47'!F139&lt;=14,MROUND('WEEK 47'!B139*0.95,5),'WEEK 47'!B139))</f>
        <v>50</v>
      </c>
      <c r="C140" s="71">
        <v>20.0</v>
      </c>
      <c r="D140" s="88" t="s">
        <v>58</v>
      </c>
      <c r="E140" s="89" t="str">
        <f>IF('WEEK 44'!B130='WEEK 47'!B140,'WEEK 44'!F130,"")</f>
        <v/>
      </c>
      <c r="F140" s="85"/>
      <c r="G140" s="697"/>
      <c r="H140" s="697"/>
      <c r="I140" s="697"/>
      <c r="J140" s="697"/>
      <c r="K140" s="697"/>
      <c r="L140" s="697"/>
      <c r="M140" s="697"/>
    </row>
    <row r="141">
      <c r="G141" s="697"/>
      <c r="H141" s="697"/>
      <c r="I141" s="697"/>
      <c r="J141" s="697"/>
      <c r="K141" s="697"/>
      <c r="L141" s="697"/>
      <c r="M141" s="697"/>
    </row>
    <row r="142">
      <c r="G142" s="697"/>
      <c r="H142" s="697"/>
      <c r="I142" s="697"/>
      <c r="J142" s="697"/>
      <c r="K142" s="697"/>
      <c r="L142" s="697"/>
      <c r="M142" s="697"/>
    </row>
    <row r="143">
      <c r="A143" s="75" t="str">
        <f>HYPERLINK("https://www.youtube.com/watch?v=9IqvmIhFxtY","5. BICEP CABLE CURL")</f>
        <v>5. BICEP CABLE CURL</v>
      </c>
      <c r="B143" s="53"/>
      <c r="C143" s="53"/>
      <c r="D143" s="53"/>
      <c r="E143" s="53"/>
      <c r="F143" s="54"/>
      <c r="G143" s="698"/>
      <c r="H143" s="75" t="s">
        <v>178</v>
      </c>
      <c r="I143" s="53"/>
      <c r="J143" s="53"/>
      <c r="K143" s="53"/>
      <c r="L143" s="53"/>
      <c r="M143" s="54"/>
    </row>
    <row r="144">
      <c r="A144" s="226" t="s">
        <v>119</v>
      </c>
      <c r="B144" s="76">
        <f>IF('WEEK 45'!B154='WEEK 45'!B156,'WEEK 45'!B154,IF('WEEK 45'!F154&lt;=15,MROUND('WEEK 45'!B152*0.95,5),'WEEK 45'!B154))</f>
        <v>50</v>
      </c>
      <c r="C144" s="13"/>
      <c r="D144" s="13"/>
      <c r="E144" s="13"/>
      <c r="F144" s="57"/>
      <c r="G144" s="985"/>
      <c r="H144" s="226" t="s">
        <v>119</v>
      </c>
      <c r="I144" s="76">
        <f>IF('WEEK 45'!I154='WEEK 45'!I156,'WEEK 45'!I154,IF('WEEK 45'!M154&lt;=15,MROUND('WEEK 45'!I152*0.95,5),'WEEK 45'!I154))</f>
        <v>15</v>
      </c>
      <c r="J144" s="13"/>
      <c r="K144" s="13"/>
      <c r="L144" s="13"/>
      <c r="M144" s="57"/>
    </row>
    <row r="145">
      <c r="A145" s="77" t="s">
        <v>50</v>
      </c>
      <c r="B145" s="78" t="s">
        <v>51</v>
      </c>
      <c r="C145" s="78" t="s">
        <v>52</v>
      </c>
      <c r="D145" s="78" t="s">
        <v>53</v>
      </c>
      <c r="E145" s="80" t="s">
        <v>54</v>
      </c>
      <c r="F145" s="235" t="s">
        <v>55</v>
      </c>
      <c r="G145" s="985"/>
      <c r="H145" s="77" t="s">
        <v>50</v>
      </c>
      <c r="I145" s="78" t="s">
        <v>51</v>
      </c>
      <c r="J145" s="78" t="s">
        <v>52</v>
      </c>
      <c r="K145" s="78" t="s">
        <v>53</v>
      </c>
      <c r="L145" s="80" t="s">
        <v>54</v>
      </c>
      <c r="M145" s="235" t="s">
        <v>55</v>
      </c>
    </row>
    <row r="146">
      <c r="A146" s="81">
        <v>1.0</v>
      </c>
      <c r="B146" s="82">
        <f>MROUND('WEEK 47'!B144,5)</f>
        <v>50</v>
      </c>
      <c r="C146" s="65">
        <v>20.0</v>
      </c>
      <c r="D146" s="83" t="s">
        <v>58</v>
      </c>
      <c r="E146" s="84" t="str">
        <f>IF('WEEK 45'!B154='WEEK 47'!B146,'WEEK 45'!F154,"")</f>
        <v/>
      </c>
      <c r="F146" s="85"/>
      <c r="G146" s="985"/>
      <c r="H146" s="81">
        <v>1.0</v>
      </c>
      <c r="I146" s="82">
        <f>MROUND('WEEK 47'!I144,5)</f>
        <v>15</v>
      </c>
      <c r="J146" s="65">
        <v>20.0</v>
      </c>
      <c r="K146" s="83" t="s">
        <v>58</v>
      </c>
      <c r="L146" s="84" t="str">
        <f>IF('WEEK 45'!I154='WEEK 47'!I146,'WEEK 45'!M154,"")</f>
        <v/>
      </c>
      <c r="M146" s="85"/>
    </row>
    <row r="147">
      <c r="A147" s="81">
        <v>2.0</v>
      </c>
      <c r="B147" s="82">
        <f>if('WEEK 47'!F146&lt;15,mround('WEEK 47'!B146*0.8,5),IF('WEEK 47'!F146&lt;=18,MROUND('WEEK 47'!B144*0.95,5),'WEEK 47'!B146))</f>
        <v>40</v>
      </c>
      <c r="C147" s="65">
        <v>20.0</v>
      </c>
      <c r="D147" s="83" t="s">
        <v>58</v>
      </c>
      <c r="E147" s="84" t="str">
        <f>IF('WEEK 45'!B155='WEEK 47'!B147,'WEEK 45'!F155,"")</f>
        <v/>
      </c>
      <c r="F147" s="85"/>
      <c r="G147" s="985"/>
      <c r="H147" s="81">
        <v>2.0</v>
      </c>
      <c r="I147" s="82">
        <f>if('WEEK 47'!M146&lt;15,mround('WEEK 47'!I146*0.8,5),IF('WEEK 47'!M146&lt;=18,MROUND('WEEK 47'!I144*0.95,5),'WEEK 47'!I146))</f>
        <v>10</v>
      </c>
      <c r="J147" s="65">
        <v>20.0</v>
      </c>
      <c r="K147" s="83" t="s">
        <v>58</v>
      </c>
      <c r="L147" s="84" t="str">
        <f>IF('WEEK 45'!I155='WEEK 47'!I147,'WEEK 45'!M155,"")</f>
        <v/>
      </c>
      <c r="M147" s="85"/>
    </row>
    <row r="148">
      <c r="A148" s="86">
        <v>3.0</v>
      </c>
      <c r="B148" s="87">
        <f>if('WEEK 47'!F147&lt;15,mround('WEEK 47'!B147*0.8,5),IF('WEEK 47'!F147&lt;=18,MROUND('WEEK 47'!B145*0.95,5),'WEEK 47'!B147))</f>
        <v>30</v>
      </c>
      <c r="C148" s="71">
        <v>20.0</v>
      </c>
      <c r="D148" s="88" t="s">
        <v>58</v>
      </c>
      <c r="E148" s="89" t="str">
        <f>IF('WEEK 45'!B156='WEEK 47'!B148,'WEEK 45'!F156,"")</f>
        <v/>
      </c>
      <c r="F148" s="85"/>
      <c r="G148" s="985"/>
      <c r="H148" s="86">
        <v>3.0</v>
      </c>
      <c r="I148" s="87">
        <f>if('WEEK 47'!M147&lt;15,mround('WEEK 47'!I147*0.8,5),IF('WEEK 47'!M147&lt;=18,MROUND('WEEK 47'!I145*0.95,5),'WEEK 47'!I147))</f>
        <v>10</v>
      </c>
      <c r="J148" s="71">
        <v>20.0</v>
      </c>
      <c r="K148" s="88" t="s">
        <v>58</v>
      </c>
      <c r="L148" s="89" t="str">
        <f>IF('WEEK 45'!I156='WEEK 47'!I148,'WEEK 45'!M156,"")</f>
        <v/>
      </c>
      <c r="M148" s="85"/>
    </row>
    <row r="151">
      <c r="A151" s="310" t="str">
        <f>HYPERLINK("https://docs.google.com/a/fitnessresults.com/forms/d/e/1FAIpQLSd7MoczESe8Yjv6BKpmwAZGn9Aiymrs9-UdgfYIUpbr9t5NXg/viewform?usp=pp_url&amp;entry.93370101","CLICK TO COMPLETE WORKOUT")</f>
        <v>CLICK TO COMPLETE WORKOUT</v>
      </c>
      <c r="B151" s="36"/>
      <c r="C151" s="36"/>
      <c r="D151" s="36"/>
      <c r="E151" s="36"/>
      <c r="F151" s="37"/>
    </row>
    <row r="152">
      <c r="A152" s="598"/>
      <c r="B152" s="598"/>
      <c r="C152" s="598"/>
      <c r="D152" s="598"/>
      <c r="E152" s="598"/>
      <c r="F152" s="598"/>
    </row>
    <row r="153">
      <c r="A153" s="639" t="s">
        <v>135</v>
      </c>
      <c r="B153" s="36"/>
      <c r="C153" s="36"/>
      <c r="D153" s="36"/>
      <c r="E153" s="36"/>
      <c r="F153" s="37"/>
    </row>
    <row r="154">
      <c r="A154" s="883"/>
    </row>
    <row r="155">
      <c r="A155" s="884" t="str">
        <f>HYPERLINK("https://www.amazon.com/30-Minute-Body-Investment-Champion/dp/0692791892/ref=sr_1_1?ie=UTF8&amp;qid=1490447969&amp;sr=8-1&amp;keywords=30+minute+body","WANT TO LEARN MORE?")</f>
        <v>WANT TO LEARN MORE?</v>
      </c>
      <c r="B155" s="16"/>
      <c r="C155" s="16"/>
      <c r="D155" s="16"/>
      <c r="E155" s="16"/>
      <c r="F155" s="17"/>
    </row>
    <row r="156">
      <c r="A156" s="18"/>
      <c r="B156" s="13"/>
      <c r="C156" s="13"/>
      <c r="D156" s="13"/>
      <c r="E156" s="13"/>
      <c r="F156" s="14"/>
    </row>
    <row r="157">
      <c r="A157" s="885"/>
      <c r="B157" s="886"/>
      <c r="C157" s="644" t="s">
        <v>67</v>
      </c>
      <c r="D157" s="25"/>
      <c r="E157" s="25"/>
      <c r="F157" s="26"/>
    </row>
    <row r="158">
      <c r="A158" s="887"/>
      <c r="B158" s="888"/>
      <c r="C158" s="529"/>
      <c r="F158" s="28"/>
    </row>
    <row r="159">
      <c r="A159" s="887"/>
      <c r="B159" s="888"/>
      <c r="C159" s="529"/>
      <c r="F159" s="28"/>
    </row>
    <row r="160">
      <c r="A160" s="887"/>
      <c r="B160" s="888"/>
      <c r="C160" s="529"/>
      <c r="F160" s="28"/>
    </row>
    <row r="161">
      <c r="A161" s="887"/>
      <c r="B161" s="888"/>
      <c r="C161" s="529"/>
      <c r="F161" s="28"/>
    </row>
    <row r="162">
      <c r="A162" s="887"/>
      <c r="B162" s="888"/>
      <c r="C162" s="529"/>
      <c r="F162" s="28"/>
    </row>
    <row r="163">
      <c r="A163" s="889"/>
      <c r="B163" s="888"/>
      <c r="C163" s="529"/>
      <c r="F163" s="28"/>
    </row>
    <row r="164">
      <c r="A164" s="887"/>
      <c r="B164" s="888"/>
      <c r="C164" s="529"/>
      <c r="F164" s="28"/>
    </row>
    <row r="165">
      <c r="A165" s="887"/>
      <c r="B165" s="888"/>
      <c r="C165" s="529"/>
      <c r="F165" s="28"/>
    </row>
    <row r="166">
      <c r="A166" s="890"/>
      <c r="B166" s="888"/>
      <c r="C166" s="529"/>
      <c r="F166" s="28"/>
    </row>
    <row r="167">
      <c r="A167" s="887"/>
      <c r="B167" s="888"/>
      <c r="C167" s="529"/>
      <c r="F167" s="28"/>
    </row>
    <row r="168">
      <c r="A168" s="887"/>
      <c r="B168" s="888"/>
      <c r="C168" s="529"/>
      <c r="F168" s="28"/>
    </row>
    <row r="169">
      <c r="A169" s="887"/>
      <c r="B169" s="888"/>
      <c r="C169" s="529"/>
      <c r="F169" s="28"/>
    </row>
    <row r="170">
      <c r="A170" s="887"/>
      <c r="B170" s="888"/>
      <c r="C170" s="529"/>
      <c r="F170" s="28"/>
    </row>
    <row r="171">
      <c r="A171" s="891"/>
      <c r="B171" s="892"/>
      <c r="C171" s="336"/>
      <c r="D171" s="11"/>
      <c r="E171" s="11"/>
      <c r="F171" s="46"/>
    </row>
  </sheetData>
  <mergeCells count="76">
    <mergeCell ref="A95:F95"/>
    <mergeCell ref="B96:F96"/>
    <mergeCell ref="A103:F103"/>
    <mergeCell ref="G103:G105"/>
    <mergeCell ref="H103:M103"/>
    <mergeCell ref="B104:F104"/>
    <mergeCell ref="I104:M104"/>
    <mergeCell ref="G106:G107"/>
    <mergeCell ref="G108:G109"/>
    <mergeCell ref="A111:F111"/>
    <mergeCell ref="A114:F114"/>
    <mergeCell ref="B115:F115"/>
    <mergeCell ref="A121:F121"/>
    <mergeCell ref="B122:F122"/>
    <mergeCell ref="A143:F143"/>
    <mergeCell ref="B144:F144"/>
    <mergeCell ref="A141:F142"/>
    <mergeCell ref="A151:F151"/>
    <mergeCell ref="A153:F153"/>
    <mergeCell ref="A154:F154"/>
    <mergeCell ref="A155:F156"/>
    <mergeCell ref="C157:F171"/>
    <mergeCell ref="A128:F128"/>
    <mergeCell ref="B129:F129"/>
    <mergeCell ref="A135:F135"/>
    <mergeCell ref="B136:F136"/>
    <mergeCell ref="G143:G148"/>
    <mergeCell ref="H143:M143"/>
    <mergeCell ref="I144:M144"/>
    <mergeCell ref="H16:M16"/>
    <mergeCell ref="A17:M18"/>
    <mergeCell ref="A19:F19"/>
    <mergeCell ref="H19:M19"/>
    <mergeCell ref="H20:M20"/>
    <mergeCell ref="I21:M21"/>
    <mergeCell ref="H27:M27"/>
    <mergeCell ref="H29:M29"/>
    <mergeCell ref="A9:F9"/>
    <mergeCell ref="H9:M9"/>
    <mergeCell ref="A10:F11"/>
    <mergeCell ref="H10:M10"/>
    <mergeCell ref="A12:F12"/>
    <mergeCell ref="A13:F13"/>
    <mergeCell ref="H15:M15"/>
    <mergeCell ref="A15:F15"/>
    <mergeCell ref="A16:F16"/>
    <mergeCell ref="G19:G26"/>
    <mergeCell ref="A20:F20"/>
    <mergeCell ref="B21:F21"/>
    <mergeCell ref="A27:F27"/>
    <mergeCell ref="A29:F29"/>
    <mergeCell ref="B34:F34"/>
    <mergeCell ref="H37:M37"/>
    <mergeCell ref="I38:M38"/>
    <mergeCell ref="G40:G41"/>
    <mergeCell ref="G27:G28"/>
    <mergeCell ref="G29:G31"/>
    <mergeCell ref="I34:M34"/>
    <mergeCell ref="A35:M36"/>
    <mergeCell ref="A37:F37"/>
    <mergeCell ref="B38:F38"/>
    <mergeCell ref="G38:G39"/>
    <mergeCell ref="A44:F44"/>
    <mergeCell ref="B45:F45"/>
    <mergeCell ref="A51:F51"/>
    <mergeCell ref="A54:F54"/>
    <mergeCell ref="B57:F57"/>
    <mergeCell ref="A59:F59"/>
    <mergeCell ref="B60:F60"/>
    <mergeCell ref="A67:F67"/>
    <mergeCell ref="B68:F68"/>
    <mergeCell ref="A74:F74"/>
    <mergeCell ref="A76:F76"/>
    <mergeCell ref="A79:F79"/>
    <mergeCell ref="B80:F80"/>
    <mergeCell ref="B92:F92"/>
  </mergeCells>
  <dataValidations>
    <dataValidation type="decimal" operator="greaterThanOrEqual" allowBlank="1" showDropDown="1" showErrorMessage="1" sqref="M12:M14 F22:F26 F39:F41 F130:F133">
      <formula1>0.0</formula1>
    </dataValidation>
    <dataValidation type="decimal" allowBlank="1" showDropDown="1" showInputMessage="1" showErrorMessage="1" prompt="Click and enter a value from range 0-500" sqref="H12">
      <formula1>1.0</formula1>
      <formula2>500.0</formula2>
    </dataValidation>
    <dataValidation type="decimal" operator="greaterThanOrEqual" allowBlank="1" showDropDown="1" sqref="F14 F81:F85 F87">
      <formula1>0.0</formula1>
    </dataValidation>
  </dataValidations>
  <drawing r:id="rId2"/>
  <legacyDrawing r:id="rId3"/>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9">
      <c r="A9" s="1293" t="s">
        <v>407</v>
      </c>
      <c r="B9" s="36"/>
      <c r="C9" s="36"/>
      <c r="D9" s="36"/>
      <c r="E9" s="36"/>
      <c r="F9" s="37"/>
      <c r="G9" s="419"/>
      <c r="H9" s="419"/>
      <c r="I9" s="419"/>
      <c r="J9" s="419"/>
      <c r="K9" s="419"/>
      <c r="L9" s="717"/>
      <c r="M9" s="419"/>
    </row>
    <row r="10">
      <c r="A10" s="719" t="str">
        <f>HYPERLINK("https://goo.gl/forms/3ibooB993Hi7SS2d2","PRESS TO RECORD BODY WEIGHT")</f>
        <v>PRESS TO RECORD BODY WEIGHT</v>
      </c>
      <c r="B10" s="25"/>
      <c r="C10" s="25"/>
      <c r="D10" s="25"/>
      <c r="E10" s="25"/>
      <c r="F10" s="26"/>
      <c r="G10" s="419"/>
      <c r="H10" s="419"/>
      <c r="I10" s="419"/>
      <c r="J10" s="419"/>
      <c r="K10" s="419"/>
      <c r="L10" s="717"/>
      <c r="M10" s="419"/>
    </row>
    <row r="11">
      <c r="A11" s="336"/>
      <c r="B11" s="11"/>
      <c r="C11" s="11"/>
      <c r="D11" s="11"/>
      <c r="E11" s="11"/>
      <c r="F11" s="46"/>
      <c r="G11" s="419"/>
      <c r="H11" s="419"/>
      <c r="I11" s="419"/>
      <c r="J11" s="419"/>
      <c r="K11" s="419"/>
      <c r="L11" s="717"/>
      <c r="M11" s="419"/>
    </row>
    <row r="12">
      <c r="A12" s="720" t="s">
        <v>69</v>
      </c>
      <c r="B12" s="36"/>
      <c r="C12" s="36"/>
      <c r="D12" s="36"/>
      <c r="E12" s="36"/>
      <c r="F12" s="37"/>
      <c r="G12" s="419"/>
      <c r="H12" s="419"/>
      <c r="I12" s="419"/>
      <c r="J12" s="419"/>
      <c r="K12" s="419"/>
      <c r="L12" s="717"/>
      <c r="M12" s="419"/>
    </row>
    <row r="13">
      <c r="A13" s="721" t="s">
        <v>149</v>
      </c>
      <c r="B13" s="36"/>
      <c r="C13" s="36"/>
      <c r="D13" s="36"/>
      <c r="E13" s="36"/>
      <c r="F13" s="37"/>
      <c r="G13" s="419"/>
      <c r="H13" s="419"/>
      <c r="I13" s="419"/>
      <c r="J13" s="419"/>
      <c r="K13" s="419"/>
      <c r="L13" s="717"/>
      <c r="M13" s="419"/>
    </row>
    <row r="14">
      <c r="A14" s="653"/>
      <c r="B14" s="653"/>
      <c r="C14" s="653"/>
      <c r="D14" s="653"/>
      <c r="E14" s="654"/>
      <c r="F14" s="141"/>
      <c r="G14" s="419"/>
      <c r="H14" s="419"/>
      <c r="I14" s="419"/>
      <c r="J14" s="419"/>
      <c r="K14" s="419"/>
      <c r="L14" s="717"/>
      <c r="M14" s="419"/>
    </row>
    <row r="15">
      <c r="A15" s="50" t="s">
        <v>47</v>
      </c>
      <c r="B15" s="36"/>
      <c r="C15" s="36"/>
      <c r="D15" s="36"/>
      <c r="E15" s="36"/>
      <c r="F15" s="37"/>
      <c r="G15" s="722"/>
      <c r="H15" s="429" t="s">
        <v>118</v>
      </c>
      <c r="I15" s="36"/>
      <c r="J15" s="36"/>
      <c r="K15" s="36"/>
      <c r="L15" s="36"/>
      <c r="M15" s="37"/>
    </row>
    <row r="16">
      <c r="A16" s="657"/>
      <c r="B16" s="657"/>
      <c r="C16" s="657"/>
      <c r="D16" s="657"/>
      <c r="E16" s="657"/>
      <c r="F16" s="657"/>
      <c r="G16" s="722"/>
      <c r="H16" s="657"/>
      <c r="I16" s="657"/>
      <c r="J16" s="657"/>
      <c r="K16" s="657"/>
      <c r="L16" s="657"/>
      <c r="M16" s="657"/>
    </row>
    <row r="17">
      <c r="A17" s="657"/>
      <c r="B17" s="657"/>
      <c r="C17" s="657"/>
      <c r="D17" s="657"/>
      <c r="E17" s="657"/>
      <c r="F17" s="657"/>
      <c r="G17" s="722"/>
      <c r="H17" s="657"/>
      <c r="I17" s="657"/>
      <c r="J17" s="657"/>
      <c r="K17" s="657"/>
      <c r="L17" s="657"/>
      <c r="M17" s="657"/>
    </row>
    <row r="18">
      <c r="A18" s="51" t="s">
        <v>48</v>
      </c>
      <c r="B18" s="36"/>
      <c r="C18" s="36"/>
      <c r="D18" s="36"/>
      <c r="E18" s="36"/>
      <c r="F18" s="37"/>
      <c r="G18" s="722"/>
      <c r="H18" s="51" t="s">
        <v>48</v>
      </c>
      <c r="I18" s="36"/>
      <c r="J18" s="36"/>
      <c r="K18" s="36"/>
      <c r="L18" s="36"/>
      <c r="M18" s="37"/>
    </row>
    <row r="19">
      <c r="A19" s="93" t="str">
        <f>HYPERLINK("https://youtu.be/iLgUDezDMbU","1. BENCH PRESS")</f>
        <v>1. BENCH PRESS</v>
      </c>
      <c r="B19" s="53"/>
      <c r="C19" s="53"/>
      <c r="D19" s="53"/>
      <c r="E19" s="53"/>
      <c r="F19" s="54"/>
      <c r="G19" s="722"/>
      <c r="H19" s="93" t="str">
        <f>HYPERLINK("https://youtu.be/75e_H9Vq_Lw","1. MACHINE PRESS")</f>
        <v>1. MACHINE PRESS</v>
      </c>
      <c r="I19" s="53"/>
      <c r="J19" s="53"/>
      <c r="K19" s="53"/>
      <c r="L19" s="53"/>
      <c r="M19" s="54"/>
    </row>
    <row r="20">
      <c r="A20" s="226" t="s">
        <v>119</v>
      </c>
      <c r="B20" s="691" t="str">
        <f>'WEEK 46'!B17</f>
        <v/>
      </c>
      <c r="C20" s="13"/>
      <c r="D20" s="13"/>
      <c r="E20" s="13"/>
      <c r="F20" s="57"/>
      <c r="G20" s="722"/>
      <c r="H20" s="226" t="s">
        <v>119</v>
      </c>
      <c r="I20" s="691" t="str">
        <f>IF('WEEK 47'!I34="",'WEEK 47'!I21,'WEEK 47'!I34)</f>
        <v/>
      </c>
      <c r="J20" s="13"/>
      <c r="K20" s="13"/>
      <c r="L20" s="13"/>
      <c r="M20" s="57"/>
    </row>
    <row r="21">
      <c r="A21" s="96" t="s">
        <v>50</v>
      </c>
      <c r="B21" s="97" t="s">
        <v>51</v>
      </c>
      <c r="C21" s="97" t="s">
        <v>52</v>
      </c>
      <c r="D21" s="97" t="s">
        <v>53</v>
      </c>
      <c r="E21" s="341" t="s">
        <v>54</v>
      </c>
      <c r="F21" s="235" t="s">
        <v>55</v>
      </c>
      <c r="G21" s="723"/>
      <c r="H21" s="96" t="s">
        <v>50</v>
      </c>
      <c r="I21" s="97" t="s">
        <v>51</v>
      </c>
      <c r="J21" s="97" t="s">
        <v>52</v>
      </c>
      <c r="K21" s="97" t="s">
        <v>53</v>
      </c>
      <c r="L21" s="341" t="s">
        <v>54</v>
      </c>
      <c r="M21" s="235" t="s">
        <v>55</v>
      </c>
    </row>
    <row r="22">
      <c r="A22" s="725">
        <v>1.0</v>
      </c>
      <c r="B22" s="1473">
        <f>IF( 'WEEK 48'!B20&lt;125,45, mround('WEEK 48'!B20*0.9*0.35,5))</f>
        <v>0</v>
      </c>
      <c r="C22" s="344">
        <v>6.0</v>
      </c>
      <c r="D22" s="343" t="s">
        <v>150</v>
      </c>
      <c r="E22" s="66" t="str">
        <f>IF('WEEK 48'!B22='WEEK 48'!B22,'WEEK 48'!F22,"")</f>
        <v/>
      </c>
      <c r="F22" s="85"/>
      <c r="G22" s="423"/>
      <c r="H22" s="725">
        <v>1.0</v>
      </c>
      <c r="I22" s="344">
        <f>mround('WEEK 48'!I20*0.9*0.35,5)</f>
        <v>0</v>
      </c>
      <c r="J22" s="344">
        <v>6.0</v>
      </c>
      <c r="K22" s="343" t="s">
        <v>150</v>
      </c>
      <c r="L22" s="66" t="str">
        <f>IF('WEEK 48'!I22='WEEK 48'!I22,'WEEK 48'!M22,"")</f>
        <v/>
      </c>
      <c r="M22" s="85"/>
    </row>
    <row r="23">
      <c r="A23" s="725">
        <v>2.0</v>
      </c>
      <c r="B23" s="1474">
        <f>IF( 'WEEK 48'!B20&lt;70,MROUND('WEEK 48'!B20*0.78,5),MROUND('WEEK 48'!B20*0.9*0.72,5))</f>
        <v>0</v>
      </c>
      <c r="C23" s="344">
        <v>1.0</v>
      </c>
      <c r="D23" s="343" t="s">
        <v>151</v>
      </c>
      <c r="E23" s="66" t="str">
        <f>IF('WEEK 48'!B23='WEEK 48'!B23,'WEEK 48'!F23,"")</f>
        <v/>
      </c>
      <c r="F23" s="85"/>
      <c r="G23" s="423"/>
      <c r="H23" s="725">
        <v>2.0</v>
      </c>
      <c r="I23" s="344">
        <f>mround('WEEK 48'!I20*0.9*0.72,5)</f>
        <v>0</v>
      </c>
      <c r="J23" s="344">
        <v>1.0</v>
      </c>
      <c r="K23" s="343" t="s">
        <v>151</v>
      </c>
      <c r="L23" s="66" t="str">
        <f>IF('WEEK 48'!I23='WEEK 48'!I23,'WEEK 48'!M23,"")</f>
        <v/>
      </c>
      <c r="M23" s="85"/>
    </row>
    <row r="24">
      <c r="A24" s="725">
        <v>3.0</v>
      </c>
      <c r="B24" s="344">
        <f>mround('WEEK 48'!B20*0.9*0.9,5)</f>
        <v>0</v>
      </c>
      <c r="C24" s="344">
        <v>1.0</v>
      </c>
      <c r="D24" s="343" t="s">
        <v>57</v>
      </c>
      <c r="E24" s="66" t="str">
        <f>IF('WEEK 48'!B24='WEEK 48'!B24,'WEEK 48'!F24,"")</f>
        <v/>
      </c>
      <c r="F24" s="85"/>
      <c r="G24" s="423"/>
      <c r="H24" s="725">
        <v>3.0</v>
      </c>
      <c r="I24" s="344">
        <f>mround('WEEK 48'!I20*0.9*0.9,5)</f>
        <v>0</v>
      </c>
      <c r="J24" s="344">
        <v>1.0</v>
      </c>
      <c r="K24" s="343" t="s">
        <v>57</v>
      </c>
      <c r="L24" s="66" t="str">
        <f>IF('WEEK 48'!I24='WEEK 48'!I24,'WEEK 48'!M24,"")</f>
        <v/>
      </c>
      <c r="M24" s="85"/>
    </row>
    <row r="25">
      <c r="A25" s="730" t="s">
        <v>152</v>
      </c>
      <c r="B25" s="13"/>
      <c r="C25" s="13"/>
      <c r="D25" s="13"/>
      <c r="E25" s="13"/>
      <c r="F25" s="57"/>
      <c r="G25" s="731" t="s">
        <v>123</v>
      </c>
      <c r="H25" s="730" t="s">
        <v>152</v>
      </c>
      <c r="I25" s="13"/>
      <c r="J25" s="13"/>
      <c r="K25" s="13"/>
      <c r="L25" s="13"/>
      <c r="M25" s="57"/>
    </row>
    <row r="26">
      <c r="A26" s="96" t="s">
        <v>50</v>
      </c>
      <c r="B26" s="97" t="s">
        <v>51</v>
      </c>
      <c r="C26" s="97" t="s">
        <v>52</v>
      </c>
      <c r="D26" s="97" t="s">
        <v>53</v>
      </c>
      <c r="E26" s="341" t="s">
        <v>54</v>
      </c>
      <c r="F26" s="235" t="s">
        <v>55</v>
      </c>
      <c r="H26" s="96" t="s">
        <v>50</v>
      </c>
      <c r="I26" s="97" t="s">
        <v>51</v>
      </c>
      <c r="J26" s="97" t="s">
        <v>52</v>
      </c>
      <c r="K26" s="97" t="s">
        <v>53</v>
      </c>
      <c r="L26" s="341" t="s">
        <v>54</v>
      </c>
      <c r="M26" s="235" t="s">
        <v>55</v>
      </c>
    </row>
    <row r="27">
      <c r="A27" s="342">
        <v>1.0</v>
      </c>
      <c r="B27" s="348">
        <f>mround('WEEK 48'!B20*1*0.9,5)</f>
        <v>0</v>
      </c>
      <c r="C27" s="437" t="s">
        <v>65</v>
      </c>
      <c r="D27" s="343" t="s">
        <v>122</v>
      </c>
      <c r="E27" s="66" t="str">
        <f>IF('WEEK 48'!B27='WEEK 48'!B27,'WEEK 48'!F27,"")</f>
        <v/>
      </c>
      <c r="F27" s="85"/>
      <c r="G27" s="423"/>
      <c r="H27" s="725">
        <v>1.0</v>
      </c>
      <c r="I27" s="348">
        <f>mround('WEEK 48'!I20*1*0.9,5)</f>
        <v>0</v>
      </c>
      <c r="J27" s="437" t="s">
        <v>65</v>
      </c>
      <c r="K27" s="343" t="s">
        <v>122</v>
      </c>
      <c r="L27" s="66" t="str">
        <f>IF('WEEK 48'!I27='WEEK 48'!I27,'WEEK 48'!M27,"")</f>
        <v/>
      </c>
      <c r="M27" s="85"/>
    </row>
    <row r="28">
      <c r="A28" s="725">
        <v>2.0</v>
      </c>
      <c r="B28" s="348">
        <f>IF('WEEK 48'!F27&lt;3,MROUND('WEEK 48'!B27*0.75,5),IF('WEEK 48'!F27&lt;6,MROUND('WEEK 48'!B27*0.85,5),mround('WEEK 48'!B27*0.9,5)))</f>
        <v>0</v>
      </c>
      <c r="C28" s="437" t="s">
        <v>65</v>
      </c>
      <c r="D28" s="343" t="s">
        <v>122</v>
      </c>
      <c r="E28" s="66" t="str">
        <f>IF('WEEK 48'!B28='WEEK 48'!B28,'WEEK 48'!F28,"")</f>
        <v/>
      </c>
      <c r="F28" s="85"/>
      <c r="G28" s="722"/>
      <c r="H28" s="725">
        <v>2.0</v>
      </c>
      <c r="I28" s="348">
        <f>IF('WEEK 48'!M27&lt;3,MROUND('WEEK 48'!I27*0.75,5),IF('WEEK 48'!M27&lt;6,MROUND('WEEK 48'!I27*0.85,5),mround('WEEK 48'!I27*0.9,5)))</f>
        <v>0</v>
      </c>
      <c r="J28" s="437" t="s">
        <v>65</v>
      </c>
      <c r="K28" s="343" t="s">
        <v>122</v>
      </c>
      <c r="L28" s="66" t="str">
        <f>IF('WEEK 48'!I28='WEEK 48'!I28,'WEEK 48'!M28,"")</f>
        <v/>
      </c>
      <c r="M28" s="85"/>
    </row>
    <row r="29">
      <c r="A29" s="485">
        <v>3.0</v>
      </c>
      <c r="B29" s="732">
        <f>IF('WEEK 48'!F28&lt;3,MROUND('WEEK 48'!B28*0.75,5),IF('WEEK 48'!F28&lt;6,MROUND('WEEK 48'!B28*0.85,5),mround('WEEK 48'!B28*0.9,5)))</f>
        <v>0</v>
      </c>
      <c r="C29" s="733" t="s">
        <v>65</v>
      </c>
      <c r="D29" s="486" t="s">
        <v>122</v>
      </c>
      <c r="E29" s="72" t="str">
        <f>IF('WEEK 48'!B29='WEEK 48'!B29,'WEEK 48'!F29,"")</f>
        <v/>
      </c>
      <c r="F29" s="85"/>
      <c r="G29" s="722"/>
      <c r="H29" s="735">
        <v>3.0</v>
      </c>
      <c r="I29" s="736">
        <f>IF('WEEK 48'!M28&lt;3,MROUND('WEEK 48'!I28*0.75,5),IF('WEEK 48'!M28&lt;6,MROUND('WEEK 48'!I28*0.85,5),mround('WEEK 48'!I28*0.9,5)))</f>
        <v>0</v>
      </c>
      <c r="J29" s="737" t="s">
        <v>65</v>
      </c>
      <c r="K29" s="738" t="s">
        <v>122</v>
      </c>
      <c r="L29" s="66" t="str">
        <f>IF('WEEK 48'!I29='WEEK 48'!I29,'WEEK 48'!M29,"")</f>
        <v/>
      </c>
      <c r="M29" s="330"/>
    </row>
    <row r="30">
      <c r="A30" s="740"/>
      <c r="B30" s="740"/>
      <c r="C30" s="740"/>
      <c r="D30" s="740"/>
      <c r="E30" s="741"/>
      <c r="F30" s="419"/>
      <c r="G30" s="722"/>
      <c r="H30" s="742"/>
      <c r="I30" s="742"/>
      <c r="J30" s="742"/>
      <c r="K30" s="742"/>
      <c r="L30" s="742"/>
      <c r="M30" s="742"/>
    </row>
    <row r="31">
      <c r="A31" s="740"/>
      <c r="B31" s="740"/>
      <c r="C31" s="740"/>
      <c r="D31" s="740"/>
      <c r="E31" s="741"/>
      <c r="F31" s="419"/>
      <c r="G31" s="419"/>
      <c r="H31" s="657"/>
      <c r="I31" s="657"/>
      <c r="J31" s="657"/>
      <c r="K31" s="657"/>
      <c r="L31" s="657"/>
      <c r="M31" s="657"/>
    </row>
    <row r="32">
      <c r="A32" s="440" t="str">
        <f>HYPERLINK("https://www.youtube.com/watch?v=mGv8D2DGyNQ","2. DB CHEST FLY")</f>
        <v>2. DB CHEST FLY</v>
      </c>
      <c r="B32" s="53"/>
      <c r="C32" s="53"/>
      <c r="D32" s="53"/>
      <c r="E32" s="53"/>
      <c r="F32" s="54"/>
      <c r="G32" s="419"/>
      <c r="H32" s="504" t="str">
        <f>HYPERLINK("https://www.youtube.com/watch?v=THb0dhfIu1k","2. MACHINE CHEST FLY")</f>
        <v>2. MACHINE CHEST FLY</v>
      </c>
      <c r="I32" s="53"/>
      <c r="J32" s="53"/>
      <c r="K32" s="53"/>
      <c r="L32" s="53"/>
      <c r="M32" s="54"/>
    </row>
    <row r="33">
      <c r="A33" s="226" t="s">
        <v>228</v>
      </c>
      <c r="B33" s="691" t="str">
        <f>IF('WEEK 47'!B34="",'WEEK 47'!B21,'WEEK 47'!B34)</f>
        <v/>
      </c>
      <c r="C33" s="13"/>
      <c r="D33" s="13"/>
      <c r="E33" s="13"/>
      <c r="F33" s="57"/>
      <c r="G33" s="419"/>
      <c r="H33" s="226" t="s">
        <v>228</v>
      </c>
      <c r="I33" s="548" t="str">
        <f>'WEEK 48'!B33</f>
        <v/>
      </c>
      <c r="J33" s="13"/>
      <c r="K33" s="13"/>
      <c r="L33" s="13"/>
      <c r="M33" s="57"/>
    </row>
    <row r="34">
      <c r="A34" s="743" t="s">
        <v>50</v>
      </c>
      <c r="B34" s="744" t="s">
        <v>51</v>
      </c>
      <c r="C34" s="744" t="s">
        <v>52</v>
      </c>
      <c r="D34" s="744" t="s">
        <v>53</v>
      </c>
      <c r="E34" s="745" t="s">
        <v>54</v>
      </c>
      <c r="F34" s="746" t="s">
        <v>55</v>
      </c>
      <c r="G34" s="724"/>
      <c r="H34" s="96" t="s">
        <v>50</v>
      </c>
      <c r="I34" s="97" t="s">
        <v>51</v>
      </c>
      <c r="J34" s="97" t="s">
        <v>52</v>
      </c>
      <c r="K34" s="97" t="s">
        <v>53</v>
      </c>
      <c r="L34" s="341" t="s">
        <v>54</v>
      </c>
      <c r="M34" s="235" t="s">
        <v>55</v>
      </c>
    </row>
    <row r="35">
      <c r="A35" s="725">
        <v>1.0</v>
      </c>
      <c r="B35" s="254">
        <f>mround('WEEK 48'!B33*0.29,2.5)</f>
        <v>0</v>
      </c>
      <c r="C35" s="344">
        <v>15.0</v>
      </c>
      <c r="D35" s="343" t="s">
        <v>57</v>
      </c>
      <c r="E35" s="66" t="str">
        <f>IF('WEEK 48'!B35='WEEK 47'!B40,'WEEK 47'!F40,"")</f>
        <v/>
      </c>
      <c r="F35" s="85"/>
      <c r="G35" s="728"/>
      <c r="H35" s="240">
        <v>1.0</v>
      </c>
      <c r="I35" s="254">
        <f>mround('WEEK 48'!I33*2*0.75,10)</f>
        <v>0</v>
      </c>
      <c r="J35" s="241">
        <v>15.0</v>
      </c>
      <c r="K35" s="83" t="s">
        <v>57</v>
      </c>
      <c r="L35" s="66" t="str">
        <f>IF('WEEK 48'!I35='WEEK 47'!I40,'WEEK 47'!M40,"")</f>
        <v/>
      </c>
      <c r="M35" s="85"/>
    </row>
    <row r="36">
      <c r="A36" s="747">
        <v>2.0</v>
      </c>
      <c r="B36" s="662">
        <f>mround('WEEK 48'!B33*0.29,2.5)</f>
        <v>0</v>
      </c>
      <c r="C36" s="813">
        <v>15.0</v>
      </c>
      <c r="D36" s="486" t="s">
        <v>57</v>
      </c>
      <c r="E36" s="72" t="str">
        <f>IF('WEEK 48'!B36='WEEK 47'!B41,'WEEK 47'!F41,"")</f>
        <v/>
      </c>
      <c r="F36" s="85"/>
      <c r="G36" s="728"/>
      <c r="H36" s="661">
        <v>2.0</v>
      </c>
      <c r="I36" s="662">
        <f>mround('WEEK 48'!I33*2*0.75,10)</f>
        <v>0</v>
      </c>
      <c r="J36" s="662">
        <v>15.0</v>
      </c>
      <c r="K36" s="88" t="s">
        <v>57</v>
      </c>
      <c r="L36" s="72" t="str">
        <f>IF('WEEK 48'!I36='WEEK 47'!I41,'WEEK 47'!M41,"")</f>
        <v/>
      </c>
      <c r="M36" s="85"/>
    </row>
    <row r="39">
      <c r="A39" s="1497" t="str">
        <f>HYPERLINK("https://www.youtube.com/watch?v=JDPkRuVBZ90","3. SUPER SET")</f>
        <v>3. SUPER SET</v>
      </c>
      <c r="B39" s="36"/>
      <c r="C39" s="36"/>
      <c r="D39" s="36"/>
      <c r="E39" s="36"/>
      <c r="F39" s="37"/>
    </row>
    <row r="40">
      <c r="A40" s="1177" t="s">
        <v>119</v>
      </c>
      <c r="B40" s="1178" t="str">
        <f>IF('WEEK 47'!B57="",'WEEK 47'!B45,'WEEK 47'!B57)</f>
        <v/>
      </c>
      <c r="C40" s="46"/>
      <c r="D40" s="1178">
        <f>'WEEK 47'!B68</f>
        <v>270</v>
      </c>
      <c r="E40" s="11"/>
      <c r="F40" s="46"/>
    </row>
    <row r="41">
      <c r="A41" s="1179" t="s">
        <v>50</v>
      </c>
      <c r="B41" s="1180" t="s">
        <v>200</v>
      </c>
      <c r="C41" s="1181" t="s">
        <v>51</v>
      </c>
      <c r="D41" s="1181" t="s">
        <v>52</v>
      </c>
      <c r="E41" s="1182" t="s">
        <v>54</v>
      </c>
      <c r="F41" s="1006" t="s">
        <v>55</v>
      </c>
    </row>
    <row r="42">
      <c r="A42" s="1183">
        <v>1.0</v>
      </c>
      <c r="B42" s="1393" t="str">
        <f>HYPERLINK("https://www.youtube.com/watch?v=hMUUvL3FlkE&amp;feature=youtu.be","MACH HIGH ROW")</f>
        <v>MACH HIGH ROW</v>
      </c>
      <c r="C42" s="1185">
        <f>MROUND('WEEK 48'!B40*0.45,5)</f>
        <v>0</v>
      </c>
      <c r="D42" s="1186">
        <v>20.0</v>
      </c>
      <c r="E42" s="1187"/>
      <c r="F42" s="1188"/>
    </row>
    <row r="43">
      <c r="A43" s="1189"/>
      <c r="B43" s="1190" t="str">
        <f>HYPERLINK("https://www.youtube.com/watch?v=9YH1YvZbiY0","LOW ROW")</f>
        <v>LOW ROW</v>
      </c>
      <c r="C43" s="1191">
        <f>MROUND('WEEK 48'!D40*0.45,5)</f>
        <v>120</v>
      </c>
      <c r="D43" s="1192">
        <v>20.0</v>
      </c>
      <c r="E43" s="1193"/>
      <c r="F43" s="1188"/>
    </row>
    <row r="44">
      <c r="A44" s="1194" t="s">
        <v>201</v>
      </c>
      <c r="B44" s="11"/>
      <c r="C44" s="11"/>
      <c r="D44" s="11"/>
      <c r="E44" s="11"/>
      <c r="F44" s="46"/>
    </row>
    <row r="45">
      <c r="A45" s="1195">
        <v>2.0</v>
      </c>
      <c r="B45" s="1393" t="str">
        <f>HYPERLINK("https://www.youtube.com/watch?v=hMUUvL3FlkE&amp;feature=youtu.be","MACH HIGH ROW")</f>
        <v>MACH HIGH ROW</v>
      </c>
      <c r="C45" s="1185">
        <f>IF('WEEK 48'!F42&gt;=15,'WEEK 48'!C42,MROUND('WEEK 48'!C42*0.9,5))</f>
        <v>0</v>
      </c>
      <c r="D45" s="1186">
        <v>20.0</v>
      </c>
      <c r="E45" s="1187"/>
      <c r="F45" s="1188"/>
    </row>
    <row r="46">
      <c r="A46" s="1196"/>
      <c r="B46" s="1190" t="str">
        <f>HYPERLINK("https://www.youtube.com/watch?v=9YH1YvZbiY0","LOW ROW")</f>
        <v>LOW ROW</v>
      </c>
      <c r="C46" s="1191">
        <f>IF('WEEK 48'!F43&gt;=15,'WEEK 48'!C43,MROUND('WEEK 48'!C43*0.9,5))</f>
        <v>110</v>
      </c>
      <c r="D46" s="1192">
        <v>20.0</v>
      </c>
      <c r="E46" s="1193"/>
      <c r="F46" s="1188"/>
    </row>
    <row r="47">
      <c r="A47" s="1194" t="s">
        <v>201</v>
      </c>
      <c r="B47" s="11"/>
      <c r="C47" s="11"/>
      <c r="D47" s="11"/>
      <c r="E47" s="11"/>
      <c r="F47" s="46"/>
    </row>
    <row r="48">
      <c r="A48" s="1195">
        <v>3.0</v>
      </c>
      <c r="B48" s="1393" t="str">
        <f>HYPERLINK("https://www.youtube.com/watch?v=hMUUvL3FlkE&amp;feature=youtu.be","MACH HIGH ROW")</f>
        <v>MACH HIGH ROW</v>
      </c>
      <c r="C48" s="1185">
        <f>IF('WEEK 48'!F45&gt;=15,'WEEK 48'!C45,MROUND('WEEK 48'!C45*0.9,5))</f>
        <v>0</v>
      </c>
      <c r="D48" s="1186">
        <v>20.0</v>
      </c>
      <c r="E48" s="1187"/>
      <c r="F48" s="1133"/>
    </row>
    <row r="49">
      <c r="A49" s="1196"/>
      <c r="B49" s="1190" t="str">
        <f>HYPERLINK("https://www.youtube.com/watch?v=9YH1YvZbiY0","LOW ROW")</f>
        <v>LOW ROW</v>
      </c>
      <c r="C49" s="1191">
        <f>IF('WEEK 48'!F46&gt;=15,'WEEK 48'!C46,MROUND('WEEK 48'!C46*0.9,5))</f>
        <v>100</v>
      </c>
      <c r="D49" s="1192">
        <v>20.0</v>
      </c>
      <c r="E49" s="1193"/>
      <c r="F49" s="1133"/>
    </row>
    <row r="50">
      <c r="A50" s="1194" t="s">
        <v>201</v>
      </c>
      <c r="B50" s="11"/>
      <c r="C50" s="11"/>
      <c r="D50" s="11"/>
      <c r="E50" s="11"/>
      <c r="F50" s="46"/>
    </row>
    <row r="51">
      <c r="A51" s="1197">
        <v>4.0</v>
      </c>
      <c r="B51" s="1393" t="str">
        <f>HYPERLINK("https://www.youtube.com/watch?v=hMUUvL3FlkE&amp;feature=youtu.be","MACH HIGH ROW")</f>
        <v>MACH HIGH ROW</v>
      </c>
      <c r="C51" s="1185">
        <f>IF('WEEK 48'!F48&gt;=15,'WEEK 48'!C48,MROUND('WEEK 48'!C48*0.9,5))</f>
        <v>0</v>
      </c>
      <c r="D51" s="1186">
        <v>20.0</v>
      </c>
      <c r="E51" s="1187"/>
      <c r="F51" s="1133"/>
    </row>
    <row r="52">
      <c r="A52" s="1196"/>
      <c r="B52" s="1190" t="str">
        <f>HYPERLINK("https://www.youtube.com/watch?v=9YH1YvZbiY0","LOW ROW")</f>
        <v>LOW ROW</v>
      </c>
      <c r="C52" s="1191">
        <f>IF('WEEK 48'!F49&gt;=15,'WEEK 48'!C49,MROUND('WEEK 48'!C49*0.9,5))</f>
        <v>90</v>
      </c>
      <c r="D52" s="1192">
        <v>20.0</v>
      </c>
      <c r="E52" s="1193"/>
      <c r="F52" s="1133"/>
    </row>
    <row r="54">
      <c r="A54" s="103"/>
      <c r="B54" s="103"/>
      <c r="C54" s="103"/>
      <c r="D54" s="103"/>
      <c r="E54" s="222"/>
      <c r="F54" s="103"/>
    </row>
    <row r="55">
      <c r="A55" s="310" t="str">
        <f>HYPERLINK("https://docs.google.com/a/fitnessresults.com/forms/d/e/1FAIpQLSd7MoczESe8Yjv6BKpmwAZGn9Aiymrs9-UdgfYIUpbr9t5NXg/viewform?usp=pp_url&amp;entry.93370101","CLICK TO COMPLETE WORKOUT")</f>
        <v>CLICK TO COMPLETE WORKOUT</v>
      </c>
      <c r="B55" s="36"/>
      <c r="C55" s="36"/>
      <c r="D55" s="36"/>
      <c r="E55" s="36"/>
      <c r="F55" s="37"/>
    </row>
    <row r="57">
      <c r="A57" s="224" t="s">
        <v>128</v>
      </c>
      <c r="B57" s="36"/>
      <c r="C57" s="36"/>
      <c r="D57" s="36"/>
      <c r="E57" s="36"/>
      <c r="F57" s="37"/>
    </row>
    <row r="60">
      <c r="A60" s="1355" t="str">
        <f>HYPERLINK("https://www.youtube.com/watch?v=5UOeRbRoFOI","1. MACHINE SQUAT")</f>
        <v>1. MACHINE SQUAT</v>
      </c>
      <c r="B60" s="53"/>
      <c r="C60" s="53"/>
      <c r="D60" s="53"/>
      <c r="E60" s="53"/>
      <c r="F60" s="54"/>
    </row>
    <row r="61">
      <c r="A61" s="1262" t="s">
        <v>268</v>
      </c>
      <c r="B61" s="1035">
        <f>'WEEK 42'!B75</f>
        <v>35</v>
      </c>
      <c r="C61" s="13"/>
      <c r="D61" s="13"/>
      <c r="E61" s="13"/>
      <c r="F61" s="57"/>
    </row>
    <row r="62">
      <c r="A62" s="231" t="s">
        <v>50</v>
      </c>
      <c r="B62" s="232" t="s">
        <v>51</v>
      </c>
      <c r="C62" s="232" t="s">
        <v>52</v>
      </c>
      <c r="D62" s="232" t="s">
        <v>53</v>
      </c>
      <c r="E62" s="233" t="s">
        <v>54</v>
      </c>
      <c r="F62" s="61" t="s">
        <v>55</v>
      </c>
    </row>
    <row r="63">
      <c r="A63" s="236">
        <v>1.0</v>
      </c>
      <c r="B63" s="237">
        <f>mround('WEEK 48'!B61*0.35,5)</f>
        <v>10</v>
      </c>
      <c r="C63" s="238">
        <v>10.0</v>
      </c>
      <c r="D63" s="238" t="s">
        <v>120</v>
      </c>
      <c r="E63" s="1130" t="str">
        <f>IF('WEEK 42'!D65='WEEK 48'!D63,'WEEK 42'!H65,"")</f>
        <v/>
      </c>
      <c r="F63" s="67"/>
    </row>
    <row r="64">
      <c r="A64" s="236">
        <v>2.0</v>
      </c>
      <c r="B64" s="237">
        <f>mround('WEEK 48'!B61*0.65,5)</f>
        <v>25</v>
      </c>
      <c r="C64" s="238">
        <v>10.0</v>
      </c>
      <c r="D64" s="238" t="s">
        <v>121</v>
      </c>
      <c r="E64" s="1130" t="str">
        <f>IF('WEEK 42'!D66='WEEK 48'!D64,'WEEK 42'!H66,"")</f>
        <v/>
      </c>
      <c r="F64" s="67"/>
    </row>
    <row r="65">
      <c r="A65" s="242">
        <v>3.0</v>
      </c>
      <c r="B65" s="237">
        <f>mround('WEEK 48'!B61*0.9,5)</f>
        <v>30</v>
      </c>
      <c r="C65" s="238">
        <v>10.0</v>
      </c>
      <c r="D65" s="238" t="s">
        <v>121</v>
      </c>
      <c r="E65" s="1130" t="str">
        <f>IF('WEEK 42'!D67='WEEK 48'!D65,'WEEK 42'!H67,"")</f>
        <v/>
      </c>
      <c r="F65" s="67"/>
    </row>
    <row r="66">
      <c r="A66" s="249">
        <v>4.0</v>
      </c>
      <c r="B66" s="175">
        <f>if('WEEK 48'!F65&lt;1,MROUND('WEEK 48'!B65-('WEEK 48'!B65*20%),5),'WEEK 48'!B61)</f>
        <v>25</v>
      </c>
      <c r="C66" s="238">
        <v>10.0</v>
      </c>
      <c r="D66" s="238" t="s">
        <v>122</v>
      </c>
      <c r="E66" s="1130" t="str">
        <f>IF('WEEK 42'!D68='WEEK 48'!D66,'WEEK 42'!H68,"")</f>
        <v/>
      </c>
      <c r="F66" s="67"/>
    </row>
    <row r="67">
      <c r="A67" s="249">
        <v>5.0</v>
      </c>
      <c r="B67" s="175">
        <f>IF((AND('WEEK 48'!B66&lt;='WEEK 48'!B65,'WEEK 48'!F66&gt;=1)),'WEEK 48'!B66,IF('WEEK 48'!F66&lt;1,MROUND('WEEK 48'!B66-('WEEK 48'!B66*20%),5),if( 'WEEK 48'!F66&lt;1,,MROUND('WEEK 48'!B66-('WEEK 48'!B66*10%),5),MROUND('WEEK 48'!B66+('WEEK 48'!B66*10%),5))))</f>
        <v>20</v>
      </c>
      <c r="C67" s="238">
        <v>10.0</v>
      </c>
      <c r="D67" s="238" t="s">
        <v>122</v>
      </c>
      <c r="E67" s="1130" t="str">
        <f>IF('WEEK 42'!D69='WEEK 48'!D67,'WEEK 42'!H69,"")</f>
        <v/>
      </c>
      <c r="F67" s="1037"/>
    </row>
    <row r="68">
      <c r="A68" s="249">
        <f>if('WEEK 48'!F66&lt;1,6,6)</f>
        <v>6</v>
      </c>
      <c r="B68" s="175">
        <f>IF((AND('WEEK 48'!B67&lt;='WEEK 48'!B66,'WEEK 48'!F67&gt;=1)),'WEEK 48'!B67,IF('WEEK 48'!F67&lt;1,MROUND('WEEK 48'!B67-('WEEK 48'!B67*20%),5),if( 'WEEK 48'!F67&lt;1,,MROUND('WEEK 48'!B67-('WEEK 48'!B67*10%),5),MROUND('WEEK 48'!B67+('WEEK 48'!B67*10%),5))))</f>
        <v>15</v>
      </c>
      <c r="C68" s="238">
        <v>10.0</v>
      </c>
      <c r="D68" s="238" t="s">
        <v>122</v>
      </c>
      <c r="E68" s="1130" t="str">
        <f>IF('WEEK 42'!D70='WEEK 48'!D68,'WEEK 42'!H70,"")</f>
        <v/>
      </c>
      <c r="F68" s="67"/>
    </row>
    <row r="69">
      <c r="A69" s="1038">
        <f>IF('WEEK 48'!F68&lt;1,7,"7")</f>
        <v>7</v>
      </c>
      <c r="B69" s="175">
        <f>IF((AND('WEEK 48'!B68&lt;='WEEK 48'!B67,'WEEK 48'!F68&gt;=1)),'WEEK 48'!B68,IF('WEEK 48'!F68&lt;1,MROUND('WEEK 48'!B68-('WEEK 48'!B68*20%),5),if( 'WEEK 48'!F68&lt;1,,MROUND('WEEK 48'!B68-('WEEK 48'!B68*10%),5),MROUND('WEEK 48'!B68+('WEEK 48'!B68*10%),5))))</f>
        <v>10</v>
      </c>
      <c r="C69" s="238">
        <v>10.0</v>
      </c>
      <c r="D69" s="238" t="s">
        <v>122</v>
      </c>
      <c r="E69" s="1130" t="str">
        <f>IF('WEEK 42'!D71='WEEK 48'!D69,'WEEK 42'!H71,"")</f>
        <v/>
      </c>
      <c r="F69" s="67"/>
    </row>
    <row r="70">
      <c r="A70" s="249">
        <f>IF('WEEK 48'!F69&lt;1,8,"8")</f>
        <v>8</v>
      </c>
      <c r="B70" s="175">
        <f>IF((AND('WEEK 48'!B69&lt;='WEEK 48'!B68,'WEEK 48'!F69&gt;=1)),'WEEK 48'!B69,IF('WEEK 48'!F69&lt;1,MROUND('WEEK 48'!B69-('WEEK 48'!B69*20%),5),if( 'WEEK 48'!F69&lt;1,,MROUND('WEEK 48'!B69-('WEEK 48'!B69*10%),5),MROUND('WEEK 48'!B69+('WEEK 48'!B69*10%),5))))</f>
        <v>10</v>
      </c>
      <c r="C70" s="238">
        <v>10.0</v>
      </c>
      <c r="D70" s="238" t="s">
        <v>122</v>
      </c>
      <c r="E70" s="1130" t="str">
        <f>IF('WEEK 42'!D72='WEEK 48'!D70,'WEEK 42'!H72,"")</f>
        <v/>
      </c>
      <c r="F70" s="67"/>
    </row>
    <row r="71">
      <c r="A71" s="1038">
        <f>IF('WEEK 48'!F70&lt;1,9,"9")</f>
        <v>9</v>
      </c>
      <c r="B71" s="175">
        <f>IF((AND('WEEK 48'!B70&lt;='WEEK 48'!B69,'WEEK 48'!F70&gt;=1)),'WEEK 48'!B70,IF('WEEK 48'!F70&lt;1,MROUND('WEEK 48'!B70-('WEEK 48'!B70*20%),5),if( 'WEEK 48'!F70&lt;1,,MROUND('WEEK 48'!B70-('WEEK 48'!B70*10%),5),MROUND('WEEK 48'!B70+('WEEK 48'!B70*10%),5))))</f>
        <v>10</v>
      </c>
      <c r="C71" s="238">
        <v>10.0</v>
      </c>
      <c r="D71" s="238" t="s">
        <v>122</v>
      </c>
      <c r="E71" s="1130" t="str">
        <f>IF('WEEK 42'!D73='WEEK 48'!D71,'WEEK 42'!H73,"")</f>
        <v/>
      </c>
      <c r="F71" s="67"/>
    </row>
    <row r="72">
      <c r="A72" s="1038" t="str">
        <f>IF('WEEK 48'!F71&lt;1,"10","10")</f>
        <v>10</v>
      </c>
      <c r="B72" s="175">
        <f>IF((AND('WEEK 48'!B71&lt;='WEEK 48'!B70,'WEEK 48'!F71&gt;=1)),'WEEK 48'!B71,IF('WEEK 48'!F71&lt;1,MROUND('WEEK 48'!B71-('WEEK 48'!B71*20%),5),if( 'WEEK 48'!F71&lt;1,,MROUND('WEEK 48'!B71-('WEEK 48'!B71*10%),5),MROUND('WEEK 48'!B71+('WEEK 48'!B71*10%),5))))</f>
        <v>10</v>
      </c>
      <c r="C72" s="238">
        <v>10.0</v>
      </c>
      <c r="D72" s="238" t="s">
        <v>122</v>
      </c>
      <c r="E72" s="1130" t="str">
        <f>IF('WEEK 42'!D74='WEEK 48'!D72,'WEEK 42'!H74,"")</f>
        <v/>
      </c>
      <c r="F72" s="67"/>
    </row>
    <row r="73">
      <c r="A73" s="272" t="s">
        <v>298</v>
      </c>
      <c r="B73" s="1109">
        <f>IF(OR(ISBLANK('WEEK 48'!F63),ISBLANK('WEEK 48'!F64)),'WEEK 48'!B61,IF((AND('WEEK 48'!F72&gt;=1,'WEEK 48'!B72&gt;'WEEK 48'!B71)),'WEEK 48'!B72,IF((AND('WEEK 48'!F71&gt;=1,'WEEK 48'!B71&gt;'WEEK 48'!B70)),'WEEK 48'!B71,IF((AND('WEEK 48'!F70&gt;=1,'WEEK 48'!B70&gt;'WEEK 48'!B69)),'WEEK 48'!B70,IF((AND('WEEK 48'!F69&gt;=1,'WEEK 48'!B69&gt;'WEEK 48'!B68)),'WEEK 48'!B69,IF((AND('WEEK 48'!F68&gt;=1,'WEEK 48'!B68&gt;'WEEK 48'!B67)),'WEEK 48'!B68,IF((AND('WEEK 48'!F67&gt;=1,'WEEK 48'!B67&gt;'WEEK 48'!B66)),'WEEK 48'!B67,IF((AND('WEEK 48'!F66&gt;=1,'WEEK 48'!B66&gt;'WEEK 48'!B65)),'WEEK 48'!B66,IF((AND('WEEK 48'!F65&gt;=1,'WEEK 48'!B65&gt;'WEEK 48'!B64)),'WEEK 48'!B65,IF((AND('WEEK 48'!F64&gt;=1,'WEEK 48'!B64&gt;'WEEK 48'!B63)),'WEEK 48'!B64))))))))))</f>
        <v>35</v>
      </c>
      <c r="C73" s="11"/>
      <c r="D73" s="11"/>
      <c r="E73" s="11"/>
      <c r="F73" s="46"/>
    </row>
    <row r="76">
      <c r="A76" s="1285" t="str">
        <f>HYPERLINK("https://www.youtube.com/watch?v=NZ9KiFtbiMs","2. LEG EXTENSION")</f>
        <v>2. LEG EXTENSION</v>
      </c>
      <c r="B76" s="53"/>
      <c r="C76" s="53"/>
      <c r="D76" s="53"/>
      <c r="E76" s="53"/>
      <c r="F76" s="54"/>
    </row>
    <row r="77">
      <c r="A77" s="1045" t="s">
        <v>119</v>
      </c>
      <c r="B77" s="1367">
        <f>IF('WEEK 47'!B98='WEEK 47'!B100,'WEEK 47'!B98+5,IF('WEEK 47'!F98&lt;=9,MROUND('WEEK 47'!B96*0.95,5),'WEEK 47'!B98))</f>
        <v>50</v>
      </c>
      <c r="C77" s="20"/>
      <c r="D77" s="20"/>
      <c r="E77" s="20"/>
      <c r="F77" s="95"/>
    </row>
    <row r="78">
      <c r="A78" s="567" t="s">
        <v>50</v>
      </c>
      <c r="B78" s="568" t="s">
        <v>51</v>
      </c>
      <c r="C78" s="568" t="s">
        <v>52</v>
      </c>
      <c r="D78" s="568" t="s">
        <v>53</v>
      </c>
      <c r="E78" s="1047" t="s">
        <v>54</v>
      </c>
      <c r="F78" s="1048" t="s">
        <v>55</v>
      </c>
    </row>
    <row r="79">
      <c r="A79" s="1049">
        <v>1.0</v>
      </c>
      <c r="B79" s="1050">
        <f>'WEEK 48'!B77</f>
        <v>50</v>
      </c>
      <c r="C79" s="1051" t="s">
        <v>61</v>
      </c>
      <c r="D79" s="1430" t="s">
        <v>121</v>
      </c>
      <c r="E79" s="1130" t="str">
        <f>IF('WEEK 47'!B98='WEEK 48'!B79,'WEEK 47'!F98,"")</f>
        <v/>
      </c>
      <c r="F79" s="1017"/>
    </row>
    <row r="80">
      <c r="A80" s="1049">
        <v>2.0</v>
      </c>
      <c r="B80" s="1050">
        <f>if('WEEK 48'!F79&lt;12,mround('WEEK 48'!B79*0.8,5),IF('WEEK 48'!F79&lt;=14,MROUND('WEEK 48'!B79*0.95,5),'WEEK 48'!B79))</f>
        <v>40</v>
      </c>
      <c r="C80" s="1051" t="s">
        <v>61</v>
      </c>
      <c r="D80" s="1430" t="s">
        <v>121</v>
      </c>
      <c r="E80" s="1130" t="str">
        <f>IF('WEEK 47'!B99='WEEK 48'!B80,'WEEK 47'!F99,"")</f>
        <v/>
      </c>
      <c r="F80" s="1017"/>
    </row>
    <row r="81">
      <c r="A81" s="1053">
        <v>3.0</v>
      </c>
      <c r="B81" s="1054">
        <f>if('WEEK 48'!F80&lt;12,mround('WEEK 48'!B80*0.8,5),IF('WEEK 48'!F80&lt;=14,MROUND('WEEK 48'!B80*0.95,5),'WEEK 48'!B80))</f>
        <v>30</v>
      </c>
      <c r="C81" s="1055" t="s">
        <v>61</v>
      </c>
      <c r="D81" s="1453" t="s">
        <v>121</v>
      </c>
      <c r="E81" s="1348" t="str">
        <f>IF('WEEK 47'!B100='WEEK 48'!B81,'WEEK 47'!F100,"")</f>
        <v/>
      </c>
      <c r="F81" s="1017"/>
    </row>
    <row r="84">
      <c r="A84" s="323" t="str">
        <f>HYPERLINK("https://www.youtube.com/watch?v=XepOfsnGFJg","3. MACHINE LEG CURL")</f>
        <v>3. MACHINE LEG CURL</v>
      </c>
      <c r="B84" s="53"/>
      <c r="C84" s="53"/>
      <c r="D84" s="53"/>
      <c r="E84" s="53"/>
      <c r="F84" s="54"/>
      <c r="G84" s="141"/>
      <c r="H84" s="323" t="str">
        <f>HYPERLINK("https://youtu.be/kmN9cJ79PDE","3. PRONE LEG CURL")</f>
        <v>3. PRONE LEG CURL</v>
      </c>
      <c r="I84" s="53"/>
      <c r="J84" s="53"/>
      <c r="K84" s="53"/>
      <c r="L84" s="53"/>
      <c r="M84" s="54"/>
    </row>
    <row r="85">
      <c r="A85" s="1045" t="s">
        <v>119</v>
      </c>
      <c r="B85" s="1367">
        <f>IF('WEEK 47'!B106='WEEK 47'!B108,'WEEK 47'!B106+5,IF('WEEK 47'!F106&lt;=9,MROUND('WEEK 47'!B104*0.95,5),'WEEK 47'!B106))</f>
        <v>15</v>
      </c>
      <c r="C85" s="20"/>
      <c r="D85" s="20"/>
      <c r="E85" s="20"/>
      <c r="F85" s="95"/>
      <c r="H85" s="1045" t="s">
        <v>119</v>
      </c>
      <c r="I85" s="1498">
        <f>IF('WEEK 47'!I106='WEEK 47'!I108,'WEEK 47'!I106+5,IF('WEEK 47'!M106&lt;=9,MROUND('WEEK 47'!I104*0.95,5),'WEEK 47'!I106))</f>
        <v>15</v>
      </c>
      <c r="J85" s="33"/>
      <c r="K85" s="33"/>
      <c r="L85" s="33"/>
      <c r="M85" s="34"/>
    </row>
    <row r="86">
      <c r="A86" s="567" t="s">
        <v>50</v>
      </c>
      <c r="B86" s="568" t="s">
        <v>51</v>
      </c>
      <c r="C86" s="568" t="s">
        <v>52</v>
      </c>
      <c r="D86" s="568" t="s">
        <v>53</v>
      </c>
      <c r="E86" s="1047" t="s">
        <v>54</v>
      </c>
      <c r="F86" s="1048" t="s">
        <v>55</v>
      </c>
      <c r="H86" s="567" t="s">
        <v>50</v>
      </c>
      <c r="I86" s="568" t="s">
        <v>51</v>
      </c>
      <c r="J86" s="568" t="s">
        <v>52</v>
      </c>
      <c r="K86" s="568" t="s">
        <v>53</v>
      </c>
      <c r="L86" s="1047" t="s">
        <v>54</v>
      </c>
      <c r="M86" s="1048" t="s">
        <v>55</v>
      </c>
    </row>
    <row r="87">
      <c r="A87" s="1049">
        <v>1.0</v>
      </c>
      <c r="B87" s="1050">
        <f>'WEEK 48'!B85</f>
        <v>15</v>
      </c>
      <c r="C87" s="1051" t="s">
        <v>61</v>
      </c>
      <c r="D87" s="1430" t="s">
        <v>121</v>
      </c>
      <c r="E87" s="1130" t="str">
        <f>IF('WEEK 47'!B106='WEEK 48'!B87,'WEEK 47'!F106,"")</f>
        <v/>
      </c>
      <c r="F87" s="1017"/>
      <c r="G87" s="434" t="s">
        <v>123</v>
      </c>
      <c r="H87" s="1049">
        <v>1.0</v>
      </c>
      <c r="I87" s="1050">
        <f>'WEEK 48'!I85</f>
        <v>15</v>
      </c>
      <c r="J87" s="1051" t="s">
        <v>61</v>
      </c>
      <c r="K87" s="1430" t="s">
        <v>121</v>
      </c>
      <c r="L87" s="1130" t="str">
        <f>IF('WEEK 47'!I106='WEEK 48'!I87,'WEEK 47'!M106,"")</f>
        <v/>
      </c>
      <c r="M87" s="1017"/>
    </row>
    <row r="88">
      <c r="A88" s="1049">
        <v>2.0</v>
      </c>
      <c r="B88" s="1050">
        <f>if('WEEK 48'!F87&lt;12,mround('WEEK 48'!B87*0.8,5),IF('WEEK 48'!F87&lt;=14,MROUND('WEEK 48'!B87*0.95,5),'WEEK 48'!B87))</f>
        <v>10</v>
      </c>
      <c r="C88" s="1051" t="s">
        <v>61</v>
      </c>
      <c r="D88" s="1430" t="s">
        <v>121</v>
      </c>
      <c r="E88" s="1130" t="str">
        <f>IF('WEEK 47'!B107='WEEK 48'!B88,'WEEK 47'!F107,"")</f>
        <v/>
      </c>
      <c r="F88" s="1017"/>
      <c r="H88" s="1049">
        <v>2.0</v>
      </c>
      <c r="I88" s="1050">
        <f>if('WEEK 48'!M87&lt;12,mround('WEEK 48'!I87*0.8,5),IF('WEEK 48'!M87&lt;=14,MROUND('WEEK 48'!I87*0.95,5),'WEEK 48'!I87))</f>
        <v>10</v>
      </c>
      <c r="J88" s="1051" t="s">
        <v>61</v>
      </c>
      <c r="K88" s="1430" t="s">
        <v>121</v>
      </c>
      <c r="L88" s="1130" t="str">
        <f>IF('WEEK 47'!I107='WEEK 48'!I88,'WEEK 47'!M107,"")</f>
        <v/>
      </c>
      <c r="M88" s="1017"/>
    </row>
    <row r="89">
      <c r="A89" s="1053">
        <v>3.0</v>
      </c>
      <c r="B89" s="1054">
        <f>if('WEEK 48'!F88&lt;12,mround('WEEK 48'!B88*0.8,5),IF('WEEK 48'!F88&lt;=14,MROUND('WEEK 48'!B88*0.95,5),'WEEK 48'!B88))</f>
        <v>10</v>
      </c>
      <c r="C89" s="1055" t="s">
        <v>61</v>
      </c>
      <c r="D89" s="1453" t="s">
        <v>121</v>
      </c>
      <c r="E89" s="1348" t="str">
        <f>IF('WEEK 47'!B108='WEEK 48'!B89,'WEEK 47'!F108,"")</f>
        <v/>
      </c>
      <c r="F89" s="1017"/>
      <c r="G89" s="682"/>
      <c r="H89" s="1053">
        <v>3.0</v>
      </c>
      <c r="I89" s="1054">
        <f>if('WEEK 48'!M88&lt;12,mround('WEEK 48'!I88*0.8,5),IF('WEEK 48'!M88&lt;=14,MROUND('WEEK 48'!I88*0.95,5),'WEEK 48'!I88))</f>
        <v>10</v>
      </c>
      <c r="J89" s="1055" t="s">
        <v>61</v>
      </c>
      <c r="K89" s="1453" t="s">
        <v>121</v>
      </c>
      <c r="L89" s="1348" t="str">
        <f>IF('WEEK 47'!I108='WEEK 48'!I89,'WEEK 47'!M108,"")</f>
        <v/>
      </c>
      <c r="M89" s="1017"/>
    </row>
    <row r="90">
      <c r="A90" s="849"/>
      <c r="B90" s="849"/>
      <c r="C90" s="849"/>
      <c r="D90" s="849"/>
      <c r="E90" s="849"/>
      <c r="F90" s="849"/>
      <c r="H90" s="849"/>
      <c r="I90" s="850"/>
      <c r="J90" s="850"/>
      <c r="K90" s="850"/>
      <c r="L90" s="850"/>
      <c r="M90" s="850"/>
    </row>
    <row r="92">
      <c r="A92" s="1120" t="s">
        <v>62</v>
      </c>
      <c r="B92" s="36"/>
      <c r="C92" s="36"/>
      <c r="D92" s="36"/>
      <c r="E92" s="36"/>
      <c r="F92" s="37"/>
    </row>
    <row r="95">
      <c r="A95" s="51" t="s">
        <v>131</v>
      </c>
      <c r="B95" s="36"/>
      <c r="C95" s="36"/>
      <c r="D95" s="36"/>
      <c r="E95" s="36"/>
      <c r="F95" s="37"/>
      <c r="G95" s="419"/>
      <c r="H95" s="51" t="s">
        <v>131</v>
      </c>
      <c r="I95" s="36"/>
      <c r="J95" s="36"/>
      <c r="K95" s="36"/>
      <c r="L95" s="36"/>
      <c r="M95" s="37"/>
    </row>
    <row r="96">
      <c r="A96" s="504" t="str">
        <f>HYPERLINK("https://youtu.be/rmxOkkd2hUk","1. SHOULDER PRESS")</f>
        <v>1. SHOULDER PRESS</v>
      </c>
      <c r="B96" s="53"/>
      <c r="C96" s="53"/>
      <c r="D96" s="53"/>
      <c r="E96" s="53"/>
      <c r="F96" s="54"/>
      <c r="G96" s="419"/>
      <c r="H96" s="778" t="str">
        <f>HYPERLINK("https://www.youtube.com/watch?v=-cSBPE-y38M","1. MACHINE SHOULDER PRESS")</f>
        <v>1. MACHINE SHOULDER PRESS</v>
      </c>
      <c r="I96" s="53"/>
      <c r="J96" s="53"/>
      <c r="K96" s="53"/>
      <c r="L96" s="53"/>
      <c r="M96" s="54"/>
    </row>
    <row r="97">
      <c r="A97" s="589" t="s">
        <v>119</v>
      </c>
      <c r="B97" s="227">
        <f>IF('WEEK 46'!I113="",'WEEK 46'!I101,'WEEK 46'!I113)</f>
        <v>10</v>
      </c>
      <c r="C97" s="20"/>
      <c r="D97" s="20"/>
      <c r="E97" s="20"/>
      <c r="F97" s="95"/>
      <c r="G97" s="419"/>
      <c r="H97" s="589" t="s">
        <v>119</v>
      </c>
      <c r="I97" s="227">
        <f>IF('WEEK 46'!B113="",'WEEK 46'!B101,'WEEK 46'!B113)</f>
        <v>105</v>
      </c>
      <c r="J97" s="20"/>
      <c r="K97" s="20"/>
      <c r="L97" s="20"/>
      <c r="M97" s="95"/>
    </row>
    <row r="98">
      <c r="A98" s="364" t="s">
        <v>50</v>
      </c>
      <c r="B98" s="365" t="s">
        <v>51</v>
      </c>
      <c r="C98" s="365" t="s">
        <v>52</v>
      </c>
      <c r="D98" s="365" t="s">
        <v>53</v>
      </c>
      <c r="E98" s="609" t="s">
        <v>54</v>
      </c>
      <c r="F98" s="61" t="s">
        <v>55</v>
      </c>
      <c r="G98" s="724"/>
      <c r="H98" s="364" t="s">
        <v>50</v>
      </c>
      <c r="I98" s="365" t="s">
        <v>51</v>
      </c>
      <c r="J98" s="365" t="s">
        <v>52</v>
      </c>
      <c r="K98" s="365" t="s">
        <v>53</v>
      </c>
      <c r="L98" s="609" t="s">
        <v>54</v>
      </c>
      <c r="M98" s="61" t="s">
        <v>55</v>
      </c>
    </row>
    <row r="99">
      <c r="A99" s="236">
        <v>1.0</v>
      </c>
      <c r="B99" s="237">
        <f>mround('WEEK 48'!B97*0.35,5)</f>
        <v>5</v>
      </c>
      <c r="C99" s="237">
        <v>6.0</v>
      </c>
      <c r="D99" s="238" t="s">
        <v>120</v>
      </c>
      <c r="E99" s="1130" t="str">
        <f>IF('WEEK 45'!B120='WEEK 48'!B99,'WEEK 45'!F120,"")</f>
        <v/>
      </c>
      <c r="F99" s="67"/>
      <c r="G99" s="728"/>
      <c r="H99" s="236">
        <v>1.0</v>
      </c>
      <c r="I99" s="237">
        <f>mround('WEEK 48'!I97*0.35,5)</f>
        <v>35</v>
      </c>
      <c r="J99" s="237">
        <v>6.0</v>
      </c>
      <c r="K99" s="238" t="s">
        <v>120</v>
      </c>
      <c r="L99" s="1130" t="str">
        <f>IF('WEEK 45'!I120='WEEK 48'!I99,'WEEK 45'!M120,"")</f>
        <v/>
      </c>
      <c r="M99" s="67"/>
    </row>
    <row r="100">
      <c r="A100" s="236">
        <v>2.0</v>
      </c>
      <c r="B100" s="237">
        <f>mround('WEEK 48'!B97*0.65,5)</f>
        <v>5</v>
      </c>
      <c r="C100" s="237">
        <v>1.0</v>
      </c>
      <c r="D100" s="238" t="s">
        <v>57</v>
      </c>
      <c r="E100" s="1130" t="str">
        <f>IF('WEEK 45'!B121='WEEK 48'!B100,'WEEK 45'!F121,"")</f>
        <v/>
      </c>
      <c r="F100" s="67"/>
      <c r="G100" s="728"/>
      <c r="H100" s="236">
        <v>2.0</v>
      </c>
      <c r="I100" s="237">
        <f>mround('WEEK 48'!I97*0.65,5)</f>
        <v>70</v>
      </c>
      <c r="J100" s="237">
        <v>1.0</v>
      </c>
      <c r="K100" s="238" t="s">
        <v>57</v>
      </c>
      <c r="L100" s="1130" t="str">
        <f>IF('WEEK 45'!I121='WEEK 48'!I100,'WEEK 45'!M121,"")</f>
        <v/>
      </c>
      <c r="M100" s="67"/>
    </row>
    <row r="101">
      <c r="A101" s="779">
        <v>3.0</v>
      </c>
      <c r="B101" s="780">
        <f> mround('WEEK 48'!B97*0.9,5)</f>
        <v>10</v>
      </c>
      <c r="C101" s="781" t="s">
        <v>65</v>
      </c>
      <c r="D101" s="782" t="s">
        <v>57</v>
      </c>
      <c r="E101" s="1130" t="str">
        <f>IF('WEEK 45'!B122='WEEK 48'!B101,'WEEK 45'!F122,"")</f>
        <v/>
      </c>
      <c r="F101" s="784"/>
      <c r="G101" s="728"/>
      <c r="H101" s="779">
        <v>3.0</v>
      </c>
      <c r="I101" s="780">
        <f> mround('WEEK 48'!I97*0.9,5)</f>
        <v>95</v>
      </c>
      <c r="J101" s="781" t="s">
        <v>65</v>
      </c>
      <c r="K101" s="782" t="s">
        <v>57</v>
      </c>
      <c r="L101" s="1130" t="str">
        <f>IF('WEEK 45'!I122='WEEK 48'!I101,'WEEK 45'!M122,"")</f>
        <v/>
      </c>
      <c r="M101" s="784"/>
    </row>
    <row r="102">
      <c r="A102" s="785">
        <v>4.0</v>
      </c>
      <c r="B102" s="388">
        <f>if('WEEK 48'!F101&lt;20,mround('WEEK 48'!B101*0.85,5),'WEEK 48'!B101)</f>
        <v>10</v>
      </c>
      <c r="C102" s="781" t="s">
        <v>65</v>
      </c>
      <c r="D102" s="390" t="s">
        <v>57</v>
      </c>
      <c r="E102" s="1130" t="str">
        <f>IF('WEEK 45'!B123='WEEK 48'!B102,'WEEK 45'!F123,"")</f>
        <v/>
      </c>
      <c r="F102" s="392"/>
      <c r="G102" s="728"/>
      <c r="H102" s="785">
        <v>4.0</v>
      </c>
      <c r="I102" s="388">
        <f>if('WEEK 48'!M101&lt;20,mround('WEEK 48'!I101*0.85,5),'WEEK 48'!I101)</f>
        <v>80</v>
      </c>
      <c r="J102" s="781" t="s">
        <v>65</v>
      </c>
      <c r="K102" s="390" t="s">
        <v>57</v>
      </c>
      <c r="L102" s="1130" t="str">
        <f>IF('WEEK 45'!I123='WEEK 48'!I102,'WEEK 45'!M123,"")</f>
        <v/>
      </c>
      <c r="M102" s="392"/>
    </row>
    <row r="103">
      <c r="A103" s="787">
        <v>5.0</v>
      </c>
      <c r="B103" s="788">
        <f>if('WEEK 48'!F102&lt;20,mround('WEEK 48'!B102*0.85,2.5),'WEEK 48'!B102)</f>
        <v>7.5</v>
      </c>
      <c r="C103" s="789" t="s">
        <v>65</v>
      </c>
      <c r="D103" s="397" t="s">
        <v>57</v>
      </c>
      <c r="E103" s="1348" t="str">
        <f>IF('WEEK 45'!B124='WEEK 48'!B103,'WEEK 45'!F124,"")</f>
        <v/>
      </c>
      <c r="F103" s="392"/>
      <c r="G103" s="724"/>
      <c r="H103" s="787">
        <v>5.0</v>
      </c>
      <c r="I103" s="788">
        <f>if('WEEK 48'!M102&lt;20,mround('WEEK 48'!I102*0.85,10),'WEEK 48'!I102)</f>
        <v>70</v>
      </c>
      <c r="J103" s="789" t="s">
        <v>65</v>
      </c>
      <c r="K103" s="397" t="s">
        <v>57</v>
      </c>
      <c r="L103" s="1348" t="str">
        <f>IF('WEEK 45'!I124='WEEK 48'!I103,'WEEK 45'!M124,"")</f>
        <v/>
      </c>
      <c r="M103" s="392"/>
    </row>
    <row r="104">
      <c r="A104" s="623"/>
      <c r="B104" s="623"/>
      <c r="C104" s="623"/>
      <c r="D104" s="623"/>
      <c r="E104" s="1058"/>
      <c r="F104" s="623"/>
      <c r="G104" s="987"/>
      <c r="H104" s="987"/>
      <c r="I104" s="987"/>
      <c r="J104" s="987"/>
      <c r="K104" s="987"/>
      <c r="L104" s="987"/>
      <c r="M104" s="987"/>
    </row>
    <row r="105">
      <c r="A105" s="995"/>
      <c r="B105" s="995"/>
      <c r="C105" s="995"/>
      <c r="D105" s="995"/>
      <c r="E105" s="1066"/>
      <c r="F105" s="995"/>
      <c r="G105" s="987"/>
      <c r="H105" s="987"/>
      <c r="I105" s="987"/>
      <c r="J105" s="987"/>
      <c r="K105" s="987"/>
      <c r="L105" s="987"/>
      <c r="M105" s="987"/>
    </row>
    <row r="106">
      <c r="A106" s="361" t="str">
        <f>HYPERLINK("https://www.youtube.com/watch?v=gxWVN6F_uxo","2.  CABLE HIGH PULLEY ROW")</f>
        <v>2.  CABLE HIGH PULLEY ROW</v>
      </c>
      <c r="B106" s="53"/>
      <c r="C106" s="53"/>
      <c r="D106" s="53"/>
      <c r="E106" s="53"/>
      <c r="F106" s="54"/>
      <c r="G106" s="987"/>
      <c r="H106" s="987"/>
      <c r="I106" s="987"/>
      <c r="J106" s="987"/>
      <c r="K106" s="987"/>
      <c r="L106" s="987"/>
      <c r="M106" s="987"/>
    </row>
    <row r="107">
      <c r="A107" s="226" t="s">
        <v>134</v>
      </c>
      <c r="B107" s="94">
        <f>'WEEK 48'!B97</f>
        <v>10</v>
      </c>
      <c r="C107" s="20"/>
      <c r="D107" s="20"/>
      <c r="E107" s="20"/>
      <c r="F107" s="95"/>
      <c r="G107" s="987"/>
      <c r="H107" s="987"/>
      <c r="I107" s="987"/>
      <c r="J107" s="987"/>
      <c r="K107" s="987"/>
      <c r="L107" s="987"/>
      <c r="M107" s="987"/>
    </row>
    <row r="108">
      <c r="A108" s="962" t="s">
        <v>50</v>
      </c>
      <c r="B108" s="963" t="s">
        <v>51</v>
      </c>
      <c r="C108" s="963" t="s">
        <v>52</v>
      </c>
      <c r="D108" s="963" t="s">
        <v>53</v>
      </c>
      <c r="E108" s="1005" t="s">
        <v>54</v>
      </c>
      <c r="F108" s="1006" t="s">
        <v>55</v>
      </c>
      <c r="G108" s="1007"/>
      <c r="H108" s="1007"/>
      <c r="I108" s="1007"/>
      <c r="J108" s="1007"/>
      <c r="K108" s="1007"/>
      <c r="L108" s="1007"/>
      <c r="M108" s="1007"/>
    </row>
    <row r="109">
      <c r="A109" s="967">
        <v>1.0</v>
      </c>
      <c r="B109" s="1028">
        <f> mround('WEEK 48'!B107*2*0.7,5)</f>
        <v>15</v>
      </c>
      <c r="C109" s="1067" t="s">
        <v>61</v>
      </c>
      <c r="D109" s="968" t="s">
        <v>121</v>
      </c>
      <c r="E109" s="1348" t="str">
        <f>IF('WEEK 47'!B124='WEEK 48'!B109,'WEEK 47'!F124,"")</f>
        <v/>
      </c>
      <c r="F109" s="1017"/>
      <c r="G109" s="1012"/>
      <c r="H109" s="1012"/>
      <c r="I109" s="1012"/>
      <c r="J109" s="1012"/>
      <c r="K109" s="1012"/>
      <c r="L109" s="1012"/>
      <c r="M109" s="1012"/>
    </row>
    <row r="110">
      <c r="A110" s="242">
        <v>2.0</v>
      </c>
      <c r="B110" s="99">
        <f>if('WEEK 48'!F109&lt;15,mround('WEEK 48'!B109*0.85,10),'WEEK 48'!B109)</f>
        <v>10</v>
      </c>
      <c r="C110" s="1067" t="s">
        <v>61</v>
      </c>
      <c r="D110" s="968" t="s">
        <v>121</v>
      </c>
      <c r="E110" s="1348" t="str">
        <f>IF('WEEK 47'!B125='WEEK 48'!B110,'WEEK 47'!F125,"")</f>
        <v/>
      </c>
      <c r="F110" s="1017"/>
      <c r="G110" s="1012"/>
      <c r="H110" s="1012"/>
      <c r="I110" s="1012"/>
      <c r="J110" s="1012"/>
      <c r="K110" s="1012"/>
      <c r="L110" s="1012"/>
      <c r="M110" s="1012"/>
    </row>
    <row r="111">
      <c r="A111" s="289">
        <v>3.0</v>
      </c>
      <c r="B111" s="101">
        <f>if('WEEK 48'!F110&lt;15,mround('WEEK 48'!B110*0.85,10),'WEEK 48'!B110)</f>
        <v>10</v>
      </c>
      <c r="C111" s="1220" t="s">
        <v>61</v>
      </c>
      <c r="D111" s="972" t="s">
        <v>121</v>
      </c>
      <c r="E111" s="1348" t="str">
        <f>IF('WEEK 47'!B126='WEEK 48'!B111,'WEEK 47'!F126,"")</f>
        <v/>
      </c>
      <c r="F111" s="1017"/>
      <c r="G111" s="1012"/>
      <c r="H111" s="1012"/>
      <c r="I111" s="1012"/>
      <c r="J111" s="1012"/>
      <c r="K111" s="1012"/>
      <c r="L111" s="1012"/>
      <c r="M111" s="1012"/>
    </row>
    <row r="112">
      <c r="A112" s="1068"/>
      <c r="B112" s="1068"/>
      <c r="C112" s="1068"/>
      <c r="D112" s="623"/>
      <c r="E112" s="1058"/>
      <c r="F112" s="623"/>
      <c r="G112" s="987"/>
      <c r="H112" s="987"/>
      <c r="I112" s="987"/>
      <c r="J112" s="987"/>
      <c r="K112" s="987"/>
      <c r="L112" s="987"/>
      <c r="M112" s="987"/>
    </row>
    <row r="113">
      <c r="A113" s="1069"/>
      <c r="B113" s="1069"/>
      <c r="C113" s="1069"/>
      <c r="D113" s="995"/>
      <c r="E113" s="1066"/>
      <c r="F113" s="995"/>
      <c r="G113" s="987"/>
      <c r="H113" s="987"/>
      <c r="I113" s="987"/>
      <c r="J113" s="987"/>
      <c r="K113" s="987"/>
      <c r="L113" s="987"/>
      <c r="M113" s="987"/>
    </row>
    <row r="114">
      <c r="A114" s="1070" t="str">
        <f>HYPERLINK("https://youtu.be/QUNZvtb6mnY","3. DUMBBELL SIDE LATERAL RAISE")</f>
        <v>3. DUMBBELL SIDE LATERAL RAISE</v>
      </c>
      <c r="B114" s="13"/>
      <c r="C114" s="13"/>
      <c r="D114" s="13"/>
      <c r="E114" s="13"/>
      <c r="F114" s="57"/>
      <c r="G114" s="987"/>
      <c r="H114" s="987"/>
      <c r="I114" s="987"/>
      <c r="J114" s="987"/>
      <c r="K114" s="987"/>
      <c r="L114" s="987"/>
      <c r="M114" s="987"/>
    </row>
    <row r="115">
      <c r="A115" s="226" t="s">
        <v>134</v>
      </c>
      <c r="B115" s="76">
        <f>'WEEK 48'!B97</f>
        <v>10</v>
      </c>
      <c r="C115" s="13"/>
      <c r="D115" s="13"/>
      <c r="E115" s="13"/>
      <c r="F115" s="57"/>
      <c r="G115" s="987"/>
      <c r="H115" s="987"/>
      <c r="I115" s="987"/>
      <c r="J115" s="987"/>
      <c r="K115" s="987"/>
      <c r="L115" s="987"/>
      <c r="M115" s="987"/>
    </row>
    <row r="116">
      <c r="A116" s="1071" t="s">
        <v>50</v>
      </c>
      <c r="B116" s="1072" t="s">
        <v>51</v>
      </c>
      <c r="C116" s="1072" t="s">
        <v>52</v>
      </c>
      <c r="D116" s="1072" t="s">
        <v>53</v>
      </c>
      <c r="E116" s="1499" t="s">
        <v>54</v>
      </c>
      <c r="F116" s="1006" t="s">
        <v>55</v>
      </c>
      <c r="G116" s="987"/>
      <c r="H116" s="987"/>
      <c r="I116" s="987"/>
      <c r="J116" s="987"/>
      <c r="K116" s="987"/>
      <c r="L116" s="987"/>
      <c r="M116" s="987"/>
    </row>
    <row r="117">
      <c r="A117" s="1074">
        <v>1.0</v>
      </c>
      <c r="B117" s="968">
        <f> mround('WEEK 48'!B115*0.2,5)</f>
        <v>0</v>
      </c>
      <c r="C117" s="1075" t="s">
        <v>61</v>
      </c>
      <c r="D117" s="1500" t="s">
        <v>57</v>
      </c>
      <c r="E117" s="1424" t="str">
        <f>IF('WEEK 47'!B132='WEEK 48'!B117,'WEEK 47'!F132,"")</f>
        <v/>
      </c>
      <c r="F117" s="1017"/>
      <c r="G117" s="987"/>
      <c r="H117" s="987"/>
      <c r="I117" s="987"/>
      <c r="J117" s="987"/>
      <c r="K117" s="987"/>
      <c r="L117" s="987"/>
      <c r="M117" s="987"/>
    </row>
    <row r="118">
      <c r="A118" s="1074">
        <v>2.0</v>
      </c>
      <c r="B118" s="968">
        <f>if('WEEK 48'!F120&lt;15,mround('WEEK 48'!B115*0.15,2.5),'WEEK 48'!B117)</f>
        <v>2.5</v>
      </c>
      <c r="C118" s="1075" t="s">
        <v>61</v>
      </c>
      <c r="D118" s="1500" t="s">
        <v>57</v>
      </c>
      <c r="E118" s="1424" t="str">
        <f>IF('WEEK 47'!B133='WEEK 48'!B118,'WEEK 47'!F133,"")</f>
        <v/>
      </c>
      <c r="F118" s="1017"/>
      <c r="G118" s="987"/>
      <c r="H118" s="987"/>
      <c r="I118" s="987"/>
      <c r="J118" s="987"/>
      <c r="K118" s="987"/>
      <c r="L118" s="987"/>
      <c r="M118" s="987"/>
    </row>
    <row r="119">
      <c r="A119" s="1078">
        <v>3.0</v>
      </c>
      <c r="B119" s="972">
        <f>if('WEEK 48'!F121&lt;15,mround('WEEK 48'!B115*0.1,2.5),'WEEK 48'!B118)</f>
        <v>0</v>
      </c>
      <c r="C119" s="1079" t="s">
        <v>61</v>
      </c>
      <c r="D119" s="1501" t="s">
        <v>57</v>
      </c>
      <c r="E119" s="1502" t="str">
        <f>IF('WEEK 47'!B134='WEEK 48'!B119,'WEEK 47'!F134,"")</f>
        <v/>
      </c>
      <c r="F119" s="1017"/>
      <c r="G119" s="987"/>
      <c r="H119" s="987"/>
      <c r="I119" s="987"/>
      <c r="J119" s="987"/>
      <c r="K119" s="987"/>
      <c r="L119" s="987"/>
      <c r="M119" s="987"/>
    </row>
    <row r="122">
      <c r="A122" s="1295" t="str">
        <f>HYPERLINK("https://www.youtube.com/watch?v=NlchRoKP7s8","3. DUMBBELL TRICEP EXTENSIONS")</f>
        <v>3. DUMBBELL TRICEP EXTENSIONS</v>
      </c>
      <c r="B122" s="53"/>
      <c r="C122" s="53"/>
      <c r="D122" s="53"/>
      <c r="E122" s="53"/>
      <c r="F122" s="54"/>
    </row>
    <row r="123">
      <c r="A123" s="1268" t="s">
        <v>119</v>
      </c>
      <c r="B123" s="1367">
        <f>'WEEK 34'!B142</f>
        <v>30</v>
      </c>
      <c r="C123" s="20"/>
      <c r="D123" s="20"/>
      <c r="E123" s="20"/>
      <c r="F123" s="95"/>
    </row>
    <row r="124">
      <c r="A124" s="1071" t="s">
        <v>50</v>
      </c>
      <c r="B124" s="1072" t="s">
        <v>51</v>
      </c>
      <c r="C124" s="1072" t="s">
        <v>52</v>
      </c>
      <c r="D124" s="1072" t="s">
        <v>53</v>
      </c>
      <c r="E124" s="1073" t="s">
        <v>54</v>
      </c>
      <c r="F124" s="1006" t="s">
        <v>55</v>
      </c>
    </row>
    <row r="125">
      <c r="A125" s="1074">
        <v>1.0</v>
      </c>
      <c r="B125" s="968">
        <f> mround('WEEK 48'!B123,5)</f>
        <v>30</v>
      </c>
      <c r="C125" s="1075" t="s">
        <v>168</v>
      </c>
      <c r="D125" s="1076" t="s">
        <v>57</v>
      </c>
      <c r="E125" s="1235" t="str">
        <f>IF('WEEK 48'!B125='WEEK 33'!B122,'WEEK 33'!F122,"")</f>
        <v/>
      </c>
      <c r="F125" s="1017"/>
    </row>
    <row r="126">
      <c r="A126" s="1074">
        <v>2.0</v>
      </c>
      <c r="B126" s="968">
        <f>if('WEEK 48'!F125&lt;15,mround('WEEK 48'!B125*0.9,2.5),'WEEK 48'!B125)</f>
        <v>27.5</v>
      </c>
      <c r="C126" s="1075" t="s">
        <v>168</v>
      </c>
      <c r="D126" s="1076" t="s">
        <v>57</v>
      </c>
      <c r="E126" s="1235" t="str">
        <f>IF('WEEK 48'!B126='WEEK 33'!B123,'WEEK 33'!F123,"")</f>
        <v/>
      </c>
      <c r="F126" s="1017"/>
    </row>
    <row r="127">
      <c r="A127" s="1078">
        <v>3.0</v>
      </c>
      <c r="B127" s="972">
        <f>if('WEEK 48'!F126&lt;15,mround('WEEK 48'!B123*0.8,2.5),'WEEK 48'!B126)</f>
        <v>25</v>
      </c>
      <c r="C127" s="1079" t="s">
        <v>168</v>
      </c>
      <c r="D127" s="1080" t="s">
        <v>57</v>
      </c>
      <c r="E127" s="1271" t="str">
        <f>IF('WEEK 48'!B127='WEEK 33'!B124,'WEEK 33'!F124,"")</f>
        <v/>
      </c>
      <c r="F127" s="1017"/>
    </row>
    <row r="130">
      <c r="A130" s="113" t="str">
        <f>HYPERLINK("https://www.youtube.com/watch?v=TorWpKwLCSg","5. ALTERNATING BICEP CURLS ")</f>
        <v>5. ALTERNATING BICEP CURLS </v>
      </c>
      <c r="B130" s="53"/>
      <c r="C130" s="53"/>
      <c r="D130" s="53"/>
      <c r="E130" s="53"/>
      <c r="F130" s="54"/>
    </row>
    <row r="131">
      <c r="A131" s="226" t="s">
        <v>119</v>
      </c>
      <c r="B131" s="839">
        <f>IF('WEEK 46'!B143='WEEK 46'!B145,'WEEK 46'!B145,IF('WEEK 46'!F145&lt;=15,MROUND('WEEK 46'!B143*0.9,5),'WEEK 46'!B145))</f>
        <v>25</v>
      </c>
      <c r="F131" s="28"/>
    </row>
    <row r="132">
      <c r="A132" s="77" t="s">
        <v>50</v>
      </c>
      <c r="B132" s="78" t="s">
        <v>51</v>
      </c>
      <c r="C132" s="78" t="s">
        <v>52</v>
      </c>
      <c r="D132" s="78" t="s">
        <v>53</v>
      </c>
      <c r="E132" s="80" t="s">
        <v>54</v>
      </c>
      <c r="F132" s="235" t="s">
        <v>55</v>
      </c>
    </row>
    <row r="133">
      <c r="A133" s="81">
        <v>1.0</v>
      </c>
      <c r="B133" s="82">
        <f>MROUND('WEEK 48'!B131,5)</f>
        <v>25</v>
      </c>
      <c r="C133" s="65" t="s">
        <v>61</v>
      </c>
      <c r="D133" s="83" t="s">
        <v>58</v>
      </c>
      <c r="E133" s="84" t="str">
        <f>IF('WEEK 46'!B145='WEEK 48'!B133,'WEEK 46'!F145,"")</f>
        <v/>
      </c>
      <c r="F133" s="85"/>
    </row>
    <row r="134">
      <c r="A134" s="81">
        <v>2.0</v>
      </c>
      <c r="B134" s="82">
        <f>if('WEEK 48'!F133&lt;15,mround('WEEK 48'!B133*0.8,5),IF('WEEK 48'!F133&lt;=18,MROUND('WEEK 48'!B131*0.95,5),'WEEK 48'!B133))</f>
        <v>20</v>
      </c>
      <c r="C134" s="65" t="s">
        <v>61</v>
      </c>
      <c r="D134" s="83" t="s">
        <v>58</v>
      </c>
      <c r="E134" s="84" t="str">
        <f>IF('WEEK 46'!B146='WEEK 48'!B134,'WEEK 46'!F146,"")</f>
        <v/>
      </c>
      <c r="F134" s="85"/>
    </row>
    <row r="135">
      <c r="A135" s="629">
        <v>3.0</v>
      </c>
      <c r="B135" s="630">
        <f>if('WEEK 48'!F134&lt;15,mround('WEEK 48'!B134*0.8,5),IF('WEEK 48'!F134&lt;=18,MROUND('WEEK 48'!B132*0.95,5),'WEEK 48'!B134))</f>
        <v>15</v>
      </c>
      <c r="C135" s="631" t="s">
        <v>61</v>
      </c>
      <c r="D135" s="328" t="s">
        <v>58</v>
      </c>
      <c r="E135" s="84" t="str">
        <f>IF('WEEK 46'!B147='WEEK 48'!B135,'WEEK 46'!F147,"")</f>
        <v/>
      </c>
      <c r="F135" s="330"/>
    </row>
    <row r="136">
      <c r="A136" s="633"/>
      <c r="B136" s="633"/>
      <c r="C136" s="633"/>
      <c r="D136" s="633"/>
      <c r="E136" s="633"/>
      <c r="F136" s="633"/>
    </row>
    <row r="137">
      <c r="A137" s="598"/>
    </row>
    <row r="138">
      <c r="A138" s="310" t="str">
        <f>HYPERLINK("https://docs.google.com/a/fitnessresults.com/forms/d/e/1FAIpQLSd7MoczESe8Yjv6BKpmwAZGn9Aiymrs9-UdgfYIUpbr9t5NXg/viewform?usp=pp_url&amp;entry.93370101","CLICK TO COMPLETE WORKOUT")</f>
        <v>CLICK TO COMPLETE WORKOUT</v>
      </c>
      <c r="B138" s="36"/>
      <c r="C138" s="36"/>
      <c r="D138" s="36"/>
      <c r="E138" s="36"/>
      <c r="F138" s="37"/>
    </row>
    <row r="139">
      <c r="A139" s="598"/>
      <c r="B139" s="598"/>
      <c r="C139" s="598"/>
      <c r="D139" s="598"/>
      <c r="E139" s="598"/>
      <c r="F139" s="598"/>
    </row>
    <row r="140">
      <c r="A140" s="639" t="s">
        <v>135</v>
      </c>
      <c r="B140" s="36"/>
      <c r="C140" s="36"/>
      <c r="D140" s="36"/>
      <c r="E140" s="36"/>
      <c r="F140" s="37"/>
    </row>
    <row r="141">
      <c r="A141" s="883"/>
    </row>
    <row r="142">
      <c r="A142" s="884" t="str">
        <f>HYPERLINK("https://www.amazon.com/30-Minute-Body-Investment-Champion/dp/0692791892/ref=sr_1_1?ie=UTF8&amp;qid=1490447969&amp;sr=8-1&amp;keywords=30+minute+body","WANT TO LEARN MORE?")</f>
        <v>WANT TO LEARN MORE?</v>
      </c>
      <c r="B142" s="16"/>
      <c r="C142" s="16"/>
      <c r="D142" s="16"/>
      <c r="E142" s="16"/>
      <c r="F142" s="17"/>
    </row>
    <row r="143">
      <c r="A143" s="18"/>
      <c r="B143" s="13"/>
      <c r="C143" s="13"/>
      <c r="D143" s="13"/>
      <c r="E143" s="13"/>
      <c r="F143" s="14"/>
    </row>
    <row r="144">
      <c r="A144" s="885"/>
      <c r="B144" s="886"/>
      <c r="C144" s="644" t="s">
        <v>67</v>
      </c>
      <c r="D144" s="25"/>
      <c r="E144" s="25"/>
      <c r="F144" s="26"/>
    </row>
    <row r="145">
      <c r="A145" s="887"/>
      <c r="B145" s="888"/>
      <c r="C145" s="529"/>
      <c r="F145" s="28"/>
    </row>
    <row r="146">
      <c r="A146" s="887"/>
      <c r="B146" s="888"/>
      <c r="C146" s="529"/>
      <c r="F146" s="28"/>
    </row>
    <row r="147">
      <c r="A147" s="887"/>
      <c r="B147" s="888"/>
      <c r="C147" s="529"/>
      <c r="F147" s="28"/>
    </row>
    <row r="148">
      <c r="A148" s="887"/>
      <c r="B148" s="888"/>
      <c r="C148" s="529"/>
      <c r="F148" s="28"/>
    </row>
    <row r="149">
      <c r="A149" s="887"/>
      <c r="B149" s="888"/>
      <c r="C149" s="529"/>
      <c r="F149" s="28"/>
    </row>
    <row r="150">
      <c r="A150" s="889"/>
      <c r="B150" s="888"/>
      <c r="C150" s="529"/>
      <c r="F150" s="28"/>
    </row>
    <row r="151">
      <c r="A151" s="887"/>
      <c r="B151" s="888"/>
      <c r="C151" s="529"/>
      <c r="F151" s="28"/>
    </row>
    <row r="152">
      <c r="A152" s="887"/>
      <c r="B152" s="888"/>
      <c r="C152" s="529"/>
      <c r="F152" s="28"/>
    </row>
    <row r="153">
      <c r="A153" s="890"/>
      <c r="B153" s="888"/>
      <c r="C153" s="529"/>
      <c r="F153" s="28"/>
    </row>
    <row r="154">
      <c r="A154" s="887"/>
      <c r="B154" s="888"/>
      <c r="C154" s="529"/>
      <c r="F154" s="28"/>
    </row>
    <row r="155">
      <c r="A155" s="887"/>
      <c r="B155" s="888"/>
      <c r="C155" s="529"/>
      <c r="F155" s="28"/>
    </row>
    <row r="156">
      <c r="A156" s="887"/>
      <c r="B156" s="888"/>
      <c r="C156" s="529"/>
      <c r="F156" s="28"/>
    </row>
    <row r="157">
      <c r="A157" s="887"/>
      <c r="B157" s="888"/>
      <c r="C157" s="529"/>
      <c r="F157" s="28"/>
    </row>
    <row r="158">
      <c r="A158" s="891"/>
      <c r="B158" s="892"/>
      <c r="C158" s="336"/>
      <c r="D158" s="11"/>
      <c r="E158" s="11"/>
      <c r="F158" s="46"/>
    </row>
  </sheetData>
  <mergeCells count="64">
    <mergeCell ref="A96:F96"/>
    <mergeCell ref="B97:F97"/>
    <mergeCell ref="A106:F106"/>
    <mergeCell ref="B107:F107"/>
    <mergeCell ref="A114:F114"/>
    <mergeCell ref="B115:F115"/>
    <mergeCell ref="A122:F122"/>
    <mergeCell ref="A142:F143"/>
    <mergeCell ref="C144:F158"/>
    <mergeCell ref="B123:F123"/>
    <mergeCell ref="A130:F130"/>
    <mergeCell ref="B131:F131"/>
    <mergeCell ref="A137:F137"/>
    <mergeCell ref="A138:F138"/>
    <mergeCell ref="A140:F140"/>
    <mergeCell ref="A141:F141"/>
    <mergeCell ref="H19:M19"/>
    <mergeCell ref="I20:M20"/>
    <mergeCell ref="H25:M25"/>
    <mergeCell ref="H32:M32"/>
    <mergeCell ref="I33:M33"/>
    <mergeCell ref="A9:F9"/>
    <mergeCell ref="A10:F11"/>
    <mergeCell ref="A12:F12"/>
    <mergeCell ref="A13:F13"/>
    <mergeCell ref="A15:F15"/>
    <mergeCell ref="H15:M15"/>
    <mergeCell ref="H18:M18"/>
    <mergeCell ref="A18:F18"/>
    <mergeCell ref="A19:F19"/>
    <mergeCell ref="B20:F20"/>
    <mergeCell ref="A25:F25"/>
    <mergeCell ref="G25:G26"/>
    <mergeCell ref="A32:F32"/>
    <mergeCell ref="B33:F33"/>
    <mergeCell ref="A39:F39"/>
    <mergeCell ref="B40:C40"/>
    <mergeCell ref="D40:F40"/>
    <mergeCell ref="A42:A43"/>
    <mergeCell ref="A44:F44"/>
    <mergeCell ref="A45:A46"/>
    <mergeCell ref="A47:F47"/>
    <mergeCell ref="A48:A49"/>
    <mergeCell ref="A50:F50"/>
    <mergeCell ref="A51:A52"/>
    <mergeCell ref="A55:F55"/>
    <mergeCell ref="A57:F57"/>
    <mergeCell ref="A60:F60"/>
    <mergeCell ref="B61:F61"/>
    <mergeCell ref="B73:F73"/>
    <mergeCell ref="A76:F76"/>
    <mergeCell ref="B77:F77"/>
    <mergeCell ref="A84:F84"/>
    <mergeCell ref="H84:M84"/>
    <mergeCell ref="B85:F85"/>
    <mergeCell ref="I85:M85"/>
    <mergeCell ref="G84:G86"/>
    <mergeCell ref="G87:G88"/>
    <mergeCell ref="G89:G90"/>
    <mergeCell ref="A92:F92"/>
    <mergeCell ref="A95:F95"/>
    <mergeCell ref="H95:M95"/>
    <mergeCell ref="H96:M96"/>
    <mergeCell ref="I97:M97"/>
  </mergeCells>
  <dataValidations>
    <dataValidation type="decimal" operator="greaterThanOrEqual" allowBlank="1" showDropDown="1" sqref="F54 F62:F66 F68">
      <formula1>0.0</formula1>
    </dataValidation>
  </dataValidations>
  <drawing r:id="rId2"/>
  <legacyDrawing r:id="rId3"/>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'MSW48'!A1</f>
        <v/>
      </c>
    </row>
    <row r="8">
      <c r="A8" s="11"/>
      <c r="B8" s="11"/>
      <c r="C8" s="11"/>
      <c r="D8" s="11"/>
      <c r="E8" s="11"/>
      <c r="F8" s="11"/>
      <c r="G8" s="11"/>
      <c r="H8" s="11"/>
      <c r="I8" s="11"/>
      <c r="J8" s="11"/>
      <c r="K8" s="11"/>
      <c r="L8" s="11"/>
      <c r="M8" s="11"/>
    </row>
    <row r="9">
      <c r="A9" s="1293" t="str">
        <f>'MSW48'!A9</f>
        <v>Week 48</v>
      </c>
      <c r="B9" s="36"/>
      <c r="C9" s="36"/>
      <c r="D9" s="36"/>
      <c r="E9" s="36"/>
      <c r="F9" s="37"/>
      <c r="G9" s="419" t="str">
        <f>'MSW48'!G9</f>
        <v/>
      </c>
      <c r="H9" s="24" t="s">
        <v>35</v>
      </c>
      <c r="I9" s="25"/>
      <c r="J9" s="25"/>
      <c r="K9" s="25"/>
      <c r="L9" s="25"/>
      <c r="M9" s="26"/>
    </row>
    <row r="10">
      <c r="A10" s="719" t="str">
        <f>'MSW48'!A10</f>
        <v>PRESS TO RECORD BODY WEIGHT</v>
      </c>
      <c r="B10" s="25"/>
      <c r="C10" s="25"/>
      <c r="D10" s="25"/>
      <c r="E10" s="25"/>
      <c r="F10" s="26"/>
      <c r="H10" s="27" t="s">
        <v>408</v>
      </c>
      <c r="M10" s="28"/>
    </row>
    <row r="11">
      <c r="A11" s="336"/>
      <c r="B11" s="11"/>
      <c r="C11" s="11"/>
      <c r="D11" s="11"/>
      <c r="E11" s="11"/>
      <c r="F11" s="46"/>
      <c r="H11" s="29" t="s">
        <v>409</v>
      </c>
      <c r="I11" s="30"/>
      <c r="J11" s="30"/>
      <c r="K11" s="30"/>
      <c r="L11" s="30"/>
      <c r="M11" s="31"/>
    </row>
    <row r="12">
      <c r="A12" s="720" t="str">
        <f>'MSW48'!A12</f>
        <v>This Weeks Goals</v>
      </c>
      <c r="B12" s="36"/>
      <c r="C12" s="36"/>
      <c r="D12" s="36"/>
      <c r="E12" s="36"/>
      <c r="F12" s="37"/>
      <c r="H12" s="419"/>
    </row>
    <row r="13">
      <c r="A13" s="721" t="str">
        <f>'MSW48'!A13</f>
        <v>This is what we call percentage week. For the most part we are going to work your body just under it's maximum potential and go for more repititions. There are however a few areas that are excluded from this principle but the general theme of the week is working under your max. </v>
      </c>
      <c r="B13" s="36"/>
      <c r="C13" s="36"/>
      <c r="D13" s="36"/>
      <c r="E13" s="36"/>
      <c r="F13" s="37"/>
    </row>
    <row r="14">
      <c r="A14" s="653" t="str">
        <f>'MSW48'!A14</f>
        <v/>
      </c>
    </row>
    <row r="15">
      <c r="A15" s="50" t="str">
        <f>'MSW48'!A15</f>
        <v>DAY 1 </v>
      </c>
      <c r="B15" s="36"/>
      <c r="C15" s="36"/>
      <c r="D15" s="36"/>
      <c r="E15" s="36"/>
      <c r="F15" s="37"/>
      <c r="G15" s="722" t="str">
        <f>'MSW48'!G15</f>
        <v/>
      </c>
      <c r="H15" s="429" t="str">
        <f>'MSW48'!H15</f>
        <v>ALTERNATE WORKOUTS</v>
      </c>
      <c r="I15" s="36"/>
      <c r="J15" s="36"/>
      <c r="K15" s="36"/>
      <c r="L15" s="36"/>
      <c r="M15" s="37"/>
    </row>
    <row r="16">
      <c r="A16" s="657" t="str">
        <f>'MSW48'!A16</f>
        <v/>
      </c>
    </row>
    <row r="18">
      <c r="A18" s="51" t="str">
        <f>'MSW48'!A18</f>
        <v>CHEST &amp; BACK </v>
      </c>
      <c r="B18" s="36"/>
      <c r="C18" s="36"/>
      <c r="D18" s="36"/>
      <c r="E18" s="36"/>
      <c r="F18" s="37"/>
      <c r="G18" s="722" t="str">
        <f>'MSW48'!G18</f>
        <v/>
      </c>
      <c r="H18" s="51" t="str">
        <f>'MSW48'!H18</f>
        <v>CHEST &amp; BACK </v>
      </c>
      <c r="I18" s="36"/>
      <c r="J18" s="36"/>
      <c r="K18" s="36"/>
      <c r="L18" s="36"/>
      <c r="M18" s="37"/>
    </row>
    <row r="19">
      <c r="A19" s="93" t="str">
        <f>'MSW48'!A19</f>
        <v>1. BENCH PRESS</v>
      </c>
      <c r="B19" s="53"/>
      <c r="C19" s="53"/>
      <c r="D19" s="53"/>
      <c r="E19" s="53"/>
      <c r="F19" s="54"/>
      <c r="H19" s="93" t="str">
        <f>'MSW48'!H19</f>
        <v>1. MACHINE PRESS</v>
      </c>
      <c r="I19" s="53"/>
      <c r="J19" s="53"/>
      <c r="K19" s="53"/>
      <c r="L19" s="53"/>
      <c r="M19" s="54"/>
    </row>
    <row r="20">
      <c r="A20" s="226" t="str">
        <f>'MSW48'!A20</f>
        <v>CURRENT MAX</v>
      </c>
      <c r="B20" s="691" t="str">
        <f>'MSW48'!B20</f>
        <v/>
      </c>
      <c r="C20" s="13"/>
      <c r="D20" s="13"/>
      <c r="E20" s="13"/>
      <c r="F20" s="57"/>
      <c r="H20" s="226" t="str">
        <f>'MSW48'!H20</f>
        <v>CURRENT MAX</v>
      </c>
      <c r="I20" s="691" t="str">
        <f>'MSW48'!I20</f>
        <v/>
      </c>
      <c r="J20" s="13"/>
      <c r="K20" s="13"/>
      <c r="L20" s="13"/>
      <c r="M20" s="57"/>
    </row>
    <row r="21">
      <c r="A21" s="96" t="str">
        <f>'MSW48'!A21</f>
        <v>SET</v>
      </c>
      <c r="B21" s="97" t="str">
        <f>'MSW48'!B21</f>
        <v>WEIGHT</v>
      </c>
      <c r="C21" s="97" t="str">
        <f>'MSW48'!C21</f>
        <v>REPS</v>
      </c>
      <c r="D21" s="97" t="str">
        <f>'MSW48'!D21</f>
        <v>REST</v>
      </c>
      <c r="E21" s="341" t="str">
        <f>'MSW48'!E21</f>
        <v>PREVIOUS</v>
      </c>
      <c r="F21" s="235" t="str">
        <f>'MSW48'!F21</f>
        <v>REP LOG</v>
      </c>
      <c r="H21" s="96" t="str">
        <f>'MSW48'!H21</f>
        <v>SET</v>
      </c>
      <c r="I21" s="97" t="str">
        <f>'MSW48'!I21</f>
        <v>WEIGHT</v>
      </c>
      <c r="J21" s="97" t="str">
        <f>'MSW48'!J21</f>
        <v>REPS</v>
      </c>
      <c r="K21" s="97" t="str">
        <f>'MSW48'!K21</f>
        <v>REST</v>
      </c>
      <c r="L21" s="341" t="str">
        <f>'MSW48'!L21</f>
        <v>PREVIOUS</v>
      </c>
      <c r="M21" s="235" t="str">
        <f>'MSW48'!M21</f>
        <v>REP LOG</v>
      </c>
    </row>
    <row r="22">
      <c r="A22" s="725">
        <f>'MSW48'!A22</f>
        <v>1</v>
      </c>
      <c r="B22" s="344">
        <f>'MSW48'!B22</f>
        <v>0</v>
      </c>
      <c r="C22" s="344">
        <f>'MSW48'!C22</f>
        <v>6</v>
      </c>
      <c r="D22" s="343" t="str">
        <f>'MSW48'!D22</f>
        <v>30 sec</v>
      </c>
      <c r="E22" s="66" t="str">
        <f>'MSW48'!E22</f>
        <v/>
      </c>
      <c r="F22" s="85" t="str">
        <f>'MSW48'!F22</f>
        <v/>
      </c>
      <c r="H22" s="725">
        <f>'MSW48'!H22</f>
        <v>1</v>
      </c>
      <c r="I22" s="344">
        <f>'MSW48'!I22</f>
        <v>0</v>
      </c>
      <c r="J22" s="344">
        <f>'MSW48'!J22</f>
        <v>6</v>
      </c>
      <c r="K22" s="343" t="str">
        <f>'MSW48'!K22</f>
        <v>30 sec</v>
      </c>
      <c r="L22" s="66" t="str">
        <f>'MSW48'!L22</f>
        <v/>
      </c>
      <c r="M22" s="85" t="str">
        <f>'MSW48'!M22</f>
        <v/>
      </c>
    </row>
    <row r="23">
      <c r="A23" s="725">
        <f>'MSW48'!A23</f>
        <v>2</v>
      </c>
      <c r="B23" s="344">
        <f>'MSW48'!B23</f>
        <v>0</v>
      </c>
      <c r="C23" s="344">
        <f>'MSW48'!C23</f>
        <v>1</v>
      </c>
      <c r="D23" s="343" t="str">
        <f>'MSW48'!D23</f>
        <v>45 sec</v>
      </c>
      <c r="E23" s="66" t="str">
        <f>'MSW48'!E23</f>
        <v/>
      </c>
      <c r="F23" s="85" t="str">
        <f>'MSW48'!F23</f>
        <v/>
      </c>
      <c r="H23" s="725">
        <f>'MSW48'!H23</f>
        <v>2</v>
      </c>
      <c r="I23" s="344">
        <f>'MSW48'!I23</f>
        <v>0</v>
      </c>
      <c r="J23" s="344">
        <f>'MSW48'!J23</f>
        <v>1</v>
      </c>
      <c r="K23" s="343" t="str">
        <f>'MSW48'!K23</f>
        <v>45 sec</v>
      </c>
      <c r="L23" s="66" t="str">
        <f>'MSW48'!L23</f>
        <v/>
      </c>
      <c r="M23" s="85" t="str">
        <f>'MSW48'!M23</f>
        <v/>
      </c>
    </row>
    <row r="24">
      <c r="A24" s="725">
        <f>'MSW48'!A24</f>
        <v>3</v>
      </c>
      <c r="B24" s="344">
        <f>'MSW48'!B24</f>
        <v>0</v>
      </c>
      <c r="C24" s="344">
        <f>'MSW48'!C24</f>
        <v>1</v>
      </c>
      <c r="D24" s="343" t="str">
        <f>'MSW48'!D24</f>
        <v>1 MIN</v>
      </c>
      <c r="E24" s="66" t="str">
        <f>'MSW48'!E24</f>
        <v/>
      </c>
      <c r="F24" s="85" t="str">
        <f>'MSW48'!F24</f>
        <v/>
      </c>
      <c r="H24" s="725">
        <f>'MSW48'!H24</f>
        <v>3</v>
      </c>
      <c r="I24" s="344">
        <f>'MSW48'!I24</f>
        <v>0</v>
      </c>
      <c r="J24" s="344">
        <f>'MSW48'!J24</f>
        <v>1</v>
      </c>
      <c r="K24" s="343" t="str">
        <f>'MSW48'!K24</f>
        <v>1 MIN</v>
      </c>
      <c r="L24" s="66" t="str">
        <f>'MSW48'!L24</f>
        <v/>
      </c>
      <c r="M24" s="85" t="str">
        <f>'MSW48'!M24</f>
        <v/>
      </c>
    </row>
    <row r="25">
      <c r="A25" s="730" t="str">
        <f>'MSW48'!A25</f>
        <v>Working Set</v>
      </c>
      <c r="B25" s="13"/>
      <c r="C25" s="13"/>
      <c r="D25" s="13"/>
      <c r="E25" s="13"/>
      <c r="F25" s="57"/>
      <c r="G25" s="434" t="str">
        <f>'MSW48'!G25</f>
        <v>ALTERNATE</v>
      </c>
      <c r="H25" s="730" t="str">
        <f>'MSW48'!H25</f>
        <v>Working Set</v>
      </c>
      <c r="I25" s="13"/>
      <c r="J25" s="13"/>
      <c r="K25" s="13"/>
      <c r="L25" s="13"/>
      <c r="M25" s="57"/>
    </row>
    <row r="26">
      <c r="A26" s="96" t="str">
        <f>'MSW48'!A26</f>
        <v>SET</v>
      </c>
      <c r="B26" s="97" t="str">
        <f>'MSW48'!B26</f>
        <v>WEIGHT</v>
      </c>
      <c r="C26" s="97" t="str">
        <f>'MSW48'!C26</f>
        <v>REPS</v>
      </c>
      <c r="D26" s="97" t="str">
        <f>'MSW48'!D26</f>
        <v>REST</v>
      </c>
      <c r="E26" s="341" t="str">
        <f>'MSW48'!E26</f>
        <v>PREVIOUS</v>
      </c>
      <c r="F26" s="235" t="str">
        <f>'MSW48'!F26</f>
        <v>REP LOG</v>
      </c>
      <c r="H26" s="96" t="str">
        <f>'MSW48'!H26</f>
        <v>SET</v>
      </c>
      <c r="I26" s="97" t="str">
        <f>'MSW48'!I26</f>
        <v>WEIGHT</v>
      </c>
      <c r="J26" s="97" t="str">
        <f>'MSW48'!J26</f>
        <v>REPS</v>
      </c>
      <c r="K26" s="97" t="str">
        <f>'MSW48'!K26</f>
        <v>REST</v>
      </c>
      <c r="L26" s="341" t="str">
        <f>'MSW48'!L26</f>
        <v>PREVIOUS</v>
      </c>
      <c r="M26" s="235" t="str">
        <f>'MSW48'!M26</f>
        <v>REP LOG</v>
      </c>
    </row>
    <row r="27">
      <c r="A27" s="342">
        <f>'MSW48'!A27</f>
        <v>1</v>
      </c>
      <c r="B27" s="348">
        <f>'MSW48'!B27</f>
        <v>0</v>
      </c>
      <c r="C27" s="437" t="str">
        <f>'MSW48'!C27</f>
        <v>REP OUT</v>
      </c>
      <c r="D27" s="343" t="str">
        <f>'MSW48'!D27</f>
        <v>1-5 MIN</v>
      </c>
      <c r="E27" s="66" t="str">
        <f>'MSW48'!E27</f>
        <v/>
      </c>
      <c r="F27" s="85" t="str">
        <f>'MSW48'!F27</f>
        <v/>
      </c>
      <c r="H27" s="725">
        <f>'MSW48'!H27</f>
        <v>1</v>
      </c>
      <c r="I27" s="348">
        <f>'MSW48'!I27</f>
        <v>0</v>
      </c>
      <c r="J27" s="437" t="str">
        <f>'MSW48'!J27</f>
        <v>REP OUT</v>
      </c>
      <c r="K27" s="343" t="str">
        <f>'MSW48'!K27</f>
        <v>1-5 MIN</v>
      </c>
      <c r="L27" s="66" t="str">
        <f>'MSW48'!L27</f>
        <v/>
      </c>
      <c r="M27" s="85" t="str">
        <f>'MSW48'!M27</f>
        <v/>
      </c>
    </row>
    <row r="28">
      <c r="A28" s="725">
        <f>'MSW48'!A28</f>
        <v>2</v>
      </c>
      <c r="B28" s="348">
        <f>'MSW48'!B28</f>
        <v>0</v>
      </c>
      <c r="C28" s="437" t="str">
        <f>'MSW48'!C28</f>
        <v>REP OUT</v>
      </c>
      <c r="D28" s="343" t="str">
        <f>'MSW48'!D28</f>
        <v>1-5 MIN</v>
      </c>
      <c r="E28" s="66" t="str">
        <f>'MSW48'!E28</f>
        <v/>
      </c>
      <c r="F28" s="85" t="str">
        <f>'MSW48'!F28</f>
        <v/>
      </c>
      <c r="G28" s="722" t="str">
        <f>'MSW48'!G28</f>
        <v/>
      </c>
      <c r="H28" s="725">
        <f>'MSW48'!H28</f>
        <v>2</v>
      </c>
      <c r="I28" s="348">
        <f>'MSW48'!I28</f>
        <v>0</v>
      </c>
      <c r="J28" s="437" t="str">
        <f>'MSW48'!J28</f>
        <v>REP OUT</v>
      </c>
      <c r="K28" s="343" t="str">
        <f>'MSW48'!K28</f>
        <v>1-5 MIN</v>
      </c>
      <c r="L28" s="66" t="str">
        <f>'MSW48'!L28</f>
        <v/>
      </c>
      <c r="M28" s="85" t="str">
        <f>'MSW48'!M28</f>
        <v/>
      </c>
    </row>
    <row r="29">
      <c r="A29" s="485">
        <f>'MSW48'!A29</f>
        <v>3</v>
      </c>
      <c r="B29" s="732">
        <f>'MSW48'!B29</f>
        <v>0</v>
      </c>
      <c r="C29" s="733" t="str">
        <f>'MSW48'!C29</f>
        <v>REP OUT</v>
      </c>
      <c r="D29" s="486" t="str">
        <f>'MSW48'!D29</f>
        <v>1-5 MIN</v>
      </c>
      <c r="E29" s="72" t="str">
        <f>'MSW48'!E29</f>
        <v/>
      </c>
      <c r="F29" s="85" t="str">
        <f>'MSW48'!F29</f>
        <v/>
      </c>
      <c r="H29" s="753">
        <f>'MSW48'!H29</f>
        <v>3</v>
      </c>
      <c r="I29" s="732">
        <f>'MSW48'!I29</f>
        <v>0</v>
      </c>
      <c r="J29" s="733" t="str">
        <f>'MSW48'!J29</f>
        <v>REP OUT</v>
      </c>
      <c r="K29" s="486" t="str">
        <f>'MSW48'!K29</f>
        <v>1-5 MIN</v>
      </c>
      <c r="L29" s="72" t="str">
        <f>'MSW48'!L29</f>
        <v/>
      </c>
      <c r="M29" s="85" t="str">
        <f>'MSW48'!M29</f>
        <v/>
      </c>
    </row>
    <row r="30">
      <c r="A30" s="740" t="str">
        <f>'MSW48'!A30</f>
        <v/>
      </c>
    </row>
    <row r="32">
      <c r="A32" s="440" t="str">
        <f>'MSW48'!A32</f>
        <v>2. DB CHEST FLY</v>
      </c>
      <c r="B32" s="53"/>
      <c r="C32" s="53"/>
      <c r="D32" s="53"/>
      <c r="E32" s="53"/>
      <c r="F32" s="54"/>
      <c r="G32" s="419" t="str">
        <f>'MSW48'!G32</f>
        <v/>
      </c>
      <c r="H32" s="504" t="str">
        <f>'MSW48'!H32</f>
        <v>2. MACHINE CHEST FLY</v>
      </c>
      <c r="I32" s="53"/>
      <c r="J32" s="53"/>
      <c r="K32" s="53"/>
      <c r="L32" s="53"/>
      <c r="M32" s="54"/>
    </row>
    <row r="33">
      <c r="A33" s="226" t="str">
        <f>'MSW48'!A33</f>
        <v>DB INCL PRSS MAX</v>
      </c>
      <c r="B33" s="691" t="str">
        <f>'MSW48'!B33</f>
        <v/>
      </c>
      <c r="C33" s="13"/>
      <c r="D33" s="13"/>
      <c r="E33" s="13"/>
      <c r="F33" s="57"/>
      <c r="H33" s="226" t="str">
        <f>'MSW48'!H33</f>
        <v>DB INCL PRSS MAX</v>
      </c>
      <c r="I33" s="548" t="str">
        <f>'MSW48'!I33</f>
        <v/>
      </c>
      <c r="J33" s="13"/>
      <c r="K33" s="13"/>
      <c r="L33" s="13"/>
      <c r="M33" s="57"/>
    </row>
    <row r="34">
      <c r="A34" s="743" t="str">
        <f>'MSW48'!A34</f>
        <v>SET</v>
      </c>
      <c r="B34" s="744" t="str">
        <f>'MSW48'!B34</f>
        <v>WEIGHT</v>
      </c>
      <c r="C34" s="744" t="str">
        <f>'MSW48'!C34</f>
        <v>REPS</v>
      </c>
      <c r="D34" s="744" t="str">
        <f>'MSW48'!D34</f>
        <v>REST</v>
      </c>
      <c r="E34" s="745" t="str">
        <f>'MSW48'!E34</f>
        <v>PREVIOUS</v>
      </c>
      <c r="F34" s="746" t="str">
        <f>'MSW48'!F34</f>
        <v>REP LOG</v>
      </c>
      <c r="H34" s="96" t="str">
        <f>'MSW48'!H34</f>
        <v>SET</v>
      </c>
      <c r="I34" s="97" t="str">
        <f>'MSW48'!I34</f>
        <v>WEIGHT</v>
      </c>
      <c r="J34" s="97" t="str">
        <f>'MSW48'!J34</f>
        <v>REPS</v>
      </c>
      <c r="K34" s="97" t="str">
        <f>'MSW48'!K34</f>
        <v>REST</v>
      </c>
      <c r="L34" s="341" t="str">
        <f>'MSW48'!L34</f>
        <v>PREVIOUS</v>
      </c>
      <c r="M34" s="235" t="str">
        <f>'MSW48'!M34</f>
        <v>REP LOG</v>
      </c>
    </row>
    <row r="35">
      <c r="A35" s="725">
        <f>'MSW48'!A35</f>
        <v>1</v>
      </c>
      <c r="B35" s="254">
        <f>'MSW48'!B35</f>
        <v>0</v>
      </c>
      <c r="C35" s="344">
        <f>'MSW48'!C35</f>
        <v>15</v>
      </c>
      <c r="D35" s="343" t="str">
        <f>'MSW48'!D35</f>
        <v>1 MIN</v>
      </c>
      <c r="E35" s="66" t="str">
        <f>'MSW48'!E35</f>
        <v/>
      </c>
      <c r="F35" s="85" t="str">
        <f>'MSW48'!F35</f>
        <v/>
      </c>
      <c r="H35" s="240">
        <f>'MSW48'!H35</f>
        <v>1</v>
      </c>
      <c r="I35" s="254">
        <f>'MSW48'!I35</f>
        <v>0</v>
      </c>
      <c r="J35" s="241">
        <f>'MSW48'!J35</f>
        <v>15</v>
      </c>
      <c r="K35" s="83" t="str">
        <f>'MSW48'!K35</f>
        <v>1 MIN</v>
      </c>
      <c r="L35" s="66" t="str">
        <f>'MSW48'!L35</f>
        <v/>
      </c>
      <c r="M35" s="85" t="str">
        <f>'MSW48'!M35</f>
        <v/>
      </c>
    </row>
    <row r="36">
      <c r="A36" s="747">
        <f>'MSW48'!A36</f>
        <v>2</v>
      </c>
      <c r="B36" s="662">
        <f>'MSW48'!B36</f>
        <v>0</v>
      </c>
      <c r="C36" s="813">
        <f>'MSW48'!C36</f>
        <v>15</v>
      </c>
      <c r="D36" s="486" t="str">
        <f>'MSW48'!D36</f>
        <v>1 MIN</v>
      </c>
      <c r="E36" s="72" t="str">
        <f>'MSW48'!E36</f>
        <v/>
      </c>
      <c r="F36" s="85" t="str">
        <f>'MSW48'!F36</f>
        <v/>
      </c>
      <c r="H36" s="661">
        <f>'MSW48'!H36</f>
        <v>2</v>
      </c>
      <c r="I36" s="662">
        <f>'MSW48'!I36</f>
        <v>0</v>
      </c>
      <c r="J36" s="662">
        <f>'MSW48'!J36</f>
        <v>15</v>
      </c>
      <c r="K36" s="88" t="str">
        <f>'MSW48'!K36</f>
        <v>1 MIN</v>
      </c>
      <c r="L36" s="72" t="str">
        <f>'MSW48'!L36</f>
        <v/>
      </c>
      <c r="M36" s="85" t="str">
        <f>'MSW48'!M36</f>
        <v/>
      </c>
    </row>
    <row r="37">
      <c r="A37" t="str">
        <f>'MSW48'!A37</f>
        <v/>
      </c>
    </row>
    <row r="39">
      <c r="A39" s="1497" t="str">
        <f>'MSW48'!A39</f>
        <v>3. SUPER SET</v>
      </c>
      <c r="B39" s="36"/>
      <c r="C39" s="36"/>
      <c r="D39" s="36"/>
      <c r="E39" s="36"/>
      <c r="F39" s="37"/>
      <c r="G39" t="str">
        <f>'MSW48'!G39</f>
        <v/>
      </c>
    </row>
    <row r="40">
      <c r="A40" s="1177" t="str">
        <f>'MSW48'!A40</f>
        <v>CURRENT MAX</v>
      </c>
      <c r="B40" s="1178" t="str">
        <f>'MSW48'!B40</f>
        <v/>
      </c>
      <c r="C40" s="46"/>
      <c r="D40" s="1178">
        <f>'MSW48'!D40</f>
        <v>270</v>
      </c>
      <c r="E40" s="11"/>
      <c r="F40" s="46"/>
    </row>
    <row r="41">
      <c r="A41" s="1179" t="str">
        <f>'MSW48'!A41</f>
        <v>SET</v>
      </c>
      <c r="B41" s="1180" t="str">
        <f>'MSW48'!B41</f>
        <v>EXERCISE</v>
      </c>
      <c r="C41" s="1181" t="str">
        <f>'MSW48'!C41</f>
        <v>WEIGHT</v>
      </c>
      <c r="D41" s="1181" t="str">
        <f>'MSW48'!D41</f>
        <v>REPS</v>
      </c>
      <c r="E41" s="1182" t="str">
        <f>'MSW48'!E41</f>
        <v>PREVIOUS</v>
      </c>
      <c r="F41" s="1006" t="str">
        <f>'MSW48'!F41</f>
        <v>REP LOG</v>
      </c>
    </row>
    <row r="42">
      <c r="A42" s="1183">
        <f>'MSW48'!A42</f>
        <v>1</v>
      </c>
      <c r="B42" s="1393" t="str">
        <f>'MSW48'!B42</f>
        <v>MACH HIGH ROW</v>
      </c>
      <c r="C42" s="1185">
        <f>'MSW48'!C42</f>
        <v>0</v>
      </c>
      <c r="D42" s="1186">
        <f>'MSW48'!D42</f>
        <v>20</v>
      </c>
      <c r="E42" s="1187" t="str">
        <f>'MSW48'!E42</f>
        <v/>
      </c>
      <c r="F42" s="1188" t="str">
        <f>'MSW48'!F42</f>
        <v/>
      </c>
    </row>
    <row r="43">
      <c r="A43" s="1189"/>
      <c r="B43" s="1190" t="str">
        <f>'MSW48'!B43</f>
        <v>LOW ROW</v>
      </c>
      <c r="C43" s="1191">
        <f>'MSW48'!C43</f>
        <v>120</v>
      </c>
      <c r="D43" s="1192">
        <f>'MSW48'!D43</f>
        <v>20</v>
      </c>
      <c r="E43" s="1193" t="str">
        <f>'MSW48'!E43</f>
        <v/>
      </c>
      <c r="F43" s="1188" t="str">
        <f>'MSW48'!F43</f>
        <v/>
      </c>
    </row>
    <row r="44">
      <c r="A44" s="1194" t="str">
        <f>'MSW48'!A44</f>
        <v>REST 1 MIN</v>
      </c>
      <c r="B44" s="11"/>
      <c r="C44" s="11"/>
      <c r="D44" s="11"/>
      <c r="E44" s="11"/>
      <c r="F44" s="46"/>
    </row>
    <row r="45">
      <c r="A45" s="1195">
        <f>'MSW48'!A45</f>
        <v>2</v>
      </c>
      <c r="B45" s="1393" t="str">
        <f>'MSW48'!B45</f>
        <v>MACH HIGH ROW</v>
      </c>
      <c r="C45" s="1185">
        <f>'MSW48'!C45</f>
        <v>0</v>
      </c>
      <c r="D45" s="1186">
        <f>'MSW48'!D45</f>
        <v>20</v>
      </c>
      <c r="E45" s="1187" t="str">
        <f>'MSW48'!E45</f>
        <v/>
      </c>
      <c r="F45" s="1188" t="str">
        <f>'MSW48'!F45</f>
        <v/>
      </c>
    </row>
    <row r="46">
      <c r="A46" s="1196"/>
      <c r="B46" s="1190" t="str">
        <f>'MSW48'!B46</f>
        <v>LOW ROW</v>
      </c>
      <c r="C46" s="1191">
        <f>'MSW48'!C46</f>
        <v>110</v>
      </c>
      <c r="D46" s="1192">
        <f>'MSW48'!D46</f>
        <v>20</v>
      </c>
      <c r="E46" s="1193" t="str">
        <f>'MSW48'!E46</f>
        <v/>
      </c>
      <c r="F46" s="1188" t="str">
        <f>'MSW48'!F46</f>
        <v/>
      </c>
    </row>
    <row r="47">
      <c r="A47" s="1194" t="str">
        <f>'MSW48'!A47</f>
        <v>REST 1 MIN</v>
      </c>
      <c r="B47" s="11"/>
      <c r="C47" s="11"/>
      <c r="D47" s="11"/>
      <c r="E47" s="11"/>
      <c r="F47" s="46"/>
    </row>
    <row r="48">
      <c r="A48" s="1195">
        <f>'MSW48'!A48</f>
        <v>3</v>
      </c>
      <c r="B48" s="1393" t="str">
        <f>'MSW48'!B48</f>
        <v>MACH HIGH ROW</v>
      </c>
      <c r="C48" s="1185">
        <f>'MSW48'!C48</f>
        <v>0</v>
      </c>
      <c r="D48" s="1186">
        <f>'MSW48'!D48</f>
        <v>20</v>
      </c>
      <c r="E48" s="1187" t="str">
        <f>'MSW48'!E48</f>
        <v/>
      </c>
      <c r="F48" s="1133" t="str">
        <f>'MSW48'!F48</f>
        <v/>
      </c>
    </row>
    <row r="49">
      <c r="A49" s="1196"/>
      <c r="B49" s="1190" t="str">
        <f>'MSW48'!B49</f>
        <v>LOW ROW</v>
      </c>
      <c r="C49" s="1191">
        <f>'MSW48'!C49</f>
        <v>100</v>
      </c>
      <c r="D49" s="1192">
        <f>'MSW48'!D49</f>
        <v>20</v>
      </c>
      <c r="E49" s="1193" t="str">
        <f>'MSW48'!E49</f>
        <v/>
      </c>
      <c r="F49" s="1133" t="str">
        <f>'MSW48'!F49</f>
        <v/>
      </c>
    </row>
    <row r="50">
      <c r="A50" s="1194" t="str">
        <f>'MSW48'!A50</f>
        <v>REST 1 MIN</v>
      </c>
      <c r="B50" s="11"/>
      <c r="C50" s="11"/>
      <c r="D50" s="11"/>
      <c r="E50" s="11"/>
      <c r="F50" s="46"/>
    </row>
    <row r="51">
      <c r="A51" s="1197">
        <f>'MSW48'!A51</f>
        <v>4</v>
      </c>
      <c r="B51" s="1393" t="str">
        <f>'MSW48'!B51</f>
        <v>MACH HIGH ROW</v>
      </c>
      <c r="C51" s="1185">
        <f>'MSW48'!C51</f>
        <v>0</v>
      </c>
      <c r="D51" s="1186">
        <f>'MSW48'!D51</f>
        <v>20</v>
      </c>
      <c r="E51" s="1187" t="str">
        <f>'MSW48'!E51</f>
        <v/>
      </c>
      <c r="F51" s="1133" t="str">
        <f>'MSW48'!F51</f>
        <v/>
      </c>
    </row>
    <row r="52">
      <c r="A52" s="1196"/>
      <c r="B52" s="1190" t="str">
        <f>'MSW48'!B52</f>
        <v>LOW ROW</v>
      </c>
      <c r="C52" s="1191">
        <f>'MSW48'!C52</f>
        <v>90</v>
      </c>
      <c r="D52" s="1192">
        <f>'MSW48'!D52</f>
        <v>20</v>
      </c>
      <c r="E52" s="1193" t="str">
        <f>'MSW48'!E52</f>
        <v/>
      </c>
      <c r="F52" s="1133" t="str">
        <f>'MSW48'!F52</f>
        <v/>
      </c>
    </row>
    <row r="53">
      <c r="A53" t="str">
        <f>'MSW48'!A53</f>
        <v/>
      </c>
    </row>
    <row r="55">
      <c r="A55" s="310" t="str">
        <f>'MSW48'!A55</f>
        <v>CLICK TO COMPLETE WORKOUT</v>
      </c>
      <c r="B55" s="36"/>
      <c r="C55" s="36"/>
      <c r="D55" s="36"/>
      <c r="E55" s="36"/>
      <c r="F55" s="37"/>
    </row>
    <row r="56">
      <c r="A56" t="str">
        <f>'MSW48'!A56</f>
        <v/>
      </c>
    </row>
    <row r="57">
      <c r="A57" s="224" t="str">
        <f>'MSW48'!A57</f>
        <v>DAY 2 </v>
      </c>
      <c r="B57" s="36"/>
      <c r="C57" s="36"/>
      <c r="D57" s="36"/>
      <c r="E57" s="36"/>
      <c r="F57" s="37"/>
    </row>
    <row r="58">
      <c r="A58" t="str">
        <f>'MSW48'!A58</f>
        <v/>
      </c>
    </row>
    <row r="60">
      <c r="A60" s="1355" t="str">
        <f>'MSW48'!A60</f>
        <v>1. MACHINE SQUAT</v>
      </c>
      <c r="B60" s="53"/>
      <c r="C60" s="53"/>
      <c r="D60" s="53"/>
      <c r="E60" s="53"/>
      <c r="F60" s="54"/>
    </row>
    <row r="61">
      <c r="A61" s="1262" t="str">
        <f>'MSW48'!A61</f>
        <v>2 REP MAX</v>
      </c>
      <c r="B61" s="1035">
        <f>'MSW48'!B61</f>
        <v>35</v>
      </c>
      <c r="C61" s="13"/>
      <c r="D61" s="13"/>
      <c r="E61" s="13"/>
      <c r="F61" s="57"/>
    </row>
    <row r="62">
      <c r="A62" s="231" t="str">
        <f>'MSW48'!A62</f>
        <v>SET</v>
      </c>
      <c r="B62" s="232" t="str">
        <f>'MSW48'!B62</f>
        <v>WEIGHT</v>
      </c>
      <c r="C62" s="232" t="str">
        <f>'MSW48'!C62</f>
        <v>REPS</v>
      </c>
      <c r="D62" s="232" t="str">
        <f>'MSW48'!D62</f>
        <v>REST</v>
      </c>
      <c r="E62" s="233" t="str">
        <f>'MSW48'!E62</f>
        <v>PREVIOUS</v>
      </c>
      <c r="F62" s="61" t="str">
        <f>'MSW48'!F62</f>
        <v>REP LOG</v>
      </c>
    </row>
    <row r="63">
      <c r="A63" s="236">
        <f>'MSW48'!A63</f>
        <v>1</v>
      </c>
      <c r="B63" s="237">
        <f>'MSW48'!B63</f>
        <v>10</v>
      </c>
      <c r="C63" s="238">
        <f>'MSW48'!C63</f>
        <v>10</v>
      </c>
      <c r="D63" s="238" t="str">
        <f>'MSW48'!D63</f>
        <v>30s</v>
      </c>
      <c r="E63" s="66" t="str">
        <f>'MSW48'!E63</f>
        <v/>
      </c>
      <c r="F63" s="67" t="str">
        <f>'MSW48'!F63</f>
        <v/>
      </c>
    </row>
    <row r="64">
      <c r="A64" s="236">
        <f>'MSW48'!A64</f>
        <v>2</v>
      </c>
      <c r="B64" s="237">
        <f>'MSW48'!B64</f>
        <v>25</v>
      </c>
      <c r="C64" s="238">
        <f>'MSW48'!C64</f>
        <v>10</v>
      </c>
      <c r="D64" s="238" t="str">
        <f>'MSW48'!D64</f>
        <v>1-2 MIN</v>
      </c>
      <c r="E64" s="66" t="str">
        <f>'MSW48'!E64</f>
        <v/>
      </c>
      <c r="F64" s="67" t="str">
        <f>'MSW48'!F64</f>
        <v/>
      </c>
    </row>
    <row r="65">
      <c r="A65" s="242">
        <f>'MSW48'!A65</f>
        <v>3</v>
      </c>
      <c r="B65" s="237">
        <f>'MSW48'!B65</f>
        <v>30</v>
      </c>
      <c r="C65" s="238">
        <f>'MSW48'!C65</f>
        <v>10</v>
      </c>
      <c r="D65" s="238" t="str">
        <f>'MSW48'!D65</f>
        <v>1-2 MIN</v>
      </c>
      <c r="E65" s="66" t="str">
        <f>'MSW48'!E65</f>
        <v/>
      </c>
      <c r="F65" s="67" t="str">
        <f>'MSW48'!F65</f>
        <v/>
      </c>
    </row>
    <row r="66">
      <c r="A66" s="249">
        <f>'MSW48'!A66</f>
        <v>4</v>
      </c>
      <c r="B66" s="175">
        <f>'MSW48'!B66</f>
        <v>25</v>
      </c>
      <c r="C66" s="238">
        <f>'MSW48'!C66</f>
        <v>10</v>
      </c>
      <c r="D66" s="238" t="str">
        <f>'MSW48'!D66</f>
        <v>1-5 MIN</v>
      </c>
      <c r="E66" s="66" t="str">
        <f>'MSW48'!E66</f>
        <v/>
      </c>
      <c r="F66" s="67" t="str">
        <f>'MSW48'!F66</f>
        <v/>
      </c>
    </row>
    <row r="67">
      <c r="A67" s="249">
        <f>'MSW48'!A67</f>
        <v>5</v>
      </c>
      <c r="B67" s="175">
        <f>'MSW48'!B67</f>
        <v>20</v>
      </c>
      <c r="C67" s="238">
        <f>'MSW48'!C67</f>
        <v>10</v>
      </c>
      <c r="D67" s="238" t="str">
        <f>'MSW48'!D67</f>
        <v>1-5 MIN</v>
      </c>
      <c r="E67" s="66" t="str">
        <f>'MSW48'!E67</f>
        <v/>
      </c>
      <c r="F67" s="1037" t="str">
        <f>'MSW48'!F67</f>
        <v/>
      </c>
    </row>
    <row r="68">
      <c r="A68" s="249">
        <f>'MSW48'!A68</f>
        <v>6</v>
      </c>
      <c r="B68" s="175">
        <f>'MSW48'!B68</f>
        <v>15</v>
      </c>
      <c r="C68" s="238">
        <f>'MSW48'!C68</f>
        <v>10</v>
      </c>
      <c r="D68" s="238" t="str">
        <f>'MSW48'!D68</f>
        <v>1-5 MIN</v>
      </c>
      <c r="E68" s="66" t="str">
        <f>'MSW48'!E68</f>
        <v/>
      </c>
      <c r="F68" s="67" t="str">
        <f>'MSW48'!F68</f>
        <v/>
      </c>
    </row>
    <row r="69">
      <c r="A69" s="1038">
        <f>'MSW48'!A69</f>
        <v>7</v>
      </c>
      <c r="B69" s="175">
        <f>'MSW48'!B69</f>
        <v>10</v>
      </c>
      <c r="C69" s="238">
        <f>'MSW48'!C69</f>
        <v>10</v>
      </c>
      <c r="D69" s="238" t="str">
        <f>'MSW48'!D69</f>
        <v>1-5 MIN</v>
      </c>
      <c r="E69" s="66" t="str">
        <f>'MSW48'!E69</f>
        <v/>
      </c>
      <c r="F69" s="67" t="str">
        <f>'MSW48'!F69</f>
        <v/>
      </c>
    </row>
    <row r="70">
      <c r="A70" s="249">
        <f>'MSW48'!A70</f>
        <v>8</v>
      </c>
      <c r="B70" s="175">
        <f>'MSW48'!B70</f>
        <v>10</v>
      </c>
      <c r="C70" s="238">
        <f>'MSW48'!C70</f>
        <v>10</v>
      </c>
      <c r="D70" s="238" t="str">
        <f>'MSW48'!D70</f>
        <v>1-5 MIN</v>
      </c>
      <c r="E70" s="66" t="str">
        <f>'MSW48'!E70</f>
        <v/>
      </c>
      <c r="F70" s="67" t="str">
        <f>'MSW48'!F70</f>
        <v/>
      </c>
    </row>
    <row r="71">
      <c r="A71" s="1038">
        <f>'MSW48'!A71</f>
        <v>9</v>
      </c>
      <c r="B71" s="175">
        <f>'MSW48'!B71</f>
        <v>10</v>
      </c>
      <c r="C71" s="238">
        <f>'MSW48'!C71</f>
        <v>10</v>
      </c>
      <c r="D71" s="238" t="str">
        <f>'MSW48'!D71</f>
        <v>1-5 MIN</v>
      </c>
      <c r="E71" s="66" t="str">
        <f>'MSW48'!E71</f>
        <v/>
      </c>
      <c r="F71" s="67" t="str">
        <f>'MSW48'!F71</f>
        <v/>
      </c>
    </row>
    <row r="72">
      <c r="A72" s="1038" t="str">
        <f>'MSW48'!A72</f>
        <v>10</v>
      </c>
      <c r="B72" s="175">
        <f>'MSW48'!B72</f>
        <v>10</v>
      </c>
      <c r="C72" s="238">
        <f>'MSW48'!C72</f>
        <v>10</v>
      </c>
      <c r="D72" s="238" t="str">
        <f>'MSW48'!D72</f>
        <v>1-5 MIN</v>
      </c>
      <c r="E72" s="66" t="str">
        <f>'MSW48'!E72</f>
        <v/>
      </c>
      <c r="F72" s="67" t="str">
        <f>'MSW48'!F72</f>
        <v/>
      </c>
    </row>
    <row r="73">
      <c r="A73" s="272" t="str">
        <f>'MSW48'!A73</f>
        <v>1 REP MAX</v>
      </c>
      <c r="B73" s="1109">
        <f>'MSW48'!B73</f>
        <v>35</v>
      </c>
      <c r="C73" s="11"/>
      <c r="D73" s="11"/>
      <c r="E73" s="11"/>
      <c r="F73" s="46"/>
    </row>
    <row r="74">
      <c r="A74" t="str">
        <f>'MSW48'!A74</f>
        <v/>
      </c>
    </row>
    <row r="76">
      <c r="A76" s="1285" t="str">
        <f>'MSW48'!A76</f>
        <v>2. LEG EXTENSION</v>
      </c>
      <c r="B76" s="53"/>
      <c r="C76" s="53"/>
      <c r="D76" s="53"/>
      <c r="E76" s="53"/>
      <c r="F76" s="54"/>
    </row>
    <row r="77">
      <c r="A77" s="1045" t="str">
        <f>'MSW48'!A77</f>
        <v>CURRENT MAX</v>
      </c>
      <c r="B77" s="1367">
        <f>'MSW48'!B77</f>
        <v>50</v>
      </c>
      <c r="C77" s="20"/>
      <c r="D77" s="20"/>
      <c r="E77" s="20"/>
      <c r="F77" s="95"/>
    </row>
    <row r="78">
      <c r="A78" s="567" t="str">
        <f>'MSW48'!A78</f>
        <v>SET</v>
      </c>
      <c r="B78" s="568" t="str">
        <f>'MSW48'!B78</f>
        <v>WEIGHT</v>
      </c>
      <c r="C78" s="568" t="str">
        <f>'MSW48'!C78</f>
        <v>REPS</v>
      </c>
      <c r="D78" s="568" t="str">
        <f>'MSW48'!D78</f>
        <v>REST</v>
      </c>
      <c r="E78" s="1047" t="str">
        <f>'MSW48'!E78</f>
        <v>PREVIOUS</v>
      </c>
      <c r="F78" s="1048" t="str">
        <f>'MSW48'!F78</f>
        <v>REP LOG</v>
      </c>
    </row>
    <row r="79">
      <c r="A79" s="1049">
        <f>'MSW48'!A79</f>
        <v>1</v>
      </c>
      <c r="B79" s="1050">
        <f>'MSW48'!B79</f>
        <v>50</v>
      </c>
      <c r="C79" s="1051" t="str">
        <f>'MSW48'!C79</f>
        <v>10 - 15</v>
      </c>
      <c r="D79" s="1430" t="str">
        <f>'MSW48'!D79</f>
        <v>1-2 MIN</v>
      </c>
      <c r="E79" s="1130" t="str">
        <f>'MSW48'!E79</f>
        <v/>
      </c>
      <c r="F79" s="1017" t="str">
        <f>'MSW48'!F79</f>
        <v/>
      </c>
    </row>
    <row r="80">
      <c r="A80" s="1049">
        <f>'MSW48'!A80</f>
        <v>2</v>
      </c>
      <c r="B80" s="1050">
        <f>'MSW48'!B80</f>
        <v>40</v>
      </c>
      <c r="C80" s="1051" t="str">
        <f>'MSW48'!C80</f>
        <v>10 - 15</v>
      </c>
      <c r="D80" s="1430" t="str">
        <f>'MSW48'!D80</f>
        <v>1-2 MIN</v>
      </c>
      <c r="E80" s="1130" t="str">
        <f>'MSW48'!E80</f>
        <v/>
      </c>
      <c r="F80" s="1017" t="str">
        <f>'MSW48'!F80</f>
        <v/>
      </c>
    </row>
    <row r="81">
      <c r="A81" s="1053">
        <f>'MSW48'!A81</f>
        <v>3</v>
      </c>
      <c r="B81" s="1054">
        <f>'MSW48'!B81</f>
        <v>30</v>
      </c>
      <c r="C81" s="1055" t="str">
        <f>'MSW48'!C81</f>
        <v>10 - 15</v>
      </c>
      <c r="D81" s="1453" t="str">
        <f>'MSW48'!D81</f>
        <v>1-2 MIN</v>
      </c>
      <c r="E81" s="1348" t="str">
        <f>'MSW48'!E81</f>
        <v/>
      </c>
      <c r="F81" s="1017" t="str">
        <f>'MSW48'!F81</f>
        <v/>
      </c>
    </row>
    <row r="82">
      <c r="A82" t="str">
        <f>'MSW48'!A82</f>
        <v/>
      </c>
    </row>
    <row r="84">
      <c r="A84" s="323" t="str">
        <f>'MSW48'!A84</f>
        <v>3. MACHINE LEG CURL</v>
      </c>
      <c r="B84" s="53"/>
      <c r="C84" s="53"/>
      <c r="D84" s="53"/>
      <c r="E84" s="53"/>
      <c r="F84" s="54"/>
      <c r="G84" s="141" t="str">
        <f>'MSW48'!G84</f>
        <v/>
      </c>
      <c r="H84" s="323" t="str">
        <f>'MSW48'!H84</f>
        <v>3. PRONE LEG CURL</v>
      </c>
      <c r="I84" s="53"/>
      <c r="J84" s="53"/>
      <c r="K84" s="53"/>
      <c r="L84" s="53"/>
      <c r="M84" s="54"/>
    </row>
    <row r="85">
      <c r="A85" s="1045" t="str">
        <f>'MSW48'!A85</f>
        <v>CURRENT MAX</v>
      </c>
      <c r="B85" s="1367">
        <f>'MSW48'!B85</f>
        <v>15</v>
      </c>
      <c r="C85" s="20"/>
      <c r="D85" s="20"/>
      <c r="E85" s="20"/>
      <c r="F85" s="95"/>
      <c r="H85" s="1045" t="str">
        <f>'MSW48'!H85</f>
        <v>CURRENT MAX</v>
      </c>
      <c r="I85" s="1498">
        <f>'MSW48'!I85</f>
        <v>15</v>
      </c>
      <c r="J85" s="33"/>
      <c r="K85" s="33"/>
      <c r="L85" s="33"/>
      <c r="M85" s="34"/>
    </row>
    <row r="86">
      <c r="A86" s="567" t="str">
        <f>'MSW48'!A86</f>
        <v>SET</v>
      </c>
      <c r="B86" s="568" t="str">
        <f>'MSW48'!B86</f>
        <v>WEIGHT</v>
      </c>
      <c r="C86" s="568" t="str">
        <f>'MSW48'!C86</f>
        <v>REPS</v>
      </c>
      <c r="D86" s="568" t="str">
        <f>'MSW48'!D86</f>
        <v>REST</v>
      </c>
      <c r="E86" s="1047" t="str">
        <f>'MSW48'!E86</f>
        <v>PREVIOUS</v>
      </c>
      <c r="F86" s="1048" t="str">
        <f>'MSW48'!F86</f>
        <v>REP LOG</v>
      </c>
      <c r="H86" s="567" t="str">
        <f>'MSW48'!H86</f>
        <v>SET</v>
      </c>
      <c r="I86" s="568" t="str">
        <f>'MSW48'!I86</f>
        <v>WEIGHT</v>
      </c>
      <c r="J86" s="568" t="str">
        <f>'MSW48'!J86</f>
        <v>REPS</v>
      </c>
      <c r="K86" s="568" t="str">
        <f>'MSW48'!K86</f>
        <v>REST</v>
      </c>
      <c r="L86" s="1047" t="str">
        <f>'MSW48'!L86</f>
        <v>PREVIOUS</v>
      </c>
      <c r="M86" s="1048" t="str">
        <f>'MSW48'!M86</f>
        <v>REP LOG</v>
      </c>
    </row>
    <row r="87">
      <c r="A87" s="1049">
        <f>'MSW48'!A87</f>
        <v>1</v>
      </c>
      <c r="B87" s="1050">
        <f>'MSW48'!B87</f>
        <v>15</v>
      </c>
      <c r="C87" s="1051" t="str">
        <f>'MSW48'!C87</f>
        <v>10 - 15</v>
      </c>
      <c r="D87" s="1430" t="str">
        <f>'MSW48'!D87</f>
        <v>1-2 MIN</v>
      </c>
      <c r="E87" s="1130" t="str">
        <f>'MSW48'!E87</f>
        <v/>
      </c>
      <c r="F87" s="1017" t="str">
        <f>'MSW48'!F87</f>
        <v/>
      </c>
      <c r="G87" s="434" t="str">
        <f>'MSW48'!G87</f>
        <v>ALTERNATE</v>
      </c>
      <c r="H87" s="1049">
        <f>'MSW48'!H87</f>
        <v>1</v>
      </c>
      <c r="I87" s="1050">
        <f>'MSW48'!I87</f>
        <v>15</v>
      </c>
      <c r="J87" s="1051" t="str">
        <f>'MSW48'!J87</f>
        <v>10 - 15</v>
      </c>
      <c r="K87" s="1430" t="str">
        <f>'MSW48'!K87</f>
        <v>1-2 MIN</v>
      </c>
      <c r="L87" s="1130" t="str">
        <f>'MSW48'!L87</f>
        <v/>
      </c>
      <c r="M87" s="1017" t="str">
        <f>'MSW48'!M87</f>
        <v/>
      </c>
    </row>
    <row r="88">
      <c r="A88" s="1049">
        <f>'MSW48'!A88</f>
        <v>2</v>
      </c>
      <c r="B88" s="1050">
        <f>'MSW48'!B88</f>
        <v>10</v>
      </c>
      <c r="C88" s="1051" t="str">
        <f>'MSW48'!C88</f>
        <v>10 - 15</v>
      </c>
      <c r="D88" s="1430" t="str">
        <f>'MSW48'!D88</f>
        <v>1-2 MIN</v>
      </c>
      <c r="E88" s="1130" t="str">
        <f>'MSW48'!E88</f>
        <v/>
      </c>
      <c r="F88" s="1017" t="str">
        <f>'MSW48'!F88</f>
        <v/>
      </c>
      <c r="H88" s="1049">
        <f>'MSW48'!H88</f>
        <v>2</v>
      </c>
      <c r="I88" s="1050">
        <f>'MSW48'!I88</f>
        <v>10</v>
      </c>
      <c r="J88" s="1051" t="str">
        <f>'MSW48'!J88</f>
        <v>10 - 15</v>
      </c>
      <c r="K88" s="1430" t="str">
        <f>'MSW48'!K88</f>
        <v>1-2 MIN</v>
      </c>
      <c r="L88" s="1130" t="str">
        <f>'MSW48'!L88</f>
        <v/>
      </c>
      <c r="M88" s="1017" t="str">
        <f>'MSW48'!M88</f>
        <v/>
      </c>
    </row>
    <row r="89">
      <c r="A89" s="1053">
        <f>'MSW48'!A89</f>
        <v>3</v>
      </c>
      <c r="B89" s="1054">
        <f>'MSW48'!B89</f>
        <v>10</v>
      </c>
      <c r="C89" s="1055" t="str">
        <f>'MSW48'!C89</f>
        <v>10 - 15</v>
      </c>
      <c r="D89" s="1453" t="str">
        <f>'MSW48'!D89</f>
        <v>1-2 MIN</v>
      </c>
      <c r="E89" s="1348" t="str">
        <f>'MSW48'!E89</f>
        <v/>
      </c>
      <c r="F89" s="1017" t="str">
        <f>'MSW48'!F89</f>
        <v/>
      </c>
      <c r="G89" s="682" t="str">
        <f>'MSW48'!G89</f>
        <v/>
      </c>
      <c r="H89" s="1053">
        <f>'MSW48'!H89</f>
        <v>3</v>
      </c>
      <c r="I89" s="1054">
        <f>'MSW48'!I89</f>
        <v>10</v>
      </c>
      <c r="J89" s="1055" t="str">
        <f>'MSW48'!J89</f>
        <v>10 - 15</v>
      </c>
      <c r="K89" s="1453" t="str">
        <f>'MSW48'!K89</f>
        <v>1-2 MIN</v>
      </c>
      <c r="L89" s="1348" t="str">
        <f>'MSW48'!L89</f>
        <v/>
      </c>
      <c r="M89" s="1017" t="str">
        <f>'MSW48'!M89</f>
        <v/>
      </c>
    </row>
    <row r="90">
      <c r="A90" s="849" t="str">
        <f>'MSW48'!A90</f>
        <v/>
      </c>
    </row>
    <row r="92">
      <c r="A92" s="1120" t="str">
        <f>'MSW48'!A92</f>
        <v>DAY 3</v>
      </c>
      <c r="B92" s="36"/>
      <c r="C92" s="36"/>
      <c r="D92" s="36"/>
      <c r="E92" s="36"/>
      <c r="F92" s="37"/>
      <c r="G92" t="str">
        <f>'MSW48'!G92</f>
        <v/>
      </c>
    </row>
    <row r="93">
      <c r="A93" t="str">
        <f>'MSW48'!A93</f>
        <v/>
      </c>
    </row>
    <row r="95">
      <c r="A95" s="51" t="str">
        <f>'MSW48'!A95</f>
        <v>SHOULDERS &amp; ARMS</v>
      </c>
      <c r="B95" s="36"/>
      <c r="C95" s="36"/>
      <c r="D95" s="36"/>
      <c r="E95" s="36"/>
      <c r="F95" s="37"/>
      <c r="G95" s="419" t="str">
        <f>'MSW48'!G95</f>
        <v/>
      </c>
      <c r="H95" s="51" t="str">
        <f>'MSW48'!H95</f>
        <v>SHOULDERS &amp; ARMS</v>
      </c>
      <c r="I95" s="36"/>
      <c r="J95" s="36"/>
      <c r="K95" s="36"/>
      <c r="L95" s="36"/>
      <c r="M95" s="37"/>
    </row>
    <row r="96">
      <c r="A96" s="504" t="str">
        <f>'MSW48'!A96</f>
        <v>1. SHOULDER PRESS</v>
      </c>
      <c r="B96" s="53"/>
      <c r="C96" s="53"/>
      <c r="D96" s="53"/>
      <c r="E96" s="53"/>
      <c r="F96" s="54"/>
      <c r="H96" s="778" t="str">
        <f>'MSW48'!H96</f>
        <v>1. MACHINE SHOULDER PRESS</v>
      </c>
      <c r="I96" s="53"/>
      <c r="J96" s="53"/>
      <c r="K96" s="53"/>
      <c r="L96" s="53"/>
      <c r="M96" s="54"/>
    </row>
    <row r="97">
      <c r="A97" s="589" t="str">
        <f>'MSW48'!A97</f>
        <v>CURRENT MAX</v>
      </c>
      <c r="B97" s="227">
        <f>'MSW48'!B97</f>
        <v>10</v>
      </c>
      <c r="C97" s="20"/>
      <c r="D97" s="20"/>
      <c r="E97" s="20"/>
      <c r="F97" s="95"/>
      <c r="H97" s="589" t="str">
        <f>'MSW48'!H97</f>
        <v>CURRENT MAX</v>
      </c>
      <c r="I97" s="227">
        <f>'MSW48'!I97</f>
        <v>105</v>
      </c>
      <c r="J97" s="20"/>
      <c r="K97" s="20"/>
      <c r="L97" s="20"/>
      <c r="M97" s="95"/>
    </row>
    <row r="98">
      <c r="A98" s="364" t="str">
        <f>'MSW48'!A98</f>
        <v>SET</v>
      </c>
      <c r="B98" s="365" t="str">
        <f>'MSW48'!B98</f>
        <v>WEIGHT</v>
      </c>
      <c r="C98" s="365" t="str">
        <f>'MSW48'!C98</f>
        <v>REPS</v>
      </c>
      <c r="D98" s="365" t="str">
        <f>'MSW48'!D98</f>
        <v>REST</v>
      </c>
      <c r="E98" s="609" t="str">
        <f>'MSW48'!E98</f>
        <v>PREVIOUS</v>
      </c>
      <c r="F98" s="61" t="str">
        <f>'MSW48'!F98</f>
        <v>REP LOG</v>
      </c>
      <c r="H98" s="364" t="str">
        <f>'MSW48'!H98</f>
        <v>SET</v>
      </c>
      <c r="I98" s="365" t="str">
        <f>'MSW48'!I98</f>
        <v>WEIGHT</v>
      </c>
      <c r="J98" s="365" t="str">
        <f>'MSW48'!J98</f>
        <v>REPS</v>
      </c>
      <c r="K98" s="365" t="str">
        <f>'MSW48'!K98</f>
        <v>REST</v>
      </c>
      <c r="L98" s="609" t="str">
        <f>'MSW48'!L98</f>
        <v>PREVIOUS</v>
      </c>
      <c r="M98" s="61" t="str">
        <f>'MSW48'!M98</f>
        <v>REP LOG</v>
      </c>
    </row>
    <row r="99">
      <c r="A99" s="236">
        <f>'MSW48'!A99</f>
        <v>1</v>
      </c>
      <c r="B99" s="237">
        <f>'MSW48'!B99</f>
        <v>5</v>
      </c>
      <c r="C99" s="237">
        <f>'MSW48'!C99</f>
        <v>6</v>
      </c>
      <c r="D99" s="238" t="str">
        <f>'MSW48'!D99</f>
        <v>30s</v>
      </c>
      <c r="E99" s="1130" t="str">
        <f>'MSW48'!E99</f>
        <v/>
      </c>
      <c r="F99" s="67"/>
      <c r="H99" s="236">
        <f>'MSW48'!H99</f>
        <v>1</v>
      </c>
      <c r="I99" s="237">
        <f>'MSW48'!I99</f>
        <v>35</v>
      </c>
      <c r="J99" s="237">
        <f>'MSW48'!J99</f>
        <v>6</v>
      </c>
      <c r="K99" s="238" t="str">
        <f>'MSW48'!K99</f>
        <v>30s</v>
      </c>
      <c r="L99" s="1130" t="str">
        <f>'MSW48'!L99</f>
        <v/>
      </c>
      <c r="M99" s="67"/>
    </row>
    <row r="100">
      <c r="A100" s="236">
        <f>'MSW48'!A100</f>
        <v>2</v>
      </c>
      <c r="B100" s="237">
        <f>'MSW48'!B100</f>
        <v>5</v>
      </c>
      <c r="C100" s="237">
        <f>'MSW48'!C100</f>
        <v>1</v>
      </c>
      <c r="D100" s="238" t="str">
        <f>'MSW48'!D100</f>
        <v>1 MIN</v>
      </c>
      <c r="E100" s="1130" t="str">
        <f>'MSW48'!E100</f>
        <v/>
      </c>
      <c r="F100" s="67"/>
      <c r="H100" s="236">
        <f>'MSW48'!H100</f>
        <v>2</v>
      </c>
      <c r="I100" s="237">
        <f>'MSW48'!I100</f>
        <v>70</v>
      </c>
      <c r="J100" s="237">
        <f>'MSW48'!J100</f>
        <v>1</v>
      </c>
      <c r="K100" s="238" t="str">
        <f>'MSW48'!K100</f>
        <v>1 MIN</v>
      </c>
      <c r="L100" s="1130" t="str">
        <f>'MSW48'!L100</f>
        <v/>
      </c>
      <c r="M100" s="67"/>
    </row>
    <row r="101">
      <c r="A101" s="779">
        <f>'MSW48'!A101</f>
        <v>3</v>
      </c>
      <c r="B101" s="780">
        <f>'MSW48'!B101</f>
        <v>10</v>
      </c>
      <c r="C101" s="781" t="str">
        <f>'MSW48'!C101</f>
        <v>REP OUT</v>
      </c>
      <c r="D101" s="782" t="str">
        <f>'MSW48'!D101</f>
        <v>1 MIN</v>
      </c>
      <c r="E101" s="1130" t="str">
        <f>'MSW48'!E101</f>
        <v/>
      </c>
      <c r="F101" s="1121"/>
      <c r="H101" s="779">
        <f>'MSW48'!H101</f>
        <v>3</v>
      </c>
      <c r="I101" s="780">
        <f>'MSW48'!I101</f>
        <v>95</v>
      </c>
      <c r="J101" s="781" t="str">
        <f>'MSW48'!J101</f>
        <v>REP OUT</v>
      </c>
      <c r="K101" s="782" t="str">
        <f>'MSW48'!K101</f>
        <v>1 MIN</v>
      </c>
      <c r="L101" s="1130" t="str">
        <f>'MSW48'!L101</f>
        <v/>
      </c>
      <c r="M101" s="1121"/>
    </row>
    <row r="102">
      <c r="A102" s="785">
        <f>'MSW48'!A102</f>
        <v>4</v>
      </c>
      <c r="B102" s="388">
        <f>'MSW48'!B102</f>
        <v>10</v>
      </c>
      <c r="C102" s="781" t="str">
        <f>'MSW48'!C102</f>
        <v>REP OUT</v>
      </c>
      <c r="D102" s="390" t="str">
        <f>'MSW48'!D102</f>
        <v>1 MIN</v>
      </c>
      <c r="E102" s="1130" t="str">
        <f>'MSW48'!E102</f>
        <v/>
      </c>
      <c r="F102" s="1122"/>
      <c r="H102" s="785">
        <f>'MSW48'!H102</f>
        <v>4</v>
      </c>
      <c r="I102" s="388">
        <f>'MSW48'!I102</f>
        <v>80</v>
      </c>
      <c r="J102" s="781" t="str">
        <f>'MSW48'!J102</f>
        <v>REP OUT</v>
      </c>
      <c r="K102" s="390" t="str">
        <f>'MSW48'!K102</f>
        <v>1 MIN</v>
      </c>
      <c r="L102" s="1130" t="str">
        <f>'MSW48'!L102</f>
        <v/>
      </c>
      <c r="M102" s="1122"/>
    </row>
    <row r="103">
      <c r="A103" s="787">
        <f>'MSW48'!A103</f>
        <v>5</v>
      </c>
      <c r="B103" s="788">
        <f>'MSW48'!B103</f>
        <v>7.5</v>
      </c>
      <c r="C103" s="789" t="str">
        <f>'MSW48'!C103</f>
        <v>REP OUT</v>
      </c>
      <c r="D103" s="397" t="str">
        <f>'MSW48'!D103</f>
        <v>1 MIN</v>
      </c>
      <c r="E103" s="1348" t="str">
        <f>'MSW48'!E103</f>
        <v/>
      </c>
      <c r="F103" s="392" t="str">
        <f>'MSW48'!F103</f>
        <v/>
      </c>
      <c r="H103" s="787">
        <f>'MSW48'!H103</f>
        <v>5</v>
      </c>
      <c r="I103" s="788">
        <f>'MSW48'!I103</f>
        <v>70</v>
      </c>
      <c r="J103" s="789" t="str">
        <f>'MSW48'!J103</f>
        <v>REP OUT</v>
      </c>
      <c r="K103" s="397" t="str">
        <f>'MSW48'!K103</f>
        <v>1 MIN</v>
      </c>
      <c r="L103" s="1348" t="str">
        <f>'MSW48'!L103</f>
        <v/>
      </c>
      <c r="M103" s="392" t="str">
        <f>'MSW48'!M103</f>
        <v/>
      </c>
    </row>
    <row r="104">
      <c r="A104" s="623" t="str">
        <f>'MSW48'!A104</f>
        <v/>
      </c>
    </row>
    <row r="106">
      <c r="A106" s="361" t="str">
        <f>'MSW48'!A106</f>
        <v>2.  CABLE HIGH PULLEY ROW</v>
      </c>
      <c r="B106" s="53"/>
      <c r="C106" s="53"/>
      <c r="D106" s="53"/>
      <c r="E106" s="53"/>
      <c r="F106" s="54"/>
      <c r="G106" s="987" t="str">
        <f>'MSW48'!G106</f>
        <v/>
      </c>
    </row>
    <row r="107">
      <c r="A107" s="226" t="str">
        <f>'MSW48'!A107</f>
        <v>SHLDR PRSS MAX</v>
      </c>
      <c r="B107" s="94">
        <f>'MSW48'!B107</f>
        <v>10</v>
      </c>
      <c r="C107" s="20"/>
      <c r="D107" s="20"/>
      <c r="E107" s="20"/>
      <c r="F107" s="95"/>
    </row>
    <row r="108">
      <c r="A108" s="962" t="str">
        <f>'MSW48'!A108</f>
        <v>SET</v>
      </c>
      <c r="B108" s="963" t="str">
        <f>'MSW48'!B108</f>
        <v>WEIGHT</v>
      </c>
      <c r="C108" s="963" t="str">
        <f>'MSW48'!C108</f>
        <v>REPS</v>
      </c>
      <c r="D108" s="963" t="str">
        <f>'MSW48'!D108</f>
        <v>REST</v>
      </c>
      <c r="E108" s="1005" t="str">
        <f>'MSW48'!E108</f>
        <v>PREVIOUS</v>
      </c>
      <c r="F108" s="1006" t="str">
        <f>'MSW48'!F108</f>
        <v>REP LOG</v>
      </c>
    </row>
    <row r="109">
      <c r="A109" s="967">
        <f>'MSW48'!A109</f>
        <v>1</v>
      </c>
      <c r="B109" s="1028">
        <f>'MSW48'!B109</f>
        <v>15</v>
      </c>
      <c r="C109" s="1067" t="str">
        <f>'MSW48'!C109</f>
        <v>10 - 15</v>
      </c>
      <c r="D109" s="968" t="str">
        <f>'MSW48'!D109</f>
        <v>1-2 MIN</v>
      </c>
      <c r="E109" s="1130" t="str">
        <f>'MSW48'!E109</f>
        <v/>
      </c>
      <c r="F109" s="1011"/>
    </row>
    <row r="110">
      <c r="A110" s="242">
        <f>'MSW48'!A110</f>
        <v>2</v>
      </c>
      <c r="B110" s="99">
        <f>'MSW48'!B110</f>
        <v>10</v>
      </c>
      <c r="C110" s="1067" t="str">
        <f>'MSW48'!C110</f>
        <v>10 - 15</v>
      </c>
      <c r="D110" s="968" t="str">
        <f>'MSW48'!D110</f>
        <v>1-2 MIN</v>
      </c>
      <c r="E110" s="1130" t="str">
        <f>'MSW48'!E110</f>
        <v/>
      </c>
      <c r="F110" s="1011"/>
    </row>
    <row r="111">
      <c r="A111" s="289">
        <f>'MSW48'!A111</f>
        <v>3</v>
      </c>
      <c r="B111" s="101">
        <f>'MSW48'!B111</f>
        <v>10</v>
      </c>
      <c r="C111" s="1220" t="str">
        <f>'MSW48'!C111</f>
        <v>10 - 15</v>
      </c>
      <c r="D111" s="972" t="str">
        <f>'MSW48'!D111</f>
        <v>1-2 MIN</v>
      </c>
      <c r="E111" s="1348" t="str">
        <f>'MSW48'!E111</f>
        <v/>
      </c>
      <c r="F111" s="1017" t="str">
        <f>'MSW48'!F111</f>
        <v/>
      </c>
    </row>
    <row r="112">
      <c r="A112" s="1068" t="str">
        <f>'MSW48'!A112</f>
        <v/>
      </c>
    </row>
    <row r="114">
      <c r="A114" s="1070" t="str">
        <f>'MSW48'!A114</f>
        <v>3. DUMBBELL SIDE LATERAL RAISE</v>
      </c>
      <c r="B114" s="13"/>
      <c r="C114" s="13"/>
      <c r="D114" s="13"/>
      <c r="E114" s="13"/>
      <c r="F114" s="57"/>
    </row>
    <row r="115">
      <c r="A115" s="226" t="str">
        <f>'MSW48'!A115</f>
        <v>SHLDR PRSS MAX</v>
      </c>
      <c r="B115" s="76">
        <f>'MSW48'!B115</f>
        <v>10</v>
      </c>
      <c r="C115" s="13"/>
      <c r="D115" s="13"/>
      <c r="E115" s="13"/>
      <c r="F115" s="57"/>
    </row>
    <row r="116">
      <c r="A116" s="1071" t="str">
        <f>'MSW48'!A116</f>
        <v>SET</v>
      </c>
      <c r="B116" s="1072" t="str">
        <f>'MSW48'!B116</f>
        <v>WEIGHT</v>
      </c>
      <c r="C116" s="1072" t="str">
        <f>'MSW48'!C116</f>
        <v>REPS</v>
      </c>
      <c r="D116" s="1072" t="str">
        <f>'MSW48'!D116</f>
        <v>REST</v>
      </c>
      <c r="E116" s="1499" t="str">
        <f>'MSW48'!E116</f>
        <v>PREVIOUS</v>
      </c>
      <c r="F116" s="1006" t="str">
        <f>'MSW48'!F116</f>
        <v>REP LOG</v>
      </c>
    </row>
    <row r="117">
      <c r="A117" s="1074">
        <f>'MSW48'!A117</f>
        <v>1</v>
      </c>
      <c r="B117" s="968">
        <f>'MSW48'!B117</f>
        <v>0</v>
      </c>
      <c r="C117" s="1075" t="str">
        <f>'MSW48'!C117</f>
        <v>10 - 15</v>
      </c>
      <c r="D117" s="1500" t="str">
        <f>'MSW48'!D117</f>
        <v>1 MIN</v>
      </c>
      <c r="E117" s="1424" t="str">
        <f>'MSW48'!E117</f>
        <v/>
      </c>
      <c r="F117" s="1011"/>
    </row>
    <row r="118">
      <c r="A118" s="1074">
        <f>'MSW48'!A118</f>
        <v>2</v>
      </c>
      <c r="B118" s="968">
        <f>'MSW48'!B118</f>
        <v>2.5</v>
      </c>
      <c r="C118" s="1075" t="str">
        <f>'MSW48'!C118</f>
        <v>10 - 15</v>
      </c>
      <c r="D118" s="1500" t="str">
        <f>'MSW48'!D118</f>
        <v>1 MIN</v>
      </c>
      <c r="E118" s="1424" t="str">
        <f>'MSW48'!E118</f>
        <v/>
      </c>
      <c r="F118" s="1017" t="str">
        <f>'MSW48'!F118</f>
        <v/>
      </c>
    </row>
    <row r="119">
      <c r="A119" s="1078">
        <f>'MSW48'!A119</f>
        <v>3</v>
      </c>
      <c r="B119" s="972">
        <f>'MSW48'!B119</f>
        <v>0</v>
      </c>
      <c r="C119" s="1079" t="str">
        <f>'MSW48'!C119</f>
        <v>10 - 15</v>
      </c>
      <c r="D119" s="1501" t="str">
        <f>'MSW48'!D119</f>
        <v>1 MIN</v>
      </c>
      <c r="E119" s="1502" t="str">
        <f>'MSW48'!E119</f>
        <v/>
      </c>
      <c r="F119" s="1017" t="str">
        <f>'MSW48'!F119</f>
        <v/>
      </c>
    </row>
    <row r="120">
      <c r="A120" t="str">
        <f>'MSW48'!A120</f>
        <v/>
      </c>
    </row>
    <row r="122">
      <c r="A122" s="1295" t="str">
        <f>'MSW48'!A122</f>
        <v>3. DUMBBELL TRICEP EXTENSIONS</v>
      </c>
      <c r="B122" s="53"/>
      <c r="C122" s="53"/>
      <c r="D122" s="53"/>
      <c r="E122" s="53"/>
      <c r="F122" s="54"/>
    </row>
    <row r="123">
      <c r="A123" s="1268" t="str">
        <f>'MSW48'!A123</f>
        <v>CURRENT MAX</v>
      </c>
      <c r="B123" s="1367">
        <f>'MSW48'!B123</f>
        <v>30</v>
      </c>
      <c r="C123" s="20"/>
      <c r="D123" s="20"/>
      <c r="E123" s="20"/>
      <c r="F123" s="95"/>
    </row>
    <row r="124">
      <c r="A124" s="1071" t="str">
        <f>'MSW48'!A124</f>
        <v>SET</v>
      </c>
      <c r="B124" s="1072" t="str">
        <f>'MSW48'!B124</f>
        <v>WEIGHT</v>
      </c>
      <c r="C124" s="1072" t="str">
        <f>'MSW48'!C124</f>
        <v>REPS</v>
      </c>
      <c r="D124" s="1072" t="str">
        <f>'MSW48'!D124</f>
        <v>REST</v>
      </c>
      <c r="E124" s="1073" t="str">
        <f>'MSW48'!E124</f>
        <v>PREVIOUS</v>
      </c>
      <c r="F124" s="1006" t="str">
        <f>'MSW48'!F124</f>
        <v>REP LOG</v>
      </c>
    </row>
    <row r="125">
      <c r="A125" s="1074">
        <f>'MSW48'!A125</f>
        <v>1</v>
      </c>
      <c r="B125" s="968">
        <f>'MSW48'!B125</f>
        <v>30</v>
      </c>
      <c r="C125" s="1075" t="str">
        <f>'MSW48'!C125</f>
        <v>5 - 15</v>
      </c>
      <c r="D125" s="1076" t="str">
        <f>'MSW48'!D125</f>
        <v>1 MIN</v>
      </c>
      <c r="E125" s="1235" t="str">
        <f>'MSW48'!E125</f>
        <v/>
      </c>
      <c r="F125" s="1017" t="str">
        <f>'MSW48'!F125</f>
        <v/>
      </c>
    </row>
    <row r="126">
      <c r="A126" s="1074">
        <f>'MSW48'!A126</f>
        <v>2</v>
      </c>
      <c r="B126" s="968">
        <f>'MSW48'!B126</f>
        <v>27.5</v>
      </c>
      <c r="C126" s="1075" t="str">
        <f>'MSW48'!C126</f>
        <v>5 - 15</v>
      </c>
      <c r="D126" s="1076" t="str">
        <f>'MSW48'!D126</f>
        <v>1 MIN</v>
      </c>
      <c r="E126" s="1235" t="str">
        <f>'MSW48'!E126</f>
        <v/>
      </c>
      <c r="F126" s="1017" t="str">
        <f>'MSW48'!F126</f>
        <v/>
      </c>
    </row>
    <row r="127">
      <c r="A127" s="1078">
        <f>'MSW48'!A127</f>
        <v>3</v>
      </c>
      <c r="B127" s="972">
        <f>'MSW48'!B127</f>
        <v>25</v>
      </c>
      <c r="C127" s="1079" t="str">
        <f>'MSW48'!C127</f>
        <v>5 - 15</v>
      </c>
      <c r="D127" s="1080" t="str">
        <f>'MSW48'!D127</f>
        <v>1 MIN</v>
      </c>
      <c r="E127" s="1271" t="str">
        <f>'MSW48'!E127</f>
        <v/>
      </c>
      <c r="F127" s="1017" t="str">
        <f>'MSW48'!F127</f>
        <v/>
      </c>
    </row>
    <row r="128">
      <c r="A128" t="str">
        <f>'MSW48'!A128</f>
        <v/>
      </c>
    </row>
    <row r="130">
      <c r="A130" s="113" t="str">
        <f>'MSW48'!A130</f>
        <v>5. ALTERNATING BICEP CURLS </v>
      </c>
      <c r="B130" s="53"/>
      <c r="C130" s="53"/>
      <c r="D130" s="53"/>
      <c r="E130" s="53"/>
      <c r="F130" s="54"/>
    </row>
    <row r="131">
      <c r="A131" s="226" t="str">
        <f>'MSW48'!A131</f>
        <v>CURRENT MAX</v>
      </c>
      <c r="B131" s="839">
        <f>'MSW48'!B131</f>
        <v>25</v>
      </c>
      <c r="F131" s="28"/>
    </row>
    <row r="132">
      <c r="A132" s="77" t="str">
        <f>'MSW48'!A132</f>
        <v>SET</v>
      </c>
      <c r="B132" s="78" t="str">
        <f>'MSW48'!B132</f>
        <v>WEIGHT</v>
      </c>
      <c r="C132" s="78" t="str">
        <f>'MSW48'!C132</f>
        <v>REPS</v>
      </c>
      <c r="D132" s="78" t="str">
        <f>'MSW48'!D132</f>
        <v>REST</v>
      </c>
      <c r="E132" s="80" t="str">
        <f>'MSW48'!E132</f>
        <v>PREVIOUS</v>
      </c>
      <c r="F132" s="235" t="str">
        <f>'MSW48'!F132</f>
        <v>REP LOG</v>
      </c>
    </row>
    <row r="133">
      <c r="A133" s="81">
        <f>'MSW48'!A133</f>
        <v>1</v>
      </c>
      <c r="B133" s="82">
        <f>'MSW48'!B133</f>
        <v>25</v>
      </c>
      <c r="C133" s="65" t="str">
        <f>'MSW48'!C133</f>
        <v>10 - 15</v>
      </c>
      <c r="D133" s="83" t="str">
        <f>'MSW48'!D133</f>
        <v>1MIN</v>
      </c>
      <c r="E133" s="84" t="str">
        <f>'MSW48'!E133</f>
        <v/>
      </c>
      <c r="F133" s="85" t="str">
        <f>'MSW48'!F133</f>
        <v/>
      </c>
    </row>
    <row r="134">
      <c r="A134" s="81">
        <f>'MSW48'!A134</f>
        <v>2</v>
      </c>
      <c r="B134" s="82">
        <f>'MSW48'!B134</f>
        <v>20</v>
      </c>
      <c r="C134" s="65" t="str">
        <f>'MSW48'!C134</f>
        <v>10 - 15</v>
      </c>
      <c r="D134" s="83" t="str">
        <f>'MSW48'!D134</f>
        <v>1MIN</v>
      </c>
      <c r="E134" s="84" t="str">
        <f>'MSW48'!E134</f>
        <v/>
      </c>
      <c r="F134" s="85" t="str">
        <f>'MSW48'!F134</f>
        <v/>
      </c>
    </row>
    <row r="135">
      <c r="A135" s="629">
        <f>'MSW48'!A135</f>
        <v>3</v>
      </c>
      <c r="B135" s="630">
        <f>'MSW48'!B135</f>
        <v>15</v>
      </c>
      <c r="C135" s="631" t="str">
        <f>'MSW48'!C135</f>
        <v>10 - 15</v>
      </c>
      <c r="D135" s="328" t="str">
        <f>'MSW48'!D135</f>
        <v>1MIN</v>
      </c>
      <c r="E135" s="84" t="str">
        <f>'MSW48'!E135</f>
        <v/>
      </c>
      <c r="F135" s="330" t="str">
        <f>'MSW48'!F135</f>
        <v/>
      </c>
    </row>
    <row r="136">
      <c r="A136" s="633" t="str">
        <f>'MSW48'!A136</f>
        <v/>
      </c>
      <c r="B136" s="25"/>
      <c r="C136" s="25"/>
      <c r="D136" s="25"/>
      <c r="E136" s="25"/>
      <c r="F136" s="25"/>
    </row>
    <row r="138">
      <c r="A138" s="310" t="str">
        <f>'MSW48'!A138</f>
        <v>CLICK TO COMPLETE WORKOUT</v>
      </c>
      <c r="B138" s="36"/>
      <c r="C138" s="36"/>
      <c r="D138" s="36"/>
      <c r="E138" s="36"/>
      <c r="F138" s="37"/>
    </row>
    <row r="139">
      <c r="A139" s="598" t="str">
        <f>'MSW48'!A139</f>
        <v/>
      </c>
    </row>
    <row r="140">
      <c r="A140" s="639" t="str">
        <f>'MSW48'!A140</f>
        <v>WORKOUT COMPLETE!</v>
      </c>
      <c r="B140" s="36"/>
      <c r="C140" s="36"/>
      <c r="D140" s="36"/>
      <c r="E140" s="36"/>
      <c r="F140" s="37"/>
    </row>
    <row r="141">
      <c r="A141" s="883" t="str">
        <f>'MSW48'!A141</f>
        <v/>
      </c>
    </row>
    <row r="142">
      <c r="A142" s="884" t="str">
        <f>'MSW48'!A142</f>
        <v>WANT TO LEARN MORE?</v>
      </c>
      <c r="B142" s="16"/>
      <c r="C142" s="16"/>
      <c r="D142" s="16"/>
      <c r="E142" s="16"/>
      <c r="F142" s="17"/>
    </row>
    <row r="143">
      <c r="A143" s="18"/>
      <c r="B143" s="13"/>
      <c r="C143" s="13"/>
      <c r="D143" s="13"/>
      <c r="E143" s="13"/>
      <c r="F143" s="14"/>
    </row>
    <row r="144">
      <c r="A144" s="885" t="str">
        <f>'MSW48'!A144</f>
        <v/>
      </c>
      <c r="B144" s="886" t="str">
        <f>'MSW48'!B144</f>
        <v/>
      </c>
      <c r="C144" s="644" t="str">
        <f>'MSW48'!C144</f>
        <v>The 30 Minute Body book is based on the facts of proven success that three 30 minute weight training workouts a week combined with a sensible diet, can and will allow you to achieve your health and fitness dreams without feeling constantly beat up and sore while relieving the added stress of doing endless hours of cardio. The knowledge in this book was gleaned by world champion bench press lifter Lance McCullough, who has conducted over 100,000 personal training sessions as a certified personal trainer. From his competition days, he learned what kinds of regiments worked for both him and his competitors. As a personal trainer, he has learned what works for all kinds of people, from youth and seniors, professionals and amateur athletes, the aging, baby boomers, Gen Xers, Millenials and more! All of the information learned from all of his experiences, combined with the science and art of training put together to create this unique health and fitness program that is quick, safe, efficient and effective.</v>
      </c>
      <c r="D144" s="25"/>
      <c r="E144" s="25"/>
      <c r="F144" s="26"/>
    </row>
    <row r="145">
      <c r="A145" s="887" t="str">
        <f>'MSW48'!A145</f>
        <v/>
      </c>
      <c r="B145" s="888" t="str">
        <f>'MSW48'!B145</f>
        <v/>
      </c>
      <c r="C145" s="529"/>
      <c r="F145" s="28"/>
    </row>
    <row r="146">
      <c r="A146" s="887" t="str">
        <f>'MSW48'!A146</f>
        <v/>
      </c>
      <c r="B146" s="888" t="str">
        <f>'MSW48'!B146</f>
        <v/>
      </c>
      <c r="C146" s="529"/>
      <c r="F146" s="28"/>
    </row>
    <row r="147">
      <c r="A147" s="887" t="str">
        <f>'MSW48'!A147</f>
        <v/>
      </c>
      <c r="B147" s="888" t="str">
        <f>'MSW48'!B147</f>
        <v/>
      </c>
      <c r="C147" s="529"/>
      <c r="F147" s="28"/>
    </row>
    <row r="148">
      <c r="A148" s="887" t="str">
        <f>'MSW48'!A148</f>
        <v/>
      </c>
      <c r="B148" s="888" t="str">
        <f>'MSW48'!B148</f>
        <v/>
      </c>
      <c r="C148" s="529"/>
      <c r="F148" s="28"/>
    </row>
    <row r="149">
      <c r="A149" s="887" t="str">
        <f>'MSW48'!A149</f>
        <v/>
      </c>
      <c r="B149" s="888" t="str">
        <f>'MSW48'!B149</f>
        <v/>
      </c>
      <c r="C149" s="529"/>
      <c r="F149" s="28"/>
    </row>
    <row r="150">
      <c r="A150" s="889" t="str">
        <f>'MSW48'!A150</f>
        <v/>
      </c>
      <c r="B150" s="888" t="str">
        <f>'MSW48'!B150</f>
        <v/>
      </c>
      <c r="C150" s="529"/>
      <c r="F150" s="28"/>
    </row>
    <row r="151">
      <c r="A151" s="887" t="str">
        <f>'MSW48'!A151</f>
        <v/>
      </c>
      <c r="B151" s="888" t="str">
        <f>'MSW48'!B151</f>
        <v/>
      </c>
      <c r="C151" s="529"/>
      <c r="F151" s="28"/>
    </row>
    <row r="152">
      <c r="A152" s="887" t="str">
        <f>'MSW48'!A152</f>
        <v/>
      </c>
      <c r="B152" s="888" t="str">
        <f>'MSW48'!B152</f>
        <v/>
      </c>
      <c r="C152" s="529"/>
      <c r="F152" s="28"/>
    </row>
    <row r="153">
      <c r="A153" s="890" t="str">
        <f>'MSW48'!A153</f>
        <v/>
      </c>
      <c r="B153" s="888" t="str">
        <f>'MSW48'!B153</f>
        <v/>
      </c>
      <c r="C153" s="529"/>
      <c r="F153" s="28"/>
    </row>
    <row r="154">
      <c r="A154" s="887" t="str">
        <f>'MSW48'!A154</f>
        <v/>
      </c>
      <c r="B154" s="888" t="str">
        <f>'MSW48'!B154</f>
        <v/>
      </c>
      <c r="C154" s="529"/>
      <c r="F154" s="28"/>
    </row>
    <row r="155">
      <c r="A155" s="887" t="str">
        <f>'MSW48'!A155</f>
        <v/>
      </c>
      <c r="B155" s="888" t="str">
        <f>'MSW48'!B155</f>
        <v/>
      </c>
      <c r="C155" s="529"/>
      <c r="F155" s="28"/>
    </row>
    <row r="156">
      <c r="A156" s="887" t="str">
        <f>'MSW48'!A156</f>
        <v/>
      </c>
      <c r="B156" s="888" t="str">
        <f>'MSW48'!B156</f>
        <v/>
      </c>
      <c r="C156" s="529"/>
      <c r="F156" s="28"/>
    </row>
    <row r="157">
      <c r="A157" s="887" t="str">
        <f>'MSW48'!A157</f>
        <v/>
      </c>
      <c r="B157" s="888" t="str">
        <f>'MSW48'!B157</f>
        <v/>
      </c>
      <c r="C157" s="529"/>
      <c r="F157" s="28"/>
    </row>
    <row r="158">
      <c r="A158" s="891" t="str">
        <f>'MSW48'!A158</f>
        <v/>
      </c>
      <c r="B158" s="892" t="str">
        <f>'MSW48'!B158</f>
        <v/>
      </c>
      <c r="C158" s="336"/>
      <c r="D158" s="11"/>
      <c r="E158" s="11"/>
      <c r="F158" s="46"/>
    </row>
    <row r="159">
      <c r="A159" t="str">
        <f>'MSW48'!A159</f>
        <v/>
      </c>
    </row>
  </sheetData>
  <mergeCells count="92">
    <mergeCell ref="A76:F76"/>
    <mergeCell ref="B77:F77"/>
    <mergeCell ref="A56:F56"/>
    <mergeCell ref="A57:F57"/>
    <mergeCell ref="A58:F59"/>
    <mergeCell ref="A60:F60"/>
    <mergeCell ref="B61:F61"/>
    <mergeCell ref="B73:F73"/>
    <mergeCell ref="A74:F75"/>
    <mergeCell ref="A12:F12"/>
    <mergeCell ref="A13:F13"/>
    <mergeCell ref="A15:F15"/>
    <mergeCell ref="A25:F25"/>
    <mergeCell ref="H12:M14"/>
    <mergeCell ref="H15:M15"/>
    <mergeCell ref="G18:G24"/>
    <mergeCell ref="H18:M18"/>
    <mergeCell ref="H19:M19"/>
    <mergeCell ref="I20:M20"/>
    <mergeCell ref="H25:M25"/>
    <mergeCell ref="A16:M17"/>
    <mergeCell ref="A18:F18"/>
    <mergeCell ref="A19:F19"/>
    <mergeCell ref="B20:F20"/>
    <mergeCell ref="A1:M8"/>
    <mergeCell ref="A9:F9"/>
    <mergeCell ref="G9:G14"/>
    <mergeCell ref="H9:M9"/>
    <mergeCell ref="A10:F11"/>
    <mergeCell ref="H10:M10"/>
    <mergeCell ref="A14:F14"/>
    <mergeCell ref="G25:G27"/>
    <mergeCell ref="G28:G29"/>
    <mergeCell ref="A30:M31"/>
    <mergeCell ref="A32:F32"/>
    <mergeCell ref="G32:G36"/>
    <mergeCell ref="H32:M32"/>
    <mergeCell ref="B33:F33"/>
    <mergeCell ref="I33:M33"/>
    <mergeCell ref="A37:M38"/>
    <mergeCell ref="A39:F39"/>
    <mergeCell ref="B40:C40"/>
    <mergeCell ref="D40:F40"/>
    <mergeCell ref="A42:A43"/>
    <mergeCell ref="A44:F44"/>
    <mergeCell ref="A45:A46"/>
    <mergeCell ref="A47:F47"/>
    <mergeCell ref="A48:A49"/>
    <mergeCell ref="A50:F50"/>
    <mergeCell ref="A51:A52"/>
    <mergeCell ref="A53:F54"/>
    <mergeCell ref="A55:F55"/>
    <mergeCell ref="G39:M83"/>
    <mergeCell ref="H84:M84"/>
    <mergeCell ref="I85:M85"/>
    <mergeCell ref="H96:M96"/>
    <mergeCell ref="I97:M97"/>
    <mergeCell ref="B123:F123"/>
    <mergeCell ref="A128:F129"/>
    <mergeCell ref="C144:F158"/>
    <mergeCell ref="A159:F159"/>
    <mergeCell ref="A104:M105"/>
    <mergeCell ref="A106:F106"/>
    <mergeCell ref="G106:M159"/>
    <mergeCell ref="B107:F107"/>
    <mergeCell ref="A112:F113"/>
    <mergeCell ref="A114:F114"/>
    <mergeCell ref="B115:F115"/>
    <mergeCell ref="A82:F83"/>
    <mergeCell ref="A84:F84"/>
    <mergeCell ref="G84:G86"/>
    <mergeCell ref="B85:F85"/>
    <mergeCell ref="G87:G88"/>
    <mergeCell ref="A90:M91"/>
    <mergeCell ref="A92:F92"/>
    <mergeCell ref="G92:M92"/>
    <mergeCell ref="A93:M94"/>
    <mergeCell ref="A95:F95"/>
    <mergeCell ref="G95:G103"/>
    <mergeCell ref="H95:M95"/>
    <mergeCell ref="A96:F96"/>
    <mergeCell ref="B97:F97"/>
    <mergeCell ref="A120:F121"/>
    <mergeCell ref="A122:F122"/>
    <mergeCell ref="A130:F130"/>
    <mergeCell ref="B131:F131"/>
    <mergeCell ref="A136:F137"/>
    <mergeCell ref="A138:F138"/>
    <mergeCell ref="A139:F139"/>
    <mergeCell ref="A140:F140"/>
    <mergeCell ref="A141:F141"/>
    <mergeCell ref="A142:F143"/>
  </mergeCells>
  <dataValidations>
    <dataValidation type="decimal" allowBlank="1" showDropDown="1" showInputMessage="1" showErrorMessage="1" prompt="Enter a number between 0 and 30" sqref="F21:F24 M21:M24 F26:F29 M26:M29 F34:F36 M34:M36 F41:F43 F45:F46 F48:F49 F51:F52 F62:F72 F78:F81 F86:F89 M86:M89 F98:F103 M98:M103 F108:F111 F116:F119 F124:F127 F132:F135">
      <formula1>0.0</formula1>
      <formula2>30.0</formula2>
    </dataValidation>
    <dataValidation type="decimal" operator="greaterThan" allowBlank="1" showDropDown="1" showErrorMessage="1" sqref="M11">
      <formula1>0.0</formula1>
    </dataValidation>
  </dataValidations>
  <drawing r:id="rId1"/>
</worksheet>
</file>